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ustomProperty1.bin" ContentType="application/vnd.openxmlformats-officedocument.spreadsheetml.customProperty"/>
  <Override PartName="/xl/tables/table4.xml" ContentType="application/vnd.openxmlformats-officedocument.spreadsheetml.table+xml"/>
  <Override PartName="/xl/comments1.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tables/table5.xml" ContentType="application/vnd.openxmlformats-officedocument.spreadsheetml.table+xml"/>
  <Override PartName="/xl/pivotTables/pivotTable10.xml" ContentType="application/vnd.openxmlformats-officedocument.spreadsheetml.pivotTable+xml"/>
  <Override PartName="/xl/tables/table6.xml" ContentType="application/vnd.openxmlformats-officedocument.spreadsheetml.table+xml"/>
  <Override PartName="/xl/tables/table7.xml" ContentType="application/vnd.openxmlformats-officedocument.spreadsheetml.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omments2.xml" ContentType="application/vnd.openxmlformats-officedocument.spreadsheetml.comment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13.xml" ContentType="application/vnd.openxmlformats-officedocument.spreadsheetml.table+xml"/>
  <Override PartName="/xl/comments3.xml" ContentType="application/vnd.openxmlformats-officedocument.spreadsheetml.comments+xml"/>
  <Override PartName="/xl/drawings/drawing2.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tables/table14.xml" ContentType="application/vnd.openxmlformats-officedocument.spreadsheetml.table+xml"/>
  <Override PartName="/xl/comments4.xml" ContentType="application/vnd.openxmlformats-officedocument.spreadsheetml.comments+xml"/>
  <Override PartName="/xl/comments5.xml" ContentType="application/vnd.openxmlformats-officedocument.spreadsheetml.comments+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comments6.xml" ContentType="application/vnd.openxmlformats-officedocument.spreadsheetml.comments+xml"/>
  <Override PartName="/xl/tables/table29.xml" ContentType="application/vnd.openxmlformats-officedocument.spreadsheetml.table+xml"/>
  <Override PartName="/xl/drawings/drawing3.xml" ContentType="application/vnd.openxmlformats-officedocument.drawing+xml"/>
  <Override PartName="/xl/tables/table30.xml" ContentType="application/vnd.openxmlformats-officedocument.spreadsheetml.table+xml"/>
  <Override PartName="/xl/tables/table3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codeName="{B7FE6334-C1A2-E50D-BD3D-5F4D41BBC2E3}"/>
  <workbookPr codeName="ThisWorkbook" hidePivotFieldList="1" defaultThemeVersion="124226"/>
  <bookViews>
    <workbookView xWindow="0" yWindow="6270" windowWidth="7080" windowHeight="4065" tabRatio="823" activeTab="1"/>
  </bookViews>
  <sheets>
    <sheet name="Notes" sheetId="36" r:id="rId1"/>
    <sheet name="HostBuild" sheetId="1" r:id="rId2"/>
    <sheet name="Financials" sheetId="16" r:id="rId3"/>
    <sheet name="System Delivery Status" sheetId="37" r:id="rId4"/>
    <sheet name="Stats" sheetId="18" r:id="rId5"/>
    <sheet name="Server HW Summary" sheetId="20" r:id="rId6"/>
    <sheet name="SW Financials Summary" sheetId="24" r:id="rId7"/>
    <sheet name="SW Details" sheetId="21" r:id="rId8"/>
    <sheet name="SW_Unit_costs" sheetId="17" r:id="rId9"/>
    <sheet name="CTI Rate Card 2013 (Complete)" sheetId="34" r:id="rId10"/>
    <sheet name="CTI Rate Card 2014 (Complete)" sheetId="38" r:id="rId11"/>
    <sheet name="Other Products" sheetId="15" r:id="rId12"/>
    <sheet name="Parking Lot" sheetId="19" r:id="rId13"/>
    <sheet name="References" sheetId="26" r:id="rId14"/>
    <sheet name="Defined Values" sheetId="29" r:id="rId15"/>
    <sheet name="BoM Design Log" sheetId="30" r:id="rId16"/>
    <sheet name="BoM Standards Rules" sheetId="32" r:id="rId17"/>
    <sheet name="Future Enhancements" sheetId="31" r:id="rId18"/>
    <sheet name="AppSettings" sheetId="33" state="veryHidden" r:id="rId19"/>
  </sheets>
  <definedNames>
    <definedName name="_xlnm._FilterDatabase" localSheetId="10" hidden="1">'CTI Rate Card 2014 (Complete)'!$A$4:$O$1598</definedName>
    <definedName name="_xlnm._FilterDatabase" localSheetId="1" hidden="1">HostBuild!$I$154:$I$168</definedName>
    <definedName name="_xlnm._FilterDatabase" localSheetId="12" hidden="1">'Parking Lot'!$A$1:$BE$1</definedName>
    <definedName name="AbInitio_p7_All" localSheetId="8">SW_Unit_costs!$J$3</definedName>
    <definedName name="AbInitio_p7_All_Maint" localSheetId="8">SW_Unit_costs!$H$3</definedName>
    <definedName name="BoMToolsAtStartup">AppSettings!$B$4</definedName>
    <definedName name="BTver">AppSettings!$B$3</definedName>
    <definedName name="CA_APM_All_Dev">SW_Unit_costs!$J$5</definedName>
    <definedName name="CA_APM_All_Dev_Maint">SW_Unit_costs!$H$5</definedName>
    <definedName name="CA_APM_All_NonDev">SW_Unit_costs!$J$4</definedName>
    <definedName name="CA_APM_All_NonDev_Maint">SW_Unit_costs!$H$4</definedName>
    <definedName name="Envs">SW_Unit_costs!$O$2:$X$2</definedName>
    <definedName name="ExistingSrvrCells">HostBuild[[Existing CPUs]:[Use existing server config towards SW Licensing?]]</definedName>
    <definedName name="FinCAD_X86_All">SW_Unit_costs!$J$6</definedName>
    <definedName name="FinCAD_X86_All_Maint">SW_Unit_costs!$H$6</definedName>
    <definedName name="FinCAD_X86_Lic_Rule">SW_Unit_costs!$F$6</definedName>
    <definedName name="HBAppHeader">HostBuild[[#Headers],[Ab Initio]:[Veritas Cluster/CFS]]</definedName>
    <definedName name="HBCoreData">HostBuild[[PCR]:[Notes]]</definedName>
    <definedName name="HBDMZRequired">HostBuild[DMZ Required?]</definedName>
    <definedName name="HBEnv">HostBuild[Env]</definedName>
    <definedName name="HBHSMRequired">HostBuild[HSM Required?]</definedName>
    <definedName name="HBNetworkInfo">HostBuild[[HSM Required?]:['# of Connections II]]</definedName>
    <definedName name="HBSWLicenses">HostBuild[[Ab Initio]:[Veritas Cluster/CFS]]</definedName>
    <definedName name="HBUseExistingSrvrCfgSWLic">HostBuild[Use existing server config towards SW Licensing?]</definedName>
    <definedName name="IBM_BG_Web_Client_pSeries">SW_Unit_costs!$J$9</definedName>
    <definedName name="IBM_BG_Web_Client_pSeries_Maint">SW_Unit_costs!$H$9</definedName>
    <definedName name="IBM_Biz_Glossary_pSeries_NonProd">SW_Unit_costs!$J$8</definedName>
    <definedName name="IBM_Biz_Glossary_pSeries_NonProd_Maint">SW_Unit_costs!$H$8</definedName>
    <definedName name="IBM_Biz_Glossary_pSeries_Prod">SW_Unit_costs!$J$7</definedName>
    <definedName name="IBM_Biz_Glossary_pSeries_Prod_Maint">SW_Unit_costs!$H$7</definedName>
    <definedName name="IBM_Datastage_NonProd">SW_Unit_costs!$J$12</definedName>
    <definedName name="IBM_Datastage_NonProd_Lic_Rule">SW_Unit_costs!$F$12</definedName>
    <definedName name="IBM_Datastage_NonProd_Maint">SW_Unit_costs!$H$12</definedName>
    <definedName name="IBM_Datastage_Prod">SW_Unit_costs!$J$11</definedName>
    <definedName name="IBM_Datastage_Prod_Lic_Rule">SW_Unit_costs!$F$11</definedName>
    <definedName name="IBM_Datastage_Prod_Maint">SW_Unit_costs!$H$11</definedName>
    <definedName name="IBM_DIA_XI52">'Other Products'!$G$7</definedName>
    <definedName name="IBM_DIA_XI52_Maint">'Other Products'!$G$8</definedName>
    <definedName name="IBM_DS_Designer_x86">SW_Unit_costs!$J$10</definedName>
    <definedName name="IBM_DS_Designer_x86_Maint">SW_Unit_costs!$H$10</definedName>
    <definedName name="IBM_DS_IS_Dir_NonProd">SW_Unit_costs!$J$17</definedName>
    <definedName name="IBM_DS_IS_Dir_NonProd_Maint">SW_Unit_costs!$H$17</definedName>
    <definedName name="IBM_DS_IS_Dir_Prod">SW_Unit_costs!$J$16</definedName>
    <definedName name="IBM_DS_IS_Dir_Prod_Lic_Rule">SW_Unit_costs!$F$16</definedName>
    <definedName name="IBM_DS_IS_Dir_Prod_Maint">SW_Unit_costs!$H$16</definedName>
    <definedName name="IBM_HTTP_pSeries_NonProd">SW_Unit_costs!$J$14</definedName>
    <definedName name="IBM_HTTP_pSeries_NonProd_Lic_Rule">SW_Unit_costs!$F$14</definedName>
    <definedName name="IBM_HTTP_pSeries_NonProd_Maint">SW_Unit_costs!$H$14</definedName>
    <definedName name="IBM_HTTP_pSeries_Prod">SW_Unit_costs!$J$13</definedName>
    <definedName name="IBM_HTTP_pSeries_Prod_Lic_Rule">SW_Unit_costs!$F$13</definedName>
    <definedName name="IBM_HTTP_pSeries_Prod_Maint">SW_Unit_costs!$H$13</definedName>
    <definedName name="IBM_HTTP_x86_All">SW_Unit_costs!$J$15</definedName>
    <definedName name="IBM_HTTP_x86_All_Lic_Rule">SW_Unit_costs!$F$15</definedName>
    <definedName name="IBM_HTTP_x86_All_Maint">SW_Unit_costs!$H$15</definedName>
    <definedName name="IBM_NDM_NonProd" localSheetId="8">SW_Unit_costs!$J$72</definedName>
    <definedName name="IBM_NDM_NonProd_Lic_Rule">SW_Unit_costs!$F$72</definedName>
    <definedName name="IBM_NDM_NonProd_Maint" localSheetId="8">SW_Unit_costs!$H$72</definedName>
    <definedName name="IBM_NDM_Prod" localSheetId="8">SW_Unit_costs!$J$71</definedName>
    <definedName name="IBM_NDM_Prod_Lic_Rule">SW_Unit_costs!$F$71</definedName>
    <definedName name="IBM_NDM_Prod_Maint" localSheetId="8">SW_Unit_costs!$H$71</definedName>
    <definedName name="IBM_pSeries_Memory_per_GB_2014">'CTI Rate Card 2014 (Complete)'!$I$980</definedName>
    <definedName name="IBM_pSeries_Memory_per_GB_gt_16GB_2013">'CTI Rate Card 2013 (Complete)'!$I$343</definedName>
    <definedName name="IBM_pSeries_Memory_per_GB_gt_16GB_2014">'CTI Rate Card 2014 (Complete)'!$I$980</definedName>
    <definedName name="IBM_pSeries_Tier1_2013">'CTI Rate Card 2013 (Complete)'!$I$394</definedName>
    <definedName name="IBM_pSeries_Tier1_2014">'CTI Rate Card 2014 (Complete)'!$I$1029</definedName>
    <definedName name="IBM_pSeries_Tier2_2013">'CTI Rate Card 2013 (Complete)'!$I$397</definedName>
    <definedName name="IBM_pSeries_Tier2_2014">'CTI Rate Card 2014 (Complete)'!$I$1043</definedName>
    <definedName name="IBM_pSeries_Tier3_2013">'CTI Rate Card 2013 (Complete)'!$I$400</definedName>
    <definedName name="IBM_pSeries_Tier3_2014">'CTI Rate Card 2014 (Complete)'!$I$1053</definedName>
    <definedName name="IBM_Tivoli_DS_pSeries_All">SW_Unit_costs!$J$18</definedName>
    <definedName name="IBM_Tivoli_DS_pSeries_All_Maint">SW_Unit_costs!$H$18</definedName>
    <definedName name="IBM_WAS_pSeries_All" localSheetId="8">SW_Unit_costs!$J$19</definedName>
    <definedName name="IBM_WAS_pSeries_All_Lic_Rule">SW_Unit_costs!$F$19</definedName>
    <definedName name="IBM_WAS_pSeries_All_Maint" localSheetId="8">SW_Unit_costs!$H$19</definedName>
    <definedName name="IBM_WAS_x86_All" localSheetId="8">SW_Unit_costs!$J$20</definedName>
    <definedName name="IBM_WAS_x86_All_Lic_Rule">SW_Unit_costs!$F$20</definedName>
    <definedName name="IBM_WAS_x86_All_Maint" localSheetId="8">SW_Unit_costs!$H$20</definedName>
    <definedName name="IBM_WBM_pSeries_All">SW_Unit_costs!$J$21</definedName>
    <definedName name="IBM_WBM_pSeries_All_Maint">SW_Unit_costs!$H$21</definedName>
    <definedName name="IBM_WMQ_x86_All" localSheetId="8">SW_Unit_costs!$J$22</definedName>
    <definedName name="IBM_WMQ_x86_All_Lic_Rule">SW_Unit_costs!$F$22</definedName>
    <definedName name="IBM_WMQ_x86_All_Maint" localSheetId="8">SW_Unit_costs!$H$22</definedName>
    <definedName name="IBM_WPS_pSeries_NonProd" localSheetId="8">SW_Unit_costs!$J$24</definedName>
    <definedName name="IBM_WPS_pSeries_NonProd_Lic_Rule">SW_Unit_costs!$F$24</definedName>
    <definedName name="IBM_WPS_pSeries_NonProd_Maint" localSheetId="8">SW_Unit_costs!$H$24</definedName>
    <definedName name="IBM_WPS_pSeries_Prod" localSheetId="8">SW_Unit_costs!$J$23</definedName>
    <definedName name="IBM_WPS_pSeries_Prod_Lic_Rule">SW_Unit_costs!$F$23</definedName>
    <definedName name="IBM_WPS_pSeries_Prod_Maint" localSheetId="8">SW_Unit_costs!$H$23</definedName>
    <definedName name="IBM_WPS_x86_All" localSheetId="8">SW_Unit_costs!$J$25</definedName>
    <definedName name="IBM_WPS_x86_All_Lic_Rule">SW_Unit_costs!$F$25</definedName>
    <definedName name="IBM_WPS_x86_All_Maint" localSheetId="8">SW_Unit_costs!$H$25</definedName>
    <definedName name="IBM_WS_Proc_Srvr_pSeries_All">SW_Unit_costs!$J$26</definedName>
    <definedName name="IBM_WS_Proc_Srvr_pSeries_All_Maint">SW_Unit_costs!$H$26</definedName>
    <definedName name="IBM_WS_VE_Cntrlr_pSeries_All">SW_Unit_costs!$J$27</definedName>
    <definedName name="IBM_WS_VE_Cntrlr_pSeries_All_Maint">SW_Unit_costs!$H$27</definedName>
    <definedName name="IBM_WS_VE_Node_pSeries_All">SW_Unit_costs!$J$28</definedName>
    <definedName name="IBM_WS_VE_Node_pSeries_All_Maint">SW_Unit_costs!$H$28</definedName>
    <definedName name="Import_Date">AppSettings!$B$11</definedName>
    <definedName name="Import_Source">AppSettings!$B$10</definedName>
    <definedName name="Kana_x86_All">SW_Unit_costs!$J$29</definedName>
    <definedName name="Kana_x86_All_Maint">SW_Unit_costs!$H$29</definedName>
    <definedName name="LicenseCntRange">HostBuild[[Ab Initio]:[Veritas Cluster/CFS]]</definedName>
    <definedName name="LUN">References!$Y$2</definedName>
    <definedName name="Maint_Pricing_Schedule">SW_Unit_costs!$AA$3:$AJ$54</definedName>
    <definedName name="mrgHdrSummarySWAfterYr1">'SW Financials Summary'!$V$1</definedName>
    <definedName name="mrgHdrSummarySWYr1">'SW Financials Summary'!$D$1</definedName>
    <definedName name="mrgHdrSWCostByProdAfterYr1">'SW Details'!$CN$1</definedName>
    <definedName name="mrgHdrSWCostByProdYr1">'SW Details'!$BV$1</definedName>
    <definedName name="MS_SQL_EE_Ext_All">SW_Unit_costs!$J$30</definedName>
    <definedName name="MS_SQL_EE_Ext_All_Maint">SW_Unit_costs!$H$30</definedName>
    <definedName name="MS_SQL_EE_Int_All">SW_Unit_costs!$J$31</definedName>
    <definedName name="MS_SQL_EE_Int_All_Maint">SW_Unit_costs!$H$31</definedName>
    <definedName name="MS_SQL_SE_Ext_All">SW_Unit_costs!$J$32</definedName>
    <definedName name="MS_SQL_SE_Ext_All_Maint">SW_Unit_costs!$H$32</definedName>
    <definedName name="MS_SQL_SE_Int_All">SW_Unit_costs!$J$33</definedName>
    <definedName name="MS_SQL_SE_Int_All_Maint">SW_Unit_costs!$H$33</definedName>
    <definedName name="Nastel_x86_All" localSheetId="8">SW_Unit_costs!$J$34</definedName>
    <definedName name="Nastel_x86_All_Maint" localSheetId="8">SW_Unit_costs!$H$34</definedName>
    <definedName name="Network_Market_Data_2013">'CTI Rate Card 2013 (Complete)'!$I$658</definedName>
    <definedName name="Network_Market_Data_2014">'CTI Rate Card 2014 (Complete)'!$I$996</definedName>
    <definedName name="Network_Server_2013">'CTI Rate Card 2013 (Complete)'!$I$660</definedName>
    <definedName name="Network_Server_2014">'CTI Rate Card 2014 (Complete)'!$I$991</definedName>
    <definedName name="Network_STI_2013">'CTI Rate Card 2013 (Complete)'!$I$663</definedName>
    <definedName name="Network_STI_2014">'CTI Rate Card 2014 (Complete)'!$I$992</definedName>
    <definedName name="Oracle_ASO_pSeries_NonProd">SW_Unit_costs!$J$36</definedName>
    <definedName name="Oracle_ASO_pSeries_NonProd_Maint">SW_Unit_costs!$H$36</definedName>
    <definedName name="Oracle_ASO_pSeries_Prod">SW_Unit_costs!$J$35</definedName>
    <definedName name="Oracle_ASO_pSeries_Prod_Maint">SW_Unit_costs!$H$35</definedName>
    <definedName name="Oracle_ASO_x86_NonProd">SW_Unit_costs!$J$38</definedName>
    <definedName name="Oracle_ASO_x86_NonProd_Maint">SW_Unit_costs!$H$38</definedName>
    <definedName name="Oracle_ASO_x86_Prod">SW_Unit_costs!$J$37</definedName>
    <definedName name="Oracle_ASO_x86_Prod_Maint">SW_Unit_costs!$H$37</definedName>
    <definedName name="Oracle_Ext_pSeries_NonProd">SW_Unit_costs!$J$40</definedName>
    <definedName name="Oracle_Ext_pSeries_NonProd_Maint">SW_Unit_costs!$H$40</definedName>
    <definedName name="Oracle_Ext_pSeries_Prod">SW_Unit_costs!$J$39</definedName>
    <definedName name="Oracle_Ext_pSeries_Prod_Maint">SW_Unit_costs!$H$39</definedName>
    <definedName name="Oracle_Ext_x86_NonProd">SW_Unit_costs!$J$42</definedName>
    <definedName name="Oracle_Ext_x86_NonProd_Maint">SW_Unit_costs!$H$42</definedName>
    <definedName name="Oracle_Ext_x86_Prod">SW_Unit_costs!$J$41</definedName>
    <definedName name="Oracle_Ext_x86_Prod_Maint">SW_Unit_costs!$H$41</definedName>
    <definedName name="Oracle_GG_pSeries_NonProd">SW_Unit_costs!$J$44</definedName>
    <definedName name="Oracle_GG_pSeries_NonProd_Maint">SW_Unit_costs!$H$44</definedName>
    <definedName name="Oracle_GG_pSeries_Prod">SW_Unit_costs!$J$43</definedName>
    <definedName name="Oracle_GG_pSeries_Prod_Maint">SW_Unit_costs!$H$43</definedName>
    <definedName name="Oracle_GG_Veridata_pSeries_NonProd">SW_Unit_costs!$J$48</definedName>
    <definedName name="Oracle_GG_Veridata_pSeries_NonProd_Maint">SW_Unit_costs!$H$48</definedName>
    <definedName name="Oracle_GG_Veridata_pSeries_Prod">SW_Unit_costs!$J$47</definedName>
    <definedName name="Oracle_GG_Veridata_pSeries_Prod_Maint">SW_Unit_costs!$H$47</definedName>
    <definedName name="Oracle_GG_Veridata_x86_NonProd">SW_Unit_costs!$J$50</definedName>
    <definedName name="Oracle_GG_Veridata_x86_NonProd_Maint">SW_Unit_costs!$H$50</definedName>
    <definedName name="Oracle_GG_Veridata_x86_Prod">SW_Unit_costs!$J$49</definedName>
    <definedName name="Oracle_GG_Veridata_x86_Prod_Maint">SW_Unit_costs!$H$49</definedName>
    <definedName name="Oracle_GG_x86_NonProd">SW_Unit_costs!$J$46</definedName>
    <definedName name="Oracle_GG_x86_NonProd_Maint">SW_Unit_costs!$H$46</definedName>
    <definedName name="Oracle_GG_x86_Prod">SW_Unit_costs!$J$45</definedName>
    <definedName name="Oracle_GG_x86_Prod_Maint">SW_Unit_costs!$H$45</definedName>
    <definedName name="Oracle_Partitioning_pSeries_NonProd">SW_Unit_costs!$J$52</definedName>
    <definedName name="Oracle_Partitioning_pSeries_NonProd_Maint">SW_Unit_costs!$H$52</definedName>
    <definedName name="Oracle_Partitioning_pSeries_Prod">SW_Unit_costs!$J$51</definedName>
    <definedName name="Oracle_Partitioning_pSeries_Prod_Maint">SW_Unit_costs!$H$51</definedName>
    <definedName name="Oracle_Partitioning_x86_NonProd">SW_Unit_costs!$J$54</definedName>
    <definedName name="Oracle_Partitioning_x86_NonProd_Maint">SW_Unit_costs!$H$54</definedName>
    <definedName name="Oracle_Partitioning_x86_Prod">SW_Unit_costs!$J$53</definedName>
    <definedName name="Oracle_Partitioning_x86_Prod_Maint">SW_Unit_costs!$H$53</definedName>
    <definedName name="Oracle_RAC_pSeries_NonProd">SW_Unit_costs!$J$56</definedName>
    <definedName name="Oracle_RAC_pSeries_NonProd_Maint">SW_Unit_costs!$H$56</definedName>
    <definedName name="Oracle_RAC_pSeries_Prod">SW_Unit_costs!$J$55</definedName>
    <definedName name="Oracle_RAC_pSeries_Prod_Maint">SW_Unit_costs!$H$55</definedName>
    <definedName name="Oracle_RAC_x86_NonProd">SW_Unit_costs!$J$58</definedName>
    <definedName name="Oracle_RAC_x86_NonProd_Maint">SW_Unit_costs!$H$58</definedName>
    <definedName name="Oracle_RAC_x86_Prod">SW_Unit_costs!$J$57</definedName>
    <definedName name="Oracle_RAC_x86_Prod_Maint">SW_Unit_costs!$H$57</definedName>
    <definedName name="Oracle_Spatial_pSeries_NonProd">SW_Unit_costs!$J$60</definedName>
    <definedName name="Oracle_Spatial_pSeries_NonProd_Maint">SW_Unit_costs!$H$60</definedName>
    <definedName name="Oracle_Spatial_pSeries_Prod">SW_Unit_costs!$J$59</definedName>
    <definedName name="Oracle_Spatial_pSeries_Prod_Maint">SW_Unit_costs!$H$59</definedName>
    <definedName name="Oracle_Spatial_x86_NonProd">SW_Unit_costs!$J$62</definedName>
    <definedName name="Oracle_Spatial_x86_NonProd_Maint">SW_Unit_costs!$H$62</definedName>
    <definedName name="Oracle_Spatial_x86_Prod">SW_Unit_costs!$J$61</definedName>
    <definedName name="Oracle_Spatial_x86_Prod_Maint">SW_Unit_costs!$H$61</definedName>
    <definedName name="Oracle_StandAlone_All">SW_Unit_costs!$J$63</definedName>
    <definedName name="Oracle_StandAlone_All_Maint">SW_Unit_costs!$H$63</definedName>
    <definedName name="Oracle_WebLogic_pSeries_NonProd">SW_Unit_costs!$J$65</definedName>
    <definedName name="Oracle_WebLogic_pSeries_NonProd_Maint">SW_Unit_costs!$H$65</definedName>
    <definedName name="Oracle_WebLogic_pSeries_Prod">SW_Unit_costs!$J$64</definedName>
    <definedName name="Oracle_WebLogic_pSeries_Prod_Maint">SW_Unit_costs!$H$64</definedName>
    <definedName name="Oracle_WebLogic_x86_NonProd">SW_Unit_costs!$J$67</definedName>
    <definedName name="Oracle_WebLogic_x86_NonProd_Maint">SW_Unit_costs!$H$67</definedName>
    <definedName name="Oracle_WebLogic_x86_Prod">SW_Unit_costs!$J$66</definedName>
    <definedName name="Oracle_WebLogic_x86_Prod_Maint">SW_Unit_costs!$H$66</definedName>
    <definedName name="PB_Spectrum_All">SW_Unit_costs!$J$68</definedName>
    <definedName name="PB_Spectrum_All_Maint">SW_Unit_costs!$H$68</definedName>
    <definedName name="_xlnm.Print_Titles" localSheetId="10">'CTI Rate Card 2014 (Complete)'!$4:$4</definedName>
    <definedName name="Product_Pricing_Schedule">SW_Unit_costs!$O$3:$X$54</definedName>
    <definedName name="Products">SW_Unit_costs!$L$3:$L$54</definedName>
    <definedName name="pSeriesRange01">HostBuild[[Min Virtual Processors]:[Weight
(0-256)]]</definedName>
    <definedName name="Safenet_PSE_PL600">'Other Products'!$G$5</definedName>
    <definedName name="Safenet_PSE_PL600_Maint">'Other Products'!$G$6</definedName>
    <definedName name="SAP_x86_All">SW_Unit_costs!$J$69</definedName>
    <definedName name="SAP_x86_All_Maint">SW_Unit_costs!$H$69</definedName>
    <definedName name="SAP_x86_NonProd">SW_Unit_costs!$J$70</definedName>
    <definedName name="SAP_x86_NonProd_Maint">SW_Unit_costs!$H$70</definedName>
    <definedName name="SAP_x86_Prod">SW_Unit_costs!$J$69</definedName>
    <definedName name="SAP_x86_Prod_Maint">SW_Unit_costs!$H$69</definedName>
    <definedName name="Storage_DC_Dist_Tape_2013">'CTI Rate Card 2013 (Complete)'!$I$763</definedName>
    <definedName name="Storage_DC_Dist_Tape_2014">'CTI Rate Card 2014 (Complete)'!$I$1108</definedName>
    <definedName name="Storage_DC_MF_2013">'CTI Rate Card 2013 (Complete)'!$I$707</definedName>
    <definedName name="Storage_DC_MF_Tape_2013">'CTI Rate Card 2013 (Complete)'!$I$766</definedName>
    <definedName name="Storage_DC_NAS_2013">'CTI Rate Card 2013 (Complete)'!$I$723</definedName>
    <definedName name="Storage_DC_NAS_2014">'CTI Rate Card 2014 (Complete)'!$I$941</definedName>
    <definedName name="Storage_DC_NAS_Archival_2013">'CTI Rate Card 2013 (Complete)'!$I$746</definedName>
    <definedName name="Storage_DC_SAN_2013">'CTI Rate Card 2013 (Complete)'!$I$711</definedName>
    <definedName name="Storage_DC_SAN_2014">'CTI Rate Card 2014 (Complete)'!$I$910</definedName>
    <definedName name="Storage_DC_SAN_Archival_2013">'CTI Rate Card 2013 (Complete)'!$I$747</definedName>
    <definedName name="Storage_Net_HW_Replication_2013">'CTI Rate Card 2013 (Complete)'!$I$754</definedName>
    <definedName name="Storage_Net_HW_Replication_2014">'CTI Rate Card 2014 (Complete)'!$I$747</definedName>
    <definedName name="Sun_ESeries_Low_Mem_GT_8_2013">'CTI Rate Card 2013 (Complete)'!$I$347</definedName>
    <definedName name="Sun_ESeries_Low_Mem_GT_8_2014">'CTI Rate Card 2014 (Complete)'!$I$990</definedName>
    <definedName name="Sun_Solaris_Tier1_2013">'CTI Rate Card 2013 (Complete)'!$I$405</definedName>
    <definedName name="Sun_Solaris_Tier1_2014">'CTI Rate Card 2014 (Complete)'!$I$1066</definedName>
    <definedName name="Sun_Solaris_Tier2_2013">'CTI Rate Card 2013 (Complete)'!$I$407</definedName>
    <definedName name="Sun_Solaris_Tier2_2014">'CTI Rate Card 2014 (Complete)'!$I$1079</definedName>
    <definedName name="Sun_Solaris_Tier3_2013">'CTI Rate Card 2013 (Complete)'!$I$409</definedName>
    <definedName name="Sun_Solaris_Tier3_2014">'CTI Rate Card 2014 (Complete)'!$I$1090</definedName>
    <definedName name="Sun_TSeries_High_Mem_GT_8_2013">'CTI Rate Card 2013 (Complete)'!$I$346</definedName>
    <definedName name="Sun_TSeries_High_Mem_GT_8_2014">'CTI Rate Card 2014 (Complete)'!$I$979</definedName>
    <definedName name="Support_Direct_Server_Solaris_per_OS_2013">'CTI Rate Card 2013 (Complete)'!$I$493</definedName>
    <definedName name="Support_Direct_Server_Solaris_per_OS_2014">'CTI Rate Card 2014 (Complete)'!$I$871</definedName>
    <definedName name="Support_Direct_Server_Sun_per_OS_2013">'CTI Rate Card 2013 (Complete)'!$I$478</definedName>
    <definedName name="Support_Direct_Server_Sun_per_OS_2014">'CTI Rate Card 2014 (Complete)'!$I$878</definedName>
    <definedName name="Support_Direct_Server_x86_Wintel_per_OS_2013">'CTI Rate Card 2013 (Complete)'!$I$480</definedName>
    <definedName name="Support_Direct_Server_x86_Wintel_per_OS_2014">'CTI Rate Card 2014 (Complete)'!$I$874</definedName>
    <definedName name="Support_Direct_VM_per_VM_2013">'CTI Rate Card 2013 (Complete)'!$I$496</definedName>
    <definedName name="Support_Direct_VM_per_VM_2014">'CTI Rate Card 2014 (Complete)'!$I$5</definedName>
    <definedName name="Support_VMware_per_CPU_2013">'CTI Rate Card 2013 (Complete)'!$I$498</definedName>
    <definedName name="Support_VMware_per_CPU_2014">'CTI Rate Card 2014 (Complete)'!$I$6</definedName>
    <definedName name="TIBCO_Adapter_SDK_Dev">SW_Unit_costs!$J$75</definedName>
    <definedName name="TIBCO_Adapter_SDK_Dev_Maint">SW_Unit_costs!$H$75</definedName>
    <definedName name="TIBCO_Adapter_SDK_Prod">SW_Unit_costs!$J$73</definedName>
    <definedName name="TIBCO_Adapter_SDK_Prod_Maint">SW_Unit_costs!$H$73</definedName>
    <definedName name="TIBCO_Adapter_SDK_StressUAT">SW_Unit_costs!$J$74</definedName>
    <definedName name="TIBCO_Adapter_SDK_StressUAT_Maint">SW_Unit_costs!$H$74</definedName>
    <definedName name="TIBCO_AMPolMgr_Dev" localSheetId="8">SW_Unit_costs!$J$78</definedName>
    <definedName name="TIBCO_AMPolMgr_Dev_Maint" localSheetId="8">SW_Unit_costs!$H$78</definedName>
    <definedName name="TIBCO_AMPolMgr_Prod" localSheetId="8">SW_Unit_costs!$J$76</definedName>
    <definedName name="TIBCO_AMPolMgr_Prod_Maint" localSheetId="8">SW_Unit_costs!$H$76</definedName>
    <definedName name="TIBCO_AMPolMgr_StressUAT" localSheetId="8">SW_Unit_costs!$J$77</definedName>
    <definedName name="TIBCO_AMPolMgr_StressUAT_Maint" localSheetId="8">SW_Unit_costs!$H$77</definedName>
    <definedName name="TIBCO_AMSvc_Dev" localSheetId="8">SW_Unit_costs!$J$81</definedName>
    <definedName name="TIBCO_AMSvc_Dev_Maint" localSheetId="8">SW_Unit_costs!$H$81</definedName>
    <definedName name="TIBCO_AMSvc_Prod" localSheetId="8">SW_Unit_costs!$J$79</definedName>
    <definedName name="TIBCO_AMSvc_Prod_Maint" localSheetId="8">SW_Unit_costs!$H$79</definedName>
    <definedName name="TIBCO_AMSvc_StressUAT" localSheetId="8">SW_Unit_costs!$J$80</definedName>
    <definedName name="TIBCO_AMSvc_StressUAT_Maint" localSheetId="8">SW_Unit_costs!$H$80</definedName>
    <definedName name="TIBCO_AMX_BPM_Dev" localSheetId="8">SW_Unit_costs!$J$84</definedName>
    <definedName name="TIBCO_AMX_BPM_Dev_Maint" localSheetId="8">SW_Unit_costs!$H$84</definedName>
    <definedName name="TIBCO_AMX_BPM_Prod" localSheetId="8">SW_Unit_costs!$J$82</definedName>
    <definedName name="TIBCO_AMX_BPM_Prod_Maint" localSheetId="8">SW_Unit_costs!$H$82</definedName>
    <definedName name="TIBCO_AMX_BPM_StressUAT" localSheetId="8">SW_Unit_costs!$J$83</definedName>
    <definedName name="TIBCO_AMX_BPM_StressUAT_Maint" localSheetId="8">SW_Unit_costs!$H$83</definedName>
    <definedName name="TIBCO_BizEvt_Dev" localSheetId="8">SW_Unit_costs!$J$87</definedName>
    <definedName name="TIBCO_BizEvt_Dev_Maint" localSheetId="8">SW_Unit_costs!$H$87</definedName>
    <definedName name="TIBCO_BizEvt_Prod" localSheetId="8">SW_Unit_costs!$J$85</definedName>
    <definedName name="TIBCO_BizEvt_Prod_Maint" localSheetId="8">SW_Unit_costs!$H$85</definedName>
    <definedName name="TIBCO_BizEvt_StressUAT" localSheetId="8">SW_Unit_costs!$J$86</definedName>
    <definedName name="TIBCO_BizEvt_StressUAT_Maint" localSheetId="8">SW_Unit_costs!$H$86</definedName>
    <definedName name="TIBCO_BW_Bundle_Dev" localSheetId="8">SW_Unit_costs!$J$90</definedName>
    <definedName name="TIBCO_BW_Bundle_Dev_Maint" localSheetId="8">SW_Unit_costs!$H$90</definedName>
    <definedName name="TIBCO_BW_Bundle_Prod" localSheetId="8">SW_Unit_costs!$J$88</definedName>
    <definedName name="TIBCO_BW_Bundle_Prod_Maint" localSheetId="8">SW_Unit_costs!$H$88</definedName>
    <definedName name="TIBCO_BW_Bundle_StressUAT" localSheetId="8">SW_Unit_costs!$J$89</definedName>
    <definedName name="TIBCO_BW_Bundle_StressUAT_Maint" localSheetId="8">SW_Unit_costs!$H$89</definedName>
    <definedName name="TIBCO_BW_SA_Dev" localSheetId="8">SW_Unit_costs!$J$93</definedName>
    <definedName name="TIBCO_BW_SA_Dev_Maint" localSheetId="8">SW_Unit_costs!$H$93</definedName>
    <definedName name="TIBCO_BW_SA_Prod" localSheetId="8">SW_Unit_costs!$J$91</definedName>
    <definedName name="TIBCO_BW_SA_Prod_Maint" localSheetId="8">SW_Unit_costs!$H$91</definedName>
    <definedName name="TIBCO_BW_SA_StressUAT" localSheetId="8">SW_Unit_costs!$J$92</definedName>
    <definedName name="TIBCO_BW_SA_StressUAT_Maint" localSheetId="8">SW_Unit_costs!$H$92</definedName>
    <definedName name="TIBCO_EMS_Dev" localSheetId="8">SW_Unit_costs!$J$96</definedName>
    <definedName name="TIBCO_EMS_Dev_Maint" localSheetId="8">SW_Unit_costs!$H$96</definedName>
    <definedName name="TIBCO_EMS_Prod" localSheetId="8">SW_Unit_costs!$J$94</definedName>
    <definedName name="TIBCO_EMS_Prod_Maint" localSheetId="8">SW_Unit_costs!$H$94</definedName>
    <definedName name="TIBCO_EMS_StressUAT" localSheetId="8">SW_Unit_costs!$J$95</definedName>
    <definedName name="TIBCO_EMS_StressUAT_Maint" localSheetId="8">SW_Unit_costs!$H$95</definedName>
    <definedName name="TIBCO_Hawk_Dev" localSheetId="8">SW_Unit_costs!$J$99</definedName>
    <definedName name="TIBCO_Hawk_Dev_Maint" localSheetId="8">SW_Unit_costs!$H$99</definedName>
    <definedName name="TIBCO_Hawk_Prod" localSheetId="8">SW_Unit_costs!$J$97</definedName>
    <definedName name="TIBCO_Hawk_Prod_Maint" localSheetId="8">SW_Unit_costs!$H$97</definedName>
    <definedName name="TIBCO_Hawk_StressUAT" localSheetId="8">SW_Unit_costs!$J$98</definedName>
    <definedName name="TIBCO_Hawk_StressUAT_Maint" localSheetId="8">SW_Unit_costs!$H$98</definedName>
    <definedName name="TIBCO_iProc_Dev" localSheetId="8">SW_Unit_costs!$J$102</definedName>
    <definedName name="TIBCO_iProc_Dev_Maint" localSheetId="8">SW_Unit_costs!$H$102</definedName>
    <definedName name="TIBCO_iProc_Prod" localSheetId="8">SW_Unit_costs!$J$100</definedName>
    <definedName name="TIBCO_iProc_Prod_Maint" localSheetId="8">SW_Unit_costs!$H$100</definedName>
    <definedName name="TIBCO_iProc_StressUAT" localSheetId="8">SW_Unit_costs!$J$101</definedName>
    <definedName name="TIBCO_iProc_StressUAT_Maint" localSheetId="8">SW_Unit_costs!$H$101</definedName>
    <definedName name="TIBCO_PerfMgr_Dev" localSheetId="8">SW_Unit_costs!$J$105</definedName>
    <definedName name="TIBCO_PerfMgr_Dev_Maint" localSheetId="8">SW_Unit_costs!$H$105</definedName>
    <definedName name="TIBCO_PerfMgr_Prod" localSheetId="8">SW_Unit_costs!$J$103</definedName>
    <definedName name="TIBCO_PerfMgr_Prod_Maint" localSheetId="8">SW_Unit_costs!$H$103</definedName>
    <definedName name="TIBCO_PerfMgr_StressUAT" localSheetId="8">SW_Unit_costs!$J$104</definedName>
    <definedName name="TIBCO_PerfMgr_StressUAT_Maint" localSheetId="8">SW_Unit_costs!$H$104</definedName>
    <definedName name="TIBCO_PolAgt_Dev" localSheetId="8">SW_Unit_costs!$J$108</definedName>
    <definedName name="TIBCO_PolAgt_Dev_Maint" localSheetId="8">SW_Unit_costs!$H$108</definedName>
    <definedName name="TIBCO_PolAgt_Prod" localSheetId="8">SW_Unit_costs!$J$106</definedName>
    <definedName name="TIBCO_PolAgt_Prod_Maint" localSheetId="8">SW_Unit_costs!$H$106</definedName>
    <definedName name="TIBCO_PolAgt_StressUAT" localSheetId="8">SW_Unit_costs!$J$107</definedName>
    <definedName name="TIBCO_PolAgt_StressUAT_Maint" localSheetId="8">SW_Unit_costs!$H$107</definedName>
    <definedName name="TIBCO_RTView_Dev" localSheetId="8">SW_Unit_costs!$J$111</definedName>
    <definedName name="TIBCO_RTView_Dev_Maint" localSheetId="8">SW_Unit_costs!$H$111</definedName>
    <definedName name="TIBCO_RTView_Prod" localSheetId="8">SW_Unit_costs!$J$109</definedName>
    <definedName name="TIBCO_RTView_Prod_Maint" localSheetId="8">SW_Unit_costs!$H$109</definedName>
    <definedName name="TIBCO_RTView_StressUAT" localSheetId="8">SW_Unit_costs!$J$110</definedName>
    <definedName name="TIBCO_RTView_StressUAT_Maint" localSheetId="8">SW_Unit_costs!$H$110</definedName>
    <definedName name="TIBCO_RTViewBWMon_Dev" localSheetId="8">SW_Unit_costs!$J$114</definedName>
    <definedName name="TIBCO_RTViewBWMon_Dev_Maint" localSheetId="8">SW_Unit_costs!$H$114</definedName>
    <definedName name="TIBCO_RTViewBWMon_Prod" localSheetId="8">SW_Unit_costs!$J$112</definedName>
    <definedName name="TIBCO_RTViewBWMon_Prod_Maint" localSheetId="8">SW_Unit_costs!$H$112</definedName>
    <definedName name="TIBCO_RTViewBWMon_StressUAT" localSheetId="8">SW_Unit_costs!$J$113</definedName>
    <definedName name="TIBCO_RTViewBWMon_StressUAT_Maint" localSheetId="8">SW_Unit_costs!$H$113</definedName>
    <definedName name="TIBCO_RTViewDev_Dev" localSheetId="8">SW_Unit_costs!$J$117</definedName>
    <definedName name="TIBCO_RTViewDev_Dev_Maint" localSheetId="8">SW_Unit_costs!$H$117</definedName>
    <definedName name="TIBCO_RTViewDev_Prod" localSheetId="8">SW_Unit_costs!$J$115</definedName>
    <definedName name="TIBCO_RTViewDev_Prod_Maint" localSheetId="8">SW_Unit_costs!$H$115</definedName>
    <definedName name="TIBCO_RTViewDev_StressUAT" localSheetId="8">SW_Unit_costs!$J$116</definedName>
    <definedName name="TIBCO_RTViewDev_StressUAT_Maint" localSheetId="8">SW_Unit_costs!$H$116</definedName>
    <definedName name="TIBCO_SvcBus_Dev" localSheetId="8">SW_Unit_costs!$J$120</definedName>
    <definedName name="TIBCO_SvcBus_Prod" localSheetId="8">SW_Unit_costs!$J$118</definedName>
    <definedName name="TIBCO_SvcBus_Prod_Maint" localSheetId="8">SW_Unit_costs!$H$118</definedName>
    <definedName name="TIBCO_SvcBus_StressUAT" localSheetId="8">SW_Unit_costs!$J$119</definedName>
    <definedName name="TIBCO_SvcBus_StressUAT_Maint" localSheetId="8">SW_Unit_costs!$H$119</definedName>
    <definedName name="ufBoMTools_Left">AppSettings!$B$8</definedName>
    <definedName name="ufBoMTools_Top">AppSettings!$B$7</definedName>
    <definedName name="ufBTMActive">AppSettings!$B$5</definedName>
    <definedName name="Veritas_Cluster_CFS_Prod" localSheetId="8">SW_Unit_costs!$J$121</definedName>
    <definedName name="Veritas_Cluster_CFS_Prod_Maint" localSheetId="8">SW_Unit_costs!$H$121</definedName>
    <definedName name="Veritas_Cluster_CFS_StressUAT" localSheetId="8">SW_Unit_costs!$J$122</definedName>
    <definedName name="Veritas_Cluster_CFS_StressUAT_Maint" localSheetId="8">SW_Unit_costs!$H$122</definedName>
    <definedName name="VM_Guest_Tier_1_2013">'CTI Rate Card 2013 (Complete)'!$I$506</definedName>
    <definedName name="VM_Guest_Tier_1_2014">'CTI Rate Card 2014 (Complete)'!$I$1122</definedName>
    <definedName name="VM_Guest_Tier_2_2013">'CTI Rate Card 2013 (Complete)'!$I$508</definedName>
    <definedName name="VM_Guest_Tier_2_2014">'CTI Rate Card 2014 (Complete)'!$I$1128</definedName>
    <definedName name="VM_Guest_Tier_3_2013">'CTI Rate Card 2013 (Complete)'!$I$510</definedName>
    <definedName name="VM_Guest_Tier_3_2014">'CTI Rate Card 2014 (Complete)'!$I$1137</definedName>
    <definedName name="VM_Guest_Tier_4_2013">'CTI Rate Card 2013 (Complete)'!$I$512</definedName>
    <definedName name="VM_Guest_Tier_4_2014">'CTI Rate Card 2014 (Complete)'!$I$1145</definedName>
    <definedName name="VM_SS_per_vCPU_Daily_2013">'CTI Rate Card 2013 (Complete)'!$I$516</definedName>
    <definedName name="VM_SS_per_vCPU_Daily_2014">'CTI Rate Card 2014 (Complete)'!$I$260</definedName>
    <definedName name="VM_SW_per_CPU_2013">'CTI Rate Card 2013 (Complete)'!$I$519</definedName>
    <definedName name="VM_SW_per_VM_2013">'CTI Rate Card 2013 (Complete)'!$I$514</definedName>
    <definedName name="VMware_Platform">HostBuild[Virtual Platform Storage Type]</definedName>
    <definedName name="VMware_Types">'BoM Standards Rules'!$B$4</definedName>
    <definedName name="vRAM_per_vCPU_2013_Daily">'CTI Rate Card 2013 (Complete)'!$I$504</definedName>
    <definedName name="vRAM_per_vCPU_2013_Monthly">'CTI Rate Card 2013 (Complete)'!$I$503</definedName>
    <definedName name="vRAM_per_vCPU_2014_Daily">'CTI Rate Card 2014 (Complete)'!$I$974</definedName>
    <definedName name="vRAM_per_vCPU_2014_Monthly">'CTI Rate Card 2014 (Complete)'!$I$966</definedName>
    <definedName name="wbName">AppSettings!$B$9</definedName>
    <definedName name="x86_Memory_GT12Win_GT8Unix_2013">'CTI Rate Card 2013 (Complete)'!$I$349</definedName>
    <definedName name="x86_Memory_GT12Win_GT8Unix_2014">'CTI Rate Card 2014 (Complete)'!$I$969</definedName>
    <definedName name="x86_Tier1_2013">'CTI Rate Card 2013 (Complete)'!$I$413</definedName>
    <definedName name="x86_Tier1_2014">'CTI Rate Card 2014 (Complete)'!$I$1153</definedName>
    <definedName name="x86_Tier2_2013">'CTI Rate Card 2013 (Complete)'!$I$417</definedName>
    <definedName name="x86_Tier2_2014">'CTI Rate Card 2014 (Complete)'!$I$1166</definedName>
    <definedName name="x86_Tier3_2013">'CTI Rate Card 2013 (Complete)'!$I$421</definedName>
    <definedName name="x86_Tier3_2014">'CTI Rate Card 2014 (Complete)'!$I$1179</definedName>
  </definedNames>
  <calcPr calcId="145621"/>
  <pivotCaches>
    <pivotCache cacheId="78" r:id="rId20"/>
    <pivotCache cacheId="81" r:id="rId21"/>
  </pivotCaches>
</workbook>
</file>

<file path=xl/calcChain.xml><?xml version="1.0" encoding="utf-8"?>
<calcChain xmlns="http://schemas.openxmlformats.org/spreadsheetml/2006/main">
  <c r="FI38" i="1" l="1"/>
  <c r="FG38" i="1"/>
  <c r="FF38" i="1"/>
  <c r="FD38" i="1"/>
  <c r="EX38" i="1"/>
  <c r="EW38" i="1"/>
  <c r="EV38" i="1"/>
  <c r="EK38" i="1"/>
  <c r="EJ38" i="1"/>
  <c r="EI38" i="1"/>
  <c r="EG38" i="1"/>
  <c r="EF38" i="1"/>
  <c r="EE38" i="1"/>
  <c r="ED38" i="1"/>
  <c r="EC38" i="1"/>
  <c r="EB38" i="1"/>
  <c r="EA38" i="1"/>
  <c r="DZ38" i="1"/>
  <c r="DY38" i="1"/>
  <c r="DX38" i="1"/>
  <c r="DW38" i="1"/>
  <c r="DV38" i="1"/>
  <c r="DU38" i="1"/>
  <c r="DT38" i="1"/>
  <c r="DS38" i="1"/>
  <c r="DR38" i="1"/>
  <c r="DQ38" i="1"/>
  <c r="DP38" i="1"/>
  <c r="DO38" i="1"/>
  <c r="DN38" i="1"/>
  <c r="DM38" i="1"/>
  <c r="DL38" i="1"/>
  <c r="DK38" i="1"/>
  <c r="DJ38" i="1"/>
  <c r="DI38" i="1"/>
  <c r="DH38" i="1"/>
  <c r="DG38" i="1"/>
  <c r="DF38" i="1"/>
  <c r="DE38" i="1"/>
  <c r="DD38" i="1"/>
  <c r="DC38" i="1"/>
  <c r="DB38" i="1"/>
  <c r="DA38" i="1"/>
  <c r="CZ38" i="1"/>
  <c r="CY38" i="1"/>
  <c r="CX38" i="1"/>
  <c r="CW38" i="1"/>
  <c r="CV38" i="1"/>
  <c r="CU38" i="1"/>
  <c r="CT38" i="1"/>
  <c r="CS38" i="1"/>
  <c r="CR38" i="1"/>
  <c r="CQ38" i="1"/>
  <c r="CP38" i="1"/>
  <c r="CO38" i="1"/>
  <c r="CN38" i="1"/>
  <c r="CL38" i="1"/>
  <c r="BS38" i="1"/>
  <c r="BU38" i="1" s="1"/>
  <c r="BK38" i="1"/>
  <c r="BM38" i="1" s="1"/>
  <c r="BO38" i="1" s="1"/>
  <c r="AN38" i="1"/>
  <c r="FB38" i="1" s="1"/>
  <c r="AJ38" i="1"/>
  <c r="Z38" i="1"/>
  <c r="R38" i="1"/>
  <c r="M38" i="1"/>
  <c r="AU38" i="1" l="1"/>
  <c r="EP38" i="1"/>
  <c r="BX38" i="1"/>
  <c r="EZ38" i="1"/>
  <c r="FH38" i="1"/>
  <c r="FI37" i="1"/>
  <c r="FG37" i="1"/>
  <c r="FF37" i="1"/>
  <c r="FD37" i="1"/>
  <c r="EX37" i="1"/>
  <c r="EW37" i="1"/>
  <c r="EV37" i="1"/>
  <c r="EK37" i="1"/>
  <c r="EJ37" i="1"/>
  <c r="EI37" i="1"/>
  <c r="EG37" i="1"/>
  <c r="EF37" i="1"/>
  <c r="EE37" i="1"/>
  <c r="ED37" i="1"/>
  <c r="EC37" i="1"/>
  <c r="EB37" i="1"/>
  <c r="EA37" i="1"/>
  <c r="DZ37" i="1"/>
  <c r="DY37" i="1"/>
  <c r="DX37" i="1"/>
  <c r="DW37" i="1"/>
  <c r="DV37" i="1"/>
  <c r="DU37" i="1"/>
  <c r="DT37" i="1"/>
  <c r="DS37" i="1"/>
  <c r="DR37" i="1"/>
  <c r="DQ37" i="1"/>
  <c r="DP37" i="1"/>
  <c r="DO37" i="1"/>
  <c r="DN37" i="1"/>
  <c r="DM37" i="1"/>
  <c r="DL37" i="1"/>
  <c r="DK37" i="1"/>
  <c r="DJ37" i="1"/>
  <c r="DI37" i="1"/>
  <c r="DH37" i="1"/>
  <c r="DG37" i="1"/>
  <c r="DF37" i="1"/>
  <c r="DE37" i="1"/>
  <c r="DD37" i="1"/>
  <c r="DC37" i="1"/>
  <c r="DB37" i="1"/>
  <c r="DA37" i="1"/>
  <c r="CZ37" i="1"/>
  <c r="CY37" i="1"/>
  <c r="CX37" i="1"/>
  <c r="CW37" i="1"/>
  <c r="CV37" i="1"/>
  <c r="CU37" i="1"/>
  <c r="CT37" i="1"/>
  <c r="CS37" i="1"/>
  <c r="CR37" i="1"/>
  <c r="CQ37" i="1"/>
  <c r="CP37" i="1"/>
  <c r="CO37" i="1"/>
  <c r="CN37" i="1"/>
  <c r="CL37" i="1"/>
  <c r="BS37" i="1"/>
  <c r="BU37" i="1" s="1"/>
  <c r="BK37" i="1"/>
  <c r="BM37" i="1" s="1"/>
  <c r="BO37" i="1" s="1"/>
  <c r="AN37" i="1"/>
  <c r="AU37" i="1" s="1"/>
  <c r="AJ37" i="1"/>
  <c r="Z37" i="1"/>
  <c r="R37" i="1"/>
  <c r="M37" i="1"/>
  <c r="FB37" i="1" l="1"/>
  <c r="FH37" i="1"/>
  <c r="EZ37" i="1"/>
  <c r="EP37" i="1"/>
  <c r="BX37" i="1"/>
  <c r="BY38" i="1"/>
  <c r="EQ38" i="1" s="1"/>
  <c r="AJ46" i="1"/>
  <c r="AJ45" i="1"/>
  <c r="AJ44" i="1"/>
  <c r="AJ43" i="1"/>
  <c r="AJ42" i="1"/>
  <c r="AJ41" i="1"/>
  <c r="AJ40" i="1"/>
  <c r="AN87" i="1"/>
  <c r="AN86" i="1"/>
  <c r="AN89" i="1"/>
  <c r="AN88" i="1"/>
  <c r="FI93" i="1"/>
  <c r="FG93" i="1"/>
  <c r="FD93" i="1"/>
  <c r="EX93" i="1"/>
  <c r="EW93" i="1"/>
  <c r="EV93" i="1"/>
  <c r="EK93" i="1"/>
  <c r="EJ93" i="1"/>
  <c r="EI93" i="1"/>
  <c r="EH93" i="1"/>
  <c r="EG93" i="1"/>
  <c r="EF93" i="1"/>
  <c r="EE93" i="1"/>
  <c r="ED93" i="1"/>
  <c r="EC93" i="1"/>
  <c r="EB93" i="1"/>
  <c r="EA93" i="1"/>
  <c r="DZ93" i="1"/>
  <c r="DY93" i="1"/>
  <c r="DX93" i="1"/>
  <c r="DW93" i="1"/>
  <c r="DV93" i="1"/>
  <c r="DT93" i="1"/>
  <c r="DS93" i="1"/>
  <c r="DR93" i="1"/>
  <c r="DQ93" i="1"/>
  <c r="DP93" i="1"/>
  <c r="DO93" i="1"/>
  <c r="DN93" i="1"/>
  <c r="DM93" i="1"/>
  <c r="DL93" i="1"/>
  <c r="DK93" i="1"/>
  <c r="DJ93" i="1"/>
  <c r="DI93" i="1"/>
  <c r="DH93" i="1"/>
  <c r="DG93" i="1"/>
  <c r="DF93" i="1"/>
  <c r="DE93" i="1"/>
  <c r="DD93" i="1"/>
  <c r="DC93" i="1"/>
  <c r="DB93" i="1"/>
  <c r="DA93" i="1"/>
  <c r="CZ93" i="1"/>
  <c r="CY93" i="1"/>
  <c r="CX93" i="1"/>
  <c r="CW93" i="1"/>
  <c r="CV93" i="1"/>
  <c r="CU93" i="1"/>
  <c r="CT93" i="1"/>
  <c r="CS93" i="1"/>
  <c r="CR93" i="1"/>
  <c r="CQ93" i="1"/>
  <c r="CP93" i="1"/>
  <c r="CO93" i="1"/>
  <c r="CN93" i="1"/>
  <c r="CM93" i="1"/>
  <c r="CL93" i="1"/>
  <c r="BS93" i="1"/>
  <c r="BU93" i="1" s="1"/>
  <c r="AN93" i="1"/>
  <c r="FB93" i="1" s="1"/>
  <c r="AJ93" i="1"/>
  <c r="Z93" i="1"/>
  <c r="R93" i="1"/>
  <c r="M93" i="1"/>
  <c r="BY37" i="1" l="1"/>
  <c r="EQ37" i="1" s="1"/>
  <c r="EZ93" i="1"/>
  <c r="FH93" i="1"/>
  <c r="BK93" i="1"/>
  <c r="BM93" i="1" s="1"/>
  <c r="BO93" i="1" s="1"/>
  <c r="FI92" i="1"/>
  <c r="FG92" i="1"/>
  <c r="FD92" i="1"/>
  <c r="EX92" i="1"/>
  <c r="EW92" i="1"/>
  <c r="EV92" i="1"/>
  <c r="EK92" i="1"/>
  <c r="EJ92" i="1"/>
  <c r="EI92" i="1"/>
  <c r="EH92" i="1"/>
  <c r="EG92" i="1"/>
  <c r="EF92" i="1"/>
  <c r="EE92" i="1"/>
  <c r="ED92" i="1"/>
  <c r="EC92" i="1"/>
  <c r="EB92" i="1"/>
  <c r="EA92" i="1"/>
  <c r="DZ92" i="1"/>
  <c r="DY92" i="1"/>
  <c r="DX92" i="1"/>
  <c r="DW92" i="1"/>
  <c r="DV92" i="1"/>
  <c r="DT92" i="1"/>
  <c r="DS92" i="1"/>
  <c r="DR92" i="1"/>
  <c r="DQ92" i="1"/>
  <c r="DP92" i="1"/>
  <c r="DO92" i="1"/>
  <c r="DN92" i="1"/>
  <c r="DM92" i="1"/>
  <c r="DL92" i="1"/>
  <c r="DK92" i="1"/>
  <c r="DJ92" i="1"/>
  <c r="DI92" i="1"/>
  <c r="DH92" i="1"/>
  <c r="DG92" i="1"/>
  <c r="DF92" i="1"/>
  <c r="DE92" i="1"/>
  <c r="DD92" i="1"/>
  <c r="DC92" i="1"/>
  <c r="DB92" i="1"/>
  <c r="DA92" i="1"/>
  <c r="CZ92" i="1"/>
  <c r="CY92" i="1"/>
  <c r="CX92" i="1"/>
  <c r="CW92" i="1"/>
  <c r="CV92" i="1"/>
  <c r="CU92" i="1"/>
  <c r="CT92" i="1"/>
  <c r="CS92" i="1"/>
  <c r="CR92" i="1"/>
  <c r="CQ92" i="1"/>
  <c r="CP92" i="1"/>
  <c r="CO92" i="1"/>
  <c r="CN92" i="1"/>
  <c r="CM92" i="1"/>
  <c r="CL92" i="1"/>
  <c r="BS92" i="1"/>
  <c r="BU92" i="1" s="1"/>
  <c r="AN92" i="1"/>
  <c r="FB92" i="1" s="1"/>
  <c r="AJ92" i="1"/>
  <c r="Z92" i="1"/>
  <c r="R92" i="1"/>
  <c r="M92" i="1"/>
  <c r="EZ92" i="1" l="1"/>
  <c r="FH92" i="1"/>
  <c r="EP93" i="1"/>
  <c r="BX93" i="1"/>
  <c r="FF92" i="1"/>
  <c r="BK92" i="1"/>
  <c r="BM92" i="1" s="1"/>
  <c r="BO92" i="1" s="1"/>
  <c r="Z87" i="1"/>
  <c r="Z86" i="1"/>
  <c r="BY93" i="1" l="1"/>
  <c r="EQ93" i="1" s="1"/>
  <c r="EP92" i="1"/>
  <c r="BX92" i="1"/>
  <c r="FI90" i="1"/>
  <c r="FD90" i="1"/>
  <c r="EX90" i="1"/>
  <c r="EW90" i="1"/>
  <c r="EV90" i="1"/>
  <c r="EK90" i="1"/>
  <c r="EJ90" i="1"/>
  <c r="EI90" i="1"/>
  <c r="EG90" i="1"/>
  <c r="EF90" i="1"/>
  <c r="EE90" i="1"/>
  <c r="ED90" i="1"/>
  <c r="EC90" i="1"/>
  <c r="EB90" i="1"/>
  <c r="EA90" i="1"/>
  <c r="DZ90" i="1"/>
  <c r="DY90" i="1"/>
  <c r="DX90" i="1"/>
  <c r="DW90" i="1"/>
  <c r="DV90" i="1"/>
  <c r="DU90" i="1"/>
  <c r="DT90" i="1"/>
  <c r="DS90" i="1"/>
  <c r="DR90" i="1"/>
  <c r="DQ90" i="1"/>
  <c r="DP90" i="1"/>
  <c r="DO90" i="1"/>
  <c r="DN90" i="1"/>
  <c r="DM90" i="1"/>
  <c r="DL90" i="1"/>
  <c r="DK90" i="1"/>
  <c r="DJ90" i="1"/>
  <c r="DI90" i="1"/>
  <c r="DH90" i="1"/>
  <c r="DG90" i="1"/>
  <c r="DF90" i="1"/>
  <c r="DE90" i="1"/>
  <c r="DD90" i="1"/>
  <c r="DC90" i="1"/>
  <c r="DB90" i="1"/>
  <c r="DA90" i="1"/>
  <c r="CZ90" i="1"/>
  <c r="CY90" i="1"/>
  <c r="CX90" i="1"/>
  <c r="CW90" i="1"/>
  <c r="CV90" i="1"/>
  <c r="CU90" i="1"/>
  <c r="CT90" i="1"/>
  <c r="CS90" i="1"/>
  <c r="CR90" i="1"/>
  <c r="CQ90" i="1"/>
  <c r="CP90" i="1"/>
  <c r="CO90" i="1"/>
  <c r="CN90" i="1"/>
  <c r="CL90" i="1"/>
  <c r="BS90" i="1"/>
  <c r="BU90" i="1" s="1"/>
  <c r="BK90" i="1"/>
  <c r="BM90" i="1" s="1"/>
  <c r="BO90" i="1" s="1"/>
  <c r="AN90" i="1"/>
  <c r="FB90" i="1" s="1"/>
  <c r="AJ90" i="1"/>
  <c r="Z90" i="1"/>
  <c r="R90" i="1"/>
  <c r="M90" i="1"/>
  <c r="BY92" i="1" l="1"/>
  <c r="EQ92" i="1" s="1"/>
  <c r="EP90" i="1"/>
  <c r="BX90" i="1"/>
  <c r="EZ90" i="1"/>
  <c r="FH90" i="1"/>
  <c r="FI89" i="1"/>
  <c r="FF89" i="1"/>
  <c r="FD89" i="1"/>
  <c r="EX89" i="1"/>
  <c r="EW89" i="1"/>
  <c r="EV89" i="1"/>
  <c r="EK89" i="1"/>
  <c r="EJ89" i="1"/>
  <c r="EI89" i="1"/>
  <c r="EG89" i="1"/>
  <c r="EF89" i="1"/>
  <c r="EE89" i="1"/>
  <c r="ED89" i="1"/>
  <c r="EC89" i="1"/>
  <c r="EB89" i="1"/>
  <c r="EA89" i="1"/>
  <c r="DZ89" i="1"/>
  <c r="DY89" i="1"/>
  <c r="DX89" i="1"/>
  <c r="DW89" i="1"/>
  <c r="DV89" i="1"/>
  <c r="DU89" i="1"/>
  <c r="DT89" i="1"/>
  <c r="DS89" i="1"/>
  <c r="DR89" i="1"/>
  <c r="DQ89" i="1"/>
  <c r="DP89" i="1"/>
  <c r="DO89" i="1"/>
  <c r="DN89" i="1"/>
  <c r="DM89" i="1"/>
  <c r="DL89" i="1"/>
  <c r="DK89" i="1"/>
  <c r="DJ89" i="1"/>
  <c r="DI89" i="1"/>
  <c r="DH89" i="1"/>
  <c r="DG89" i="1"/>
  <c r="DF89" i="1"/>
  <c r="DE89" i="1"/>
  <c r="DD89" i="1"/>
  <c r="DC89" i="1"/>
  <c r="DB89" i="1"/>
  <c r="DA89" i="1"/>
  <c r="CZ89" i="1"/>
  <c r="CY89" i="1"/>
  <c r="CX89" i="1"/>
  <c r="CW89" i="1"/>
  <c r="CV89" i="1"/>
  <c r="CU89" i="1"/>
  <c r="CT89" i="1"/>
  <c r="CS89" i="1"/>
  <c r="CR89" i="1"/>
  <c r="CQ89" i="1"/>
  <c r="CP89" i="1"/>
  <c r="CO89" i="1"/>
  <c r="CN89" i="1"/>
  <c r="CL89" i="1"/>
  <c r="BS89" i="1"/>
  <c r="BU89" i="1" s="1"/>
  <c r="BK89" i="1"/>
  <c r="BM89" i="1" s="1"/>
  <c r="BO89" i="1" s="1"/>
  <c r="FB89" i="1"/>
  <c r="AJ89" i="1"/>
  <c r="Z89" i="1"/>
  <c r="R89" i="1"/>
  <c r="M89" i="1"/>
  <c r="AU89" i="1" l="1"/>
  <c r="EP89" i="1"/>
  <c r="BX89" i="1"/>
  <c r="BY90" i="1"/>
  <c r="EQ90" i="1" s="1"/>
  <c r="EZ89" i="1"/>
  <c r="FH89" i="1"/>
  <c r="FI88" i="1"/>
  <c r="FF88" i="1"/>
  <c r="FD88" i="1"/>
  <c r="EX88" i="1"/>
  <c r="EW88" i="1"/>
  <c r="EV88" i="1"/>
  <c r="EK88" i="1"/>
  <c r="EJ88" i="1"/>
  <c r="EI88" i="1"/>
  <c r="EG88" i="1"/>
  <c r="EF88" i="1"/>
  <c r="EE88" i="1"/>
  <c r="ED88" i="1"/>
  <c r="EC88" i="1"/>
  <c r="EB88" i="1"/>
  <c r="EA88" i="1"/>
  <c r="DZ88" i="1"/>
  <c r="DY88" i="1"/>
  <c r="DX88" i="1"/>
  <c r="DW88" i="1"/>
  <c r="DV88" i="1"/>
  <c r="DU88" i="1"/>
  <c r="DT88" i="1"/>
  <c r="DS88" i="1"/>
  <c r="DR88" i="1"/>
  <c r="DQ88" i="1"/>
  <c r="DP88" i="1"/>
  <c r="DO88" i="1"/>
  <c r="DN88" i="1"/>
  <c r="DM88" i="1"/>
  <c r="DL88" i="1"/>
  <c r="DK88" i="1"/>
  <c r="DJ88" i="1"/>
  <c r="DI88" i="1"/>
  <c r="DH88" i="1"/>
  <c r="DG88" i="1"/>
  <c r="DF88" i="1"/>
  <c r="DE88" i="1"/>
  <c r="DD88" i="1"/>
  <c r="DC88" i="1"/>
  <c r="DB88" i="1"/>
  <c r="DA88" i="1"/>
  <c r="CZ88" i="1"/>
  <c r="CY88" i="1"/>
  <c r="CX88" i="1"/>
  <c r="CW88" i="1"/>
  <c r="CV88" i="1"/>
  <c r="CU88" i="1"/>
  <c r="CT88" i="1"/>
  <c r="CS88" i="1"/>
  <c r="CR88" i="1"/>
  <c r="CQ88" i="1"/>
  <c r="CP88" i="1"/>
  <c r="CO88" i="1"/>
  <c r="CN88" i="1"/>
  <c r="CL88" i="1"/>
  <c r="BS88" i="1"/>
  <c r="BU88" i="1" s="1"/>
  <c r="BK88" i="1"/>
  <c r="BM88" i="1" s="1"/>
  <c r="BO88" i="1" s="1"/>
  <c r="AJ88" i="1"/>
  <c r="Z88" i="1"/>
  <c r="R88" i="1"/>
  <c r="M88" i="1"/>
  <c r="FB88" i="1" l="1"/>
  <c r="BX88" i="1"/>
  <c r="EP88" i="1"/>
  <c r="BY89" i="1"/>
  <c r="EQ89" i="1" s="1"/>
  <c r="AU88" i="1"/>
  <c r="EZ88" i="1"/>
  <c r="FH88" i="1"/>
  <c r="FI87" i="1"/>
  <c r="FD87" i="1"/>
  <c r="EX87" i="1"/>
  <c r="EW87" i="1"/>
  <c r="EV87" i="1"/>
  <c r="EK87" i="1"/>
  <c r="EJ87" i="1"/>
  <c r="EI87" i="1"/>
  <c r="EG87" i="1"/>
  <c r="EF87" i="1"/>
  <c r="EE87" i="1"/>
  <c r="ED87" i="1"/>
  <c r="EC87" i="1"/>
  <c r="EB87" i="1"/>
  <c r="EA87" i="1"/>
  <c r="DZ87" i="1"/>
  <c r="DY87" i="1"/>
  <c r="DX87" i="1"/>
  <c r="DW87" i="1"/>
  <c r="DV87" i="1"/>
  <c r="DU87" i="1"/>
  <c r="DT87" i="1"/>
  <c r="DS87" i="1"/>
  <c r="DR87" i="1"/>
  <c r="DQ87" i="1"/>
  <c r="DP87" i="1"/>
  <c r="DO87" i="1"/>
  <c r="DN87" i="1"/>
  <c r="DM87" i="1"/>
  <c r="DL87" i="1"/>
  <c r="DK87" i="1"/>
  <c r="DJ87" i="1"/>
  <c r="DI87" i="1"/>
  <c r="DH87" i="1"/>
  <c r="DG87" i="1"/>
  <c r="DF87" i="1"/>
  <c r="DE87" i="1"/>
  <c r="DD87" i="1"/>
  <c r="DC87" i="1"/>
  <c r="DB87" i="1"/>
  <c r="DA87" i="1"/>
  <c r="CZ87" i="1"/>
  <c r="CY87" i="1"/>
  <c r="CX87" i="1"/>
  <c r="CW87" i="1"/>
  <c r="CV87" i="1"/>
  <c r="CU87" i="1"/>
  <c r="CT87" i="1"/>
  <c r="CS87" i="1"/>
  <c r="CR87" i="1"/>
  <c r="CQ87" i="1"/>
  <c r="CP87" i="1"/>
  <c r="CO87" i="1"/>
  <c r="CN87" i="1"/>
  <c r="CL87" i="1"/>
  <c r="BS87" i="1"/>
  <c r="BU87" i="1" s="1"/>
  <c r="AU87" i="1"/>
  <c r="AJ87" i="1"/>
  <c r="R87" i="1"/>
  <c r="M87" i="1"/>
  <c r="FF87" i="1" l="1"/>
  <c r="BK87" i="1"/>
  <c r="BM87" i="1" s="1"/>
  <c r="BO87" i="1" s="1"/>
  <c r="EP87" i="1" s="1"/>
  <c r="EZ87" i="1"/>
  <c r="BY88" i="1"/>
  <c r="EQ88" i="1" s="1"/>
  <c r="FB87" i="1"/>
  <c r="BS46" i="1"/>
  <c r="BU46" i="1" s="1"/>
  <c r="BK46" i="1"/>
  <c r="BM46" i="1" s="1"/>
  <c r="BO46" i="1" s="1"/>
  <c r="BX46" i="1" s="1"/>
  <c r="BY46" i="1" s="1"/>
  <c r="AN46" i="1"/>
  <c r="AU46" i="1" s="1"/>
  <c r="Z46" i="1"/>
  <c r="R46" i="1"/>
  <c r="M46" i="1"/>
  <c r="BX87" i="1" l="1"/>
  <c r="BY87" i="1" s="1"/>
  <c r="EQ87" i="1" s="1"/>
  <c r="BS45" i="1"/>
  <c r="BU45" i="1" s="1"/>
  <c r="BK45" i="1"/>
  <c r="BM45" i="1" s="1"/>
  <c r="BO45" i="1" s="1"/>
  <c r="BX45" i="1" s="1"/>
  <c r="BY45" i="1" s="1"/>
  <c r="AN45" i="1"/>
  <c r="AU45" i="1" s="1"/>
  <c r="Z45" i="1"/>
  <c r="R45" i="1"/>
  <c r="M45" i="1"/>
  <c r="BS44" i="1" l="1"/>
  <c r="BU44" i="1" s="1"/>
  <c r="BK44" i="1"/>
  <c r="BM44" i="1" s="1"/>
  <c r="BO44" i="1" s="1"/>
  <c r="BX44" i="1" s="1"/>
  <c r="BY44" i="1" s="1"/>
  <c r="AN44" i="1"/>
  <c r="AU44" i="1" s="1"/>
  <c r="Z44" i="1"/>
  <c r="R44" i="1"/>
  <c r="M44" i="1"/>
  <c r="BS43" i="1" l="1"/>
  <c r="BU43" i="1" s="1"/>
  <c r="BK43" i="1"/>
  <c r="BM43" i="1" s="1"/>
  <c r="BO43" i="1" s="1"/>
  <c r="BX43" i="1" s="1"/>
  <c r="BY43" i="1" s="1"/>
  <c r="AN43" i="1"/>
  <c r="AU43" i="1" s="1"/>
  <c r="Z43" i="1"/>
  <c r="R43" i="1"/>
  <c r="BS42" i="1"/>
  <c r="BU42" i="1" s="1"/>
  <c r="BK42" i="1"/>
  <c r="BM42" i="1" s="1"/>
  <c r="BO42" i="1" s="1"/>
  <c r="BX42" i="1" s="1"/>
  <c r="BY42" i="1" s="1"/>
  <c r="AN42" i="1"/>
  <c r="AU42" i="1" s="1"/>
  <c r="Z42" i="1"/>
  <c r="R42" i="1"/>
  <c r="BS41" i="1"/>
  <c r="BU41" i="1" s="1"/>
  <c r="BK41" i="1"/>
  <c r="BM41" i="1" s="1"/>
  <c r="BO41" i="1" s="1"/>
  <c r="BX41" i="1" s="1"/>
  <c r="BY41" i="1" s="1"/>
  <c r="AN41" i="1"/>
  <c r="AU41" i="1" s="1"/>
  <c r="Z41" i="1"/>
  <c r="R41" i="1"/>
  <c r="BS40" i="1"/>
  <c r="BU40" i="1" s="1"/>
  <c r="BK40" i="1"/>
  <c r="BM40" i="1" s="1"/>
  <c r="BO40" i="1" s="1"/>
  <c r="BX40" i="1" s="1"/>
  <c r="BY40" i="1" s="1"/>
  <c r="AN40" i="1"/>
  <c r="AU40" i="1" s="1"/>
  <c r="Z40" i="1"/>
  <c r="R40" i="1"/>
  <c r="BS39" i="1"/>
  <c r="BU39" i="1" s="1"/>
  <c r="BK39" i="1"/>
  <c r="BM39" i="1" s="1"/>
  <c r="BO39" i="1" s="1"/>
  <c r="BX39" i="1" s="1"/>
  <c r="BY39" i="1" s="1"/>
  <c r="AN39" i="1"/>
  <c r="AU39" i="1" s="1"/>
  <c r="AJ39" i="1"/>
  <c r="Z39" i="1"/>
  <c r="R39" i="1"/>
  <c r="CL39" i="1"/>
  <c r="CL40" i="1"/>
  <c r="CL41" i="1"/>
  <c r="CL42" i="1"/>
  <c r="CL43" i="1"/>
  <c r="CL44" i="1"/>
  <c r="CL45" i="1"/>
  <c r="CL46" i="1"/>
  <c r="CN39" i="1"/>
  <c r="CN40" i="1"/>
  <c r="CN41" i="1"/>
  <c r="CN42" i="1"/>
  <c r="CN43" i="1"/>
  <c r="CN44" i="1"/>
  <c r="CN45" i="1"/>
  <c r="CN46" i="1"/>
  <c r="CO39" i="1"/>
  <c r="CO40" i="1"/>
  <c r="CO41" i="1"/>
  <c r="CO42" i="1"/>
  <c r="CO43" i="1"/>
  <c r="CO44" i="1"/>
  <c r="CO45" i="1"/>
  <c r="CO46" i="1"/>
  <c r="CP39" i="1"/>
  <c r="CP40" i="1"/>
  <c r="CP41" i="1"/>
  <c r="CP42" i="1"/>
  <c r="CP43" i="1"/>
  <c r="CP44" i="1"/>
  <c r="CP45" i="1"/>
  <c r="CP46" i="1"/>
  <c r="CQ39" i="1"/>
  <c r="CQ40" i="1"/>
  <c r="CQ41" i="1"/>
  <c r="CQ42" i="1"/>
  <c r="CQ43" i="1"/>
  <c r="CQ44" i="1"/>
  <c r="CQ45" i="1"/>
  <c r="CQ46" i="1"/>
  <c r="CR39" i="1"/>
  <c r="CR40" i="1"/>
  <c r="CR41" i="1"/>
  <c r="CR42" i="1"/>
  <c r="CR43" i="1"/>
  <c r="CR44" i="1"/>
  <c r="CR45" i="1"/>
  <c r="CR46" i="1"/>
  <c r="CS39" i="1"/>
  <c r="CS40" i="1"/>
  <c r="CS41" i="1"/>
  <c r="CS42" i="1"/>
  <c r="CS43" i="1"/>
  <c r="CS44" i="1"/>
  <c r="CS45" i="1"/>
  <c r="CS46" i="1"/>
  <c r="CT39" i="1"/>
  <c r="CT40" i="1"/>
  <c r="CT41" i="1"/>
  <c r="CT42" i="1"/>
  <c r="CT43" i="1"/>
  <c r="CT44" i="1"/>
  <c r="CT45" i="1"/>
  <c r="CT46" i="1"/>
  <c r="CU39" i="1"/>
  <c r="CU40" i="1"/>
  <c r="CU41" i="1"/>
  <c r="CU42" i="1"/>
  <c r="CU43" i="1"/>
  <c r="CU44" i="1"/>
  <c r="CU45" i="1"/>
  <c r="CU46" i="1"/>
  <c r="CV39" i="1"/>
  <c r="CV40" i="1"/>
  <c r="CV41" i="1"/>
  <c r="CV42" i="1"/>
  <c r="CV43" i="1"/>
  <c r="CV44" i="1"/>
  <c r="CV45" i="1"/>
  <c r="CV46" i="1"/>
  <c r="CW39" i="1"/>
  <c r="CW40" i="1"/>
  <c r="CW41" i="1"/>
  <c r="CW42" i="1"/>
  <c r="CW43" i="1"/>
  <c r="CW44" i="1"/>
  <c r="CW45" i="1"/>
  <c r="CW46" i="1"/>
  <c r="CX39" i="1"/>
  <c r="CX40" i="1"/>
  <c r="CX41" i="1"/>
  <c r="CX42" i="1"/>
  <c r="CX43" i="1"/>
  <c r="CX44" i="1"/>
  <c r="CX45" i="1"/>
  <c r="CX46" i="1"/>
  <c r="CY39" i="1"/>
  <c r="CY40" i="1"/>
  <c r="CY41" i="1"/>
  <c r="CY42" i="1"/>
  <c r="CY43" i="1"/>
  <c r="CY44" i="1"/>
  <c r="CY45" i="1"/>
  <c r="CY46" i="1"/>
  <c r="CZ43" i="1"/>
  <c r="CZ44" i="1"/>
  <c r="CZ45" i="1"/>
  <c r="CZ46" i="1"/>
  <c r="DA39" i="1"/>
  <c r="DA40" i="1"/>
  <c r="DA41" i="1"/>
  <c r="DA42" i="1"/>
  <c r="DA43" i="1"/>
  <c r="DA44" i="1"/>
  <c r="DA45" i="1"/>
  <c r="DA46" i="1"/>
  <c r="DB39" i="1"/>
  <c r="DB40" i="1"/>
  <c r="DB41" i="1"/>
  <c r="DB42" i="1"/>
  <c r="DB43" i="1"/>
  <c r="DB44" i="1"/>
  <c r="DB45" i="1"/>
  <c r="DB46" i="1"/>
  <c r="DC39" i="1"/>
  <c r="DC40" i="1"/>
  <c r="DC41" i="1"/>
  <c r="DC42" i="1"/>
  <c r="DC43" i="1"/>
  <c r="DC44" i="1"/>
  <c r="DC45" i="1"/>
  <c r="DC46" i="1"/>
  <c r="DD39" i="1"/>
  <c r="DD40" i="1"/>
  <c r="DD41" i="1"/>
  <c r="DD42" i="1"/>
  <c r="DD43" i="1"/>
  <c r="DD44" i="1"/>
  <c r="DD45" i="1"/>
  <c r="DD46" i="1"/>
  <c r="DE39" i="1"/>
  <c r="DE40" i="1"/>
  <c r="DE41" i="1"/>
  <c r="DE42" i="1"/>
  <c r="DE43" i="1"/>
  <c r="DE44" i="1"/>
  <c r="DE45" i="1"/>
  <c r="DE46" i="1"/>
  <c r="DF39" i="1"/>
  <c r="DF40" i="1"/>
  <c r="DF41" i="1"/>
  <c r="DF42" i="1"/>
  <c r="DF43" i="1"/>
  <c r="DF44" i="1"/>
  <c r="DF45" i="1"/>
  <c r="DF46" i="1"/>
  <c r="DG39" i="1"/>
  <c r="DG40" i="1"/>
  <c r="DG41" i="1"/>
  <c r="DG42" i="1"/>
  <c r="DG43" i="1"/>
  <c r="DG44" i="1"/>
  <c r="DG45" i="1"/>
  <c r="DG46" i="1"/>
  <c r="DH39" i="1"/>
  <c r="DH40" i="1"/>
  <c r="DH41" i="1"/>
  <c r="DH42" i="1"/>
  <c r="DH43" i="1"/>
  <c r="DH44" i="1"/>
  <c r="DH45" i="1"/>
  <c r="DH46" i="1"/>
  <c r="DI39" i="1"/>
  <c r="DI40" i="1"/>
  <c r="DI41" i="1"/>
  <c r="DI42" i="1"/>
  <c r="DI43" i="1"/>
  <c r="DI44" i="1"/>
  <c r="DI45" i="1"/>
  <c r="DI46" i="1"/>
  <c r="DJ39" i="1"/>
  <c r="DJ40" i="1"/>
  <c r="DJ41" i="1"/>
  <c r="DJ42" i="1"/>
  <c r="DJ43" i="1"/>
  <c r="DJ44" i="1"/>
  <c r="DJ45" i="1"/>
  <c r="DJ46" i="1"/>
  <c r="DK39" i="1"/>
  <c r="DK40" i="1"/>
  <c r="DK41" i="1"/>
  <c r="DK42" i="1"/>
  <c r="DK43" i="1"/>
  <c r="DK44" i="1"/>
  <c r="DK45" i="1"/>
  <c r="DK46" i="1"/>
  <c r="DL39" i="1"/>
  <c r="DL40" i="1"/>
  <c r="DL41" i="1"/>
  <c r="DL42" i="1"/>
  <c r="DL43" i="1"/>
  <c r="DL44" i="1"/>
  <c r="DL45" i="1"/>
  <c r="DL46" i="1"/>
  <c r="DM39" i="1"/>
  <c r="DM40" i="1"/>
  <c r="DM41" i="1"/>
  <c r="DM42" i="1"/>
  <c r="DM43" i="1"/>
  <c r="DM44" i="1"/>
  <c r="DM45" i="1"/>
  <c r="DM46" i="1"/>
  <c r="DN39" i="1"/>
  <c r="DN40" i="1"/>
  <c r="DN41" i="1"/>
  <c r="DN42" i="1"/>
  <c r="DN43" i="1"/>
  <c r="DN44" i="1"/>
  <c r="DN45" i="1"/>
  <c r="DN46" i="1"/>
  <c r="DO39" i="1"/>
  <c r="DO40" i="1"/>
  <c r="DO41" i="1"/>
  <c r="DO42" i="1"/>
  <c r="DO43" i="1"/>
  <c r="DO44" i="1"/>
  <c r="DO45" i="1"/>
  <c r="DO46" i="1"/>
  <c r="DP39" i="1"/>
  <c r="DP40" i="1"/>
  <c r="DP41" i="1"/>
  <c r="DP42" i="1"/>
  <c r="DP43" i="1"/>
  <c r="DP44" i="1"/>
  <c r="DP45" i="1"/>
  <c r="DP46" i="1"/>
  <c r="DQ39" i="1"/>
  <c r="DQ40" i="1"/>
  <c r="DQ41" i="1"/>
  <c r="DQ42" i="1"/>
  <c r="DQ43" i="1"/>
  <c r="DQ44" i="1"/>
  <c r="DQ45" i="1"/>
  <c r="DQ46" i="1"/>
  <c r="DR39" i="1"/>
  <c r="DR40" i="1"/>
  <c r="DR41" i="1"/>
  <c r="DR42" i="1"/>
  <c r="DR43" i="1"/>
  <c r="DR44" i="1"/>
  <c r="DR45" i="1"/>
  <c r="DR46" i="1"/>
  <c r="DS39" i="1"/>
  <c r="DS40" i="1"/>
  <c r="DS41" i="1"/>
  <c r="DS42" i="1"/>
  <c r="DS43" i="1"/>
  <c r="DS44" i="1"/>
  <c r="DS45" i="1"/>
  <c r="DS46" i="1"/>
  <c r="DT39" i="1"/>
  <c r="DT40" i="1"/>
  <c r="DT41" i="1"/>
  <c r="DT42" i="1"/>
  <c r="DT43" i="1"/>
  <c r="DT44" i="1"/>
  <c r="DT45" i="1"/>
  <c r="DT46" i="1"/>
  <c r="DU39" i="1"/>
  <c r="DU40" i="1"/>
  <c r="DU41" i="1"/>
  <c r="DU42" i="1"/>
  <c r="DU43" i="1"/>
  <c r="DU44" i="1"/>
  <c r="DU45" i="1"/>
  <c r="DU46" i="1"/>
  <c r="DV39" i="1"/>
  <c r="DV40" i="1"/>
  <c r="DV41" i="1"/>
  <c r="DV42" i="1"/>
  <c r="DV43" i="1"/>
  <c r="DV44" i="1"/>
  <c r="DV45" i="1"/>
  <c r="DV46" i="1"/>
  <c r="DW39" i="1"/>
  <c r="DW40" i="1"/>
  <c r="DW41" i="1"/>
  <c r="DW42" i="1"/>
  <c r="DW43" i="1"/>
  <c r="DW44" i="1"/>
  <c r="DW45" i="1"/>
  <c r="DW46" i="1"/>
  <c r="DX39" i="1"/>
  <c r="DX40" i="1"/>
  <c r="DX41" i="1"/>
  <c r="DX42" i="1"/>
  <c r="DX43" i="1"/>
  <c r="DX44" i="1"/>
  <c r="DX45" i="1"/>
  <c r="DX46" i="1"/>
  <c r="DY39" i="1"/>
  <c r="DY40" i="1"/>
  <c r="DY41" i="1"/>
  <c r="DY42" i="1"/>
  <c r="DY43" i="1"/>
  <c r="DY44" i="1"/>
  <c r="DY45" i="1"/>
  <c r="DY46" i="1"/>
  <c r="DZ39" i="1"/>
  <c r="DZ40" i="1"/>
  <c r="DZ41" i="1"/>
  <c r="DZ42" i="1"/>
  <c r="DZ43" i="1"/>
  <c r="DZ44" i="1"/>
  <c r="DZ45" i="1"/>
  <c r="DZ46" i="1"/>
  <c r="EA39" i="1"/>
  <c r="EA40" i="1"/>
  <c r="EA41" i="1"/>
  <c r="EA42" i="1"/>
  <c r="EA43" i="1"/>
  <c r="EA44" i="1"/>
  <c r="EA45" i="1"/>
  <c r="EA46" i="1"/>
  <c r="EB39" i="1"/>
  <c r="EB40" i="1"/>
  <c r="EB41" i="1"/>
  <c r="EB42" i="1"/>
  <c r="EB43" i="1"/>
  <c r="EB44" i="1"/>
  <c r="EB45" i="1"/>
  <c r="EB46" i="1"/>
  <c r="EC39" i="1"/>
  <c r="EC40" i="1"/>
  <c r="EC41" i="1"/>
  <c r="EC42" i="1"/>
  <c r="EC43" i="1"/>
  <c r="EC44" i="1"/>
  <c r="EC45" i="1"/>
  <c r="EC46" i="1"/>
  <c r="ED39" i="1"/>
  <c r="ED40" i="1"/>
  <c r="ED41" i="1"/>
  <c r="ED42" i="1"/>
  <c r="ED43" i="1"/>
  <c r="ED44" i="1"/>
  <c r="ED45" i="1"/>
  <c r="ED46" i="1"/>
  <c r="EE39" i="1"/>
  <c r="EE40" i="1"/>
  <c r="EE41" i="1"/>
  <c r="EE42" i="1"/>
  <c r="EE43" i="1"/>
  <c r="EE44" i="1"/>
  <c r="EE45" i="1"/>
  <c r="EE46" i="1"/>
  <c r="EF39" i="1"/>
  <c r="EF40" i="1"/>
  <c r="EF41" i="1"/>
  <c r="EF42" i="1"/>
  <c r="EF43" i="1"/>
  <c r="EF44" i="1"/>
  <c r="EF45" i="1"/>
  <c r="EF46" i="1"/>
  <c r="EG39" i="1"/>
  <c r="EG40" i="1"/>
  <c r="EG41" i="1"/>
  <c r="EG42" i="1"/>
  <c r="EG43" i="1"/>
  <c r="EG44" i="1"/>
  <c r="EG45" i="1"/>
  <c r="EG46" i="1"/>
  <c r="EH39" i="1"/>
  <c r="EH40" i="1"/>
  <c r="EH41" i="1"/>
  <c r="EH42" i="1"/>
  <c r="EH43" i="1"/>
  <c r="EH44" i="1"/>
  <c r="EH45" i="1"/>
  <c r="EH46" i="1"/>
  <c r="EI39" i="1"/>
  <c r="EI40" i="1"/>
  <c r="EI41" i="1"/>
  <c r="EI42" i="1"/>
  <c r="EJ39" i="1"/>
  <c r="EJ40" i="1"/>
  <c r="EJ41" i="1"/>
  <c r="EJ42" i="1"/>
  <c r="EJ43" i="1"/>
  <c r="EJ44" i="1"/>
  <c r="EJ45" i="1"/>
  <c r="EJ46" i="1"/>
  <c r="EK39" i="1"/>
  <c r="EK40" i="1"/>
  <c r="EK41" i="1"/>
  <c r="EK42" i="1"/>
  <c r="EV39" i="1"/>
  <c r="EV40" i="1"/>
  <c r="EV41" i="1"/>
  <c r="EV42" i="1"/>
  <c r="EV43" i="1"/>
  <c r="EV44" i="1"/>
  <c r="EV45" i="1"/>
  <c r="EV46" i="1"/>
  <c r="EW39" i="1"/>
  <c r="EW40" i="1"/>
  <c r="EW41" i="1"/>
  <c r="EW42" i="1"/>
  <c r="EW43" i="1"/>
  <c r="EW44" i="1"/>
  <c r="EW45" i="1"/>
  <c r="EW46" i="1"/>
  <c r="EX39" i="1"/>
  <c r="EX40" i="1"/>
  <c r="EX41" i="1"/>
  <c r="EX42" i="1"/>
  <c r="EX43" i="1"/>
  <c r="EX44" i="1"/>
  <c r="EX45" i="1"/>
  <c r="EX46" i="1"/>
  <c r="EZ39" i="1"/>
  <c r="EZ40" i="1"/>
  <c r="EZ41" i="1"/>
  <c r="EZ42" i="1"/>
  <c r="EZ43" i="1"/>
  <c r="EZ44" i="1"/>
  <c r="EZ45" i="1"/>
  <c r="EZ46" i="1"/>
  <c r="FB39" i="1"/>
  <c r="FB40" i="1"/>
  <c r="FB41" i="1"/>
  <c r="FB42" i="1"/>
  <c r="FB43" i="1"/>
  <c r="FB44" i="1"/>
  <c r="FB45" i="1"/>
  <c r="FB46" i="1"/>
  <c r="FD39" i="1"/>
  <c r="FD40" i="1"/>
  <c r="FD41" i="1"/>
  <c r="FD42" i="1"/>
  <c r="FD43" i="1"/>
  <c r="FD44" i="1"/>
  <c r="FD45" i="1"/>
  <c r="FD46" i="1"/>
  <c r="FF39" i="1"/>
  <c r="FF40" i="1"/>
  <c r="FF41" i="1"/>
  <c r="FF42" i="1"/>
  <c r="FF43" i="1"/>
  <c r="FF44" i="1"/>
  <c r="FF45" i="1"/>
  <c r="FF46" i="1"/>
  <c r="FG39" i="1"/>
  <c r="FG40" i="1"/>
  <c r="FG41" i="1"/>
  <c r="FG42" i="1"/>
  <c r="FG43" i="1"/>
  <c r="FG44" i="1"/>
  <c r="FG45" i="1"/>
  <c r="FG46" i="1"/>
  <c r="FH39" i="1"/>
  <c r="FH40" i="1"/>
  <c r="FH41" i="1"/>
  <c r="FH42" i="1"/>
  <c r="FH43" i="1"/>
  <c r="FH44" i="1"/>
  <c r="FH45" i="1"/>
  <c r="FH46" i="1"/>
  <c r="FI39" i="1"/>
  <c r="FI40" i="1"/>
  <c r="FI41" i="1"/>
  <c r="FI42" i="1"/>
  <c r="FI43" i="1"/>
  <c r="FI44" i="1"/>
  <c r="FI45" i="1"/>
  <c r="FI46" i="1"/>
  <c r="AI151" i="1" a="1"/>
  <c r="AI151" i="1" s="1"/>
  <c r="R150" i="1"/>
  <c r="R149" i="1"/>
  <c r="R142" i="1"/>
  <c r="R141" i="1"/>
  <c r="R140" i="1"/>
  <c r="R99" i="1"/>
  <c r="Z99" i="1"/>
  <c r="AJ99" i="1"/>
  <c r="AN99" i="1"/>
  <c r="BS99" i="1"/>
  <c r="BU99" i="1" s="1"/>
  <c r="CL99" i="1"/>
  <c r="CN99" i="1"/>
  <c r="CO99" i="1"/>
  <c r="CP99" i="1"/>
  <c r="CQ99" i="1"/>
  <c r="CR99" i="1"/>
  <c r="CS99" i="1"/>
  <c r="CT99" i="1"/>
  <c r="CU99" i="1"/>
  <c r="CV99" i="1"/>
  <c r="CW99" i="1"/>
  <c r="CX99" i="1"/>
  <c r="CY99" i="1"/>
  <c r="CZ99" i="1"/>
  <c r="DA99" i="1"/>
  <c r="DB99" i="1"/>
  <c r="DC99" i="1"/>
  <c r="DD99" i="1"/>
  <c r="DE99" i="1"/>
  <c r="DF99" i="1"/>
  <c r="DG99" i="1"/>
  <c r="DH99" i="1"/>
  <c r="DI99" i="1"/>
  <c r="DJ99" i="1"/>
  <c r="DK99" i="1"/>
  <c r="DL99" i="1"/>
  <c r="DM99" i="1"/>
  <c r="DN99" i="1"/>
  <c r="DO99" i="1"/>
  <c r="DP99" i="1"/>
  <c r="DQ99" i="1"/>
  <c r="DR99" i="1"/>
  <c r="DS99" i="1"/>
  <c r="DT99" i="1"/>
  <c r="DU99" i="1"/>
  <c r="DV99" i="1"/>
  <c r="DW99" i="1"/>
  <c r="DX99" i="1"/>
  <c r="DY99" i="1"/>
  <c r="DZ99" i="1"/>
  <c r="EA99" i="1"/>
  <c r="EB99" i="1"/>
  <c r="EC99" i="1"/>
  <c r="ED99" i="1"/>
  <c r="EE99" i="1"/>
  <c r="EF99" i="1"/>
  <c r="EG99" i="1"/>
  <c r="EI99" i="1"/>
  <c r="EJ99" i="1"/>
  <c r="EK99" i="1"/>
  <c r="EV99" i="1"/>
  <c r="EW99" i="1"/>
  <c r="EX99" i="1"/>
  <c r="FD99" i="1"/>
  <c r="FG99" i="1"/>
  <c r="FI99" i="1"/>
  <c r="R98" i="1"/>
  <c r="Z98" i="1"/>
  <c r="AJ98" i="1"/>
  <c r="AN98" i="1"/>
  <c r="BS98" i="1"/>
  <c r="BU98" i="1" s="1"/>
  <c r="CL98" i="1"/>
  <c r="CN98" i="1"/>
  <c r="CO98" i="1"/>
  <c r="CP98" i="1"/>
  <c r="CQ98" i="1"/>
  <c r="CR98" i="1"/>
  <c r="CS98" i="1"/>
  <c r="CT98" i="1"/>
  <c r="CU98" i="1"/>
  <c r="CV98" i="1"/>
  <c r="CW98" i="1"/>
  <c r="CX98" i="1"/>
  <c r="CY98" i="1"/>
  <c r="CZ98" i="1"/>
  <c r="DA98" i="1"/>
  <c r="DB98" i="1"/>
  <c r="DC98" i="1"/>
  <c r="DD98" i="1"/>
  <c r="DE98" i="1"/>
  <c r="DF98" i="1"/>
  <c r="DG98" i="1"/>
  <c r="DH98" i="1"/>
  <c r="DI98" i="1"/>
  <c r="DJ98" i="1"/>
  <c r="DK98" i="1"/>
  <c r="DL98" i="1"/>
  <c r="DM98" i="1"/>
  <c r="DN98" i="1"/>
  <c r="DO98" i="1"/>
  <c r="DP98" i="1"/>
  <c r="DQ98" i="1"/>
  <c r="DR98" i="1"/>
  <c r="DS98" i="1"/>
  <c r="DT98" i="1"/>
  <c r="DU98" i="1"/>
  <c r="DV98" i="1"/>
  <c r="DW98" i="1"/>
  <c r="DX98" i="1"/>
  <c r="DY98" i="1"/>
  <c r="DZ98" i="1"/>
  <c r="EA98" i="1"/>
  <c r="EB98" i="1"/>
  <c r="EC98" i="1"/>
  <c r="ED98" i="1"/>
  <c r="EE98" i="1"/>
  <c r="EF98" i="1"/>
  <c r="EG98" i="1"/>
  <c r="EH98" i="1"/>
  <c r="EJ98" i="1"/>
  <c r="EK98" i="1"/>
  <c r="EV98" i="1"/>
  <c r="EW98" i="1"/>
  <c r="EX98" i="1"/>
  <c r="FD98" i="1"/>
  <c r="FG98" i="1"/>
  <c r="FI98" i="1"/>
  <c r="R97" i="1"/>
  <c r="Z97" i="1"/>
  <c r="AJ97" i="1"/>
  <c r="AN97" i="1"/>
  <c r="BS97" i="1"/>
  <c r="BU97" i="1" s="1"/>
  <c r="CL97" i="1"/>
  <c r="CM97" i="1"/>
  <c r="CN97" i="1"/>
  <c r="CO97" i="1"/>
  <c r="CP97" i="1"/>
  <c r="CQ97" i="1"/>
  <c r="CR97" i="1"/>
  <c r="CS97" i="1"/>
  <c r="CT97" i="1"/>
  <c r="CU97" i="1"/>
  <c r="CV97" i="1"/>
  <c r="CW97" i="1"/>
  <c r="CX97" i="1"/>
  <c r="CY97" i="1"/>
  <c r="CZ97" i="1"/>
  <c r="DA97" i="1"/>
  <c r="DB97" i="1"/>
  <c r="DC97" i="1"/>
  <c r="DD97" i="1"/>
  <c r="DE97" i="1"/>
  <c r="DF97" i="1"/>
  <c r="DG97" i="1"/>
  <c r="DH97" i="1"/>
  <c r="DI97" i="1"/>
  <c r="DJ97" i="1"/>
  <c r="DK97" i="1"/>
  <c r="DL97" i="1"/>
  <c r="DM97" i="1"/>
  <c r="DN97" i="1"/>
  <c r="DO97" i="1"/>
  <c r="DP97" i="1"/>
  <c r="DQ97" i="1"/>
  <c r="DR97" i="1"/>
  <c r="DS97" i="1"/>
  <c r="DT97" i="1"/>
  <c r="DU97" i="1"/>
  <c r="DV97" i="1"/>
  <c r="DW97" i="1"/>
  <c r="DX97" i="1"/>
  <c r="DZ97" i="1"/>
  <c r="EA97" i="1"/>
  <c r="EB97" i="1"/>
  <c r="EC97" i="1"/>
  <c r="ED97" i="1"/>
  <c r="EE97" i="1"/>
  <c r="EF97" i="1"/>
  <c r="EG97" i="1"/>
  <c r="EH97" i="1"/>
  <c r="EI97" i="1"/>
  <c r="EJ97" i="1"/>
  <c r="EK97" i="1"/>
  <c r="EV97" i="1"/>
  <c r="EW97" i="1"/>
  <c r="EX97" i="1"/>
  <c r="FD97" i="1"/>
  <c r="FG97" i="1"/>
  <c r="FI97" i="1"/>
  <c r="Z150" i="1"/>
  <c r="AJ150" i="1"/>
  <c r="AN150" i="1"/>
  <c r="BS150" i="1"/>
  <c r="BU150" i="1" s="1"/>
  <c r="CL150" i="1"/>
  <c r="CM150" i="1"/>
  <c r="CN150" i="1"/>
  <c r="CO150" i="1"/>
  <c r="CP150" i="1"/>
  <c r="CQ150" i="1"/>
  <c r="CR150" i="1"/>
  <c r="CS150" i="1"/>
  <c r="CT150" i="1"/>
  <c r="CU150" i="1"/>
  <c r="CV150" i="1"/>
  <c r="CW150" i="1"/>
  <c r="CX150" i="1"/>
  <c r="CY150" i="1"/>
  <c r="CZ150" i="1"/>
  <c r="DA150" i="1"/>
  <c r="DB150" i="1"/>
  <c r="DC150" i="1"/>
  <c r="DD150" i="1"/>
  <c r="DE150" i="1"/>
  <c r="DF150" i="1"/>
  <c r="DG150" i="1"/>
  <c r="DH150" i="1"/>
  <c r="DI150" i="1"/>
  <c r="DJ150" i="1"/>
  <c r="DK150" i="1"/>
  <c r="DL150" i="1"/>
  <c r="DM150" i="1"/>
  <c r="DN150" i="1"/>
  <c r="DO150" i="1"/>
  <c r="DP150" i="1"/>
  <c r="DQ150" i="1"/>
  <c r="DR150" i="1"/>
  <c r="DS150" i="1"/>
  <c r="DT150" i="1"/>
  <c r="DU150" i="1"/>
  <c r="DV150" i="1"/>
  <c r="DW150" i="1"/>
  <c r="DX150" i="1"/>
  <c r="DY150" i="1"/>
  <c r="DZ150" i="1"/>
  <c r="EA150" i="1"/>
  <c r="EB150" i="1"/>
  <c r="EC150" i="1"/>
  <c r="ED150" i="1"/>
  <c r="EE150" i="1"/>
  <c r="EF150" i="1"/>
  <c r="EG150" i="1"/>
  <c r="EH150" i="1"/>
  <c r="EI150" i="1"/>
  <c r="EJ150" i="1"/>
  <c r="EK150" i="1"/>
  <c r="EV150" i="1"/>
  <c r="EW150" i="1"/>
  <c r="EX150" i="1"/>
  <c r="FD150" i="1"/>
  <c r="FG150" i="1"/>
  <c r="FI150" i="1"/>
  <c r="Z149" i="1"/>
  <c r="AJ149" i="1"/>
  <c r="AN149" i="1"/>
  <c r="BS149" i="1"/>
  <c r="BU149" i="1" s="1"/>
  <c r="CL149" i="1"/>
  <c r="CM149" i="1"/>
  <c r="CN149" i="1"/>
  <c r="CO149" i="1"/>
  <c r="CP149" i="1"/>
  <c r="CQ149" i="1"/>
  <c r="CR149" i="1"/>
  <c r="CS149" i="1"/>
  <c r="CT149" i="1"/>
  <c r="CU149" i="1"/>
  <c r="CV149" i="1"/>
  <c r="CW149" i="1"/>
  <c r="CX149" i="1"/>
  <c r="CY149" i="1"/>
  <c r="CZ149" i="1"/>
  <c r="DA149" i="1"/>
  <c r="DB149" i="1"/>
  <c r="DC149" i="1"/>
  <c r="DD149" i="1"/>
  <c r="DE149" i="1"/>
  <c r="DF149" i="1"/>
  <c r="DG149" i="1"/>
  <c r="DH149" i="1"/>
  <c r="DI149" i="1"/>
  <c r="DJ149" i="1"/>
  <c r="DK149" i="1"/>
  <c r="DL149" i="1"/>
  <c r="DM149" i="1"/>
  <c r="DN149" i="1"/>
  <c r="DO149" i="1"/>
  <c r="DP149" i="1"/>
  <c r="DQ149" i="1"/>
  <c r="DR149" i="1"/>
  <c r="DS149" i="1"/>
  <c r="DT149" i="1"/>
  <c r="DU149" i="1"/>
  <c r="DV149" i="1"/>
  <c r="DW149" i="1"/>
  <c r="DX149" i="1"/>
  <c r="DY149" i="1"/>
  <c r="DZ149" i="1"/>
  <c r="EA149" i="1"/>
  <c r="EB149" i="1"/>
  <c r="EC149" i="1"/>
  <c r="ED149" i="1"/>
  <c r="EE149" i="1"/>
  <c r="EF149" i="1"/>
  <c r="EG149" i="1"/>
  <c r="EH149" i="1"/>
  <c r="EI149" i="1"/>
  <c r="EJ149" i="1"/>
  <c r="EK149" i="1"/>
  <c r="EV149" i="1"/>
  <c r="EW149" i="1"/>
  <c r="EX149" i="1"/>
  <c r="FD149" i="1"/>
  <c r="FG149" i="1"/>
  <c r="FI149" i="1"/>
  <c r="R148" i="1"/>
  <c r="Z148" i="1"/>
  <c r="AJ148" i="1"/>
  <c r="AN148" i="1"/>
  <c r="FB148" i="1" s="1"/>
  <c r="BS148" i="1"/>
  <c r="BU148" i="1" s="1"/>
  <c r="CL148" i="1"/>
  <c r="CM148" i="1"/>
  <c r="CN148" i="1"/>
  <c r="CO148" i="1"/>
  <c r="CP148" i="1"/>
  <c r="CQ148" i="1"/>
  <c r="CR148" i="1"/>
  <c r="CS148" i="1"/>
  <c r="CT148" i="1"/>
  <c r="CU148" i="1"/>
  <c r="CV148" i="1"/>
  <c r="CW148" i="1"/>
  <c r="CX148" i="1"/>
  <c r="CY148" i="1"/>
  <c r="CZ148" i="1"/>
  <c r="DA148" i="1"/>
  <c r="DB148" i="1"/>
  <c r="DC148" i="1"/>
  <c r="DD148" i="1"/>
  <c r="DE148" i="1"/>
  <c r="DF148" i="1"/>
  <c r="DG148" i="1"/>
  <c r="DH148" i="1"/>
  <c r="DI148" i="1"/>
  <c r="DJ148" i="1"/>
  <c r="DK148" i="1"/>
  <c r="DL148" i="1"/>
  <c r="DM148" i="1"/>
  <c r="DN148" i="1"/>
  <c r="DO148" i="1"/>
  <c r="DP148" i="1"/>
  <c r="DQ148" i="1"/>
  <c r="DR148" i="1"/>
  <c r="DS148" i="1"/>
  <c r="DT148" i="1"/>
  <c r="DU148" i="1"/>
  <c r="DV148" i="1"/>
  <c r="DW148" i="1"/>
  <c r="DX148" i="1"/>
  <c r="DY148" i="1"/>
  <c r="DZ148" i="1"/>
  <c r="EA148" i="1"/>
  <c r="EB148" i="1"/>
  <c r="EC148" i="1"/>
  <c r="ED148" i="1"/>
  <c r="EE148" i="1"/>
  <c r="EF148" i="1"/>
  <c r="EG148" i="1"/>
  <c r="EH148" i="1"/>
  <c r="EI148" i="1"/>
  <c r="EJ148" i="1"/>
  <c r="EK148" i="1"/>
  <c r="EV148" i="1"/>
  <c r="EW148" i="1"/>
  <c r="EX148" i="1"/>
  <c r="FD148" i="1"/>
  <c r="FG148" i="1"/>
  <c r="FI148" i="1"/>
  <c r="R147" i="1"/>
  <c r="Z147" i="1"/>
  <c r="AJ147" i="1"/>
  <c r="AN147" i="1"/>
  <c r="BS147" i="1"/>
  <c r="BU147" i="1" s="1"/>
  <c r="CL147" i="1"/>
  <c r="CN147" i="1"/>
  <c r="CO147" i="1"/>
  <c r="CP147" i="1"/>
  <c r="CQ147" i="1"/>
  <c r="CR147" i="1"/>
  <c r="CS147" i="1"/>
  <c r="CT147" i="1"/>
  <c r="CV147" i="1"/>
  <c r="CW147" i="1"/>
  <c r="CY147" i="1"/>
  <c r="CZ147" i="1"/>
  <c r="DA147" i="1"/>
  <c r="DB147" i="1"/>
  <c r="DC147" i="1"/>
  <c r="DD147" i="1"/>
  <c r="DE147" i="1"/>
  <c r="DF147" i="1"/>
  <c r="DG147" i="1"/>
  <c r="DH147" i="1"/>
  <c r="DI147" i="1"/>
  <c r="DJ147" i="1"/>
  <c r="DK147" i="1"/>
  <c r="DL147" i="1"/>
  <c r="DM147" i="1"/>
  <c r="DN147" i="1"/>
  <c r="DO147" i="1"/>
  <c r="DP147" i="1"/>
  <c r="DQ147" i="1"/>
  <c r="DR147" i="1"/>
  <c r="DS147" i="1"/>
  <c r="DT147" i="1"/>
  <c r="DU147" i="1"/>
  <c r="DV147" i="1"/>
  <c r="DW147" i="1"/>
  <c r="DX147" i="1"/>
  <c r="DY147" i="1"/>
  <c r="DZ147" i="1"/>
  <c r="EA147" i="1"/>
  <c r="EB147" i="1"/>
  <c r="EC147" i="1"/>
  <c r="ED147" i="1"/>
  <c r="EE147" i="1"/>
  <c r="EF147" i="1"/>
  <c r="EG147" i="1"/>
  <c r="EH147" i="1"/>
  <c r="EI147" i="1"/>
  <c r="EJ147" i="1"/>
  <c r="EK147" i="1"/>
  <c r="EV147" i="1"/>
  <c r="EW147" i="1"/>
  <c r="EX147" i="1"/>
  <c r="FD147" i="1"/>
  <c r="FG147" i="1"/>
  <c r="FI147" i="1"/>
  <c r="R146" i="1"/>
  <c r="Z146" i="1"/>
  <c r="AJ146" i="1"/>
  <c r="AN146" i="1"/>
  <c r="BS146" i="1"/>
  <c r="BU146" i="1" s="1"/>
  <c r="CL146" i="1"/>
  <c r="CN146" i="1"/>
  <c r="CO146" i="1"/>
  <c r="CP146" i="1"/>
  <c r="CQ146" i="1"/>
  <c r="CR146" i="1"/>
  <c r="CS146" i="1"/>
  <c r="CT146" i="1"/>
  <c r="CV146" i="1"/>
  <c r="CW146" i="1"/>
  <c r="CY146" i="1"/>
  <c r="CZ146" i="1"/>
  <c r="DA146" i="1"/>
  <c r="DB146" i="1"/>
  <c r="DC146" i="1"/>
  <c r="DD146" i="1"/>
  <c r="DE146" i="1"/>
  <c r="DF146" i="1"/>
  <c r="DG146" i="1"/>
  <c r="DH146" i="1"/>
  <c r="DI146" i="1"/>
  <c r="DJ146" i="1"/>
  <c r="DK146" i="1"/>
  <c r="DL146" i="1"/>
  <c r="DM146" i="1"/>
  <c r="DN146" i="1"/>
  <c r="DO146" i="1"/>
  <c r="DP146" i="1"/>
  <c r="DQ146" i="1"/>
  <c r="DR146" i="1"/>
  <c r="DS146" i="1"/>
  <c r="DT146" i="1"/>
  <c r="DU146" i="1"/>
  <c r="DV146" i="1"/>
  <c r="DW146" i="1"/>
  <c r="DX146" i="1"/>
  <c r="DY146" i="1"/>
  <c r="DZ146" i="1"/>
  <c r="EA146" i="1"/>
  <c r="EB146" i="1"/>
  <c r="EC146" i="1"/>
  <c r="ED146" i="1"/>
  <c r="EE146" i="1"/>
  <c r="EF146" i="1"/>
  <c r="EG146" i="1"/>
  <c r="EH146" i="1"/>
  <c r="EI146" i="1"/>
  <c r="EJ146" i="1"/>
  <c r="EK146" i="1"/>
  <c r="EV146" i="1"/>
  <c r="EW146" i="1"/>
  <c r="EX146" i="1"/>
  <c r="FD146" i="1"/>
  <c r="FG146" i="1"/>
  <c r="FI146" i="1"/>
  <c r="R145" i="1"/>
  <c r="Z145" i="1"/>
  <c r="AJ145" i="1"/>
  <c r="AN145" i="1"/>
  <c r="BS145" i="1"/>
  <c r="BU145" i="1" s="1"/>
  <c r="CL145" i="1"/>
  <c r="CN145" i="1"/>
  <c r="CO145" i="1"/>
  <c r="CP145" i="1"/>
  <c r="CQ145" i="1"/>
  <c r="CR145" i="1"/>
  <c r="CS145" i="1"/>
  <c r="CT145" i="1"/>
  <c r="CV145" i="1"/>
  <c r="CW145" i="1"/>
  <c r="CY145" i="1"/>
  <c r="CZ145" i="1"/>
  <c r="DA145" i="1"/>
  <c r="DB145" i="1"/>
  <c r="DC145" i="1"/>
  <c r="DD145" i="1"/>
  <c r="DE145" i="1"/>
  <c r="DF145" i="1"/>
  <c r="DG145" i="1"/>
  <c r="DH145" i="1"/>
  <c r="DI145" i="1"/>
  <c r="DJ145" i="1"/>
  <c r="DK145" i="1"/>
  <c r="DL145" i="1"/>
  <c r="DM145" i="1"/>
  <c r="DN145" i="1"/>
  <c r="DO145" i="1"/>
  <c r="DP145" i="1"/>
  <c r="DQ145" i="1"/>
  <c r="DR145" i="1"/>
  <c r="DS145" i="1"/>
  <c r="DT145" i="1"/>
  <c r="DU145" i="1"/>
  <c r="DV145" i="1"/>
  <c r="DW145" i="1"/>
  <c r="DX145" i="1"/>
  <c r="DY145" i="1"/>
  <c r="DZ145" i="1"/>
  <c r="EA145" i="1"/>
  <c r="EB145" i="1"/>
  <c r="EC145" i="1"/>
  <c r="ED145" i="1"/>
  <c r="EE145" i="1"/>
  <c r="EF145" i="1"/>
  <c r="EG145" i="1"/>
  <c r="EH145" i="1"/>
  <c r="EI145" i="1"/>
  <c r="EJ145" i="1"/>
  <c r="EK145" i="1"/>
  <c r="EV145" i="1"/>
  <c r="EW145" i="1"/>
  <c r="EX145" i="1"/>
  <c r="FD145" i="1"/>
  <c r="FG145" i="1"/>
  <c r="FI145" i="1"/>
  <c r="R144" i="1"/>
  <c r="Z144" i="1"/>
  <c r="AJ144" i="1"/>
  <c r="AN144" i="1"/>
  <c r="BS144" i="1"/>
  <c r="BU144" i="1" s="1"/>
  <c r="CL144" i="1"/>
  <c r="CN144" i="1"/>
  <c r="CO144" i="1"/>
  <c r="CP144" i="1"/>
  <c r="CQ144" i="1"/>
  <c r="CR144" i="1"/>
  <c r="CS144" i="1"/>
  <c r="CT144" i="1"/>
  <c r="CV144" i="1"/>
  <c r="CW144" i="1"/>
  <c r="CY144" i="1"/>
  <c r="CZ144" i="1"/>
  <c r="DA144" i="1"/>
  <c r="DB144" i="1"/>
  <c r="DC144" i="1"/>
  <c r="DD144" i="1"/>
  <c r="DE144" i="1"/>
  <c r="DF144" i="1"/>
  <c r="DG144" i="1"/>
  <c r="DH144" i="1"/>
  <c r="DI144" i="1"/>
  <c r="DJ144" i="1"/>
  <c r="DK144" i="1"/>
  <c r="DL144" i="1"/>
  <c r="DM144" i="1"/>
  <c r="DN144" i="1"/>
  <c r="DO144" i="1"/>
  <c r="DP144" i="1"/>
  <c r="DQ144" i="1"/>
  <c r="DR144" i="1"/>
  <c r="DS144" i="1"/>
  <c r="DT144" i="1"/>
  <c r="DU144" i="1"/>
  <c r="DV144" i="1"/>
  <c r="DW144" i="1"/>
  <c r="DX144" i="1"/>
  <c r="DY144" i="1"/>
  <c r="DZ144" i="1"/>
  <c r="EA144" i="1"/>
  <c r="EB144" i="1"/>
  <c r="EC144" i="1"/>
  <c r="ED144" i="1"/>
  <c r="EE144" i="1"/>
  <c r="EF144" i="1"/>
  <c r="EG144" i="1"/>
  <c r="EH144" i="1"/>
  <c r="EI144" i="1"/>
  <c r="EJ144" i="1"/>
  <c r="EK144" i="1"/>
  <c r="EV144" i="1"/>
  <c r="EW144" i="1"/>
  <c r="EX144" i="1"/>
  <c r="FD144" i="1"/>
  <c r="FG144" i="1"/>
  <c r="FI144" i="1"/>
  <c r="R143" i="1"/>
  <c r="Z143" i="1"/>
  <c r="AJ143" i="1"/>
  <c r="AN143" i="1"/>
  <c r="BS143" i="1"/>
  <c r="BU143" i="1" s="1"/>
  <c r="CL143" i="1"/>
  <c r="CM143" i="1"/>
  <c r="CN143" i="1"/>
  <c r="CO143" i="1"/>
  <c r="CP143" i="1"/>
  <c r="CQ143" i="1"/>
  <c r="CR143" i="1"/>
  <c r="CS143" i="1"/>
  <c r="CT143" i="1"/>
  <c r="CU143" i="1"/>
  <c r="CV143" i="1"/>
  <c r="CW143" i="1"/>
  <c r="CX143" i="1"/>
  <c r="CY143" i="1"/>
  <c r="CZ143" i="1"/>
  <c r="DA143" i="1"/>
  <c r="DB143" i="1"/>
  <c r="DC143" i="1"/>
  <c r="DD143" i="1"/>
  <c r="DE143" i="1"/>
  <c r="DF143" i="1"/>
  <c r="DG143" i="1"/>
  <c r="DH143" i="1"/>
  <c r="DI143" i="1"/>
  <c r="DJ143" i="1"/>
  <c r="DK143" i="1"/>
  <c r="DL143" i="1"/>
  <c r="DM143" i="1"/>
  <c r="DN143" i="1"/>
  <c r="DO143" i="1"/>
  <c r="DP143" i="1"/>
  <c r="DQ143" i="1"/>
  <c r="DR143" i="1"/>
  <c r="DS143" i="1"/>
  <c r="DT143" i="1"/>
  <c r="DU143" i="1"/>
  <c r="DV143" i="1"/>
  <c r="DW143" i="1"/>
  <c r="DX143" i="1"/>
  <c r="DY143" i="1"/>
  <c r="DZ143" i="1"/>
  <c r="EA143" i="1"/>
  <c r="EB143" i="1"/>
  <c r="EC143" i="1"/>
  <c r="ED143" i="1"/>
  <c r="EE143" i="1"/>
  <c r="EF143" i="1"/>
  <c r="EG143" i="1"/>
  <c r="EH143" i="1"/>
  <c r="EI143" i="1"/>
  <c r="EJ143" i="1"/>
  <c r="EK143" i="1"/>
  <c r="EV143" i="1"/>
  <c r="EW143" i="1"/>
  <c r="EX143" i="1"/>
  <c r="FD143" i="1"/>
  <c r="FG143" i="1"/>
  <c r="FI143" i="1"/>
  <c r="Z142" i="1"/>
  <c r="AJ142" i="1"/>
  <c r="AN142" i="1"/>
  <c r="BS142" i="1"/>
  <c r="BU142" i="1" s="1"/>
  <c r="CL142" i="1"/>
  <c r="CM142" i="1"/>
  <c r="CN142" i="1"/>
  <c r="CO142" i="1"/>
  <c r="CP142" i="1"/>
  <c r="CQ142" i="1"/>
  <c r="CR142" i="1"/>
  <c r="CS142" i="1"/>
  <c r="CT142" i="1"/>
  <c r="CU142" i="1"/>
  <c r="CV142" i="1"/>
  <c r="CW142" i="1"/>
  <c r="CX142" i="1"/>
  <c r="CY142" i="1"/>
  <c r="CZ142" i="1"/>
  <c r="DA142" i="1"/>
  <c r="DB142" i="1"/>
  <c r="DC142" i="1"/>
  <c r="DD142" i="1"/>
  <c r="DE142" i="1"/>
  <c r="DF142" i="1"/>
  <c r="DG142" i="1"/>
  <c r="DH142" i="1"/>
  <c r="DI142" i="1"/>
  <c r="DJ142" i="1"/>
  <c r="DK142" i="1"/>
  <c r="DL142" i="1"/>
  <c r="DM142" i="1"/>
  <c r="DN142" i="1"/>
  <c r="DO142" i="1"/>
  <c r="DP142" i="1"/>
  <c r="DQ142" i="1"/>
  <c r="DR142" i="1"/>
  <c r="DS142" i="1"/>
  <c r="DT142" i="1"/>
  <c r="DU142" i="1"/>
  <c r="DV142" i="1"/>
  <c r="DW142" i="1"/>
  <c r="DX142" i="1"/>
  <c r="DY142" i="1"/>
  <c r="DZ142" i="1"/>
  <c r="EA142" i="1"/>
  <c r="EB142" i="1"/>
  <c r="EC142" i="1"/>
  <c r="ED142" i="1"/>
  <c r="EE142" i="1"/>
  <c r="EF142" i="1"/>
  <c r="EG142" i="1"/>
  <c r="EH142" i="1"/>
  <c r="EI142" i="1"/>
  <c r="EJ142" i="1"/>
  <c r="EK142" i="1"/>
  <c r="EV142" i="1"/>
  <c r="EW142" i="1"/>
  <c r="EX142" i="1"/>
  <c r="FD142" i="1"/>
  <c r="FG142" i="1"/>
  <c r="FI142" i="1"/>
  <c r="Z141" i="1"/>
  <c r="AJ141" i="1"/>
  <c r="AN141" i="1"/>
  <c r="BS141" i="1"/>
  <c r="BU141" i="1" s="1"/>
  <c r="CL141" i="1"/>
  <c r="CM141" i="1"/>
  <c r="CN141" i="1"/>
  <c r="CO141" i="1"/>
  <c r="CP141" i="1"/>
  <c r="CQ141" i="1"/>
  <c r="CR141" i="1"/>
  <c r="CS141" i="1"/>
  <c r="CT141" i="1"/>
  <c r="CU141" i="1"/>
  <c r="CV141" i="1"/>
  <c r="CW141" i="1"/>
  <c r="CX141" i="1"/>
  <c r="CY141" i="1"/>
  <c r="CZ141" i="1"/>
  <c r="DA141" i="1"/>
  <c r="DB141" i="1"/>
  <c r="DC141" i="1"/>
  <c r="DD141" i="1"/>
  <c r="DE141" i="1"/>
  <c r="DF141" i="1"/>
  <c r="DG141" i="1"/>
  <c r="DH141" i="1"/>
  <c r="DI141" i="1"/>
  <c r="DJ141" i="1"/>
  <c r="DK141" i="1"/>
  <c r="DL141" i="1"/>
  <c r="DM141" i="1"/>
  <c r="DN141" i="1"/>
  <c r="DO141" i="1"/>
  <c r="DP141" i="1"/>
  <c r="DQ141" i="1"/>
  <c r="DR141" i="1"/>
  <c r="DS141" i="1"/>
  <c r="DT141" i="1"/>
  <c r="DU141" i="1"/>
  <c r="DV141" i="1"/>
  <c r="DW141" i="1"/>
  <c r="DX141" i="1"/>
  <c r="DY141" i="1"/>
  <c r="DZ141" i="1"/>
  <c r="EA141" i="1"/>
  <c r="EB141" i="1"/>
  <c r="EC141" i="1"/>
  <c r="ED141" i="1"/>
  <c r="EE141" i="1"/>
  <c r="EF141" i="1"/>
  <c r="EG141" i="1"/>
  <c r="EH141" i="1"/>
  <c r="EI141" i="1"/>
  <c r="EJ141" i="1"/>
  <c r="EK141" i="1"/>
  <c r="EV141" i="1"/>
  <c r="EW141" i="1"/>
  <c r="EX141" i="1"/>
  <c r="FD141" i="1"/>
  <c r="FG141" i="1"/>
  <c r="FI141" i="1"/>
  <c r="Z140" i="1"/>
  <c r="AJ140" i="1"/>
  <c r="AN140" i="1"/>
  <c r="BS140" i="1"/>
  <c r="BU140" i="1" s="1"/>
  <c r="CL140" i="1"/>
  <c r="CM140" i="1"/>
  <c r="CN140" i="1"/>
  <c r="CO140" i="1"/>
  <c r="CP140" i="1"/>
  <c r="CQ140" i="1"/>
  <c r="CR140" i="1"/>
  <c r="CS140" i="1"/>
  <c r="CT140" i="1"/>
  <c r="CU140" i="1"/>
  <c r="CV140" i="1"/>
  <c r="CW140" i="1"/>
  <c r="CX140" i="1"/>
  <c r="CY140" i="1"/>
  <c r="CZ140" i="1"/>
  <c r="DA140" i="1"/>
  <c r="DB140" i="1"/>
  <c r="DC140" i="1"/>
  <c r="DD140" i="1"/>
  <c r="DE140" i="1"/>
  <c r="DF140" i="1"/>
  <c r="DG140" i="1"/>
  <c r="DH140" i="1"/>
  <c r="DI140" i="1"/>
  <c r="DJ140" i="1"/>
  <c r="DK140" i="1"/>
  <c r="DL140" i="1"/>
  <c r="DM140" i="1"/>
  <c r="DN140" i="1"/>
  <c r="DO140" i="1"/>
  <c r="DP140" i="1"/>
  <c r="DQ140" i="1"/>
  <c r="DR140" i="1"/>
  <c r="DS140" i="1"/>
  <c r="DT140" i="1"/>
  <c r="DU140" i="1"/>
  <c r="DV140" i="1"/>
  <c r="DW140" i="1"/>
  <c r="DX140" i="1"/>
  <c r="DY140" i="1"/>
  <c r="DZ140" i="1"/>
  <c r="EA140" i="1"/>
  <c r="EB140" i="1"/>
  <c r="EC140" i="1"/>
  <c r="ED140" i="1"/>
  <c r="EE140" i="1"/>
  <c r="EF140" i="1"/>
  <c r="EG140" i="1"/>
  <c r="EH140" i="1"/>
  <c r="EI140" i="1"/>
  <c r="EJ140" i="1"/>
  <c r="EK140" i="1"/>
  <c r="EV140" i="1"/>
  <c r="EW140" i="1"/>
  <c r="EX140" i="1"/>
  <c r="FD140" i="1"/>
  <c r="FG140" i="1"/>
  <c r="FI140" i="1"/>
  <c r="R139" i="1"/>
  <c r="Z139" i="1"/>
  <c r="AJ139" i="1"/>
  <c r="AN139" i="1"/>
  <c r="BS139" i="1"/>
  <c r="BU139" i="1" s="1"/>
  <c r="CL139" i="1"/>
  <c r="CM139" i="1"/>
  <c r="CN139" i="1"/>
  <c r="CO139" i="1"/>
  <c r="CP139" i="1"/>
  <c r="CQ139" i="1"/>
  <c r="CR139" i="1"/>
  <c r="CS139" i="1"/>
  <c r="CT139" i="1"/>
  <c r="CU139" i="1"/>
  <c r="CV139" i="1"/>
  <c r="CW139" i="1"/>
  <c r="CX139" i="1"/>
  <c r="CY139" i="1"/>
  <c r="CZ139" i="1"/>
  <c r="DA139" i="1"/>
  <c r="DB139" i="1"/>
  <c r="DC139" i="1"/>
  <c r="DD139" i="1"/>
  <c r="DE139" i="1"/>
  <c r="DF139" i="1"/>
  <c r="DG139" i="1"/>
  <c r="DH139" i="1"/>
  <c r="DI139" i="1"/>
  <c r="DJ139" i="1"/>
  <c r="DK139" i="1"/>
  <c r="DL139" i="1"/>
  <c r="DM139" i="1"/>
  <c r="DN139" i="1"/>
  <c r="DO139" i="1"/>
  <c r="DP139" i="1"/>
  <c r="DQ139" i="1"/>
  <c r="DR139" i="1"/>
  <c r="DS139" i="1"/>
  <c r="DT139" i="1"/>
  <c r="DU139" i="1"/>
  <c r="DW139" i="1"/>
  <c r="DX139" i="1"/>
  <c r="DY139" i="1"/>
  <c r="DZ139" i="1"/>
  <c r="EA139" i="1"/>
  <c r="EB139" i="1"/>
  <c r="EC139" i="1"/>
  <c r="ED139" i="1"/>
  <c r="EE139" i="1"/>
  <c r="EF139" i="1"/>
  <c r="EG139" i="1"/>
  <c r="EH139" i="1"/>
  <c r="EI139" i="1"/>
  <c r="EJ139" i="1"/>
  <c r="EK139" i="1"/>
  <c r="EV139" i="1"/>
  <c r="EW139" i="1"/>
  <c r="EX139" i="1"/>
  <c r="FD139" i="1"/>
  <c r="FG139" i="1"/>
  <c r="FI139" i="1"/>
  <c r="R138" i="1"/>
  <c r="Z138" i="1"/>
  <c r="AJ138" i="1"/>
  <c r="AN138" i="1"/>
  <c r="BS138" i="1"/>
  <c r="BU138" i="1" s="1"/>
  <c r="CL138" i="1"/>
  <c r="CM138" i="1"/>
  <c r="CN138" i="1"/>
  <c r="CO138" i="1"/>
  <c r="CP138" i="1"/>
  <c r="CQ138" i="1"/>
  <c r="CR138" i="1"/>
  <c r="CS138" i="1"/>
  <c r="CT138" i="1"/>
  <c r="CU138" i="1"/>
  <c r="CV138" i="1"/>
  <c r="CW138" i="1"/>
  <c r="CX138" i="1"/>
  <c r="CY138" i="1"/>
  <c r="CZ138" i="1"/>
  <c r="DA138" i="1"/>
  <c r="DB138" i="1"/>
  <c r="DC138" i="1"/>
  <c r="DD138" i="1"/>
  <c r="DE138" i="1"/>
  <c r="DF138" i="1"/>
  <c r="DG138" i="1"/>
  <c r="DH138" i="1"/>
  <c r="DI138" i="1"/>
  <c r="DJ138" i="1"/>
  <c r="DK138" i="1"/>
  <c r="DL138" i="1"/>
  <c r="DM138" i="1"/>
  <c r="DN138" i="1"/>
  <c r="DO138" i="1"/>
  <c r="DP138" i="1"/>
  <c r="DQ138" i="1"/>
  <c r="DR138" i="1"/>
  <c r="DS138" i="1"/>
  <c r="DT138" i="1"/>
  <c r="DU138" i="1"/>
  <c r="DW138" i="1"/>
  <c r="DX138" i="1"/>
  <c r="DY138" i="1"/>
  <c r="DZ138" i="1"/>
  <c r="EA138" i="1"/>
  <c r="EB138" i="1"/>
  <c r="EC138" i="1"/>
  <c r="ED138" i="1"/>
  <c r="EE138" i="1"/>
  <c r="EF138" i="1"/>
  <c r="EG138" i="1"/>
  <c r="EH138" i="1"/>
  <c r="EI138" i="1"/>
  <c r="EJ138" i="1"/>
  <c r="EK138" i="1"/>
  <c r="EV138" i="1"/>
  <c r="EW138" i="1"/>
  <c r="EX138" i="1"/>
  <c r="FD138" i="1"/>
  <c r="FG138" i="1"/>
  <c r="FI138" i="1"/>
  <c r="R137" i="1"/>
  <c r="Z137" i="1"/>
  <c r="AJ137" i="1"/>
  <c r="AN137" i="1"/>
  <c r="BS137" i="1"/>
  <c r="BU137" i="1" s="1"/>
  <c r="CL137" i="1"/>
  <c r="CM137" i="1"/>
  <c r="CN137" i="1"/>
  <c r="CO137" i="1"/>
  <c r="CP137" i="1"/>
  <c r="CQ137" i="1"/>
  <c r="CR137" i="1"/>
  <c r="CS137" i="1"/>
  <c r="CT137" i="1"/>
  <c r="CU137" i="1"/>
  <c r="CV137" i="1"/>
  <c r="CW137" i="1"/>
  <c r="CX137" i="1"/>
  <c r="CY137" i="1"/>
  <c r="CZ137" i="1"/>
  <c r="DA137" i="1"/>
  <c r="DB137" i="1"/>
  <c r="DC137" i="1"/>
  <c r="DD137" i="1"/>
  <c r="DE137" i="1"/>
  <c r="DF137" i="1"/>
  <c r="DG137" i="1"/>
  <c r="DH137" i="1"/>
  <c r="DI137" i="1"/>
  <c r="DJ137" i="1"/>
  <c r="DK137" i="1"/>
  <c r="DL137" i="1"/>
  <c r="DM137" i="1"/>
  <c r="DN137" i="1"/>
  <c r="DO137" i="1"/>
  <c r="DP137" i="1"/>
  <c r="DQ137" i="1"/>
  <c r="DR137" i="1"/>
  <c r="DS137" i="1"/>
  <c r="DT137" i="1"/>
  <c r="DU137" i="1"/>
  <c r="DW137" i="1"/>
  <c r="DX137" i="1"/>
  <c r="DY137" i="1"/>
  <c r="DZ137" i="1"/>
  <c r="EA137" i="1"/>
  <c r="EB137" i="1"/>
  <c r="EC137" i="1"/>
  <c r="ED137" i="1"/>
  <c r="EE137" i="1"/>
  <c r="EF137" i="1"/>
  <c r="EG137" i="1"/>
  <c r="EH137" i="1"/>
  <c r="EI137" i="1"/>
  <c r="EJ137" i="1"/>
  <c r="EK137" i="1"/>
  <c r="EV137" i="1"/>
  <c r="EW137" i="1"/>
  <c r="EX137" i="1"/>
  <c r="FD137" i="1"/>
  <c r="FG137" i="1"/>
  <c r="FI137" i="1"/>
  <c r="R136" i="1"/>
  <c r="Z136" i="1"/>
  <c r="AJ136" i="1"/>
  <c r="AN136" i="1"/>
  <c r="BS136" i="1"/>
  <c r="BU136" i="1" s="1"/>
  <c r="CL136" i="1"/>
  <c r="CM136" i="1"/>
  <c r="CN136" i="1"/>
  <c r="CO136" i="1"/>
  <c r="CP136" i="1"/>
  <c r="CQ136" i="1"/>
  <c r="CR136" i="1"/>
  <c r="CS136" i="1"/>
  <c r="CT136" i="1"/>
  <c r="CU136" i="1"/>
  <c r="CV136" i="1"/>
  <c r="CW136" i="1"/>
  <c r="CX136" i="1"/>
  <c r="CY136" i="1"/>
  <c r="CZ136" i="1"/>
  <c r="DA136" i="1"/>
  <c r="DB136" i="1"/>
  <c r="DC136" i="1"/>
  <c r="DD136" i="1"/>
  <c r="DE136" i="1"/>
  <c r="DF136" i="1"/>
  <c r="DG136" i="1"/>
  <c r="DH136" i="1"/>
  <c r="DI136" i="1"/>
  <c r="DJ136" i="1"/>
  <c r="DK136" i="1"/>
  <c r="DL136" i="1"/>
  <c r="DM136" i="1"/>
  <c r="DN136" i="1"/>
  <c r="DO136" i="1"/>
  <c r="DP136" i="1"/>
  <c r="DQ136" i="1"/>
  <c r="DR136" i="1"/>
  <c r="DS136" i="1"/>
  <c r="DT136" i="1"/>
  <c r="DU136" i="1"/>
  <c r="DW136" i="1"/>
  <c r="DX136" i="1"/>
  <c r="DY136" i="1"/>
  <c r="DZ136" i="1"/>
  <c r="EA136" i="1"/>
  <c r="EB136" i="1"/>
  <c r="EC136" i="1"/>
  <c r="ED136" i="1"/>
  <c r="EE136" i="1"/>
  <c r="EF136" i="1"/>
  <c r="EG136" i="1"/>
  <c r="EH136" i="1"/>
  <c r="EI136" i="1"/>
  <c r="EJ136" i="1"/>
  <c r="EK136" i="1"/>
  <c r="EV136" i="1"/>
  <c r="EW136" i="1"/>
  <c r="EX136" i="1"/>
  <c r="FD136" i="1"/>
  <c r="FG136" i="1"/>
  <c r="FI136" i="1"/>
  <c r="R135" i="1"/>
  <c r="Z135" i="1"/>
  <c r="AJ135" i="1"/>
  <c r="AN135" i="1"/>
  <c r="BS135" i="1"/>
  <c r="BU135" i="1" s="1"/>
  <c r="CL135" i="1"/>
  <c r="CM135" i="1"/>
  <c r="CN135" i="1"/>
  <c r="CO135" i="1"/>
  <c r="CP135" i="1"/>
  <c r="CQ135" i="1"/>
  <c r="CR135" i="1"/>
  <c r="CS135" i="1"/>
  <c r="CT135" i="1"/>
  <c r="CU135" i="1"/>
  <c r="CV135" i="1"/>
  <c r="CW135" i="1"/>
  <c r="CX135" i="1"/>
  <c r="CY135" i="1"/>
  <c r="CZ135" i="1"/>
  <c r="DA135" i="1"/>
  <c r="DB135" i="1"/>
  <c r="DC135" i="1"/>
  <c r="DD135" i="1"/>
  <c r="DE135" i="1"/>
  <c r="DF135" i="1"/>
  <c r="DG135" i="1"/>
  <c r="DH135" i="1"/>
  <c r="DI135" i="1"/>
  <c r="DJ135" i="1"/>
  <c r="DK135" i="1"/>
  <c r="DL135" i="1"/>
  <c r="DM135" i="1"/>
  <c r="DN135" i="1"/>
  <c r="DO135" i="1"/>
  <c r="DP135" i="1"/>
  <c r="DQ135" i="1"/>
  <c r="DR135" i="1"/>
  <c r="DS135" i="1"/>
  <c r="DT135" i="1"/>
  <c r="DU135" i="1"/>
  <c r="DW135" i="1"/>
  <c r="DX135" i="1"/>
  <c r="DY135" i="1"/>
  <c r="DZ135" i="1"/>
  <c r="EA135" i="1"/>
  <c r="EB135" i="1"/>
  <c r="EC135" i="1"/>
  <c r="ED135" i="1"/>
  <c r="EE135" i="1"/>
  <c r="EF135" i="1"/>
  <c r="EG135" i="1"/>
  <c r="EH135" i="1"/>
  <c r="EI135" i="1"/>
  <c r="EJ135" i="1"/>
  <c r="EK135" i="1"/>
  <c r="EV135" i="1"/>
  <c r="EW135" i="1"/>
  <c r="EX135" i="1"/>
  <c r="FD135" i="1"/>
  <c r="FG135" i="1"/>
  <c r="FI135" i="1"/>
  <c r="R134" i="1"/>
  <c r="Z134" i="1"/>
  <c r="AJ134" i="1"/>
  <c r="AN134" i="1"/>
  <c r="BS134" i="1"/>
  <c r="BU134" i="1" s="1"/>
  <c r="CL134" i="1"/>
  <c r="CM134" i="1"/>
  <c r="CN134" i="1"/>
  <c r="CO134" i="1"/>
  <c r="CP134" i="1"/>
  <c r="CQ134" i="1"/>
  <c r="CR134" i="1"/>
  <c r="CS134" i="1"/>
  <c r="CT134" i="1"/>
  <c r="CU134" i="1"/>
  <c r="CV134" i="1"/>
  <c r="CW134" i="1"/>
  <c r="CX134" i="1"/>
  <c r="CY134" i="1"/>
  <c r="CZ134" i="1"/>
  <c r="DA134" i="1"/>
  <c r="DB134" i="1"/>
  <c r="DC134" i="1"/>
  <c r="DD134" i="1"/>
  <c r="DE134" i="1"/>
  <c r="DF134" i="1"/>
  <c r="DG134" i="1"/>
  <c r="DH134" i="1"/>
  <c r="DI134" i="1"/>
  <c r="DJ134" i="1"/>
  <c r="DK134" i="1"/>
  <c r="DL134" i="1"/>
  <c r="DM134" i="1"/>
  <c r="DN134" i="1"/>
  <c r="DO134" i="1"/>
  <c r="DP134" i="1"/>
  <c r="DQ134" i="1"/>
  <c r="DR134" i="1"/>
  <c r="DS134" i="1"/>
  <c r="DT134" i="1"/>
  <c r="DU134" i="1"/>
  <c r="DW134" i="1"/>
  <c r="DX134" i="1"/>
  <c r="DY134" i="1"/>
  <c r="DZ134" i="1"/>
  <c r="EA134" i="1"/>
  <c r="EB134" i="1"/>
  <c r="EC134" i="1"/>
  <c r="ED134" i="1"/>
  <c r="EE134" i="1"/>
  <c r="EF134" i="1"/>
  <c r="EG134" i="1"/>
  <c r="EH134" i="1"/>
  <c r="EI134" i="1"/>
  <c r="EJ134" i="1"/>
  <c r="EK134" i="1"/>
  <c r="EV134" i="1"/>
  <c r="EW134" i="1"/>
  <c r="EX134" i="1"/>
  <c r="FD134" i="1"/>
  <c r="FG134" i="1"/>
  <c r="FI134" i="1"/>
  <c r="R133" i="1"/>
  <c r="Z133" i="1"/>
  <c r="AJ133" i="1"/>
  <c r="AN133" i="1"/>
  <c r="BS133" i="1"/>
  <c r="BU133" i="1" s="1"/>
  <c r="CL133" i="1"/>
  <c r="CM133" i="1"/>
  <c r="CN133" i="1"/>
  <c r="CO133" i="1"/>
  <c r="CP133" i="1"/>
  <c r="CQ133" i="1"/>
  <c r="CR133" i="1"/>
  <c r="CS133" i="1"/>
  <c r="CT133" i="1"/>
  <c r="CU133" i="1"/>
  <c r="CV133" i="1"/>
  <c r="CW133" i="1"/>
  <c r="CX133" i="1"/>
  <c r="CY133" i="1"/>
  <c r="CZ133" i="1"/>
  <c r="DA133" i="1"/>
  <c r="DB133" i="1"/>
  <c r="DC133" i="1"/>
  <c r="DD133" i="1"/>
  <c r="DE133" i="1"/>
  <c r="DF133" i="1"/>
  <c r="DG133" i="1"/>
  <c r="DH133" i="1"/>
  <c r="DI133" i="1"/>
  <c r="DJ133" i="1"/>
  <c r="DK133" i="1"/>
  <c r="DL133" i="1"/>
  <c r="DM133" i="1"/>
  <c r="DN133" i="1"/>
  <c r="DO133" i="1"/>
  <c r="DP133" i="1"/>
  <c r="DQ133" i="1"/>
  <c r="DR133" i="1"/>
  <c r="DS133" i="1"/>
  <c r="DT133" i="1"/>
  <c r="DU133" i="1"/>
  <c r="DW133" i="1"/>
  <c r="DX133" i="1"/>
  <c r="DY133" i="1"/>
  <c r="DZ133" i="1"/>
  <c r="EA133" i="1"/>
  <c r="EB133" i="1"/>
  <c r="EC133" i="1"/>
  <c r="ED133" i="1"/>
  <c r="EE133" i="1"/>
  <c r="EF133" i="1"/>
  <c r="EG133" i="1"/>
  <c r="EH133" i="1"/>
  <c r="EI133" i="1"/>
  <c r="EJ133" i="1"/>
  <c r="EK133" i="1"/>
  <c r="EV133" i="1"/>
  <c r="EW133" i="1"/>
  <c r="EX133" i="1"/>
  <c r="FD133" i="1"/>
  <c r="FG133" i="1"/>
  <c r="FI133" i="1"/>
  <c r="R132" i="1"/>
  <c r="Z132" i="1"/>
  <c r="AJ132" i="1"/>
  <c r="AN132" i="1"/>
  <c r="BS132" i="1"/>
  <c r="BU132" i="1" s="1"/>
  <c r="CL132" i="1"/>
  <c r="CM132" i="1"/>
  <c r="CN132" i="1"/>
  <c r="CO132" i="1"/>
  <c r="CP132" i="1"/>
  <c r="CQ132" i="1"/>
  <c r="CR132" i="1"/>
  <c r="CS132" i="1"/>
  <c r="CT132" i="1"/>
  <c r="CU132" i="1"/>
  <c r="CV132" i="1"/>
  <c r="CW132" i="1"/>
  <c r="CX132" i="1"/>
  <c r="CY132" i="1"/>
  <c r="CZ132" i="1"/>
  <c r="DA132" i="1"/>
  <c r="DB132" i="1"/>
  <c r="DC132" i="1"/>
  <c r="DD132" i="1"/>
  <c r="DE132" i="1"/>
  <c r="DF132" i="1"/>
  <c r="DG132" i="1"/>
  <c r="DH132" i="1"/>
  <c r="DI132" i="1"/>
  <c r="DJ132" i="1"/>
  <c r="DK132" i="1"/>
  <c r="DL132" i="1"/>
  <c r="DM132" i="1"/>
  <c r="DN132" i="1"/>
  <c r="DO132" i="1"/>
  <c r="DP132" i="1"/>
  <c r="DQ132" i="1"/>
  <c r="DR132" i="1"/>
  <c r="DS132" i="1"/>
  <c r="DT132" i="1"/>
  <c r="DU132" i="1"/>
  <c r="DW132" i="1"/>
  <c r="DX132" i="1"/>
  <c r="DY132" i="1"/>
  <c r="DZ132" i="1"/>
  <c r="EA132" i="1"/>
  <c r="EB132" i="1"/>
  <c r="EC132" i="1"/>
  <c r="ED132" i="1"/>
  <c r="EE132" i="1"/>
  <c r="EF132" i="1"/>
  <c r="EG132" i="1"/>
  <c r="EH132" i="1"/>
  <c r="EI132" i="1"/>
  <c r="EJ132" i="1"/>
  <c r="EK132" i="1"/>
  <c r="EV132" i="1"/>
  <c r="EW132" i="1"/>
  <c r="EX132" i="1"/>
  <c r="FD132" i="1"/>
  <c r="FG132" i="1"/>
  <c r="FI132" i="1"/>
  <c r="R131" i="1"/>
  <c r="Z131" i="1"/>
  <c r="AJ131" i="1"/>
  <c r="AN131" i="1"/>
  <c r="BS131" i="1"/>
  <c r="BU131" i="1" s="1"/>
  <c r="CL131" i="1"/>
  <c r="CN131" i="1"/>
  <c r="CO131" i="1"/>
  <c r="CP131" i="1"/>
  <c r="CQ131" i="1"/>
  <c r="CR131" i="1"/>
  <c r="CS131" i="1"/>
  <c r="CT131" i="1"/>
  <c r="CV131" i="1"/>
  <c r="CW131" i="1"/>
  <c r="CY131" i="1"/>
  <c r="CZ131" i="1"/>
  <c r="DA131" i="1"/>
  <c r="DB131" i="1"/>
  <c r="DC131" i="1"/>
  <c r="DD131" i="1"/>
  <c r="DE131" i="1"/>
  <c r="DF131" i="1"/>
  <c r="DG131" i="1"/>
  <c r="DH131" i="1"/>
  <c r="DI131" i="1"/>
  <c r="DJ131" i="1"/>
  <c r="DK131" i="1"/>
  <c r="DL131" i="1"/>
  <c r="DM131" i="1"/>
  <c r="DN131" i="1"/>
  <c r="DO131" i="1"/>
  <c r="DP131" i="1"/>
  <c r="DQ131" i="1"/>
  <c r="DR131" i="1"/>
  <c r="DS131" i="1"/>
  <c r="DT131" i="1"/>
  <c r="DU131" i="1"/>
  <c r="DV131" i="1"/>
  <c r="DW131" i="1"/>
  <c r="DX131" i="1"/>
  <c r="DY131" i="1"/>
  <c r="DZ131" i="1"/>
  <c r="EA131" i="1"/>
  <c r="EB131" i="1"/>
  <c r="EC131" i="1"/>
  <c r="ED131" i="1"/>
  <c r="EE131" i="1"/>
  <c r="EF131" i="1"/>
  <c r="EG131" i="1"/>
  <c r="EH131" i="1"/>
  <c r="EI131" i="1"/>
  <c r="EJ131" i="1"/>
  <c r="EK131" i="1"/>
  <c r="EV131" i="1"/>
  <c r="EW131" i="1"/>
  <c r="EX131" i="1"/>
  <c r="FD131" i="1"/>
  <c r="FG131" i="1"/>
  <c r="FI131" i="1"/>
  <c r="R130" i="1"/>
  <c r="Z130" i="1"/>
  <c r="AJ130" i="1"/>
  <c r="AN130" i="1"/>
  <c r="BS130" i="1"/>
  <c r="BU130" i="1" s="1"/>
  <c r="CL130" i="1"/>
  <c r="CN130" i="1"/>
  <c r="CO130" i="1"/>
  <c r="CP130" i="1"/>
  <c r="CQ130" i="1"/>
  <c r="CR130" i="1"/>
  <c r="CS130" i="1"/>
  <c r="CT130" i="1"/>
  <c r="CV130" i="1"/>
  <c r="CW130" i="1"/>
  <c r="CY130" i="1"/>
  <c r="CZ130" i="1"/>
  <c r="DA130" i="1"/>
  <c r="DB130" i="1"/>
  <c r="DC130" i="1"/>
  <c r="DD130" i="1"/>
  <c r="DE130" i="1"/>
  <c r="DF130" i="1"/>
  <c r="DG130" i="1"/>
  <c r="DH130" i="1"/>
  <c r="DI130" i="1"/>
  <c r="DJ130" i="1"/>
  <c r="DK130" i="1"/>
  <c r="DL130" i="1"/>
  <c r="DM130" i="1"/>
  <c r="DN130" i="1"/>
  <c r="DO130" i="1"/>
  <c r="DP130" i="1"/>
  <c r="DQ130" i="1"/>
  <c r="DR130" i="1"/>
  <c r="DS130" i="1"/>
  <c r="DT130" i="1"/>
  <c r="DU130" i="1"/>
  <c r="DV130" i="1"/>
  <c r="DW130" i="1"/>
  <c r="DX130" i="1"/>
  <c r="DY130" i="1"/>
  <c r="DZ130" i="1"/>
  <c r="EA130" i="1"/>
  <c r="EB130" i="1"/>
  <c r="EC130" i="1"/>
  <c r="ED130" i="1"/>
  <c r="EE130" i="1"/>
  <c r="EF130" i="1"/>
  <c r="EG130" i="1"/>
  <c r="EH130" i="1"/>
  <c r="EI130" i="1"/>
  <c r="EJ130" i="1"/>
  <c r="EK130" i="1"/>
  <c r="EV130" i="1"/>
  <c r="EW130" i="1"/>
  <c r="EX130" i="1"/>
  <c r="FD130" i="1"/>
  <c r="FG130" i="1"/>
  <c r="FI130" i="1"/>
  <c r="R129" i="1"/>
  <c r="Z129" i="1"/>
  <c r="AJ129" i="1"/>
  <c r="AN129" i="1"/>
  <c r="BS129" i="1"/>
  <c r="BU129" i="1" s="1"/>
  <c r="CL129" i="1"/>
  <c r="CN129" i="1"/>
  <c r="CO129" i="1"/>
  <c r="CP129" i="1"/>
  <c r="CQ129" i="1"/>
  <c r="CR129" i="1"/>
  <c r="CS129" i="1"/>
  <c r="CT129" i="1"/>
  <c r="CV129" i="1"/>
  <c r="CW129" i="1"/>
  <c r="CY129" i="1"/>
  <c r="CZ129" i="1"/>
  <c r="DA129" i="1"/>
  <c r="DB129" i="1"/>
  <c r="DC129" i="1"/>
  <c r="DD129" i="1"/>
  <c r="DE129" i="1"/>
  <c r="DF129" i="1"/>
  <c r="DG129" i="1"/>
  <c r="DH129" i="1"/>
  <c r="DI129" i="1"/>
  <c r="DJ129" i="1"/>
  <c r="DK129" i="1"/>
  <c r="DL129" i="1"/>
  <c r="DM129" i="1"/>
  <c r="DN129" i="1"/>
  <c r="DO129" i="1"/>
  <c r="DP129" i="1"/>
  <c r="DQ129" i="1"/>
  <c r="DR129" i="1"/>
  <c r="DS129" i="1"/>
  <c r="DT129" i="1"/>
  <c r="DU129" i="1"/>
  <c r="DV129" i="1"/>
  <c r="DW129" i="1"/>
  <c r="DX129" i="1"/>
  <c r="DY129" i="1"/>
  <c r="DZ129" i="1"/>
  <c r="EA129" i="1"/>
  <c r="EB129" i="1"/>
  <c r="EC129" i="1"/>
  <c r="ED129" i="1"/>
  <c r="EE129" i="1"/>
  <c r="EF129" i="1"/>
  <c r="EG129" i="1"/>
  <c r="EH129" i="1"/>
  <c r="EI129" i="1"/>
  <c r="EJ129" i="1"/>
  <c r="EK129" i="1"/>
  <c r="EV129" i="1"/>
  <c r="EW129" i="1"/>
  <c r="EX129" i="1"/>
  <c r="FD129" i="1"/>
  <c r="FG129" i="1"/>
  <c r="FI129" i="1"/>
  <c r="R128" i="1"/>
  <c r="Z128" i="1"/>
  <c r="AJ128" i="1"/>
  <c r="AN128" i="1"/>
  <c r="BS128" i="1"/>
  <c r="BU128" i="1" s="1"/>
  <c r="CL128" i="1"/>
  <c r="CN128" i="1"/>
  <c r="CO128" i="1"/>
  <c r="CP128" i="1"/>
  <c r="CQ128" i="1"/>
  <c r="CR128" i="1"/>
  <c r="CS128" i="1"/>
  <c r="CT128" i="1"/>
  <c r="CV128" i="1"/>
  <c r="CW128" i="1"/>
  <c r="CY128" i="1"/>
  <c r="CZ128" i="1"/>
  <c r="DA128" i="1"/>
  <c r="DB128" i="1"/>
  <c r="DC128" i="1"/>
  <c r="DD128" i="1"/>
  <c r="DE128" i="1"/>
  <c r="DF128" i="1"/>
  <c r="DG128" i="1"/>
  <c r="DH128" i="1"/>
  <c r="DI128" i="1"/>
  <c r="DJ128" i="1"/>
  <c r="DK128" i="1"/>
  <c r="DL128" i="1"/>
  <c r="DM128" i="1"/>
  <c r="DN128" i="1"/>
  <c r="DO128" i="1"/>
  <c r="DP128" i="1"/>
  <c r="DQ128" i="1"/>
  <c r="DR128" i="1"/>
  <c r="DS128" i="1"/>
  <c r="DT128" i="1"/>
  <c r="DU128" i="1"/>
  <c r="DV128" i="1"/>
  <c r="DW128" i="1"/>
  <c r="DX128" i="1"/>
  <c r="DY128" i="1"/>
  <c r="DZ128" i="1"/>
  <c r="EA128" i="1"/>
  <c r="EB128" i="1"/>
  <c r="EC128" i="1"/>
  <c r="ED128" i="1"/>
  <c r="EE128" i="1"/>
  <c r="EF128" i="1"/>
  <c r="EG128" i="1"/>
  <c r="EH128" i="1"/>
  <c r="EI128" i="1"/>
  <c r="EJ128" i="1"/>
  <c r="EK128" i="1"/>
  <c r="EV128" i="1"/>
  <c r="EW128" i="1"/>
  <c r="EX128" i="1"/>
  <c r="FD128" i="1"/>
  <c r="FG128" i="1"/>
  <c r="FI128" i="1"/>
  <c r="R127" i="1"/>
  <c r="Z127" i="1"/>
  <c r="AJ127" i="1"/>
  <c r="AN127" i="1"/>
  <c r="BS127" i="1"/>
  <c r="BU127" i="1" s="1"/>
  <c r="CL127" i="1"/>
  <c r="CN127" i="1"/>
  <c r="CO127" i="1"/>
  <c r="CP127" i="1"/>
  <c r="CQ127" i="1"/>
  <c r="CR127" i="1"/>
  <c r="CS127" i="1"/>
  <c r="CT127" i="1"/>
  <c r="CV127" i="1"/>
  <c r="CW127" i="1"/>
  <c r="CY127" i="1"/>
  <c r="CZ127" i="1"/>
  <c r="DA127" i="1"/>
  <c r="DB127" i="1"/>
  <c r="DC127" i="1"/>
  <c r="DD127" i="1"/>
  <c r="DE127" i="1"/>
  <c r="DF127" i="1"/>
  <c r="DG127" i="1"/>
  <c r="DH127" i="1"/>
  <c r="DI127" i="1"/>
  <c r="DJ127" i="1"/>
  <c r="DK127" i="1"/>
  <c r="DL127" i="1"/>
  <c r="DM127" i="1"/>
  <c r="DN127" i="1"/>
  <c r="DO127" i="1"/>
  <c r="DP127" i="1"/>
  <c r="DQ127" i="1"/>
  <c r="DR127" i="1"/>
  <c r="DS127" i="1"/>
  <c r="DT127" i="1"/>
  <c r="DU127" i="1"/>
  <c r="DV127" i="1"/>
  <c r="DW127" i="1"/>
  <c r="DX127" i="1"/>
  <c r="DY127" i="1"/>
  <c r="DZ127" i="1"/>
  <c r="EA127" i="1"/>
  <c r="EB127" i="1"/>
  <c r="EC127" i="1"/>
  <c r="ED127" i="1"/>
  <c r="EE127" i="1"/>
  <c r="EF127" i="1"/>
  <c r="EG127" i="1"/>
  <c r="EH127" i="1"/>
  <c r="EI127" i="1"/>
  <c r="EJ127" i="1"/>
  <c r="EK127" i="1"/>
  <c r="EV127" i="1"/>
  <c r="EW127" i="1"/>
  <c r="EX127" i="1"/>
  <c r="FD127" i="1"/>
  <c r="FG127" i="1"/>
  <c r="FI127" i="1"/>
  <c r="R126" i="1"/>
  <c r="Z126" i="1"/>
  <c r="AJ126" i="1"/>
  <c r="AN126" i="1"/>
  <c r="BS126" i="1"/>
  <c r="BU126" i="1" s="1"/>
  <c r="CL126" i="1"/>
  <c r="CN126" i="1"/>
  <c r="CO126" i="1"/>
  <c r="CP126" i="1"/>
  <c r="CQ126" i="1"/>
  <c r="CR126" i="1"/>
  <c r="CS126" i="1"/>
  <c r="CT126" i="1"/>
  <c r="CV126" i="1"/>
  <c r="CW126" i="1"/>
  <c r="CY126" i="1"/>
  <c r="CZ126" i="1"/>
  <c r="DA126" i="1"/>
  <c r="DB126" i="1"/>
  <c r="DC126" i="1"/>
  <c r="DD126" i="1"/>
  <c r="DE126" i="1"/>
  <c r="DF126" i="1"/>
  <c r="DG126" i="1"/>
  <c r="DH126" i="1"/>
  <c r="DI126" i="1"/>
  <c r="DJ126" i="1"/>
  <c r="DK126" i="1"/>
  <c r="DL126" i="1"/>
  <c r="DM126" i="1"/>
  <c r="DN126" i="1"/>
  <c r="DO126" i="1"/>
  <c r="DP126" i="1"/>
  <c r="DQ126" i="1"/>
  <c r="DR126" i="1"/>
  <c r="DS126" i="1"/>
  <c r="DT126" i="1"/>
  <c r="DU126" i="1"/>
  <c r="DV126" i="1"/>
  <c r="DW126" i="1"/>
  <c r="DX126" i="1"/>
  <c r="DY126" i="1"/>
  <c r="DZ126" i="1"/>
  <c r="EA126" i="1"/>
  <c r="EB126" i="1"/>
  <c r="EC126" i="1"/>
  <c r="ED126" i="1"/>
  <c r="EE126" i="1"/>
  <c r="EF126" i="1"/>
  <c r="EG126" i="1"/>
  <c r="EH126" i="1"/>
  <c r="EI126" i="1"/>
  <c r="EJ126" i="1"/>
  <c r="EK126" i="1"/>
  <c r="EV126" i="1"/>
  <c r="EW126" i="1"/>
  <c r="EX126" i="1"/>
  <c r="FD126" i="1"/>
  <c r="FG126" i="1"/>
  <c r="FI126" i="1"/>
  <c r="R125" i="1"/>
  <c r="Z125" i="1"/>
  <c r="AJ125" i="1"/>
  <c r="AN125" i="1"/>
  <c r="BS125" i="1"/>
  <c r="BU125" i="1" s="1"/>
  <c r="CL125" i="1"/>
  <c r="CM125" i="1"/>
  <c r="CN125" i="1"/>
  <c r="CO125" i="1"/>
  <c r="CP125" i="1"/>
  <c r="CQ125" i="1"/>
  <c r="CR125" i="1"/>
  <c r="CS125" i="1"/>
  <c r="CT125" i="1"/>
  <c r="CV125" i="1"/>
  <c r="CW125" i="1"/>
  <c r="CX125" i="1"/>
  <c r="CY125" i="1"/>
  <c r="CZ125" i="1"/>
  <c r="DA125" i="1"/>
  <c r="DB125" i="1"/>
  <c r="DC125" i="1"/>
  <c r="DD125" i="1"/>
  <c r="DE125" i="1"/>
  <c r="DF125" i="1"/>
  <c r="DG125" i="1"/>
  <c r="DH125" i="1"/>
  <c r="DI125" i="1"/>
  <c r="DJ125" i="1"/>
  <c r="DK125" i="1"/>
  <c r="DL125" i="1"/>
  <c r="DM125" i="1"/>
  <c r="DN125" i="1"/>
  <c r="DO125" i="1"/>
  <c r="DP125" i="1"/>
  <c r="DQ125" i="1"/>
  <c r="DR125" i="1"/>
  <c r="DS125" i="1"/>
  <c r="DT125" i="1"/>
  <c r="DU125" i="1"/>
  <c r="DV125" i="1"/>
  <c r="DW125" i="1"/>
  <c r="DX125" i="1"/>
  <c r="DY125" i="1"/>
  <c r="DZ125" i="1"/>
  <c r="EA125" i="1"/>
  <c r="EB125" i="1"/>
  <c r="EC125" i="1"/>
  <c r="ED125" i="1"/>
  <c r="EE125" i="1"/>
  <c r="EF125" i="1"/>
  <c r="EG125" i="1"/>
  <c r="EH125" i="1"/>
  <c r="EI125" i="1"/>
  <c r="EJ125" i="1"/>
  <c r="EK125" i="1"/>
  <c r="EV125" i="1"/>
  <c r="EW125" i="1"/>
  <c r="EX125" i="1"/>
  <c r="FD125" i="1"/>
  <c r="FG125" i="1"/>
  <c r="FI125" i="1"/>
  <c r="R124" i="1"/>
  <c r="Z124" i="1"/>
  <c r="AJ124" i="1"/>
  <c r="AN124" i="1"/>
  <c r="BS124" i="1"/>
  <c r="BU124" i="1" s="1"/>
  <c r="CL124" i="1"/>
  <c r="CM124" i="1"/>
  <c r="CN124" i="1"/>
  <c r="CO124" i="1"/>
  <c r="CP124" i="1"/>
  <c r="CQ124" i="1"/>
  <c r="CR124" i="1"/>
  <c r="CS124" i="1"/>
  <c r="CT124" i="1"/>
  <c r="CV124" i="1"/>
  <c r="CW124" i="1"/>
  <c r="CX124" i="1"/>
  <c r="CY124" i="1"/>
  <c r="CZ124" i="1"/>
  <c r="DA124" i="1"/>
  <c r="DB124" i="1"/>
  <c r="DC124" i="1"/>
  <c r="DD124" i="1"/>
  <c r="DE124" i="1"/>
  <c r="DF124" i="1"/>
  <c r="DG124" i="1"/>
  <c r="DH124" i="1"/>
  <c r="DI124" i="1"/>
  <c r="DJ124" i="1"/>
  <c r="DK124" i="1"/>
  <c r="DL124" i="1"/>
  <c r="DM124" i="1"/>
  <c r="DN124" i="1"/>
  <c r="DO124" i="1"/>
  <c r="DP124" i="1"/>
  <c r="DQ124" i="1"/>
  <c r="DR124" i="1"/>
  <c r="DS124" i="1"/>
  <c r="DT124" i="1"/>
  <c r="DU124" i="1"/>
  <c r="DV124" i="1"/>
  <c r="DW124" i="1"/>
  <c r="DX124" i="1"/>
  <c r="DY124" i="1"/>
  <c r="DZ124" i="1"/>
  <c r="EA124" i="1"/>
  <c r="EB124" i="1"/>
  <c r="EC124" i="1"/>
  <c r="ED124" i="1"/>
  <c r="EE124" i="1"/>
  <c r="EF124" i="1"/>
  <c r="EG124" i="1"/>
  <c r="EH124" i="1"/>
  <c r="EI124" i="1"/>
  <c r="EJ124" i="1"/>
  <c r="EK124" i="1"/>
  <c r="EV124" i="1"/>
  <c r="EW124" i="1"/>
  <c r="EX124" i="1"/>
  <c r="FD124" i="1"/>
  <c r="FG124" i="1"/>
  <c r="FI124" i="1"/>
  <c r="R123" i="1"/>
  <c r="Z123" i="1"/>
  <c r="AJ123" i="1"/>
  <c r="AN123" i="1"/>
  <c r="BS123" i="1"/>
  <c r="BU123" i="1" s="1"/>
  <c r="CL123" i="1"/>
  <c r="CM123" i="1"/>
  <c r="CN123" i="1"/>
  <c r="CO123" i="1"/>
  <c r="CP123" i="1"/>
  <c r="CQ123" i="1"/>
  <c r="CR123" i="1"/>
  <c r="CS123" i="1"/>
  <c r="CT123" i="1"/>
  <c r="CU123" i="1"/>
  <c r="CV123" i="1"/>
  <c r="CW123" i="1"/>
  <c r="CX123" i="1"/>
  <c r="CY123" i="1"/>
  <c r="CZ123" i="1"/>
  <c r="DA123" i="1"/>
  <c r="DB123" i="1"/>
  <c r="DC123" i="1"/>
  <c r="DD123" i="1"/>
  <c r="DE123" i="1"/>
  <c r="DF123" i="1"/>
  <c r="DG123" i="1"/>
  <c r="DH123" i="1"/>
  <c r="DI123" i="1"/>
  <c r="DJ123" i="1"/>
  <c r="DK123" i="1"/>
  <c r="DL123" i="1"/>
  <c r="DM123" i="1"/>
  <c r="DN123" i="1"/>
  <c r="DO123" i="1"/>
  <c r="DP123" i="1"/>
  <c r="DQ123" i="1"/>
  <c r="DR123" i="1"/>
  <c r="DS123" i="1"/>
  <c r="DT123" i="1"/>
  <c r="DU123" i="1"/>
  <c r="DV123" i="1"/>
  <c r="DW123" i="1"/>
  <c r="DX123" i="1"/>
  <c r="DY123" i="1"/>
  <c r="DZ123" i="1"/>
  <c r="EA123" i="1"/>
  <c r="EB123" i="1"/>
  <c r="EC123" i="1"/>
  <c r="ED123" i="1"/>
  <c r="EE123" i="1"/>
  <c r="EF123" i="1"/>
  <c r="EG123" i="1"/>
  <c r="EH123" i="1"/>
  <c r="EI123" i="1"/>
  <c r="EJ123" i="1"/>
  <c r="EK123" i="1"/>
  <c r="EV123" i="1"/>
  <c r="EW123" i="1"/>
  <c r="EX123" i="1"/>
  <c r="FD123" i="1"/>
  <c r="FG123" i="1"/>
  <c r="FI123" i="1"/>
  <c r="R122" i="1"/>
  <c r="Z122" i="1"/>
  <c r="AJ122" i="1"/>
  <c r="AN122" i="1"/>
  <c r="BS122" i="1"/>
  <c r="BU122" i="1" s="1"/>
  <c r="CL122" i="1"/>
  <c r="CM122" i="1"/>
  <c r="CN122" i="1"/>
  <c r="CO122" i="1"/>
  <c r="CP122" i="1"/>
  <c r="CQ122" i="1"/>
  <c r="CR122" i="1"/>
  <c r="CS122" i="1"/>
  <c r="CT122" i="1"/>
  <c r="CU122" i="1"/>
  <c r="CV122" i="1"/>
  <c r="CW122" i="1"/>
  <c r="CX122" i="1"/>
  <c r="CY122" i="1"/>
  <c r="CZ122" i="1"/>
  <c r="DA122" i="1"/>
  <c r="DB122" i="1"/>
  <c r="DC122" i="1"/>
  <c r="DD122" i="1"/>
  <c r="DE122" i="1"/>
  <c r="DF122" i="1"/>
  <c r="DG122" i="1"/>
  <c r="DH122" i="1"/>
  <c r="DI122" i="1"/>
  <c r="DJ122" i="1"/>
  <c r="DK122" i="1"/>
  <c r="DL122" i="1"/>
  <c r="DM122" i="1"/>
  <c r="DN122" i="1"/>
  <c r="DO122" i="1"/>
  <c r="DP122" i="1"/>
  <c r="DQ122" i="1"/>
  <c r="DR122" i="1"/>
  <c r="DS122" i="1"/>
  <c r="DT122" i="1"/>
  <c r="DU122" i="1"/>
  <c r="DV122" i="1"/>
  <c r="DW122" i="1"/>
  <c r="DX122" i="1"/>
  <c r="DY122" i="1"/>
  <c r="DZ122" i="1"/>
  <c r="EA122" i="1"/>
  <c r="EB122" i="1"/>
  <c r="EC122" i="1"/>
  <c r="ED122" i="1"/>
  <c r="EE122" i="1"/>
  <c r="EF122" i="1"/>
  <c r="EG122" i="1"/>
  <c r="EH122" i="1"/>
  <c r="EI122" i="1"/>
  <c r="EJ122" i="1"/>
  <c r="EK122" i="1"/>
  <c r="EV122" i="1"/>
  <c r="EW122" i="1"/>
  <c r="EX122" i="1"/>
  <c r="FD122" i="1"/>
  <c r="FG122" i="1"/>
  <c r="FI122" i="1"/>
  <c r="R121" i="1"/>
  <c r="Z121" i="1"/>
  <c r="AJ121" i="1"/>
  <c r="AN121" i="1"/>
  <c r="BS121" i="1"/>
  <c r="BU121" i="1" s="1"/>
  <c r="CL121" i="1"/>
  <c r="CM121" i="1"/>
  <c r="CN121" i="1"/>
  <c r="CO121" i="1"/>
  <c r="CP121" i="1"/>
  <c r="CQ121" i="1"/>
  <c r="CR121" i="1"/>
  <c r="CS121" i="1"/>
  <c r="CT121" i="1"/>
  <c r="CU121" i="1"/>
  <c r="CV121" i="1"/>
  <c r="CW121" i="1"/>
  <c r="CX121" i="1"/>
  <c r="CY121" i="1"/>
  <c r="CZ121" i="1"/>
  <c r="DA121" i="1"/>
  <c r="DB121" i="1"/>
  <c r="DC121" i="1"/>
  <c r="DD121" i="1"/>
  <c r="DE121" i="1"/>
  <c r="DF121" i="1"/>
  <c r="DG121" i="1"/>
  <c r="DH121" i="1"/>
  <c r="DI121" i="1"/>
  <c r="DJ121" i="1"/>
  <c r="DK121" i="1"/>
  <c r="DL121" i="1"/>
  <c r="DM121" i="1"/>
  <c r="DN121" i="1"/>
  <c r="DO121" i="1"/>
  <c r="DP121" i="1"/>
  <c r="DQ121" i="1"/>
  <c r="DR121" i="1"/>
  <c r="DS121" i="1"/>
  <c r="DT121" i="1"/>
  <c r="DU121" i="1"/>
  <c r="DV121" i="1"/>
  <c r="DW121" i="1"/>
  <c r="DX121" i="1"/>
  <c r="DY121" i="1"/>
  <c r="DZ121" i="1"/>
  <c r="EA121" i="1"/>
  <c r="EB121" i="1"/>
  <c r="EC121" i="1"/>
  <c r="ED121" i="1"/>
  <c r="EE121" i="1"/>
  <c r="EF121" i="1"/>
  <c r="EG121" i="1"/>
  <c r="EH121" i="1"/>
  <c r="EI121" i="1"/>
  <c r="EJ121" i="1"/>
  <c r="EK121" i="1"/>
  <c r="EV121" i="1"/>
  <c r="EW121" i="1"/>
  <c r="EX121" i="1"/>
  <c r="FD121" i="1"/>
  <c r="FG121" i="1"/>
  <c r="FI121" i="1"/>
  <c r="R120" i="1"/>
  <c r="Z120" i="1"/>
  <c r="AJ120" i="1"/>
  <c r="AN120" i="1"/>
  <c r="BS120" i="1"/>
  <c r="BU120" i="1" s="1"/>
  <c r="CL120" i="1"/>
  <c r="CM120" i="1"/>
  <c r="CN120" i="1"/>
  <c r="CO120" i="1"/>
  <c r="CP120" i="1"/>
  <c r="CQ120" i="1"/>
  <c r="CR120" i="1"/>
  <c r="CS120" i="1"/>
  <c r="CT120" i="1"/>
  <c r="CU120" i="1"/>
  <c r="CV120" i="1"/>
  <c r="CW120" i="1"/>
  <c r="CX120" i="1"/>
  <c r="CY120" i="1"/>
  <c r="CZ120" i="1"/>
  <c r="DA120" i="1"/>
  <c r="DB120" i="1"/>
  <c r="DC120" i="1"/>
  <c r="DD120" i="1"/>
  <c r="DE120" i="1"/>
  <c r="DF120" i="1"/>
  <c r="DG120" i="1"/>
  <c r="DH120" i="1"/>
  <c r="DI120" i="1"/>
  <c r="DJ120" i="1"/>
  <c r="DK120" i="1"/>
  <c r="DL120" i="1"/>
  <c r="DM120" i="1"/>
  <c r="DN120" i="1"/>
  <c r="DO120" i="1"/>
  <c r="DP120" i="1"/>
  <c r="DQ120" i="1"/>
  <c r="DR120" i="1"/>
  <c r="DS120" i="1"/>
  <c r="DT120" i="1"/>
  <c r="DU120" i="1"/>
  <c r="DV120" i="1"/>
  <c r="DW120" i="1"/>
  <c r="DX120" i="1"/>
  <c r="DY120" i="1"/>
  <c r="DZ120" i="1"/>
  <c r="EA120" i="1"/>
  <c r="EB120" i="1"/>
  <c r="EC120" i="1"/>
  <c r="ED120" i="1"/>
  <c r="EE120" i="1"/>
  <c r="EF120" i="1"/>
  <c r="EG120" i="1"/>
  <c r="EH120" i="1"/>
  <c r="EI120" i="1"/>
  <c r="EJ120" i="1"/>
  <c r="EK120" i="1"/>
  <c r="EV120" i="1"/>
  <c r="EW120" i="1"/>
  <c r="EX120" i="1"/>
  <c r="FD120" i="1"/>
  <c r="FG120" i="1"/>
  <c r="FI120" i="1"/>
  <c r="R119" i="1"/>
  <c r="Z119" i="1"/>
  <c r="AJ119" i="1"/>
  <c r="AN119" i="1"/>
  <c r="BS119" i="1"/>
  <c r="BU119" i="1" s="1"/>
  <c r="CL119" i="1"/>
  <c r="CM119" i="1"/>
  <c r="CN119" i="1"/>
  <c r="CO119" i="1"/>
  <c r="CP119" i="1"/>
  <c r="CQ119" i="1"/>
  <c r="CR119" i="1"/>
  <c r="CS119" i="1"/>
  <c r="CT119" i="1"/>
  <c r="CU119" i="1"/>
  <c r="CV119" i="1"/>
  <c r="CW119" i="1"/>
  <c r="CX119" i="1"/>
  <c r="CY119" i="1"/>
  <c r="CZ119" i="1"/>
  <c r="DA119" i="1"/>
  <c r="DB119" i="1"/>
  <c r="DC119" i="1"/>
  <c r="DD119" i="1"/>
  <c r="DE119" i="1"/>
  <c r="DF119" i="1"/>
  <c r="DG119" i="1"/>
  <c r="DH119" i="1"/>
  <c r="DI119" i="1"/>
  <c r="DJ119" i="1"/>
  <c r="DK119" i="1"/>
  <c r="DL119" i="1"/>
  <c r="DM119" i="1"/>
  <c r="DN119" i="1"/>
  <c r="DO119" i="1"/>
  <c r="DP119" i="1"/>
  <c r="DQ119" i="1"/>
  <c r="DR119" i="1"/>
  <c r="DS119" i="1"/>
  <c r="DT119" i="1"/>
  <c r="DU119" i="1"/>
  <c r="DW119" i="1"/>
  <c r="DX119" i="1"/>
  <c r="DY119" i="1"/>
  <c r="DZ119" i="1"/>
  <c r="EA119" i="1"/>
  <c r="EB119" i="1"/>
  <c r="EC119" i="1"/>
  <c r="ED119" i="1"/>
  <c r="EE119" i="1"/>
  <c r="EF119" i="1"/>
  <c r="EG119" i="1"/>
  <c r="EH119" i="1"/>
  <c r="EI119" i="1"/>
  <c r="EJ119" i="1"/>
  <c r="EK119" i="1"/>
  <c r="EV119" i="1"/>
  <c r="EW119" i="1"/>
  <c r="EX119" i="1"/>
  <c r="FD119" i="1"/>
  <c r="FG119" i="1"/>
  <c r="FI119" i="1"/>
  <c r="R118" i="1"/>
  <c r="Z118" i="1"/>
  <c r="AJ118" i="1"/>
  <c r="AN118" i="1"/>
  <c r="BS118" i="1"/>
  <c r="BU118" i="1" s="1"/>
  <c r="CL118" i="1"/>
  <c r="CM118" i="1"/>
  <c r="CN118" i="1"/>
  <c r="CO118" i="1"/>
  <c r="CP118" i="1"/>
  <c r="CQ118" i="1"/>
  <c r="CR118" i="1"/>
  <c r="CS118" i="1"/>
  <c r="CT118" i="1"/>
  <c r="CU118" i="1"/>
  <c r="CV118" i="1"/>
  <c r="CW118" i="1"/>
  <c r="CX118" i="1"/>
  <c r="CY118" i="1"/>
  <c r="CZ118" i="1"/>
  <c r="DA118" i="1"/>
  <c r="DB118" i="1"/>
  <c r="DC118" i="1"/>
  <c r="DD118" i="1"/>
  <c r="DE118" i="1"/>
  <c r="DF118" i="1"/>
  <c r="DG118" i="1"/>
  <c r="DH118" i="1"/>
  <c r="DI118" i="1"/>
  <c r="DJ118" i="1"/>
  <c r="DK118" i="1"/>
  <c r="DL118" i="1"/>
  <c r="DM118" i="1"/>
  <c r="DN118" i="1"/>
  <c r="DO118" i="1"/>
  <c r="DP118" i="1"/>
  <c r="DQ118" i="1"/>
  <c r="DR118" i="1"/>
  <c r="DS118" i="1"/>
  <c r="DT118" i="1"/>
  <c r="DU118" i="1"/>
  <c r="DW118" i="1"/>
  <c r="DX118" i="1"/>
  <c r="DY118" i="1"/>
  <c r="DZ118" i="1"/>
  <c r="EA118" i="1"/>
  <c r="EB118" i="1"/>
  <c r="EC118" i="1"/>
  <c r="ED118" i="1"/>
  <c r="EE118" i="1"/>
  <c r="EF118" i="1"/>
  <c r="EG118" i="1"/>
  <c r="EH118" i="1"/>
  <c r="EI118" i="1"/>
  <c r="EJ118" i="1"/>
  <c r="EK118" i="1"/>
  <c r="EV118" i="1"/>
  <c r="EW118" i="1"/>
  <c r="EX118" i="1"/>
  <c r="FD118" i="1"/>
  <c r="FG118" i="1"/>
  <c r="FI118" i="1"/>
  <c r="R117" i="1"/>
  <c r="Z117" i="1"/>
  <c r="AJ117" i="1"/>
  <c r="AN117" i="1"/>
  <c r="BS117" i="1"/>
  <c r="BU117" i="1" s="1"/>
  <c r="CL117" i="1"/>
  <c r="CM117" i="1"/>
  <c r="CN117" i="1"/>
  <c r="CO117" i="1"/>
  <c r="CP117" i="1"/>
  <c r="CQ117" i="1"/>
  <c r="CR117" i="1"/>
  <c r="CS117" i="1"/>
  <c r="CT117" i="1"/>
  <c r="CU117" i="1"/>
  <c r="CV117" i="1"/>
  <c r="CW117" i="1"/>
  <c r="CX117" i="1"/>
  <c r="CY117" i="1"/>
  <c r="CZ117" i="1"/>
  <c r="DA117" i="1"/>
  <c r="DB117" i="1"/>
  <c r="DC117" i="1"/>
  <c r="DD117" i="1"/>
  <c r="DE117" i="1"/>
  <c r="DF117" i="1"/>
  <c r="DG117" i="1"/>
  <c r="DH117" i="1"/>
  <c r="DI117" i="1"/>
  <c r="DJ117" i="1"/>
  <c r="DK117" i="1"/>
  <c r="DL117" i="1"/>
  <c r="DM117" i="1"/>
  <c r="DN117" i="1"/>
  <c r="DO117" i="1"/>
  <c r="DP117" i="1"/>
  <c r="DQ117" i="1"/>
  <c r="DR117" i="1"/>
  <c r="DS117" i="1"/>
  <c r="DT117" i="1"/>
  <c r="DU117" i="1"/>
  <c r="DW117" i="1"/>
  <c r="DX117" i="1"/>
  <c r="DY117" i="1"/>
  <c r="DZ117" i="1"/>
  <c r="EA117" i="1"/>
  <c r="EB117" i="1"/>
  <c r="EC117" i="1"/>
  <c r="ED117" i="1"/>
  <c r="EE117" i="1"/>
  <c r="EF117" i="1"/>
  <c r="EG117" i="1"/>
  <c r="EH117" i="1"/>
  <c r="EI117" i="1"/>
  <c r="EJ117" i="1"/>
  <c r="EK117" i="1"/>
  <c r="EV117" i="1"/>
  <c r="EW117" i="1"/>
  <c r="EX117" i="1"/>
  <c r="FD117" i="1"/>
  <c r="FG117" i="1"/>
  <c r="FI117" i="1"/>
  <c r="R116" i="1"/>
  <c r="Z116" i="1"/>
  <c r="AJ116" i="1"/>
  <c r="AN116" i="1"/>
  <c r="BS116" i="1"/>
  <c r="BU116" i="1" s="1"/>
  <c r="CL116" i="1"/>
  <c r="CM116" i="1"/>
  <c r="CN116" i="1"/>
  <c r="CO116" i="1"/>
  <c r="CP116" i="1"/>
  <c r="CQ116" i="1"/>
  <c r="CR116" i="1"/>
  <c r="CS116" i="1"/>
  <c r="CT116" i="1"/>
  <c r="CU116" i="1"/>
  <c r="CV116" i="1"/>
  <c r="CW116" i="1"/>
  <c r="CX116" i="1"/>
  <c r="CY116" i="1"/>
  <c r="CZ116" i="1"/>
  <c r="DA116" i="1"/>
  <c r="DB116" i="1"/>
  <c r="DC116" i="1"/>
  <c r="DD116" i="1"/>
  <c r="DE116" i="1"/>
  <c r="DF116" i="1"/>
  <c r="DG116" i="1"/>
  <c r="DH116" i="1"/>
  <c r="DI116" i="1"/>
  <c r="DJ116" i="1"/>
  <c r="DK116" i="1"/>
  <c r="DL116" i="1"/>
  <c r="DM116" i="1"/>
  <c r="DN116" i="1"/>
  <c r="DO116" i="1"/>
  <c r="DP116" i="1"/>
  <c r="DQ116" i="1"/>
  <c r="DR116" i="1"/>
  <c r="DS116" i="1"/>
  <c r="DT116" i="1"/>
  <c r="DU116" i="1"/>
  <c r="DW116" i="1"/>
  <c r="DX116" i="1"/>
  <c r="DY116" i="1"/>
  <c r="DZ116" i="1"/>
  <c r="EA116" i="1"/>
  <c r="EB116" i="1"/>
  <c r="EC116" i="1"/>
  <c r="ED116" i="1"/>
  <c r="EE116" i="1"/>
  <c r="EF116" i="1"/>
  <c r="EG116" i="1"/>
  <c r="EH116" i="1"/>
  <c r="EI116" i="1"/>
  <c r="EJ116" i="1"/>
  <c r="EK116" i="1"/>
  <c r="EV116" i="1"/>
  <c r="EW116" i="1"/>
  <c r="EX116" i="1"/>
  <c r="FD116" i="1"/>
  <c r="FG116" i="1"/>
  <c r="FI116" i="1"/>
  <c r="R115" i="1"/>
  <c r="Z115" i="1"/>
  <c r="AJ115" i="1"/>
  <c r="AN115" i="1"/>
  <c r="BS115" i="1"/>
  <c r="BU115" i="1" s="1"/>
  <c r="CL115" i="1"/>
  <c r="CM115" i="1"/>
  <c r="CN115" i="1"/>
  <c r="CO115" i="1"/>
  <c r="CP115" i="1"/>
  <c r="CQ115" i="1"/>
  <c r="CR115" i="1"/>
  <c r="CS115" i="1"/>
  <c r="CT115" i="1"/>
  <c r="CU115" i="1"/>
  <c r="CV115" i="1"/>
  <c r="CW115" i="1"/>
  <c r="CX115" i="1"/>
  <c r="CY115" i="1"/>
  <c r="CZ115" i="1"/>
  <c r="DA115" i="1"/>
  <c r="DB115" i="1"/>
  <c r="DC115" i="1"/>
  <c r="DD115" i="1"/>
  <c r="DE115" i="1"/>
  <c r="DF115" i="1"/>
  <c r="DG115" i="1"/>
  <c r="DH115" i="1"/>
  <c r="DI115" i="1"/>
  <c r="DJ115" i="1"/>
  <c r="DK115" i="1"/>
  <c r="DL115" i="1"/>
  <c r="DM115" i="1"/>
  <c r="DN115" i="1"/>
  <c r="DO115" i="1"/>
  <c r="DP115" i="1"/>
  <c r="DQ115" i="1"/>
  <c r="DR115" i="1"/>
  <c r="DS115" i="1"/>
  <c r="DT115" i="1"/>
  <c r="DU115" i="1"/>
  <c r="DW115" i="1"/>
  <c r="DX115" i="1"/>
  <c r="DY115" i="1"/>
  <c r="DZ115" i="1"/>
  <c r="EA115" i="1"/>
  <c r="EB115" i="1"/>
  <c r="EC115" i="1"/>
  <c r="ED115" i="1"/>
  <c r="EE115" i="1"/>
  <c r="EF115" i="1"/>
  <c r="EG115" i="1"/>
  <c r="EH115" i="1"/>
  <c r="EI115" i="1"/>
  <c r="EJ115" i="1"/>
  <c r="EK115" i="1"/>
  <c r="EV115" i="1"/>
  <c r="EW115" i="1"/>
  <c r="EX115" i="1"/>
  <c r="FD115" i="1"/>
  <c r="FG115" i="1"/>
  <c r="FI115" i="1"/>
  <c r="R114" i="1"/>
  <c r="Z114" i="1"/>
  <c r="AJ114" i="1"/>
  <c r="AN114" i="1"/>
  <c r="BS114" i="1"/>
  <c r="BU114" i="1" s="1"/>
  <c r="CL114" i="1"/>
  <c r="CM114" i="1"/>
  <c r="CN114" i="1"/>
  <c r="CO114" i="1"/>
  <c r="CP114" i="1"/>
  <c r="CQ114" i="1"/>
  <c r="CR114" i="1"/>
  <c r="CS114" i="1"/>
  <c r="CT114" i="1"/>
  <c r="CU114" i="1"/>
  <c r="CV114" i="1"/>
  <c r="CW114" i="1"/>
  <c r="CX114" i="1"/>
  <c r="CY114" i="1"/>
  <c r="CZ114" i="1"/>
  <c r="DA114" i="1"/>
  <c r="DB114" i="1"/>
  <c r="DC114" i="1"/>
  <c r="DD114" i="1"/>
  <c r="DE114" i="1"/>
  <c r="DF114" i="1"/>
  <c r="DG114" i="1"/>
  <c r="DH114" i="1"/>
  <c r="DI114" i="1"/>
  <c r="DJ114" i="1"/>
  <c r="DK114" i="1"/>
  <c r="DL114" i="1"/>
  <c r="DM114" i="1"/>
  <c r="DN114" i="1"/>
  <c r="DO114" i="1"/>
  <c r="DP114" i="1"/>
  <c r="DQ114" i="1"/>
  <c r="DR114" i="1"/>
  <c r="DS114" i="1"/>
  <c r="DT114" i="1"/>
  <c r="DU114" i="1"/>
  <c r="DW114" i="1"/>
  <c r="DX114" i="1"/>
  <c r="DY114" i="1"/>
  <c r="DZ114" i="1"/>
  <c r="EA114" i="1"/>
  <c r="EB114" i="1"/>
  <c r="EC114" i="1"/>
  <c r="ED114" i="1"/>
  <c r="EE114" i="1"/>
  <c r="EF114" i="1"/>
  <c r="EG114" i="1"/>
  <c r="EH114" i="1"/>
  <c r="EI114" i="1"/>
  <c r="EJ114" i="1"/>
  <c r="EK114" i="1"/>
  <c r="EV114" i="1"/>
  <c r="EW114" i="1"/>
  <c r="EX114" i="1"/>
  <c r="FD114" i="1"/>
  <c r="FG114" i="1"/>
  <c r="FI114" i="1"/>
  <c r="R113" i="1"/>
  <c r="Z113" i="1"/>
  <c r="AJ113" i="1"/>
  <c r="AN113" i="1"/>
  <c r="BS113" i="1"/>
  <c r="BU113" i="1" s="1"/>
  <c r="CL113" i="1"/>
  <c r="CM113" i="1"/>
  <c r="CN113" i="1"/>
  <c r="CO113" i="1"/>
  <c r="CP113" i="1"/>
  <c r="CQ113" i="1"/>
  <c r="CR113" i="1"/>
  <c r="CS113" i="1"/>
  <c r="CT113" i="1"/>
  <c r="CU113" i="1"/>
  <c r="CV113" i="1"/>
  <c r="CW113" i="1"/>
  <c r="CX113" i="1"/>
  <c r="CY113" i="1"/>
  <c r="CZ113" i="1"/>
  <c r="DA113" i="1"/>
  <c r="DB113" i="1"/>
  <c r="DC113" i="1"/>
  <c r="DD113" i="1"/>
  <c r="DE113" i="1"/>
  <c r="DF113" i="1"/>
  <c r="DG113" i="1"/>
  <c r="DH113" i="1"/>
  <c r="DI113" i="1"/>
  <c r="DJ113" i="1"/>
  <c r="DK113" i="1"/>
  <c r="DL113" i="1"/>
  <c r="DM113" i="1"/>
  <c r="DN113" i="1"/>
  <c r="DO113" i="1"/>
  <c r="DP113" i="1"/>
  <c r="DQ113" i="1"/>
  <c r="DR113" i="1"/>
  <c r="DS113" i="1"/>
  <c r="DT113" i="1"/>
  <c r="DU113" i="1"/>
  <c r="DW113" i="1"/>
  <c r="DX113" i="1"/>
  <c r="DY113" i="1"/>
  <c r="DZ113" i="1"/>
  <c r="EA113" i="1"/>
  <c r="EB113" i="1"/>
  <c r="EC113" i="1"/>
  <c r="ED113" i="1"/>
  <c r="EE113" i="1"/>
  <c r="EF113" i="1"/>
  <c r="EG113" i="1"/>
  <c r="EH113" i="1"/>
  <c r="EI113" i="1"/>
  <c r="EJ113" i="1"/>
  <c r="EK113" i="1"/>
  <c r="EV113" i="1"/>
  <c r="EW113" i="1"/>
  <c r="EX113" i="1"/>
  <c r="FD113" i="1"/>
  <c r="FG113" i="1"/>
  <c r="FI113" i="1"/>
  <c r="R112" i="1"/>
  <c r="Z112" i="1"/>
  <c r="AJ112" i="1"/>
  <c r="AN112" i="1"/>
  <c r="BS112" i="1"/>
  <c r="BU112" i="1" s="1"/>
  <c r="CL112" i="1"/>
  <c r="CM112" i="1"/>
  <c r="CN112" i="1"/>
  <c r="CO112" i="1"/>
  <c r="CP112" i="1"/>
  <c r="CQ112" i="1"/>
  <c r="CR112" i="1"/>
  <c r="CS112" i="1"/>
  <c r="CT112" i="1"/>
  <c r="CU112" i="1"/>
  <c r="CV112" i="1"/>
  <c r="CW112" i="1"/>
  <c r="CX112" i="1"/>
  <c r="CY112" i="1"/>
  <c r="CZ112" i="1"/>
  <c r="DA112" i="1"/>
  <c r="DB112" i="1"/>
  <c r="DC112" i="1"/>
  <c r="DD112" i="1"/>
  <c r="DE112" i="1"/>
  <c r="DF112" i="1"/>
  <c r="DG112" i="1"/>
  <c r="DH112" i="1"/>
  <c r="DI112" i="1"/>
  <c r="DJ112" i="1"/>
  <c r="DK112" i="1"/>
  <c r="DL112" i="1"/>
  <c r="DM112" i="1"/>
  <c r="DN112" i="1"/>
  <c r="DO112" i="1"/>
  <c r="DP112" i="1"/>
  <c r="DQ112" i="1"/>
  <c r="DR112" i="1"/>
  <c r="DS112" i="1"/>
  <c r="DT112" i="1"/>
  <c r="DU112" i="1"/>
  <c r="DW112" i="1"/>
  <c r="DX112" i="1"/>
  <c r="DY112" i="1"/>
  <c r="DZ112" i="1"/>
  <c r="EA112" i="1"/>
  <c r="EB112" i="1"/>
  <c r="EC112" i="1"/>
  <c r="ED112" i="1"/>
  <c r="EE112" i="1"/>
  <c r="EF112" i="1"/>
  <c r="EG112" i="1"/>
  <c r="EH112" i="1"/>
  <c r="EI112" i="1"/>
  <c r="EJ112" i="1"/>
  <c r="EK112" i="1"/>
  <c r="EV112" i="1"/>
  <c r="EW112" i="1"/>
  <c r="EX112" i="1"/>
  <c r="FD112" i="1"/>
  <c r="FG112" i="1"/>
  <c r="FI112" i="1"/>
  <c r="R111" i="1"/>
  <c r="Z111" i="1"/>
  <c r="AJ111" i="1"/>
  <c r="AN111" i="1"/>
  <c r="BS111" i="1"/>
  <c r="BU111" i="1" s="1"/>
  <c r="CL111" i="1"/>
  <c r="CN111" i="1"/>
  <c r="CO111" i="1"/>
  <c r="CP111" i="1"/>
  <c r="CQ111" i="1"/>
  <c r="CR111" i="1"/>
  <c r="CS111" i="1"/>
  <c r="CT111" i="1"/>
  <c r="CV111" i="1"/>
  <c r="CW111" i="1"/>
  <c r="CY111" i="1"/>
  <c r="CZ111" i="1"/>
  <c r="DA111" i="1"/>
  <c r="DB111" i="1"/>
  <c r="DC111" i="1"/>
  <c r="DD111" i="1"/>
  <c r="DE111" i="1"/>
  <c r="DF111" i="1"/>
  <c r="DG111" i="1"/>
  <c r="DH111" i="1"/>
  <c r="DI111" i="1"/>
  <c r="DJ111" i="1"/>
  <c r="DK111" i="1"/>
  <c r="DL111" i="1"/>
  <c r="DM111" i="1"/>
  <c r="DN111" i="1"/>
  <c r="DO111" i="1"/>
  <c r="DP111" i="1"/>
  <c r="DQ111" i="1"/>
  <c r="DR111" i="1"/>
  <c r="DS111" i="1"/>
  <c r="DT111" i="1"/>
  <c r="DU111" i="1"/>
  <c r="DV111" i="1"/>
  <c r="DW111" i="1"/>
  <c r="DX111" i="1"/>
  <c r="DY111" i="1"/>
  <c r="DZ111" i="1"/>
  <c r="EA111" i="1"/>
  <c r="EB111" i="1"/>
  <c r="EC111" i="1"/>
  <c r="ED111" i="1"/>
  <c r="EE111" i="1"/>
  <c r="EF111" i="1"/>
  <c r="EG111" i="1"/>
  <c r="EH111" i="1"/>
  <c r="EI111" i="1"/>
  <c r="EJ111" i="1"/>
  <c r="EK111" i="1"/>
  <c r="EV111" i="1"/>
  <c r="EW111" i="1"/>
  <c r="EX111" i="1"/>
  <c r="FD111" i="1"/>
  <c r="FG111" i="1"/>
  <c r="FI111" i="1"/>
  <c r="R110" i="1"/>
  <c r="Z110" i="1"/>
  <c r="AJ110" i="1"/>
  <c r="AN110" i="1"/>
  <c r="BS110" i="1"/>
  <c r="BU110" i="1" s="1"/>
  <c r="CL110" i="1"/>
  <c r="CN110" i="1"/>
  <c r="CO110" i="1"/>
  <c r="CP110" i="1"/>
  <c r="CQ110" i="1"/>
  <c r="CR110" i="1"/>
  <c r="CS110" i="1"/>
  <c r="CT110" i="1"/>
  <c r="CV110" i="1"/>
  <c r="CW110" i="1"/>
  <c r="CY110" i="1"/>
  <c r="CZ110" i="1"/>
  <c r="DA110" i="1"/>
  <c r="DB110" i="1"/>
  <c r="DC110" i="1"/>
  <c r="DD110" i="1"/>
  <c r="DE110" i="1"/>
  <c r="DF110" i="1"/>
  <c r="DG110" i="1"/>
  <c r="DH110" i="1"/>
  <c r="DI110" i="1"/>
  <c r="DJ110" i="1"/>
  <c r="DK110" i="1"/>
  <c r="DL110" i="1"/>
  <c r="DM110" i="1"/>
  <c r="DN110" i="1"/>
  <c r="DO110" i="1"/>
  <c r="DP110" i="1"/>
  <c r="DQ110" i="1"/>
  <c r="DR110" i="1"/>
  <c r="DS110" i="1"/>
  <c r="DT110" i="1"/>
  <c r="DU110" i="1"/>
  <c r="DV110" i="1"/>
  <c r="DW110" i="1"/>
  <c r="DX110" i="1"/>
  <c r="DY110" i="1"/>
  <c r="DZ110" i="1"/>
  <c r="EA110" i="1"/>
  <c r="EB110" i="1"/>
  <c r="EC110" i="1"/>
  <c r="ED110" i="1"/>
  <c r="EE110" i="1"/>
  <c r="EF110" i="1"/>
  <c r="EG110" i="1"/>
  <c r="EH110" i="1"/>
  <c r="EI110" i="1"/>
  <c r="EJ110" i="1"/>
  <c r="EK110" i="1"/>
  <c r="EV110" i="1"/>
  <c r="EW110" i="1"/>
  <c r="EX110" i="1"/>
  <c r="FD110" i="1"/>
  <c r="FG110" i="1"/>
  <c r="FI110" i="1"/>
  <c r="R109" i="1"/>
  <c r="Z109" i="1"/>
  <c r="AJ109" i="1"/>
  <c r="AN109" i="1"/>
  <c r="BS109" i="1"/>
  <c r="BU109" i="1" s="1"/>
  <c r="CL109" i="1"/>
  <c r="CN109" i="1"/>
  <c r="CO109" i="1"/>
  <c r="CP109" i="1"/>
  <c r="CQ109" i="1"/>
  <c r="CR109" i="1"/>
  <c r="CS109" i="1"/>
  <c r="CT109" i="1"/>
  <c r="CV109" i="1"/>
  <c r="CW109" i="1"/>
  <c r="CY109" i="1"/>
  <c r="CZ109" i="1"/>
  <c r="DA109" i="1"/>
  <c r="DB109" i="1"/>
  <c r="DC109" i="1"/>
  <c r="DD109" i="1"/>
  <c r="DE109" i="1"/>
  <c r="DF109" i="1"/>
  <c r="DG109" i="1"/>
  <c r="DH109" i="1"/>
  <c r="DI109" i="1"/>
  <c r="DJ109" i="1"/>
  <c r="DK109" i="1"/>
  <c r="DL109" i="1"/>
  <c r="DM109" i="1"/>
  <c r="DN109" i="1"/>
  <c r="DO109" i="1"/>
  <c r="DP109" i="1"/>
  <c r="DQ109" i="1"/>
  <c r="DR109" i="1"/>
  <c r="DS109" i="1"/>
  <c r="DT109" i="1"/>
  <c r="DU109" i="1"/>
  <c r="DV109" i="1"/>
  <c r="DW109" i="1"/>
  <c r="DX109" i="1"/>
  <c r="DY109" i="1"/>
  <c r="DZ109" i="1"/>
  <c r="EA109" i="1"/>
  <c r="EB109" i="1"/>
  <c r="EC109" i="1"/>
  <c r="ED109" i="1"/>
  <c r="EE109" i="1"/>
  <c r="EF109" i="1"/>
  <c r="EG109" i="1"/>
  <c r="EH109" i="1"/>
  <c r="EI109" i="1"/>
  <c r="EJ109" i="1"/>
  <c r="EK109" i="1"/>
  <c r="EV109" i="1"/>
  <c r="EW109" i="1"/>
  <c r="EX109" i="1"/>
  <c r="FD109" i="1"/>
  <c r="FG109" i="1"/>
  <c r="FI109" i="1"/>
  <c r="R108" i="1"/>
  <c r="Z108" i="1"/>
  <c r="AJ108" i="1"/>
  <c r="AN108" i="1"/>
  <c r="BS108" i="1"/>
  <c r="BU108" i="1" s="1"/>
  <c r="CL108" i="1"/>
  <c r="CN108" i="1"/>
  <c r="CO108" i="1"/>
  <c r="CP108" i="1"/>
  <c r="CQ108" i="1"/>
  <c r="CR108" i="1"/>
  <c r="CS108" i="1"/>
  <c r="CT108" i="1"/>
  <c r="CV108" i="1"/>
  <c r="CW108" i="1"/>
  <c r="CY108" i="1"/>
  <c r="CZ108" i="1"/>
  <c r="DA108" i="1"/>
  <c r="DB108" i="1"/>
  <c r="DC108" i="1"/>
  <c r="DD108" i="1"/>
  <c r="DE108" i="1"/>
  <c r="DF108" i="1"/>
  <c r="DG108" i="1"/>
  <c r="DH108" i="1"/>
  <c r="DI108" i="1"/>
  <c r="DJ108" i="1"/>
  <c r="DK108" i="1"/>
  <c r="DL108" i="1"/>
  <c r="DM108" i="1"/>
  <c r="DN108" i="1"/>
  <c r="DO108" i="1"/>
  <c r="DP108" i="1"/>
  <c r="DQ108" i="1"/>
  <c r="DR108" i="1"/>
  <c r="DS108" i="1"/>
  <c r="DT108" i="1"/>
  <c r="DU108" i="1"/>
  <c r="DV108" i="1"/>
  <c r="DW108" i="1"/>
  <c r="DX108" i="1"/>
  <c r="DY108" i="1"/>
  <c r="DZ108" i="1"/>
  <c r="EA108" i="1"/>
  <c r="EB108" i="1"/>
  <c r="EC108" i="1"/>
  <c r="ED108" i="1"/>
  <c r="EE108" i="1"/>
  <c r="EF108" i="1"/>
  <c r="EG108" i="1"/>
  <c r="EH108" i="1"/>
  <c r="EI108" i="1"/>
  <c r="EJ108" i="1"/>
  <c r="EK108" i="1"/>
  <c r="EV108" i="1"/>
  <c r="EW108" i="1"/>
  <c r="EX108" i="1"/>
  <c r="FD108" i="1"/>
  <c r="FG108" i="1"/>
  <c r="FI108" i="1"/>
  <c r="R107" i="1"/>
  <c r="Z107" i="1"/>
  <c r="AJ107" i="1"/>
  <c r="AN107" i="1"/>
  <c r="BS107" i="1"/>
  <c r="BU107" i="1" s="1"/>
  <c r="CL107" i="1"/>
  <c r="CN107" i="1"/>
  <c r="CO107" i="1"/>
  <c r="CP107" i="1"/>
  <c r="CQ107" i="1"/>
  <c r="CR107" i="1"/>
  <c r="CS107" i="1"/>
  <c r="CT107" i="1"/>
  <c r="CV107" i="1"/>
  <c r="CW107" i="1"/>
  <c r="CY107" i="1"/>
  <c r="CZ107" i="1"/>
  <c r="DA107" i="1"/>
  <c r="DB107" i="1"/>
  <c r="DC107" i="1"/>
  <c r="DD107" i="1"/>
  <c r="DE107" i="1"/>
  <c r="DF107" i="1"/>
  <c r="DG107" i="1"/>
  <c r="DH107" i="1"/>
  <c r="DI107" i="1"/>
  <c r="DJ107" i="1"/>
  <c r="DK107" i="1"/>
  <c r="DL107" i="1"/>
  <c r="DM107" i="1"/>
  <c r="DN107" i="1"/>
  <c r="DO107" i="1"/>
  <c r="DP107" i="1"/>
  <c r="DQ107" i="1"/>
  <c r="DR107" i="1"/>
  <c r="DS107" i="1"/>
  <c r="DT107" i="1"/>
  <c r="DU107" i="1"/>
  <c r="DV107" i="1"/>
  <c r="DW107" i="1"/>
  <c r="DX107" i="1"/>
  <c r="DY107" i="1"/>
  <c r="DZ107" i="1"/>
  <c r="EA107" i="1"/>
  <c r="EB107" i="1"/>
  <c r="EC107" i="1"/>
  <c r="ED107" i="1"/>
  <c r="EE107" i="1"/>
  <c r="EF107" i="1"/>
  <c r="EG107" i="1"/>
  <c r="EH107" i="1"/>
  <c r="EI107" i="1"/>
  <c r="EJ107" i="1"/>
  <c r="EK107" i="1"/>
  <c r="EV107" i="1"/>
  <c r="EW107" i="1"/>
  <c r="EX107" i="1"/>
  <c r="FD107" i="1"/>
  <c r="FG107" i="1"/>
  <c r="FI107" i="1"/>
  <c r="R106" i="1"/>
  <c r="Z106" i="1"/>
  <c r="AJ106" i="1"/>
  <c r="AN106" i="1"/>
  <c r="BS106" i="1"/>
  <c r="BU106" i="1" s="1"/>
  <c r="CL106" i="1"/>
  <c r="CN106" i="1"/>
  <c r="CO106" i="1"/>
  <c r="CP106" i="1"/>
  <c r="CQ106" i="1"/>
  <c r="CR106" i="1"/>
  <c r="CS106" i="1"/>
  <c r="CT106" i="1"/>
  <c r="CV106" i="1"/>
  <c r="CW106" i="1"/>
  <c r="CY106" i="1"/>
  <c r="CZ106" i="1"/>
  <c r="DA106" i="1"/>
  <c r="DB106" i="1"/>
  <c r="DC106" i="1"/>
  <c r="DD106" i="1"/>
  <c r="DE106" i="1"/>
  <c r="DF106" i="1"/>
  <c r="DG106" i="1"/>
  <c r="DH106" i="1"/>
  <c r="DI106" i="1"/>
  <c r="DJ106" i="1"/>
  <c r="DK106" i="1"/>
  <c r="DL106" i="1"/>
  <c r="DM106" i="1"/>
  <c r="DN106" i="1"/>
  <c r="DO106" i="1"/>
  <c r="DP106" i="1"/>
  <c r="DQ106" i="1"/>
  <c r="DR106" i="1"/>
  <c r="DS106" i="1"/>
  <c r="DT106" i="1"/>
  <c r="DU106" i="1"/>
  <c r="DV106" i="1"/>
  <c r="DW106" i="1"/>
  <c r="DX106" i="1"/>
  <c r="DY106" i="1"/>
  <c r="DZ106" i="1"/>
  <c r="EA106" i="1"/>
  <c r="EB106" i="1"/>
  <c r="EC106" i="1"/>
  <c r="ED106" i="1"/>
  <c r="EE106" i="1"/>
  <c r="EF106" i="1"/>
  <c r="EG106" i="1"/>
  <c r="EH106" i="1"/>
  <c r="EI106" i="1"/>
  <c r="EJ106" i="1"/>
  <c r="EK106" i="1"/>
  <c r="EV106" i="1"/>
  <c r="EW106" i="1"/>
  <c r="EX106" i="1"/>
  <c r="FD106" i="1"/>
  <c r="FG106" i="1"/>
  <c r="FI106" i="1"/>
  <c r="R105" i="1"/>
  <c r="Z105" i="1"/>
  <c r="AJ105" i="1"/>
  <c r="AN105" i="1"/>
  <c r="BS105" i="1"/>
  <c r="BU105" i="1" s="1"/>
  <c r="CL105" i="1"/>
  <c r="CN105" i="1"/>
  <c r="CO105" i="1"/>
  <c r="CP105" i="1"/>
  <c r="CQ105" i="1"/>
  <c r="CR105" i="1"/>
  <c r="CS105" i="1"/>
  <c r="CT105" i="1"/>
  <c r="CV105" i="1"/>
  <c r="CW105" i="1"/>
  <c r="CY105" i="1"/>
  <c r="CZ105" i="1"/>
  <c r="DA105" i="1"/>
  <c r="DB105" i="1"/>
  <c r="DC105" i="1"/>
  <c r="DD105" i="1"/>
  <c r="DE105" i="1"/>
  <c r="DF105" i="1"/>
  <c r="DG105" i="1"/>
  <c r="DH105" i="1"/>
  <c r="DI105" i="1"/>
  <c r="DJ105" i="1"/>
  <c r="DK105" i="1"/>
  <c r="DL105" i="1"/>
  <c r="DM105" i="1"/>
  <c r="DN105" i="1"/>
  <c r="DO105" i="1"/>
  <c r="DP105" i="1"/>
  <c r="DQ105" i="1"/>
  <c r="DR105" i="1"/>
  <c r="DS105" i="1"/>
  <c r="DT105" i="1"/>
  <c r="DU105" i="1"/>
  <c r="DV105" i="1"/>
  <c r="DW105" i="1"/>
  <c r="DX105" i="1"/>
  <c r="DY105" i="1"/>
  <c r="DZ105" i="1"/>
  <c r="EA105" i="1"/>
  <c r="EB105" i="1"/>
  <c r="EC105" i="1"/>
  <c r="ED105" i="1"/>
  <c r="EE105" i="1"/>
  <c r="EF105" i="1"/>
  <c r="EG105" i="1"/>
  <c r="EH105" i="1"/>
  <c r="EI105" i="1"/>
  <c r="EJ105" i="1"/>
  <c r="EK105" i="1"/>
  <c r="EV105" i="1"/>
  <c r="EW105" i="1"/>
  <c r="EX105" i="1"/>
  <c r="FD105" i="1"/>
  <c r="FG105" i="1"/>
  <c r="FI105" i="1"/>
  <c r="R104" i="1"/>
  <c r="Z104" i="1"/>
  <c r="AJ104" i="1"/>
  <c r="AN104" i="1"/>
  <c r="BS104" i="1"/>
  <c r="BU104" i="1" s="1"/>
  <c r="CL104" i="1"/>
  <c r="CN104" i="1"/>
  <c r="CO104" i="1"/>
  <c r="CP104" i="1"/>
  <c r="CQ104" i="1"/>
  <c r="CR104" i="1"/>
  <c r="CS104" i="1"/>
  <c r="CT104" i="1"/>
  <c r="CV104" i="1"/>
  <c r="CW104" i="1"/>
  <c r="CY104" i="1"/>
  <c r="CZ104" i="1"/>
  <c r="DA104" i="1"/>
  <c r="DB104" i="1"/>
  <c r="DC104" i="1"/>
  <c r="DD104" i="1"/>
  <c r="DE104" i="1"/>
  <c r="DF104" i="1"/>
  <c r="DG104" i="1"/>
  <c r="DH104" i="1"/>
  <c r="DI104" i="1"/>
  <c r="DJ104" i="1"/>
  <c r="DK104" i="1"/>
  <c r="DL104" i="1"/>
  <c r="DM104" i="1"/>
  <c r="DN104" i="1"/>
  <c r="DO104" i="1"/>
  <c r="DP104" i="1"/>
  <c r="DQ104" i="1"/>
  <c r="DR104" i="1"/>
  <c r="DS104" i="1"/>
  <c r="DT104" i="1"/>
  <c r="DU104" i="1"/>
  <c r="DV104" i="1"/>
  <c r="DW104" i="1"/>
  <c r="DX104" i="1"/>
  <c r="DY104" i="1"/>
  <c r="DZ104" i="1"/>
  <c r="EA104" i="1"/>
  <c r="EB104" i="1"/>
  <c r="EC104" i="1"/>
  <c r="ED104" i="1"/>
  <c r="EE104" i="1"/>
  <c r="EF104" i="1"/>
  <c r="EG104" i="1"/>
  <c r="EH104" i="1"/>
  <c r="EI104" i="1"/>
  <c r="EJ104" i="1"/>
  <c r="EK104" i="1"/>
  <c r="EV104" i="1"/>
  <c r="EW104" i="1"/>
  <c r="EX104" i="1"/>
  <c r="FD104" i="1"/>
  <c r="FG104" i="1"/>
  <c r="FI104" i="1"/>
  <c r="R103" i="1"/>
  <c r="Z103" i="1"/>
  <c r="AJ103" i="1"/>
  <c r="AN103" i="1"/>
  <c r="BS103" i="1"/>
  <c r="BU103" i="1" s="1"/>
  <c r="CL103" i="1"/>
  <c r="CN103" i="1"/>
  <c r="CO103" i="1"/>
  <c r="CP103" i="1"/>
  <c r="CQ103" i="1"/>
  <c r="CR103" i="1"/>
  <c r="CS103" i="1"/>
  <c r="CT103" i="1"/>
  <c r="CV103" i="1"/>
  <c r="CW103" i="1"/>
  <c r="CY103" i="1"/>
  <c r="CZ103" i="1"/>
  <c r="DA103" i="1"/>
  <c r="DB103" i="1"/>
  <c r="DC103" i="1"/>
  <c r="DD103" i="1"/>
  <c r="DE103" i="1"/>
  <c r="DF103" i="1"/>
  <c r="DG103" i="1"/>
  <c r="DH103" i="1"/>
  <c r="DI103" i="1"/>
  <c r="DJ103" i="1"/>
  <c r="DK103" i="1"/>
  <c r="DL103" i="1"/>
  <c r="DM103" i="1"/>
  <c r="DN103" i="1"/>
  <c r="DO103" i="1"/>
  <c r="DP103" i="1"/>
  <c r="DQ103" i="1"/>
  <c r="DR103" i="1"/>
  <c r="DS103" i="1"/>
  <c r="DT103" i="1"/>
  <c r="DU103" i="1"/>
  <c r="DV103" i="1"/>
  <c r="DW103" i="1"/>
  <c r="DX103" i="1"/>
  <c r="DY103" i="1"/>
  <c r="DZ103" i="1"/>
  <c r="EA103" i="1"/>
  <c r="EB103" i="1"/>
  <c r="EC103" i="1"/>
  <c r="ED103" i="1"/>
  <c r="EE103" i="1"/>
  <c r="EF103" i="1"/>
  <c r="EG103" i="1"/>
  <c r="EH103" i="1"/>
  <c r="EI103" i="1"/>
  <c r="EJ103" i="1"/>
  <c r="EK103" i="1"/>
  <c r="EV103" i="1"/>
  <c r="EW103" i="1"/>
  <c r="EX103" i="1"/>
  <c r="FD103" i="1"/>
  <c r="FG103" i="1"/>
  <c r="FI103" i="1"/>
  <c r="R102" i="1"/>
  <c r="Z102" i="1"/>
  <c r="AJ102" i="1"/>
  <c r="AN102" i="1"/>
  <c r="BS102" i="1"/>
  <c r="BU102" i="1" s="1"/>
  <c r="CL102" i="1"/>
  <c r="CN102" i="1"/>
  <c r="CO102" i="1"/>
  <c r="CP102" i="1"/>
  <c r="CQ102" i="1"/>
  <c r="CR102" i="1"/>
  <c r="CS102" i="1"/>
  <c r="CT102" i="1"/>
  <c r="CV102" i="1"/>
  <c r="CW102" i="1"/>
  <c r="CY102" i="1"/>
  <c r="CZ102" i="1"/>
  <c r="DA102" i="1"/>
  <c r="DB102" i="1"/>
  <c r="DC102" i="1"/>
  <c r="DD102" i="1"/>
  <c r="DE102" i="1"/>
  <c r="DF102" i="1"/>
  <c r="DG102" i="1"/>
  <c r="DH102" i="1"/>
  <c r="DI102" i="1"/>
  <c r="DJ102" i="1"/>
  <c r="DK102" i="1"/>
  <c r="DL102" i="1"/>
  <c r="DM102" i="1"/>
  <c r="DN102" i="1"/>
  <c r="DO102" i="1"/>
  <c r="DP102" i="1"/>
  <c r="DQ102" i="1"/>
  <c r="DR102" i="1"/>
  <c r="DS102" i="1"/>
  <c r="DT102" i="1"/>
  <c r="DU102" i="1"/>
  <c r="DV102" i="1"/>
  <c r="DW102" i="1"/>
  <c r="DX102" i="1"/>
  <c r="DY102" i="1"/>
  <c r="DZ102" i="1"/>
  <c r="EA102" i="1"/>
  <c r="EB102" i="1"/>
  <c r="EC102" i="1"/>
  <c r="ED102" i="1"/>
  <c r="EE102" i="1"/>
  <c r="EF102" i="1"/>
  <c r="EG102" i="1"/>
  <c r="EH102" i="1"/>
  <c r="EI102" i="1"/>
  <c r="EJ102" i="1"/>
  <c r="EK102" i="1"/>
  <c r="EV102" i="1"/>
  <c r="EW102" i="1"/>
  <c r="EX102" i="1"/>
  <c r="FD102" i="1"/>
  <c r="FG102" i="1"/>
  <c r="FI102" i="1"/>
  <c r="R101" i="1"/>
  <c r="Z101" i="1"/>
  <c r="AJ101" i="1"/>
  <c r="AN101" i="1"/>
  <c r="BS101" i="1"/>
  <c r="BU101" i="1" s="1"/>
  <c r="CL101" i="1"/>
  <c r="CM101" i="1"/>
  <c r="CN101" i="1"/>
  <c r="CO101" i="1"/>
  <c r="CP101" i="1"/>
  <c r="CQ101" i="1"/>
  <c r="CR101" i="1"/>
  <c r="CS101" i="1"/>
  <c r="CT101" i="1"/>
  <c r="CV101" i="1"/>
  <c r="CW101" i="1"/>
  <c r="CX101" i="1"/>
  <c r="CY101" i="1"/>
  <c r="CZ101" i="1"/>
  <c r="DA101" i="1"/>
  <c r="DB101" i="1"/>
  <c r="DC101" i="1"/>
  <c r="DD101" i="1"/>
  <c r="DE101" i="1"/>
  <c r="DF101" i="1"/>
  <c r="DG101" i="1"/>
  <c r="DH101" i="1"/>
  <c r="DI101" i="1"/>
  <c r="DJ101" i="1"/>
  <c r="DK101" i="1"/>
  <c r="DL101" i="1"/>
  <c r="DM101" i="1"/>
  <c r="DN101" i="1"/>
  <c r="DO101" i="1"/>
  <c r="DP101" i="1"/>
  <c r="DQ101" i="1"/>
  <c r="DR101" i="1"/>
  <c r="DS101" i="1"/>
  <c r="DT101" i="1"/>
  <c r="DU101" i="1"/>
  <c r="DV101" i="1"/>
  <c r="DW101" i="1"/>
  <c r="DX101" i="1"/>
  <c r="DY101" i="1"/>
  <c r="DZ101" i="1"/>
  <c r="EA101" i="1"/>
  <c r="EB101" i="1"/>
  <c r="EC101" i="1"/>
  <c r="ED101" i="1"/>
  <c r="EE101" i="1"/>
  <c r="EF101" i="1"/>
  <c r="EG101" i="1"/>
  <c r="EH101" i="1"/>
  <c r="EI101" i="1"/>
  <c r="EJ101" i="1"/>
  <c r="EK101" i="1"/>
  <c r="EV101" i="1"/>
  <c r="EW101" i="1"/>
  <c r="EX101" i="1"/>
  <c r="FD101" i="1"/>
  <c r="FG101" i="1"/>
  <c r="FI101" i="1"/>
  <c r="R100" i="1"/>
  <c r="Z100" i="1"/>
  <c r="AJ100" i="1"/>
  <c r="AN100" i="1"/>
  <c r="BS100" i="1"/>
  <c r="BU100" i="1" s="1"/>
  <c r="CL100" i="1"/>
  <c r="CM100" i="1"/>
  <c r="CN100" i="1"/>
  <c r="CO100" i="1"/>
  <c r="CP100" i="1"/>
  <c r="CQ100" i="1"/>
  <c r="CR100" i="1"/>
  <c r="CS100" i="1"/>
  <c r="CT100" i="1"/>
  <c r="CV100" i="1"/>
  <c r="CW100" i="1"/>
  <c r="CX100" i="1"/>
  <c r="CY100" i="1"/>
  <c r="CZ100" i="1"/>
  <c r="DA100" i="1"/>
  <c r="DB100" i="1"/>
  <c r="DC100" i="1"/>
  <c r="DD100" i="1"/>
  <c r="DE100" i="1"/>
  <c r="DF100" i="1"/>
  <c r="DG100" i="1"/>
  <c r="DH100" i="1"/>
  <c r="DI100" i="1"/>
  <c r="DJ100" i="1"/>
  <c r="DK100" i="1"/>
  <c r="DL100" i="1"/>
  <c r="DM100" i="1"/>
  <c r="DN100" i="1"/>
  <c r="DO100" i="1"/>
  <c r="DP100" i="1"/>
  <c r="DQ100" i="1"/>
  <c r="DR100" i="1"/>
  <c r="DS100" i="1"/>
  <c r="DT100" i="1"/>
  <c r="DU100" i="1"/>
  <c r="DV100" i="1"/>
  <c r="DW100" i="1"/>
  <c r="DX100" i="1"/>
  <c r="DY100" i="1"/>
  <c r="DZ100" i="1"/>
  <c r="EA100" i="1"/>
  <c r="EB100" i="1"/>
  <c r="EC100" i="1"/>
  <c r="ED100" i="1"/>
  <c r="EE100" i="1"/>
  <c r="EF100" i="1"/>
  <c r="EG100" i="1"/>
  <c r="EH100" i="1"/>
  <c r="EI100" i="1"/>
  <c r="EJ100" i="1"/>
  <c r="EK100" i="1"/>
  <c r="EV100" i="1"/>
  <c r="EW100" i="1"/>
  <c r="EX100" i="1"/>
  <c r="FD100" i="1"/>
  <c r="FG100" i="1"/>
  <c r="FI100" i="1"/>
  <c r="R33" i="1"/>
  <c r="R34" i="1"/>
  <c r="R35" i="1"/>
  <c r="R36" i="1"/>
  <c r="Z33" i="1"/>
  <c r="Z34" i="1"/>
  <c r="Z35" i="1"/>
  <c r="Z36" i="1"/>
  <c r="AJ33" i="1"/>
  <c r="AJ34" i="1"/>
  <c r="AJ35" i="1"/>
  <c r="AJ36" i="1"/>
  <c r="AN33" i="1"/>
  <c r="EZ33" i="1" s="1"/>
  <c r="AN34" i="1"/>
  <c r="AU34" i="1" s="1"/>
  <c r="AN35" i="1"/>
  <c r="AU35" i="1" s="1"/>
  <c r="AN36" i="1"/>
  <c r="EZ36" i="1" s="1"/>
  <c r="BK33" i="1"/>
  <c r="BM33" i="1" s="1"/>
  <c r="BO33" i="1" s="1"/>
  <c r="BX33" i="1" s="1"/>
  <c r="BY33" i="1" s="1"/>
  <c r="BK34" i="1"/>
  <c r="BM34" i="1" s="1"/>
  <c r="BO34" i="1" s="1"/>
  <c r="BK35" i="1"/>
  <c r="BM35" i="1" s="1"/>
  <c r="BO35" i="1" s="1"/>
  <c r="BK36" i="1"/>
  <c r="BM36" i="1" s="1"/>
  <c r="BO36" i="1" s="1"/>
  <c r="BS33" i="1"/>
  <c r="BU33" i="1" s="1"/>
  <c r="BS34" i="1"/>
  <c r="BU34" i="1" s="1"/>
  <c r="BS35" i="1"/>
  <c r="BU35" i="1" s="1"/>
  <c r="BS36" i="1"/>
  <c r="BU36" i="1" s="1"/>
  <c r="CL33" i="1"/>
  <c r="CL34" i="1"/>
  <c r="CL35" i="1"/>
  <c r="CL36" i="1"/>
  <c r="CN33" i="1"/>
  <c r="CN34" i="1"/>
  <c r="CN35" i="1"/>
  <c r="CN36" i="1"/>
  <c r="CO33" i="1"/>
  <c r="CO34" i="1"/>
  <c r="CO35" i="1"/>
  <c r="CO36" i="1"/>
  <c r="CP33" i="1"/>
  <c r="CP34" i="1"/>
  <c r="CP35" i="1"/>
  <c r="CP36" i="1"/>
  <c r="CQ33" i="1"/>
  <c r="CQ34" i="1"/>
  <c r="CQ35" i="1"/>
  <c r="CQ36" i="1"/>
  <c r="CR33" i="1"/>
  <c r="CR34" i="1"/>
  <c r="CR35" i="1"/>
  <c r="CR36" i="1"/>
  <c r="CS33" i="1"/>
  <c r="CS34" i="1"/>
  <c r="CS35" i="1"/>
  <c r="CS36" i="1"/>
  <c r="CT33" i="1"/>
  <c r="CT34" i="1"/>
  <c r="CT35" i="1"/>
  <c r="CT36" i="1"/>
  <c r="CU33" i="1"/>
  <c r="CU34" i="1"/>
  <c r="CU35" i="1"/>
  <c r="CU36" i="1"/>
  <c r="CV33" i="1"/>
  <c r="CV34" i="1"/>
  <c r="CV35" i="1"/>
  <c r="CV36" i="1"/>
  <c r="CW33" i="1"/>
  <c r="CW34" i="1"/>
  <c r="CW35" i="1"/>
  <c r="CW36" i="1"/>
  <c r="CX33" i="1"/>
  <c r="CX34" i="1"/>
  <c r="CX35" i="1"/>
  <c r="CX36" i="1"/>
  <c r="CY33" i="1"/>
  <c r="CY34" i="1"/>
  <c r="CY35" i="1"/>
  <c r="CY36" i="1"/>
  <c r="CZ33" i="1"/>
  <c r="CZ34" i="1"/>
  <c r="CZ35" i="1"/>
  <c r="CZ36" i="1"/>
  <c r="DA33" i="1"/>
  <c r="DA34" i="1"/>
  <c r="DA35" i="1"/>
  <c r="DA36" i="1"/>
  <c r="DB33" i="1"/>
  <c r="DB34" i="1"/>
  <c r="DB35" i="1"/>
  <c r="DB36" i="1"/>
  <c r="DC33" i="1"/>
  <c r="DC34" i="1"/>
  <c r="DC35" i="1"/>
  <c r="DC36" i="1"/>
  <c r="DD33" i="1"/>
  <c r="DD34" i="1"/>
  <c r="DD35" i="1"/>
  <c r="DD36" i="1"/>
  <c r="DE33" i="1"/>
  <c r="DE34" i="1"/>
  <c r="DE35" i="1"/>
  <c r="DE36" i="1"/>
  <c r="DF33" i="1"/>
  <c r="DF34" i="1"/>
  <c r="DF35" i="1"/>
  <c r="DF36" i="1"/>
  <c r="DG33" i="1"/>
  <c r="DG34" i="1"/>
  <c r="DG35" i="1"/>
  <c r="DG36" i="1"/>
  <c r="DH33" i="1"/>
  <c r="DH34" i="1"/>
  <c r="DH35" i="1"/>
  <c r="DH36" i="1"/>
  <c r="DI33" i="1"/>
  <c r="DI34" i="1"/>
  <c r="DI35" i="1"/>
  <c r="DI36" i="1"/>
  <c r="DJ33" i="1"/>
  <c r="DJ34" i="1"/>
  <c r="DJ35" i="1"/>
  <c r="DJ36" i="1"/>
  <c r="DK33" i="1"/>
  <c r="DK34" i="1"/>
  <c r="DK35" i="1"/>
  <c r="DK36" i="1"/>
  <c r="DL33" i="1"/>
  <c r="DL34" i="1"/>
  <c r="DL35" i="1"/>
  <c r="DL36" i="1"/>
  <c r="DM33" i="1"/>
  <c r="DM34" i="1"/>
  <c r="DM35" i="1"/>
  <c r="DM36" i="1"/>
  <c r="DN33" i="1"/>
  <c r="DN34" i="1"/>
  <c r="DN35" i="1"/>
  <c r="DN36" i="1"/>
  <c r="DO33" i="1"/>
  <c r="DO34" i="1"/>
  <c r="DO35" i="1"/>
  <c r="DO36" i="1"/>
  <c r="DP33" i="1"/>
  <c r="DP34" i="1"/>
  <c r="DP35" i="1"/>
  <c r="DP36" i="1"/>
  <c r="DQ33" i="1"/>
  <c r="DQ34" i="1"/>
  <c r="DQ35" i="1"/>
  <c r="DQ36" i="1"/>
  <c r="DR33" i="1"/>
  <c r="DR34" i="1"/>
  <c r="DR35" i="1"/>
  <c r="DR36" i="1"/>
  <c r="DS33" i="1"/>
  <c r="DS34" i="1"/>
  <c r="DS35" i="1"/>
  <c r="DS36" i="1"/>
  <c r="DT33" i="1"/>
  <c r="DT34" i="1"/>
  <c r="DT35" i="1"/>
  <c r="DT36" i="1"/>
  <c r="DU33" i="1"/>
  <c r="DU34" i="1"/>
  <c r="DU35" i="1"/>
  <c r="DU36" i="1"/>
  <c r="DV33" i="1"/>
  <c r="DV34" i="1"/>
  <c r="DV35" i="1"/>
  <c r="DV36" i="1"/>
  <c r="DW33" i="1"/>
  <c r="DW34" i="1"/>
  <c r="DW35" i="1"/>
  <c r="DW36" i="1"/>
  <c r="DX33" i="1"/>
  <c r="DX34" i="1"/>
  <c r="DX35" i="1"/>
  <c r="DX36" i="1"/>
  <c r="DY33" i="1"/>
  <c r="DY34" i="1"/>
  <c r="DY35" i="1"/>
  <c r="DY36" i="1"/>
  <c r="DZ33" i="1"/>
  <c r="DZ34" i="1"/>
  <c r="DZ35" i="1"/>
  <c r="DZ36" i="1"/>
  <c r="EA33" i="1"/>
  <c r="EA34" i="1"/>
  <c r="EA35" i="1"/>
  <c r="EA36" i="1"/>
  <c r="EB33" i="1"/>
  <c r="EB34" i="1"/>
  <c r="EB35" i="1"/>
  <c r="EB36" i="1"/>
  <c r="EC33" i="1"/>
  <c r="EC34" i="1"/>
  <c r="EC35" i="1"/>
  <c r="EC36" i="1"/>
  <c r="ED33" i="1"/>
  <c r="ED34" i="1"/>
  <c r="ED35" i="1"/>
  <c r="ED36" i="1"/>
  <c r="EE33" i="1"/>
  <c r="EE34" i="1"/>
  <c r="EE35" i="1"/>
  <c r="EE36" i="1"/>
  <c r="EF33" i="1"/>
  <c r="EF34" i="1"/>
  <c r="EF35" i="1"/>
  <c r="EF36" i="1"/>
  <c r="EG33" i="1"/>
  <c r="EG34" i="1"/>
  <c r="EG35" i="1"/>
  <c r="EG36" i="1"/>
  <c r="EI33" i="1"/>
  <c r="EI34" i="1"/>
  <c r="EI35" i="1"/>
  <c r="EI36" i="1"/>
  <c r="EJ33" i="1"/>
  <c r="EJ34" i="1"/>
  <c r="EJ35" i="1"/>
  <c r="EJ36" i="1"/>
  <c r="EK33" i="1"/>
  <c r="EK34" i="1"/>
  <c r="EK35" i="1"/>
  <c r="EK36" i="1"/>
  <c r="EV33" i="1"/>
  <c r="EV34" i="1"/>
  <c r="EV35" i="1"/>
  <c r="EV36" i="1"/>
  <c r="EW33" i="1"/>
  <c r="EW34" i="1"/>
  <c r="EW35" i="1"/>
  <c r="EW36" i="1"/>
  <c r="EX33" i="1"/>
  <c r="EX34" i="1"/>
  <c r="EX35" i="1"/>
  <c r="EX36" i="1"/>
  <c r="FD33" i="1"/>
  <c r="FD34" i="1"/>
  <c r="FD35" i="1"/>
  <c r="FD36" i="1"/>
  <c r="FF33" i="1"/>
  <c r="FF34" i="1"/>
  <c r="FF35" i="1"/>
  <c r="FF36" i="1"/>
  <c r="FG33" i="1"/>
  <c r="FG34" i="1"/>
  <c r="FG35" i="1"/>
  <c r="FG36" i="1"/>
  <c r="FI33" i="1"/>
  <c r="FI34" i="1"/>
  <c r="FI35" i="1"/>
  <c r="FI36" i="1"/>
  <c r="BX55" i="21"/>
  <c r="F54" i="24" s="1"/>
  <c r="BX54" i="21"/>
  <c r="F53" i="24" s="1"/>
  <c r="BX53" i="21"/>
  <c r="F52" i="24" s="1"/>
  <c r="BX52" i="21"/>
  <c r="F51" i="24" s="1"/>
  <c r="BX51" i="21"/>
  <c r="F50" i="24" s="1"/>
  <c r="BX50" i="21"/>
  <c r="F49" i="24" s="1"/>
  <c r="BX49" i="21"/>
  <c r="F48" i="24" s="1"/>
  <c r="BX48" i="21"/>
  <c r="F47" i="24" s="1"/>
  <c r="BX47" i="21"/>
  <c r="F46" i="24" s="1"/>
  <c r="BX46" i="21"/>
  <c r="F45" i="24" s="1"/>
  <c r="BX45" i="21"/>
  <c r="F44" i="24" s="1"/>
  <c r="BX44" i="21"/>
  <c r="F43" i="24" s="1"/>
  <c r="BX43" i="21"/>
  <c r="F42" i="24" s="1"/>
  <c r="BX42" i="21"/>
  <c r="F41" i="24" s="1"/>
  <c r="BX41" i="21"/>
  <c r="F40" i="24" s="1"/>
  <c r="BX40" i="21"/>
  <c r="F39" i="24" s="1"/>
  <c r="BX39" i="21"/>
  <c r="F38" i="24" s="1"/>
  <c r="BX38" i="21"/>
  <c r="F37" i="24" s="1"/>
  <c r="BX37" i="21"/>
  <c r="F36" i="24" s="1"/>
  <c r="BX36" i="21"/>
  <c r="F35" i="24" s="1"/>
  <c r="BX35" i="21"/>
  <c r="F34" i="24" s="1"/>
  <c r="BX34" i="21"/>
  <c r="F33" i="24" s="1"/>
  <c r="BX33" i="21"/>
  <c r="F32" i="24" s="1"/>
  <c r="BX32" i="21"/>
  <c r="F31" i="24" s="1"/>
  <c r="BX31" i="21"/>
  <c r="F30" i="24" s="1"/>
  <c r="BX30" i="21"/>
  <c r="F29" i="24" s="1"/>
  <c r="BX29" i="21"/>
  <c r="F28" i="24" s="1"/>
  <c r="BX28" i="21"/>
  <c r="F27" i="24" s="1"/>
  <c r="BX27" i="21"/>
  <c r="F26" i="24" s="1"/>
  <c r="BX26" i="21"/>
  <c r="F25" i="24" s="1"/>
  <c r="BX25" i="21"/>
  <c r="F24" i="24" s="1"/>
  <c r="BX24" i="21"/>
  <c r="F23" i="24" s="1"/>
  <c r="BX23" i="21"/>
  <c r="F22" i="24" s="1"/>
  <c r="BX22" i="21"/>
  <c r="F21" i="24" s="1"/>
  <c r="BX21" i="21"/>
  <c r="F20" i="24" s="1"/>
  <c r="BX20" i="21"/>
  <c r="F19" i="24" s="1"/>
  <c r="BX19" i="21"/>
  <c r="F18" i="24" s="1"/>
  <c r="BX18" i="21"/>
  <c r="F17" i="24" s="1"/>
  <c r="BX17" i="21"/>
  <c r="F16" i="24" s="1"/>
  <c r="BX16" i="21"/>
  <c r="F15" i="24" s="1"/>
  <c r="BX15" i="21"/>
  <c r="F14" i="24" s="1"/>
  <c r="BX14" i="21"/>
  <c r="F13" i="24" s="1"/>
  <c r="BX13" i="21"/>
  <c r="F12" i="24" s="1"/>
  <c r="BX12" i="21"/>
  <c r="F11" i="24" s="1"/>
  <c r="BX11" i="21"/>
  <c r="F10" i="24" s="1"/>
  <c r="BX10" i="21"/>
  <c r="F9" i="24" s="1"/>
  <c r="BX9" i="21"/>
  <c r="F8" i="24" s="1"/>
  <c r="BX8" i="21"/>
  <c r="F7" i="24" s="1"/>
  <c r="BX7" i="21"/>
  <c r="F6" i="24" s="1"/>
  <c r="BX6" i="21"/>
  <c r="F5" i="24" s="1"/>
  <c r="BX5" i="21"/>
  <c r="F4" i="24" s="1"/>
  <c r="BX4" i="21"/>
  <c r="F3" i="24" s="1"/>
  <c r="R68" i="1"/>
  <c r="R69" i="1"/>
  <c r="R70" i="1"/>
  <c r="R71" i="1"/>
  <c r="R72" i="1"/>
  <c r="R73" i="1"/>
  <c r="R74" i="1"/>
  <c r="R75" i="1"/>
  <c r="Z68" i="1"/>
  <c r="Z69" i="1"/>
  <c r="Z70" i="1"/>
  <c r="Z71" i="1"/>
  <c r="Z72" i="1"/>
  <c r="Z73" i="1"/>
  <c r="Z74" i="1"/>
  <c r="Z75" i="1"/>
  <c r="AJ68" i="1"/>
  <c r="AJ69" i="1"/>
  <c r="AJ70" i="1"/>
  <c r="AJ71" i="1"/>
  <c r="AJ72" i="1"/>
  <c r="AJ73" i="1"/>
  <c r="AJ74" i="1"/>
  <c r="AJ75" i="1"/>
  <c r="AN68" i="1"/>
  <c r="EZ68" i="1" s="1"/>
  <c r="AN69" i="1"/>
  <c r="EZ69" i="1" s="1"/>
  <c r="AN70" i="1"/>
  <c r="FH70" i="1" s="1"/>
  <c r="AN71" i="1"/>
  <c r="EZ71" i="1" s="1"/>
  <c r="AN72" i="1"/>
  <c r="FB72" i="1" s="1"/>
  <c r="AN73" i="1"/>
  <c r="EZ73" i="1" s="1"/>
  <c r="AN74" i="1"/>
  <c r="AU74" i="1" s="1"/>
  <c r="AN75" i="1"/>
  <c r="AU75" i="1" s="1"/>
  <c r="AU68" i="1"/>
  <c r="BK68" i="1"/>
  <c r="BM68" i="1" s="1"/>
  <c r="BO68" i="1" s="1"/>
  <c r="BK69" i="1"/>
  <c r="BM69" i="1" s="1"/>
  <c r="BO69" i="1" s="1"/>
  <c r="BK70" i="1"/>
  <c r="BM70" i="1" s="1"/>
  <c r="BO70" i="1" s="1"/>
  <c r="BK71" i="1"/>
  <c r="BM71" i="1" s="1"/>
  <c r="BO71" i="1" s="1"/>
  <c r="BK72" i="1"/>
  <c r="BM72" i="1" s="1"/>
  <c r="BO72" i="1" s="1"/>
  <c r="BK73" i="1"/>
  <c r="BM73" i="1" s="1"/>
  <c r="BO73" i="1" s="1"/>
  <c r="BK74" i="1"/>
  <c r="BM74" i="1" s="1"/>
  <c r="BO74" i="1" s="1"/>
  <c r="BK75" i="1"/>
  <c r="BM75" i="1" s="1"/>
  <c r="BO75" i="1" s="1"/>
  <c r="BS68" i="1"/>
  <c r="BS69" i="1"/>
  <c r="BS70" i="1"/>
  <c r="BU70" i="1" s="1"/>
  <c r="BS71" i="1"/>
  <c r="BU71" i="1" s="1"/>
  <c r="BS72" i="1"/>
  <c r="BU72" i="1" s="1"/>
  <c r="BS73" i="1"/>
  <c r="BU73" i="1" s="1"/>
  <c r="BS74" i="1"/>
  <c r="BU74" i="1" s="1"/>
  <c r="BS75" i="1"/>
  <c r="BU75" i="1" s="1"/>
  <c r="BU68" i="1"/>
  <c r="BU69" i="1"/>
  <c r="CL68" i="1"/>
  <c r="CL69" i="1"/>
  <c r="CL70" i="1"/>
  <c r="CL71" i="1"/>
  <c r="CL72" i="1"/>
  <c r="CL73" i="1"/>
  <c r="CL74" i="1"/>
  <c r="CL75" i="1"/>
  <c r="CN68" i="1"/>
  <c r="CN69" i="1"/>
  <c r="CN70" i="1"/>
  <c r="CN71" i="1"/>
  <c r="CN72" i="1"/>
  <c r="CN73" i="1"/>
  <c r="CN74" i="1"/>
  <c r="CN75" i="1"/>
  <c r="CO68" i="1"/>
  <c r="CO69" i="1"/>
  <c r="CO70" i="1"/>
  <c r="CO71" i="1"/>
  <c r="CO72" i="1"/>
  <c r="CO73" i="1"/>
  <c r="CO74" i="1"/>
  <c r="CO75" i="1"/>
  <c r="CP68" i="1"/>
  <c r="CP69" i="1"/>
  <c r="CP70" i="1"/>
  <c r="CP71" i="1"/>
  <c r="CP72" i="1"/>
  <c r="CP73" i="1"/>
  <c r="CP74" i="1"/>
  <c r="CP75" i="1"/>
  <c r="CQ68" i="1"/>
  <c r="CQ69" i="1"/>
  <c r="CQ70" i="1"/>
  <c r="CQ71" i="1"/>
  <c r="CQ72" i="1"/>
  <c r="CQ73" i="1"/>
  <c r="CQ74" i="1"/>
  <c r="CQ75" i="1"/>
  <c r="CR68" i="1"/>
  <c r="CR69" i="1"/>
  <c r="CR70" i="1"/>
  <c r="CR71" i="1"/>
  <c r="CR72" i="1"/>
  <c r="CR73" i="1"/>
  <c r="CR74" i="1"/>
  <c r="CR75" i="1"/>
  <c r="CS68" i="1"/>
  <c r="CS69" i="1"/>
  <c r="CS70" i="1"/>
  <c r="CS71" i="1"/>
  <c r="CS72" i="1"/>
  <c r="CS73" i="1"/>
  <c r="CS74" i="1"/>
  <c r="CS75" i="1"/>
  <c r="CT68" i="1"/>
  <c r="CT69" i="1"/>
  <c r="CT70" i="1"/>
  <c r="CT71" i="1"/>
  <c r="CT72" i="1"/>
  <c r="CT73" i="1"/>
  <c r="CT74" i="1"/>
  <c r="CT75" i="1"/>
  <c r="CU68" i="1"/>
  <c r="CU69" i="1"/>
  <c r="CU70" i="1"/>
  <c r="CU71" i="1"/>
  <c r="CU72" i="1"/>
  <c r="CU73" i="1"/>
  <c r="CU74" i="1"/>
  <c r="CU75" i="1"/>
  <c r="CV68" i="1"/>
  <c r="CV69" i="1"/>
  <c r="CV70" i="1"/>
  <c r="CV71" i="1"/>
  <c r="CV72" i="1"/>
  <c r="CV73" i="1"/>
  <c r="CV74" i="1"/>
  <c r="CV75" i="1"/>
  <c r="CW68" i="1"/>
  <c r="CW69" i="1"/>
  <c r="CW70" i="1"/>
  <c r="CW71" i="1"/>
  <c r="CW72" i="1"/>
  <c r="CW73" i="1"/>
  <c r="CW74" i="1"/>
  <c r="CW75" i="1"/>
  <c r="CX68" i="1"/>
  <c r="CX69" i="1"/>
  <c r="CX70" i="1"/>
  <c r="CX71" i="1"/>
  <c r="CX72" i="1"/>
  <c r="CX73" i="1"/>
  <c r="CX74" i="1"/>
  <c r="CX75" i="1"/>
  <c r="CY68" i="1"/>
  <c r="CY69" i="1"/>
  <c r="CY70" i="1"/>
  <c r="CY71" i="1"/>
  <c r="CY72" i="1"/>
  <c r="CY73" i="1"/>
  <c r="CY74" i="1"/>
  <c r="CY75" i="1"/>
  <c r="CZ72" i="1"/>
  <c r="CZ73" i="1"/>
  <c r="CZ74" i="1"/>
  <c r="CZ75" i="1"/>
  <c r="DA68" i="1"/>
  <c r="DA69" i="1"/>
  <c r="DA70" i="1"/>
  <c r="DA71" i="1"/>
  <c r="DA72" i="1"/>
  <c r="DA73" i="1"/>
  <c r="DA74" i="1"/>
  <c r="DA75" i="1"/>
  <c r="DB68" i="1"/>
  <c r="DB69" i="1"/>
  <c r="DB70" i="1"/>
  <c r="DB71" i="1"/>
  <c r="DB72" i="1"/>
  <c r="DB73" i="1"/>
  <c r="DB74" i="1"/>
  <c r="DB75" i="1"/>
  <c r="DC68" i="1"/>
  <c r="DC69" i="1"/>
  <c r="DC70" i="1"/>
  <c r="DC71" i="1"/>
  <c r="DC72" i="1"/>
  <c r="DC73" i="1"/>
  <c r="DC74" i="1"/>
  <c r="DC75" i="1"/>
  <c r="DD68" i="1"/>
  <c r="DD69" i="1"/>
  <c r="DD70" i="1"/>
  <c r="DD71" i="1"/>
  <c r="DD72" i="1"/>
  <c r="DD73" i="1"/>
  <c r="DD74" i="1"/>
  <c r="DD75" i="1"/>
  <c r="DE68" i="1"/>
  <c r="DE69" i="1"/>
  <c r="DE70" i="1"/>
  <c r="DE71" i="1"/>
  <c r="DE72" i="1"/>
  <c r="DE73" i="1"/>
  <c r="DE74" i="1"/>
  <c r="DE75" i="1"/>
  <c r="DF68" i="1"/>
  <c r="DF69" i="1"/>
  <c r="DF70" i="1"/>
  <c r="DF71" i="1"/>
  <c r="DF72" i="1"/>
  <c r="DF73" i="1"/>
  <c r="DF74" i="1"/>
  <c r="DF75" i="1"/>
  <c r="DG68" i="1"/>
  <c r="DG69" i="1"/>
  <c r="DG70" i="1"/>
  <c r="DG71" i="1"/>
  <c r="DG72" i="1"/>
  <c r="DG73" i="1"/>
  <c r="DG74" i="1"/>
  <c r="DG75" i="1"/>
  <c r="DH68" i="1"/>
  <c r="DH69" i="1"/>
  <c r="DH70" i="1"/>
  <c r="DH71" i="1"/>
  <c r="DH72" i="1"/>
  <c r="DH73" i="1"/>
  <c r="DH74" i="1"/>
  <c r="DH75" i="1"/>
  <c r="DI68" i="1"/>
  <c r="DI69" i="1"/>
  <c r="DI70" i="1"/>
  <c r="DI71" i="1"/>
  <c r="DI72" i="1"/>
  <c r="DI73" i="1"/>
  <c r="DI74" i="1"/>
  <c r="DI75" i="1"/>
  <c r="DJ68" i="1"/>
  <c r="DJ69" i="1"/>
  <c r="DJ70" i="1"/>
  <c r="DJ71" i="1"/>
  <c r="DJ72" i="1"/>
  <c r="DJ73" i="1"/>
  <c r="DJ74" i="1"/>
  <c r="DJ75" i="1"/>
  <c r="DK68" i="1"/>
  <c r="DK69" i="1"/>
  <c r="DK70" i="1"/>
  <c r="DK71" i="1"/>
  <c r="DK72" i="1"/>
  <c r="DK73" i="1"/>
  <c r="DK74" i="1"/>
  <c r="DK75" i="1"/>
  <c r="DL68" i="1"/>
  <c r="DL69" i="1"/>
  <c r="DL70" i="1"/>
  <c r="DL71" i="1"/>
  <c r="DL72" i="1"/>
  <c r="DL73" i="1"/>
  <c r="DL74" i="1"/>
  <c r="DL75" i="1"/>
  <c r="DM68" i="1"/>
  <c r="DM69" i="1"/>
  <c r="DM70" i="1"/>
  <c r="DM71" i="1"/>
  <c r="DM72" i="1"/>
  <c r="DM73" i="1"/>
  <c r="DM74" i="1"/>
  <c r="DM75" i="1"/>
  <c r="DN68" i="1"/>
  <c r="DN69" i="1"/>
  <c r="DN70" i="1"/>
  <c r="DN71" i="1"/>
  <c r="DN72" i="1"/>
  <c r="DN73" i="1"/>
  <c r="DN74" i="1"/>
  <c r="DN75" i="1"/>
  <c r="DO68" i="1"/>
  <c r="DO69" i="1"/>
  <c r="DO70" i="1"/>
  <c r="DO71" i="1"/>
  <c r="DO72" i="1"/>
  <c r="DO73" i="1"/>
  <c r="DO74" i="1"/>
  <c r="DO75" i="1"/>
  <c r="DP68" i="1"/>
  <c r="DP69" i="1"/>
  <c r="DP70" i="1"/>
  <c r="DP71" i="1"/>
  <c r="DP72" i="1"/>
  <c r="DP73" i="1"/>
  <c r="DP74" i="1"/>
  <c r="DP75" i="1"/>
  <c r="DQ68" i="1"/>
  <c r="DQ69" i="1"/>
  <c r="DQ70" i="1"/>
  <c r="DQ71" i="1"/>
  <c r="DQ72" i="1"/>
  <c r="DQ73" i="1"/>
  <c r="DQ74" i="1"/>
  <c r="DQ75" i="1"/>
  <c r="DR68" i="1"/>
  <c r="DR69" i="1"/>
  <c r="DR70" i="1"/>
  <c r="DR71" i="1"/>
  <c r="DR72" i="1"/>
  <c r="DR73" i="1"/>
  <c r="DR74" i="1"/>
  <c r="DR75" i="1"/>
  <c r="DS68" i="1"/>
  <c r="DS69" i="1"/>
  <c r="DS70" i="1"/>
  <c r="DS71" i="1"/>
  <c r="DS72" i="1"/>
  <c r="DS73" i="1"/>
  <c r="DS74" i="1"/>
  <c r="DS75" i="1"/>
  <c r="DT68" i="1"/>
  <c r="DT69" i="1"/>
  <c r="DT70" i="1"/>
  <c r="DT71" i="1"/>
  <c r="DT72" i="1"/>
  <c r="DT73" i="1"/>
  <c r="DT74" i="1"/>
  <c r="DT75" i="1"/>
  <c r="DU68" i="1"/>
  <c r="DU69" i="1"/>
  <c r="DU70" i="1"/>
  <c r="DU71" i="1"/>
  <c r="DU72" i="1"/>
  <c r="DU73" i="1"/>
  <c r="DU74" i="1"/>
  <c r="DU75" i="1"/>
  <c r="DV68" i="1"/>
  <c r="DV69" i="1"/>
  <c r="DV70" i="1"/>
  <c r="DV71" i="1"/>
  <c r="DV72" i="1"/>
  <c r="DV73" i="1"/>
  <c r="DV74" i="1"/>
  <c r="DV75" i="1"/>
  <c r="DW68" i="1"/>
  <c r="DW69" i="1"/>
  <c r="DW70" i="1"/>
  <c r="DW71" i="1"/>
  <c r="DW72" i="1"/>
  <c r="DW73" i="1"/>
  <c r="DW74" i="1"/>
  <c r="DW75" i="1"/>
  <c r="DX68" i="1"/>
  <c r="DX69" i="1"/>
  <c r="DX70" i="1"/>
  <c r="DX71" i="1"/>
  <c r="DX72" i="1"/>
  <c r="DX73" i="1"/>
  <c r="DX74" i="1"/>
  <c r="DX75" i="1"/>
  <c r="DY68" i="1"/>
  <c r="DY69" i="1"/>
  <c r="DY70" i="1"/>
  <c r="DY71" i="1"/>
  <c r="DY72" i="1"/>
  <c r="DY73" i="1"/>
  <c r="DY74" i="1"/>
  <c r="DY75" i="1"/>
  <c r="DZ68" i="1"/>
  <c r="DZ69" i="1"/>
  <c r="DZ70" i="1"/>
  <c r="DZ71" i="1"/>
  <c r="DZ72" i="1"/>
  <c r="DZ73" i="1"/>
  <c r="DZ74" i="1"/>
  <c r="DZ75" i="1"/>
  <c r="EA68" i="1"/>
  <c r="EA69" i="1"/>
  <c r="EA70" i="1"/>
  <c r="EA71" i="1"/>
  <c r="EA72" i="1"/>
  <c r="EA73" i="1"/>
  <c r="EA74" i="1"/>
  <c r="EA75" i="1"/>
  <c r="EB68" i="1"/>
  <c r="EB69" i="1"/>
  <c r="EB70" i="1"/>
  <c r="EB71" i="1"/>
  <c r="EB72" i="1"/>
  <c r="EB73" i="1"/>
  <c r="EB74" i="1"/>
  <c r="EB75" i="1"/>
  <c r="EC68" i="1"/>
  <c r="EC69" i="1"/>
  <c r="EC70" i="1"/>
  <c r="EC71" i="1"/>
  <c r="EC72" i="1"/>
  <c r="EC73" i="1"/>
  <c r="EC74" i="1"/>
  <c r="EC75" i="1"/>
  <c r="ED68" i="1"/>
  <c r="ED69" i="1"/>
  <c r="ED70" i="1"/>
  <c r="ED71" i="1"/>
  <c r="ED72" i="1"/>
  <c r="ED73" i="1"/>
  <c r="ED74" i="1"/>
  <c r="ED75" i="1"/>
  <c r="EE68" i="1"/>
  <c r="EE69" i="1"/>
  <c r="EE70" i="1"/>
  <c r="EE71" i="1"/>
  <c r="EE72" i="1"/>
  <c r="EE73" i="1"/>
  <c r="EE74" i="1"/>
  <c r="EE75" i="1"/>
  <c r="EF68" i="1"/>
  <c r="EF69" i="1"/>
  <c r="EF70" i="1"/>
  <c r="EF71" i="1"/>
  <c r="EF72" i="1"/>
  <c r="EF73" i="1"/>
  <c r="EF74" i="1"/>
  <c r="EF75" i="1"/>
  <c r="EG68" i="1"/>
  <c r="EG69" i="1"/>
  <c r="EG70" i="1"/>
  <c r="EG71" i="1"/>
  <c r="EG72" i="1"/>
  <c r="EG73" i="1"/>
  <c r="EG74" i="1"/>
  <c r="EG75" i="1"/>
  <c r="EH68" i="1"/>
  <c r="EH69" i="1"/>
  <c r="EH70" i="1"/>
  <c r="EH71" i="1"/>
  <c r="EH72" i="1"/>
  <c r="EH73" i="1"/>
  <c r="EH74" i="1"/>
  <c r="EH75" i="1"/>
  <c r="EI68" i="1"/>
  <c r="EI69" i="1"/>
  <c r="EI70" i="1"/>
  <c r="EI71" i="1"/>
  <c r="EJ68" i="1"/>
  <c r="EJ69" i="1"/>
  <c r="EJ70" i="1"/>
  <c r="EJ71" i="1"/>
  <c r="EJ72" i="1"/>
  <c r="EJ73" i="1"/>
  <c r="EJ74" i="1"/>
  <c r="EJ75" i="1"/>
  <c r="EK68" i="1"/>
  <c r="EK69" i="1"/>
  <c r="EK70" i="1"/>
  <c r="EK71" i="1"/>
  <c r="EV68" i="1"/>
  <c r="EV69" i="1"/>
  <c r="EV70" i="1"/>
  <c r="EV71" i="1"/>
  <c r="EV72" i="1"/>
  <c r="EV73" i="1"/>
  <c r="EV74" i="1"/>
  <c r="EV75" i="1"/>
  <c r="EW68" i="1"/>
  <c r="EW69" i="1"/>
  <c r="EW70" i="1"/>
  <c r="EW71" i="1"/>
  <c r="EW72" i="1"/>
  <c r="EW73" i="1"/>
  <c r="EW74" i="1"/>
  <c r="EW75" i="1"/>
  <c r="EX68" i="1"/>
  <c r="EX69" i="1"/>
  <c r="EX70" i="1"/>
  <c r="EX71" i="1"/>
  <c r="EX72" i="1"/>
  <c r="EX73" i="1"/>
  <c r="EX74" i="1"/>
  <c r="EX75" i="1"/>
  <c r="FD68" i="1"/>
  <c r="FD69" i="1"/>
  <c r="FD70" i="1"/>
  <c r="FD71" i="1"/>
  <c r="FD72" i="1"/>
  <c r="FD73" i="1"/>
  <c r="FD74" i="1"/>
  <c r="FD75" i="1"/>
  <c r="FF68" i="1"/>
  <c r="FF69" i="1"/>
  <c r="FF70" i="1"/>
  <c r="FF71" i="1"/>
  <c r="FF72" i="1"/>
  <c r="FF73" i="1"/>
  <c r="FF74" i="1"/>
  <c r="FF75" i="1"/>
  <c r="FG68" i="1"/>
  <c r="FG69" i="1"/>
  <c r="FG70" i="1"/>
  <c r="FG71" i="1"/>
  <c r="FG72" i="1"/>
  <c r="FG73" i="1"/>
  <c r="FG74" i="1"/>
  <c r="FG75" i="1"/>
  <c r="FI68" i="1"/>
  <c r="FI69" i="1"/>
  <c r="FI70" i="1"/>
  <c r="FI71" i="1"/>
  <c r="FI72" i="1"/>
  <c r="FI73" i="1"/>
  <c r="FI74" i="1"/>
  <c r="FI75" i="1"/>
  <c r="R6" i="1"/>
  <c r="R7" i="1"/>
  <c r="R8" i="1"/>
  <c r="R9" i="1"/>
  <c r="Z6" i="1"/>
  <c r="Z7" i="1"/>
  <c r="Z8" i="1"/>
  <c r="Z9" i="1"/>
  <c r="AJ6" i="1"/>
  <c r="AJ7" i="1"/>
  <c r="AJ8" i="1"/>
  <c r="AJ9" i="1"/>
  <c r="AN6" i="1"/>
  <c r="EZ6" i="1" s="1"/>
  <c r="AN7" i="1"/>
  <c r="FH7" i="1" s="1"/>
  <c r="AN8" i="1"/>
  <c r="EZ8" i="1" s="1"/>
  <c r="AN9" i="1"/>
  <c r="FB9" i="1" s="1"/>
  <c r="BK6" i="1"/>
  <c r="BM6" i="1" s="1"/>
  <c r="BO6" i="1" s="1"/>
  <c r="BK7" i="1"/>
  <c r="BM7" i="1" s="1"/>
  <c r="BO7" i="1" s="1"/>
  <c r="BK8" i="1"/>
  <c r="BM8" i="1" s="1"/>
  <c r="BO8" i="1" s="1"/>
  <c r="BK9" i="1"/>
  <c r="BM9" i="1" s="1"/>
  <c r="BO9" i="1" s="1"/>
  <c r="BX9" i="1" s="1"/>
  <c r="BY9" i="1" s="1"/>
  <c r="EQ9" i="1" s="1"/>
  <c r="BS6" i="1"/>
  <c r="BU6" i="1" s="1"/>
  <c r="BS7" i="1"/>
  <c r="BU7" i="1" s="1"/>
  <c r="BS8" i="1"/>
  <c r="BU8" i="1" s="1"/>
  <c r="BS9" i="1"/>
  <c r="BU9" i="1" s="1"/>
  <c r="CL6" i="1"/>
  <c r="CL7" i="1"/>
  <c r="CL8" i="1"/>
  <c r="CL9" i="1"/>
  <c r="CN6" i="1"/>
  <c r="CN7" i="1"/>
  <c r="CN8" i="1"/>
  <c r="CN9" i="1"/>
  <c r="CO6" i="1"/>
  <c r="CO7" i="1"/>
  <c r="CO8" i="1"/>
  <c r="CO9" i="1"/>
  <c r="CP6" i="1"/>
  <c r="CP7" i="1"/>
  <c r="CP8" i="1"/>
  <c r="CP9" i="1"/>
  <c r="CQ6" i="1"/>
  <c r="CQ7" i="1"/>
  <c r="CQ8" i="1"/>
  <c r="CQ9" i="1"/>
  <c r="CR6" i="1"/>
  <c r="CR7" i="1"/>
  <c r="CR8" i="1"/>
  <c r="CR9" i="1"/>
  <c r="CS6" i="1"/>
  <c r="CS7" i="1"/>
  <c r="CS8" i="1"/>
  <c r="CS9" i="1"/>
  <c r="CT6" i="1"/>
  <c r="CT7" i="1"/>
  <c r="CT8" i="1"/>
  <c r="CT9" i="1"/>
  <c r="CU6" i="1"/>
  <c r="CU7" i="1"/>
  <c r="CU8" i="1"/>
  <c r="CU9" i="1"/>
  <c r="CV6" i="1"/>
  <c r="CV7" i="1"/>
  <c r="CV8" i="1"/>
  <c r="CV9" i="1"/>
  <c r="CW6" i="1"/>
  <c r="CW7" i="1"/>
  <c r="CW8" i="1"/>
  <c r="CW9" i="1"/>
  <c r="CX6" i="1"/>
  <c r="CX7" i="1"/>
  <c r="CX8" i="1"/>
  <c r="CX9" i="1"/>
  <c r="CY6" i="1"/>
  <c r="CY7" i="1"/>
  <c r="CY8" i="1"/>
  <c r="CY9" i="1"/>
  <c r="CZ6" i="1"/>
  <c r="CZ7" i="1"/>
  <c r="CZ8" i="1"/>
  <c r="CZ9" i="1"/>
  <c r="DA6" i="1"/>
  <c r="DA7" i="1"/>
  <c r="DA8" i="1"/>
  <c r="DA9" i="1"/>
  <c r="DB6" i="1"/>
  <c r="DB7" i="1"/>
  <c r="DB8" i="1"/>
  <c r="DB9" i="1"/>
  <c r="DC6" i="1"/>
  <c r="DC7" i="1"/>
  <c r="DC8" i="1"/>
  <c r="DC9" i="1"/>
  <c r="DD6" i="1"/>
  <c r="DD7" i="1"/>
  <c r="DD8" i="1"/>
  <c r="DD9" i="1"/>
  <c r="DE6" i="1"/>
  <c r="DE7" i="1"/>
  <c r="DE8" i="1"/>
  <c r="DE9" i="1"/>
  <c r="DF6" i="1"/>
  <c r="DF7" i="1"/>
  <c r="DF8" i="1"/>
  <c r="DF9" i="1"/>
  <c r="DG6" i="1"/>
  <c r="DG7" i="1"/>
  <c r="DG8" i="1"/>
  <c r="DG9" i="1"/>
  <c r="DH6" i="1"/>
  <c r="DH7" i="1"/>
  <c r="DH8" i="1"/>
  <c r="DH9" i="1"/>
  <c r="DI6" i="1"/>
  <c r="DI7" i="1"/>
  <c r="DI8" i="1"/>
  <c r="DI9" i="1"/>
  <c r="DJ6" i="1"/>
  <c r="DJ7" i="1"/>
  <c r="DJ8" i="1"/>
  <c r="DJ9" i="1"/>
  <c r="DK6" i="1"/>
  <c r="DK7" i="1"/>
  <c r="DK8" i="1"/>
  <c r="DK9" i="1"/>
  <c r="DL6" i="1"/>
  <c r="DL7" i="1"/>
  <c r="DL8" i="1"/>
  <c r="DL9" i="1"/>
  <c r="DM6" i="1"/>
  <c r="DM7" i="1"/>
  <c r="DM8" i="1"/>
  <c r="DM9" i="1"/>
  <c r="DN6" i="1"/>
  <c r="DN7" i="1"/>
  <c r="DN8" i="1"/>
  <c r="DN9" i="1"/>
  <c r="DO6" i="1"/>
  <c r="DO7" i="1"/>
  <c r="DO8" i="1"/>
  <c r="DO9" i="1"/>
  <c r="DP6" i="1"/>
  <c r="DP7" i="1"/>
  <c r="DP8" i="1"/>
  <c r="DP9" i="1"/>
  <c r="DQ6" i="1"/>
  <c r="DQ7" i="1"/>
  <c r="DQ8" i="1"/>
  <c r="DQ9" i="1"/>
  <c r="DR6" i="1"/>
  <c r="DR7" i="1"/>
  <c r="DR8" i="1"/>
  <c r="DR9" i="1"/>
  <c r="DS6" i="1"/>
  <c r="DS7" i="1"/>
  <c r="DS8" i="1"/>
  <c r="DS9" i="1"/>
  <c r="DT6" i="1"/>
  <c r="DT7" i="1"/>
  <c r="DT8" i="1"/>
  <c r="DT9" i="1"/>
  <c r="DU6" i="1"/>
  <c r="DU7" i="1"/>
  <c r="DU8" i="1"/>
  <c r="DU9" i="1"/>
  <c r="DV6" i="1"/>
  <c r="DV7" i="1"/>
  <c r="DV8" i="1"/>
  <c r="DV9" i="1"/>
  <c r="DW6" i="1"/>
  <c r="DW7" i="1"/>
  <c r="DW8" i="1"/>
  <c r="DW9" i="1"/>
  <c r="DX6" i="1"/>
  <c r="DX7" i="1"/>
  <c r="DX8" i="1"/>
  <c r="DX9" i="1"/>
  <c r="DY6" i="1"/>
  <c r="DY7" i="1"/>
  <c r="DY8" i="1"/>
  <c r="DY9" i="1"/>
  <c r="DZ6" i="1"/>
  <c r="DZ7" i="1"/>
  <c r="DZ8" i="1"/>
  <c r="DZ9" i="1"/>
  <c r="EA6" i="1"/>
  <c r="EA7" i="1"/>
  <c r="EA8" i="1"/>
  <c r="EA9" i="1"/>
  <c r="EB6" i="1"/>
  <c r="EB7" i="1"/>
  <c r="EB8" i="1"/>
  <c r="EB9" i="1"/>
  <c r="EC6" i="1"/>
  <c r="EC7" i="1"/>
  <c r="EC8" i="1"/>
  <c r="EC9" i="1"/>
  <c r="ED6" i="1"/>
  <c r="ED7" i="1"/>
  <c r="ED8" i="1"/>
  <c r="ED9" i="1"/>
  <c r="EE6" i="1"/>
  <c r="EE7" i="1"/>
  <c r="EE8" i="1"/>
  <c r="EE9" i="1"/>
  <c r="EF6" i="1"/>
  <c r="EF7" i="1"/>
  <c r="EF8" i="1"/>
  <c r="EF9" i="1"/>
  <c r="EG6" i="1"/>
  <c r="EG7" i="1"/>
  <c r="EG8" i="1"/>
  <c r="EG9" i="1"/>
  <c r="EH6" i="1"/>
  <c r="EH7" i="1"/>
  <c r="EH8" i="1"/>
  <c r="EH9" i="1"/>
  <c r="EJ6" i="1"/>
  <c r="EJ7" i="1"/>
  <c r="EJ8" i="1"/>
  <c r="EJ9" i="1"/>
  <c r="EV6" i="1"/>
  <c r="EV7" i="1"/>
  <c r="EV8" i="1"/>
  <c r="EV9" i="1"/>
  <c r="EW6" i="1"/>
  <c r="EW7" i="1"/>
  <c r="EW8" i="1"/>
  <c r="EW9" i="1"/>
  <c r="EX6" i="1"/>
  <c r="EX7" i="1"/>
  <c r="EX8" i="1"/>
  <c r="EX9" i="1"/>
  <c r="FD6" i="1"/>
  <c r="FD7" i="1"/>
  <c r="FD8" i="1"/>
  <c r="FD9" i="1"/>
  <c r="FF6" i="1"/>
  <c r="FF7" i="1"/>
  <c r="FF8" i="1"/>
  <c r="FF9" i="1"/>
  <c r="FG6" i="1"/>
  <c r="FG7" i="1"/>
  <c r="FG8" i="1"/>
  <c r="FG9" i="1"/>
  <c r="FI6" i="1"/>
  <c r="FI7" i="1"/>
  <c r="FI8" i="1"/>
  <c r="FI9" i="1"/>
  <c r="R2" i="1"/>
  <c r="R3" i="1"/>
  <c r="R4" i="1"/>
  <c r="R5" i="1"/>
  <c r="Z2" i="1"/>
  <c r="Z3" i="1"/>
  <c r="Z4" i="1"/>
  <c r="Z5" i="1"/>
  <c r="AJ2" i="1"/>
  <c r="AJ3" i="1"/>
  <c r="AJ4" i="1"/>
  <c r="AJ5" i="1"/>
  <c r="AN2" i="1"/>
  <c r="EZ2" i="1" s="1"/>
  <c r="AN3" i="1"/>
  <c r="FB3" i="1" s="1"/>
  <c r="AN4" i="1"/>
  <c r="FH4" i="1" s="1"/>
  <c r="AN5" i="1"/>
  <c r="AU5" i="1" s="1"/>
  <c r="BK2" i="1"/>
  <c r="BM2" i="1" s="1"/>
  <c r="BO2" i="1" s="1"/>
  <c r="BX2" i="1" s="1"/>
  <c r="BK3" i="1"/>
  <c r="BM3" i="1" s="1"/>
  <c r="BO3" i="1" s="1"/>
  <c r="BK4" i="1"/>
  <c r="BM4" i="1" s="1"/>
  <c r="BO4" i="1" s="1"/>
  <c r="BK5" i="1"/>
  <c r="BM5" i="1" s="1"/>
  <c r="BO5" i="1" s="1"/>
  <c r="BX5" i="1" s="1"/>
  <c r="BS2" i="1"/>
  <c r="BU2" i="1" s="1"/>
  <c r="BS3" i="1"/>
  <c r="BU3" i="1" s="1"/>
  <c r="BS4" i="1"/>
  <c r="BU4" i="1" s="1"/>
  <c r="BS5" i="1"/>
  <c r="BU5" i="1" s="1"/>
  <c r="CL2" i="1"/>
  <c r="CL3" i="1"/>
  <c r="CL4" i="1"/>
  <c r="CL5" i="1"/>
  <c r="CN2" i="1"/>
  <c r="CN3" i="1"/>
  <c r="CN4" i="1"/>
  <c r="CN5" i="1"/>
  <c r="CO2" i="1"/>
  <c r="CO3" i="1"/>
  <c r="CO4" i="1"/>
  <c r="CO5" i="1"/>
  <c r="CP2" i="1"/>
  <c r="CP3" i="1"/>
  <c r="CP4" i="1"/>
  <c r="CP5" i="1"/>
  <c r="CQ2" i="1"/>
  <c r="CQ3" i="1"/>
  <c r="CQ4" i="1"/>
  <c r="CQ5" i="1"/>
  <c r="CR2" i="1"/>
  <c r="CR3" i="1"/>
  <c r="CR4" i="1"/>
  <c r="CR5" i="1"/>
  <c r="CS2" i="1"/>
  <c r="CS3" i="1"/>
  <c r="CS4" i="1"/>
  <c r="CS5" i="1"/>
  <c r="CT2" i="1"/>
  <c r="CT3" i="1"/>
  <c r="CT4" i="1"/>
  <c r="CT5" i="1"/>
  <c r="CU2" i="1"/>
  <c r="CU3" i="1"/>
  <c r="CU4" i="1"/>
  <c r="CU5" i="1"/>
  <c r="CV2" i="1"/>
  <c r="CV3" i="1"/>
  <c r="CV4" i="1"/>
  <c r="CV5" i="1"/>
  <c r="CW2" i="1"/>
  <c r="CW3" i="1"/>
  <c r="CW4" i="1"/>
  <c r="CW5" i="1"/>
  <c r="CX2" i="1"/>
  <c r="CX3" i="1"/>
  <c r="CX4" i="1"/>
  <c r="CX5" i="1"/>
  <c r="CY2" i="1"/>
  <c r="CY3" i="1"/>
  <c r="CY4" i="1"/>
  <c r="CY5" i="1"/>
  <c r="DA2" i="1"/>
  <c r="DA3" i="1"/>
  <c r="DA4" i="1"/>
  <c r="DA5" i="1"/>
  <c r="DB2" i="1"/>
  <c r="DB3" i="1"/>
  <c r="DB4" i="1"/>
  <c r="DB5" i="1"/>
  <c r="DC2" i="1"/>
  <c r="DC3" i="1"/>
  <c r="DC4" i="1"/>
  <c r="DC5" i="1"/>
  <c r="DD2" i="1"/>
  <c r="DD3" i="1"/>
  <c r="DD4" i="1"/>
  <c r="DD5" i="1"/>
  <c r="DE2" i="1"/>
  <c r="DE3" i="1"/>
  <c r="DE4" i="1"/>
  <c r="DE5" i="1"/>
  <c r="DF2" i="1"/>
  <c r="DF3" i="1"/>
  <c r="DF4" i="1"/>
  <c r="DF5" i="1"/>
  <c r="DG2" i="1"/>
  <c r="DG3" i="1"/>
  <c r="DG4" i="1"/>
  <c r="DG5" i="1"/>
  <c r="DH2" i="1"/>
  <c r="DH3" i="1"/>
  <c r="DH4" i="1"/>
  <c r="DH5" i="1"/>
  <c r="DI2" i="1"/>
  <c r="DI3" i="1"/>
  <c r="DI4" i="1"/>
  <c r="DI5" i="1"/>
  <c r="DJ2" i="1"/>
  <c r="DJ3" i="1"/>
  <c r="DJ4" i="1"/>
  <c r="DJ5" i="1"/>
  <c r="DK2" i="1"/>
  <c r="DK3" i="1"/>
  <c r="DK4" i="1"/>
  <c r="DK5" i="1"/>
  <c r="DL2" i="1"/>
  <c r="DL3" i="1"/>
  <c r="DL4" i="1"/>
  <c r="DL5" i="1"/>
  <c r="DM2" i="1"/>
  <c r="DM3" i="1"/>
  <c r="DM4" i="1"/>
  <c r="DM5" i="1"/>
  <c r="DN2" i="1"/>
  <c r="DN3" i="1"/>
  <c r="DN4" i="1"/>
  <c r="DN5" i="1"/>
  <c r="DO2" i="1"/>
  <c r="DO3" i="1"/>
  <c r="DO4" i="1"/>
  <c r="DO5" i="1"/>
  <c r="DP2" i="1"/>
  <c r="DP3" i="1"/>
  <c r="DP4" i="1"/>
  <c r="DP5" i="1"/>
  <c r="DQ2" i="1"/>
  <c r="DQ3" i="1"/>
  <c r="DQ4" i="1"/>
  <c r="DQ5" i="1"/>
  <c r="DR2" i="1"/>
  <c r="DR3" i="1"/>
  <c r="DR4" i="1"/>
  <c r="DR5" i="1"/>
  <c r="DS2" i="1"/>
  <c r="DS3" i="1"/>
  <c r="DS4" i="1"/>
  <c r="DS5" i="1"/>
  <c r="DT2" i="1"/>
  <c r="DT3" i="1"/>
  <c r="DT4" i="1"/>
  <c r="DT5" i="1"/>
  <c r="DU2" i="1"/>
  <c r="DU3" i="1"/>
  <c r="DU4" i="1"/>
  <c r="DU5" i="1"/>
  <c r="DV2" i="1"/>
  <c r="DV3" i="1"/>
  <c r="DV4" i="1"/>
  <c r="DV5" i="1"/>
  <c r="DW2" i="1"/>
  <c r="DW3" i="1"/>
  <c r="DW4" i="1"/>
  <c r="DW5" i="1"/>
  <c r="DX2" i="1"/>
  <c r="DX3" i="1"/>
  <c r="DX4" i="1"/>
  <c r="DX5" i="1"/>
  <c r="DY2" i="1"/>
  <c r="DY3" i="1"/>
  <c r="DY4" i="1"/>
  <c r="DY5" i="1"/>
  <c r="DZ2" i="1"/>
  <c r="DZ3" i="1"/>
  <c r="DZ4" i="1"/>
  <c r="DZ5" i="1"/>
  <c r="EA2" i="1"/>
  <c r="EA3" i="1"/>
  <c r="EA4" i="1"/>
  <c r="EA5" i="1"/>
  <c r="EB2" i="1"/>
  <c r="EB3" i="1"/>
  <c r="EB4" i="1"/>
  <c r="EB5" i="1"/>
  <c r="EC2" i="1"/>
  <c r="EC3" i="1"/>
  <c r="EC4" i="1"/>
  <c r="EC5" i="1"/>
  <c r="ED2" i="1"/>
  <c r="ED3" i="1"/>
  <c r="ED4" i="1"/>
  <c r="ED5" i="1"/>
  <c r="EE2" i="1"/>
  <c r="EE3" i="1"/>
  <c r="EE4" i="1"/>
  <c r="EE5" i="1"/>
  <c r="EF2" i="1"/>
  <c r="EF3" i="1"/>
  <c r="EF4" i="1"/>
  <c r="EF5" i="1"/>
  <c r="EG2" i="1"/>
  <c r="EG3" i="1"/>
  <c r="EG4" i="1"/>
  <c r="EG5" i="1"/>
  <c r="EH2" i="1"/>
  <c r="EH3" i="1"/>
  <c r="EH4" i="1"/>
  <c r="EH5" i="1"/>
  <c r="EI2" i="1"/>
  <c r="EI3" i="1"/>
  <c r="EI4" i="1"/>
  <c r="EI5" i="1"/>
  <c r="EJ2" i="1"/>
  <c r="EJ3" i="1"/>
  <c r="EJ4" i="1"/>
  <c r="EJ5" i="1"/>
  <c r="EK2" i="1"/>
  <c r="EK3" i="1"/>
  <c r="EK4" i="1"/>
  <c r="EK5" i="1"/>
  <c r="EV2" i="1"/>
  <c r="EV3" i="1"/>
  <c r="EV4" i="1"/>
  <c r="EV5" i="1"/>
  <c r="EW2" i="1"/>
  <c r="EW3" i="1"/>
  <c r="EW4" i="1"/>
  <c r="EW5" i="1"/>
  <c r="EX2" i="1"/>
  <c r="EX3" i="1"/>
  <c r="EX4" i="1"/>
  <c r="EX5" i="1"/>
  <c r="FD2" i="1"/>
  <c r="FD3" i="1"/>
  <c r="FD4" i="1"/>
  <c r="FD5" i="1"/>
  <c r="FF2" i="1"/>
  <c r="FF3" i="1"/>
  <c r="FF4" i="1"/>
  <c r="FF5" i="1"/>
  <c r="FG2" i="1"/>
  <c r="FG3" i="1"/>
  <c r="FG4" i="1"/>
  <c r="FG5" i="1"/>
  <c r="FI2" i="1"/>
  <c r="FI3" i="1"/>
  <c r="FI4" i="1"/>
  <c r="FI5" i="1"/>
  <c r="R86" i="1"/>
  <c r="R91" i="1"/>
  <c r="Z91" i="1"/>
  <c r="AJ86" i="1"/>
  <c r="AJ91" i="1"/>
  <c r="AU86" i="1"/>
  <c r="AN91" i="1"/>
  <c r="BS86" i="1"/>
  <c r="BU86" i="1" s="1"/>
  <c r="BS91" i="1"/>
  <c r="BU91" i="1" s="1"/>
  <c r="CL86" i="1"/>
  <c r="CL91" i="1"/>
  <c r="CN86" i="1"/>
  <c r="CN91" i="1"/>
  <c r="CO86" i="1"/>
  <c r="CO91" i="1"/>
  <c r="CP86" i="1"/>
  <c r="CP91" i="1"/>
  <c r="CQ86" i="1"/>
  <c r="CQ91" i="1"/>
  <c r="CR86" i="1"/>
  <c r="CR91" i="1"/>
  <c r="CS86" i="1"/>
  <c r="CS91" i="1"/>
  <c r="CT86" i="1"/>
  <c r="CT91" i="1"/>
  <c r="CU86" i="1"/>
  <c r="CU91" i="1"/>
  <c r="CV86" i="1"/>
  <c r="CV91" i="1"/>
  <c r="CW86" i="1"/>
  <c r="CW91" i="1"/>
  <c r="CX86" i="1"/>
  <c r="CX91" i="1"/>
  <c r="CY86" i="1"/>
  <c r="CY91" i="1"/>
  <c r="CZ86" i="1"/>
  <c r="CZ91" i="1"/>
  <c r="DA86" i="1"/>
  <c r="DA91" i="1"/>
  <c r="DB86" i="1"/>
  <c r="DB91" i="1"/>
  <c r="DC86" i="1"/>
  <c r="DC91" i="1"/>
  <c r="DD86" i="1"/>
  <c r="DD91" i="1"/>
  <c r="DE86" i="1"/>
  <c r="DE91" i="1"/>
  <c r="DF86" i="1"/>
  <c r="DF91" i="1"/>
  <c r="DG86" i="1"/>
  <c r="DG91" i="1"/>
  <c r="DH86" i="1"/>
  <c r="DH91" i="1"/>
  <c r="DI86" i="1"/>
  <c r="DI91" i="1"/>
  <c r="DJ86" i="1"/>
  <c r="DJ91" i="1"/>
  <c r="DK86" i="1"/>
  <c r="DK91" i="1"/>
  <c r="DL86" i="1"/>
  <c r="DL91" i="1"/>
  <c r="DM86" i="1"/>
  <c r="DM91" i="1"/>
  <c r="DN86" i="1"/>
  <c r="DN91" i="1"/>
  <c r="DO86" i="1"/>
  <c r="DO91" i="1"/>
  <c r="DP86" i="1"/>
  <c r="DP91" i="1"/>
  <c r="DQ86" i="1"/>
  <c r="DQ91" i="1"/>
  <c r="DR86" i="1"/>
  <c r="DR91" i="1"/>
  <c r="DS86" i="1"/>
  <c r="DS91" i="1"/>
  <c r="DT86" i="1"/>
  <c r="DT91" i="1"/>
  <c r="DV86" i="1"/>
  <c r="DV91" i="1"/>
  <c r="DW86" i="1"/>
  <c r="DW91" i="1"/>
  <c r="DX86" i="1"/>
  <c r="DX91" i="1"/>
  <c r="DY86" i="1"/>
  <c r="DY91" i="1"/>
  <c r="DZ86" i="1"/>
  <c r="DZ91" i="1"/>
  <c r="EA86" i="1"/>
  <c r="EA91" i="1"/>
  <c r="EB86" i="1"/>
  <c r="EB91" i="1"/>
  <c r="EC86" i="1"/>
  <c r="EC91" i="1"/>
  <c r="ED86" i="1"/>
  <c r="ED91" i="1"/>
  <c r="EE86" i="1"/>
  <c r="EE91" i="1"/>
  <c r="EF86" i="1"/>
  <c r="EF91" i="1"/>
  <c r="EG86" i="1"/>
  <c r="EG91" i="1"/>
  <c r="EI86" i="1"/>
  <c r="EI91" i="1"/>
  <c r="EJ86" i="1"/>
  <c r="EJ91" i="1"/>
  <c r="EK86" i="1"/>
  <c r="EK91" i="1"/>
  <c r="EV86" i="1"/>
  <c r="EV91" i="1"/>
  <c r="EW86" i="1"/>
  <c r="EW91" i="1"/>
  <c r="EX86" i="1"/>
  <c r="EX91" i="1"/>
  <c r="FD86" i="1"/>
  <c r="FD91" i="1"/>
  <c r="FI86" i="1"/>
  <c r="FI91" i="1"/>
  <c r="R94" i="1"/>
  <c r="R95" i="1"/>
  <c r="Z94" i="1"/>
  <c r="Z95" i="1"/>
  <c r="AJ94" i="1"/>
  <c r="AJ95" i="1"/>
  <c r="AN94" i="1"/>
  <c r="AN95" i="1"/>
  <c r="BS94" i="1"/>
  <c r="BU94" i="1" s="1"/>
  <c r="BS95" i="1"/>
  <c r="BU95" i="1" s="1"/>
  <c r="CL94" i="1"/>
  <c r="CL95" i="1"/>
  <c r="CM94" i="1"/>
  <c r="CM95" i="1"/>
  <c r="CN94" i="1"/>
  <c r="CN95" i="1"/>
  <c r="CO94" i="1"/>
  <c r="CO95" i="1"/>
  <c r="CP94" i="1"/>
  <c r="CP95" i="1"/>
  <c r="CQ94" i="1"/>
  <c r="CQ95" i="1"/>
  <c r="CR94" i="1"/>
  <c r="CR95" i="1"/>
  <c r="CS94" i="1"/>
  <c r="CS95" i="1"/>
  <c r="CT94" i="1"/>
  <c r="CT95" i="1"/>
  <c r="CU94" i="1"/>
  <c r="CU95" i="1"/>
  <c r="CV94" i="1"/>
  <c r="CV95" i="1"/>
  <c r="CW94" i="1"/>
  <c r="CW95" i="1"/>
  <c r="CX94" i="1"/>
  <c r="CX95" i="1"/>
  <c r="CY94" i="1"/>
  <c r="CY95" i="1"/>
  <c r="CZ94" i="1"/>
  <c r="CZ95" i="1"/>
  <c r="DA94" i="1"/>
  <c r="DA95" i="1"/>
  <c r="DB94" i="1"/>
  <c r="DB95" i="1"/>
  <c r="DC94" i="1"/>
  <c r="DC95" i="1"/>
  <c r="DD94" i="1"/>
  <c r="DD95" i="1"/>
  <c r="DE94" i="1"/>
  <c r="DE95" i="1"/>
  <c r="DF94" i="1"/>
  <c r="DF95" i="1"/>
  <c r="DG94" i="1"/>
  <c r="DG95" i="1"/>
  <c r="DH94" i="1"/>
  <c r="DH95" i="1"/>
  <c r="DI94" i="1"/>
  <c r="DI95" i="1"/>
  <c r="DJ94" i="1"/>
  <c r="DJ95" i="1"/>
  <c r="DK94" i="1"/>
  <c r="DK95" i="1"/>
  <c r="DL94" i="1"/>
  <c r="DL95" i="1"/>
  <c r="DM94" i="1"/>
  <c r="DM95" i="1"/>
  <c r="DN94" i="1"/>
  <c r="DN95" i="1"/>
  <c r="DO94" i="1"/>
  <c r="DO95" i="1"/>
  <c r="DP94" i="1"/>
  <c r="DP95" i="1"/>
  <c r="DQ94" i="1"/>
  <c r="DQ95" i="1"/>
  <c r="DR94" i="1"/>
  <c r="DR95" i="1"/>
  <c r="DS94" i="1"/>
  <c r="DS95" i="1"/>
  <c r="DT94" i="1"/>
  <c r="DT95" i="1"/>
  <c r="DU95" i="1"/>
  <c r="DV94" i="1"/>
  <c r="DV95" i="1"/>
  <c r="DW94" i="1"/>
  <c r="DW95" i="1"/>
  <c r="DX94" i="1"/>
  <c r="DX95" i="1"/>
  <c r="DY94" i="1"/>
  <c r="DZ94" i="1"/>
  <c r="DZ95" i="1"/>
  <c r="EA94" i="1"/>
  <c r="EA95" i="1"/>
  <c r="EB94" i="1"/>
  <c r="EB95" i="1"/>
  <c r="EC94" i="1"/>
  <c r="EC95" i="1"/>
  <c r="ED94" i="1"/>
  <c r="ED95" i="1"/>
  <c r="EE94" i="1"/>
  <c r="EE95" i="1"/>
  <c r="EF94" i="1"/>
  <c r="EF95" i="1"/>
  <c r="EG94" i="1"/>
  <c r="EG95" i="1"/>
  <c r="EH94" i="1"/>
  <c r="EH95" i="1"/>
  <c r="EI94" i="1"/>
  <c r="EI95" i="1"/>
  <c r="EJ94" i="1"/>
  <c r="EJ95" i="1"/>
  <c r="EK94" i="1"/>
  <c r="EK95" i="1"/>
  <c r="EV94" i="1"/>
  <c r="EV95" i="1"/>
  <c r="EW94" i="1"/>
  <c r="EW95" i="1"/>
  <c r="EX94" i="1"/>
  <c r="EX95" i="1"/>
  <c r="FD94" i="1"/>
  <c r="FD95" i="1"/>
  <c r="FI94" i="1"/>
  <c r="FI95" i="1"/>
  <c r="R96" i="1"/>
  <c r="Z96" i="1"/>
  <c r="AJ96" i="1"/>
  <c r="AN96" i="1"/>
  <c r="BS96" i="1"/>
  <c r="BU96" i="1" s="1"/>
  <c r="CL96" i="1"/>
  <c r="CM96" i="1"/>
  <c r="CN96" i="1"/>
  <c r="CO96" i="1"/>
  <c r="CP96" i="1"/>
  <c r="CQ96" i="1"/>
  <c r="CR96" i="1"/>
  <c r="CS96" i="1"/>
  <c r="CT96" i="1"/>
  <c r="CU96" i="1"/>
  <c r="CV96" i="1"/>
  <c r="CW96" i="1"/>
  <c r="CX96" i="1"/>
  <c r="CY96" i="1"/>
  <c r="CZ96" i="1"/>
  <c r="DA96" i="1"/>
  <c r="DB96" i="1"/>
  <c r="DC96" i="1"/>
  <c r="DD96" i="1"/>
  <c r="DE96" i="1"/>
  <c r="DF96" i="1"/>
  <c r="DG96" i="1"/>
  <c r="DH96" i="1"/>
  <c r="DI96" i="1"/>
  <c r="DJ96" i="1"/>
  <c r="DK96" i="1"/>
  <c r="DL96" i="1"/>
  <c r="DM96" i="1"/>
  <c r="DN96" i="1"/>
  <c r="DO96" i="1"/>
  <c r="DP96" i="1"/>
  <c r="DQ96" i="1"/>
  <c r="DR96" i="1"/>
  <c r="DS96" i="1"/>
  <c r="DT96" i="1"/>
  <c r="DU96" i="1"/>
  <c r="DV96" i="1"/>
  <c r="DW96" i="1"/>
  <c r="DX96" i="1"/>
  <c r="DZ96" i="1"/>
  <c r="EA96" i="1"/>
  <c r="EB96" i="1"/>
  <c r="EC96" i="1"/>
  <c r="ED96" i="1"/>
  <c r="EE96" i="1"/>
  <c r="EF96" i="1"/>
  <c r="EG96" i="1"/>
  <c r="EH96" i="1"/>
  <c r="EI96" i="1"/>
  <c r="EJ96" i="1"/>
  <c r="EK96" i="1"/>
  <c r="EV96" i="1"/>
  <c r="EW96" i="1"/>
  <c r="EX96" i="1"/>
  <c r="FD96" i="1"/>
  <c r="FI96" i="1"/>
  <c r="BW55" i="21"/>
  <c r="E54" i="24" s="1"/>
  <c r="BW54" i="21"/>
  <c r="E53" i="24" s="1"/>
  <c r="BW53" i="21"/>
  <c r="E52" i="24" s="1"/>
  <c r="BW52" i="21"/>
  <c r="E51" i="24" s="1"/>
  <c r="BW51" i="21"/>
  <c r="E50" i="24" s="1"/>
  <c r="BW50" i="21"/>
  <c r="E49" i="24" s="1"/>
  <c r="BW49" i="21"/>
  <c r="E48" i="24" s="1"/>
  <c r="BW48" i="21"/>
  <c r="E47" i="24" s="1"/>
  <c r="BW47" i="21"/>
  <c r="E46" i="24" s="1"/>
  <c r="BW46" i="21"/>
  <c r="E45" i="24" s="1"/>
  <c r="BW45" i="21"/>
  <c r="E44" i="24" s="1"/>
  <c r="BW44" i="21"/>
  <c r="E43" i="24" s="1"/>
  <c r="BW43" i="21"/>
  <c r="E42" i="24" s="1"/>
  <c r="BW42" i="21"/>
  <c r="E41" i="24" s="1"/>
  <c r="BW41" i="21"/>
  <c r="E40" i="24" s="1"/>
  <c r="BW40" i="21"/>
  <c r="E39" i="24" s="1"/>
  <c r="BW39" i="21"/>
  <c r="E38" i="24" s="1"/>
  <c r="BW38" i="21"/>
  <c r="E37" i="24" s="1"/>
  <c r="BW37" i="21"/>
  <c r="E36" i="24" s="1"/>
  <c r="BW36" i="21"/>
  <c r="E35" i="24" s="1"/>
  <c r="BW35" i="21"/>
  <c r="E34" i="24" s="1"/>
  <c r="BW34" i="21"/>
  <c r="E33" i="24" s="1"/>
  <c r="BW33" i="21"/>
  <c r="E32" i="24" s="1"/>
  <c r="BW32" i="21"/>
  <c r="E31" i="24" s="1"/>
  <c r="BW31" i="21"/>
  <c r="E30" i="24" s="1"/>
  <c r="BW30" i="21"/>
  <c r="E29" i="24" s="1"/>
  <c r="BW29" i="21"/>
  <c r="E28" i="24" s="1"/>
  <c r="BW28" i="21"/>
  <c r="E27" i="24" s="1"/>
  <c r="BW27" i="21"/>
  <c r="E26" i="24" s="1"/>
  <c r="BW26" i="21"/>
  <c r="E25" i="24" s="1"/>
  <c r="BW25" i="21"/>
  <c r="E24" i="24" s="1"/>
  <c r="BW24" i="21"/>
  <c r="E23" i="24" s="1"/>
  <c r="BW23" i="21"/>
  <c r="E22" i="24" s="1"/>
  <c r="BW22" i="21"/>
  <c r="E21" i="24" s="1"/>
  <c r="BW21" i="21"/>
  <c r="E20" i="24" s="1"/>
  <c r="BW20" i="21"/>
  <c r="E19" i="24" s="1"/>
  <c r="BW19" i="21"/>
  <c r="E18" i="24" s="1"/>
  <c r="BW18" i="21"/>
  <c r="E17" i="24" s="1"/>
  <c r="BW17" i="21"/>
  <c r="E16" i="24" s="1"/>
  <c r="BW16" i="21"/>
  <c r="E15" i="24" s="1"/>
  <c r="BW15" i="21"/>
  <c r="E14" i="24" s="1"/>
  <c r="BW14" i="21"/>
  <c r="E13" i="24" s="1"/>
  <c r="BW13" i="21"/>
  <c r="E12" i="24" s="1"/>
  <c r="BW12" i="21"/>
  <c r="E11" i="24" s="1"/>
  <c r="BW11" i="21"/>
  <c r="E10" i="24" s="1"/>
  <c r="BW10" i="21"/>
  <c r="E9" i="24" s="1"/>
  <c r="BW9" i="21"/>
  <c r="E8" i="24" s="1"/>
  <c r="BW8" i="21"/>
  <c r="E7" i="24" s="1"/>
  <c r="BW7" i="21"/>
  <c r="E6" i="24" s="1"/>
  <c r="BW6" i="21"/>
  <c r="E5" i="24" s="1"/>
  <c r="BW5" i="21"/>
  <c r="E4" i="24" s="1"/>
  <c r="BW4" i="21"/>
  <c r="E3" i="24" s="1"/>
  <c r="R32" i="1"/>
  <c r="M125" i="1"/>
  <c r="M144" i="1"/>
  <c r="M106" i="1"/>
  <c r="M3" i="1"/>
  <c r="M129" i="1"/>
  <c r="M74" i="1"/>
  <c r="M139" i="1"/>
  <c r="M148" i="1"/>
  <c r="M138" i="1"/>
  <c r="M121" i="1"/>
  <c r="M7" i="1"/>
  <c r="M71" i="1"/>
  <c r="M114" i="1"/>
  <c r="M117" i="1"/>
  <c r="M32" i="1"/>
  <c r="M95" i="1"/>
  <c r="M91" i="1"/>
  <c r="M146" i="1"/>
  <c r="M102" i="1"/>
  <c r="M70" i="1"/>
  <c r="M124" i="1"/>
  <c r="M136" i="1"/>
  <c r="M137" i="1"/>
  <c r="M35" i="1"/>
  <c r="M34" i="1"/>
  <c r="M133" i="1"/>
  <c r="M116" i="1"/>
  <c r="M4" i="1"/>
  <c r="M113" i="1"/>
  <c r="M101" i="1"/>
  <c r="M150" i="1"/>
  <c r="M140" i="1"/>
  <c r="M33" i="1"/>
  <c r="M69" i="1"/>
  <c r="M119" i="1"/>
  <c r="M2" i="1"/>
  <c r="M145" i="1"/>
  <c r="M132" i="1"/>
  <c r="M97" i="1"/>
  <c r="M9" i="1"/>
  <c r="M8" i="1"/>
  <c r="M109" i="1"/>
  <c r="M36" i="1"/>
  <c r="M107" i="1"/>
  <c r="M43" i="1"/>
  <c r="M41" i="1"/>
  <c r="M39" i="1"/>
  <c r="M103" i="1"/>
  <c r="M115" i="1"/>
  <c r="M112" i="1"/>
  <c r="M135" i="1"/>
  <c r="M105" i="1"/>
  <c r="M72" i="1"/>
  <c r="M68" i="1"/>
  <c r="M110" i="1"/>
  <c r="M122" i="1"/>
  <c r="M123" i="1"/>
  <c r="M99" i="1"/>
  <c r="M98" i="1"/>
  <c r="M142" i="1"/>
  <c r="M5" i="1"/>
  <c r="M94" i="1"/>
  <c r="M141" i="1"/>
  <c r="M143" i="1"/>
  <c r="M130" i="1"/>
  <c r="M104" i="1"/>
  <c r="M126" i="1"/>
  <c r="M42" i="1"/>
  <c r="M40" i="1"/>
  <c r="M120" i="1"/>
  <c r="M127" i="1"/>
  <c r="M134" i="1"/>
  <c r="M6" i="1"/>
  <c r="M111" i="1"/>
  <c r="M131" i="1"/>
  <c r="M147" i="1"/>
  <c r="M75" i="1"/>
  <c r="M149" i="1"/>
  <c r="M100" i="1"/>
  <c r="M73" i="1"/>
  <c r="M108" i="1"/>
  <c r="M118" i="1"/>
  <c r="M128" i="1"/>
  <c r="M96" i="1"/>
  <c r="M86" i="1"/>
  <c r="EP41" i="1" l="1"/>
  <c r="EP44" i="1"/>
  <c r="EP45" i="1"/>
  <c r="EP46" i="1"/>
  <c r="EP43" i="1"/>
  <c r="EP39" i="1"/>
  <c r="EP42" i="1"/>
  <c r="EP40" i="1"/>
  <c r="EZ149" i="1"/>
  <c r="AU69" i="1"/>
  <c r="FB99" i="1"/>
  <c r="AU99" i="1"/>
  <c r="FB150" i="1"/>
  <c r="EZ99" i="1"/>
  <c r="AU71" i="1"/>
  <c r="FB98" i="1"/>
  <c r="AU98" i="1"/>
  <c r="FB97" i="1"/>
  <c r="EZ98" i="1"/>
  <c r="AU70" i="1"/>
  <c r="EZ97" i="1"/>
  <c r="FB149" i="1"/>
  <c r="EZ150" i="1"/>
  <c r="FB146" i="1"/>
  <c r="AU146" i="1"/>
  <c r="EZ147" i="1"/>
  <c r="FB147" i="1"/>
  <c r="AU147" i="1"/>
  <c r="EZ148" i="1"/>
  <c r="FB145" i="1"/>
  <c r="AU145" i="1"/>
  <c r="EZ146" i="1"/>
  <c r="FB144" i="1"/>
  <c r="AU144" i="1"/>
  <c r="EZ145" i="1"/>
  <c r="FB143" i="1"/>
  <c r="AU143" i="1"/>
  <c r="EZ144" i="1"/>
  <c r="EZ143" i="1"/>
  <c r="FB142" i="1"/>
  <c r="FB141" i="1"/>
  <c r="EZ142" i="1"/>
  <c r="FB140" i="1"/>
  <c r="EZ141" i="1"/>
  <c r="FB139" i="1"/>
  <c r="EZ140" i="1"/>
  <c r="FH142" i="1"/>
  <c r="FB138" i="1"/>
  <c r="EZ139" i="1"/>
  <c r="FB137" i="1"/>
  <c r="AU137" i="1"/>
  <c r="EZ138" i="1"/>
  <c r="FB136" i="1"/>
  <c r="AU136" i="1"/>
  <c r="EZ137" i="1"/>
  <c r="FB135" i="1"/>
  <c r="AU135" i="1"/>
  <c r="EZ136" i="1"/>
  <c r="FB134" i="1"/>
  <c r="AU134" i="1"/>
  <c r="EZ135" i="1"/>
  <c r="FB133" i="1"/>
  <c r="AU133" i="1"/>
  <c r="EZ134" i="1"/>
  <c r="FB132" i="1"/>
  <c r="AU132" i="1"/>
  <c r="EZ133" i="1"/>
  <c r="FB131" i="1"/>
  <c r="AU131" i="1"/>
  <c r="EZ132" i="1"/>
  <c r="FB130" i="1"/>
  <c r="AU130" i="1"/>
  <c r="EZ131" i="1"/>
  <c r="EZ94" i="1"/>
  <c r="FB129" i="1"/>
  <c r="AU129" i="1"/>
  <c r="EZ130" i="1"/>
  <c r="FB128" i="1"/>
  <c r="AU128" i="1"/>
  <c r="EZ129" i="1"/>
  <c r="FB127" i="1"/>
  <c r="AU127" i="1"/>
  <c r="EZ128" i="1"/>
  <c r="FB126" i="1"/>
  <c r="AU126" i="1"/>
  <c r="EZ127" i="1"/>
  <c r="FB125" i="1"/>
  <c r="AU125" i="1"/>
  <c r="EZ126" i="1"/>
  <c r="FB124" i="1"/>
  <c r="AU124" i="1"/>
  <c r="EZ125" i="1"/>
  <c r="EZ124" i="1"/>
  <c r="FB123" i="1"/>
  <c r="FB122" i="1"/>
  <c r="EZ123" i="1"/>
  <c r="FB121" i="1"/>
  <c r="EZ122" i="1"/>
  <c r="FB120" i="1"/>
  <c r="EZ121" i="1"/>
  <c r="FH123" i="1"/>
  <c r="FB119" i="1"/>
  <c r="EZ120" i="1"/>
  <c r="FH122" i="1"/>
  <c r="FB118" i="1"/>
  <c r="AU118" i="1"/>
  <c r="EZ119" i="1"/>
  <c r="FB117" i="1"/>
  <c r="AU117" i="1"/>
  <c r="EZ118" i="1"/>
  <c r="FB116" i="1"/>
  <c r="AU116" i="1"/>
  <c r="EZ117" i="1"/>
  <c r="FB115" i="1"/>
  <c r="AU115" i="1"/>
  <c r="EZ116" i="1"/>
  <c r="FB114" i="1"/>
  <c r="FB69" i="1"/>
  <c r="AU114" i="1"/>
  <c r="EZ115" i="1"/>
  <c r="FB113" i="1"/>
  <c r="AU113" i="1"/>
  <c r="EZ114" i="1"/>
  <c r="FB112" i="1"/>
  <c r="AU112" i="1"/>
  <c r="EZ113" i="1"/>
  <c r="FB111" i="1"/>
  <c r="AU111" i="1"/>
  <c r="EZ112" i="1"/>
  <c r="FB70" i="1"/>
  <c r="FH74" i="1"/>
  <c r="AU73" i="1"/>
  <c r="FB110" i="1"/>
  <c r="EZ70" i="1"/>
  <c r="AU110" i="1"/>
  <c r="EZ111" i="1"/>
  <c r="FB109" i="1"/>
  <c r="AU109" i="1"/>
  <c r="EZ110" i="1"/>
  <c r="AU72" i="1"/>
  <c r="FB73" i="1"/>
  <c r="FB108" i="1"/>
  <c r="FB68" i="1"/>
  <c r="AU108" i="1"/>
  <c r="EZ109" i="1"/>
  <c r="EZ74" i="1"/>
  <c r="FB74" i="1"/>
  <c r="FB107" i="1"/>
  <c r="AU107" i="1"/>
  <c r="EZ108" i="1"/>
  <c r="EZ72" i="1"/>
  <c r="FH72" i="1"/>
  <c r="FH73" i="1"/>
  <c r="FH68" i="1"/>
  <c r="FB106" i="1"/>
  <c r="FH69" i="1"/>
  <c r="AU106" i="1"/>
  <c r="EZ107" i="1"/>
  <c r="FB105" i="1"/>
  <c r="FH75" i="1"/>
  <c r="FH71" i="1"/>
  <c r="FB75" i="1"/>
  <c r="FB71" i="1"/>
  <c r="EZ75" i="1"/>
  <c r="AU105" i="1"/>
  <c r="EZ106" i="1"/>
  <c r="FB104" i="1"/>
  <c r="AU104" i="1"/>
  <c r="EZ105" i="1"/>
  <c r="AU36" i="1"/>
  <c r="FB103" i="1"/>
  <c r="AU103" i="1"/>
  <c r="EZ104" i="1"/>
  <c r="FH34" i="1"/>
  <c r="AU8" i="1"/>
  <c r="FB102" i="1"/>
  <c r="AU102" i="1"/>
  <c r="EZ103" i="1"/>
  <c r="FB101" i="1"/>
  <c r="EZ34" i="1"/>
  <c r="AU101" i="1"/>
  <c r="EZ102" i="1"/>
  <c r="EP35" i="1"/>
  <c r="BX35" i="1"/>
  <c r="AU6" i="1"/>
  <c r="FB33" i="1"/>
  <c r="AU33" i="1"/>
  <c r="EZ95" i="1"/>
  <c r="EZ4" i="1"/>
  <c r="EZ9" i="1"/>
  <c r="FB34" i="1"/>
  <c r="EP33" i="1"/>
  <c r="FB100" i="1"/>
  <c r="FB4" i="1"/>
  <c r="AU4" i="1"/>
  <c r="AU9" i="1"/>
  <c r="FH33" i="1"/>
  <c r="AU100" i="1"/>
  <c r="EZ101" i="1"/>
  <c r="BX36" i="1"/>
  <c r="EP36" i="1"/>
  <c r="AU7" i="1"/>
  <c r="EQ33" i="1"/>
  <c r="EP3" i="1"/>
  <c r="FH35" i="1"/>
  <c r="FB35" i="1"/>
  <c r="EZ35" i="1"/>
  <c r="EZ3" i="1"/>
  <c r="FH36" i="1"/>
  <c r="FB36" i="1"/>
  <c r="EZ100" i="1"/>
  <c r="EP34" i="1"/>
  <c r="BX34" i="1"/>
  <c r="AU2" i="1"/>
  <c r="FH2" i="1"/>
  <c r="AU3" i="1"/>
  <c r="FH3" i="1"/>
  <c r="FB2" i="1"/>
  <c r="FH9" i="1"/>
  <c r="EP2" i="1"/>
  <c r="FB7" i="1"/>
  <c r="BX3" i="1"/>
  <c r="BY3" i="1" s="1"/>
  <c r="EQ3" i="1" s="1"/>
  <c r="FB8" i="1"/>
  <c r="FH5" i="1"/>
  <c r="FB5" i="1"/>
  <c r="EZ5" i="1"/>
  <c r="FH8" i="1"/>
  <c r="BY2" i="1"/>
  <c r="EQ2" i="1" s="1"/>
  <c r="BY5" i="1"/>
  <c r="EQ5" i="1" s="1"/>
  <c r="BX7" i="1"/>
  <c r="BY7" i="1" s="1"/>
  <c r="EQ7" i="1" s="1"/>
  <c r="EP7" i="1"/>
  <c r="EZ7" i="1"/>
  <c r="FB94" i="1"/>
  <c r="EP5" i="1"/>
  <c r="EP4" i="1"/>
  <c r="BX4" i="1"/>
  <c r="BX6" i="1"/>
  <c r="BY6" i="1" s="1"/>
  <c r="EQ6" i="1" s="1"/>
  <c r="EP6" i="1"/>
  <c r="FH6" i="1"/>
  <c r="FB6" i="1"/>
  <c r="EZ91" i="1"/>
  <c r="FB95" i="1"/>
  <c r="BX71" i="1"/>
  <c r="EP71" i="1"/>
  <c r="BX70" i="1"/>
  <c r="EP70" i="1"/>
  <c r="BX74" i="1"/>
  <c r="EP74" i="1"/>
  <c r="BX69" i="1"/>
  <c r="EP69" i="1"/>
  <c r="BX73" i="1"/>
  <c r="EP73" i="1"/>
  <c r="BX68" i="1"/>
  <c r="EP68" i="1"/>
  <c r="BX72" i="1"/>
  <c r="EP72" i="1"/>
  <c r="BX75" i="1"/>
  <c r="EP75" i="1"/>
  <c r="EP9" i="1"/>
  <c r="BX8" i="1"/>
  <c r="EP8" i="1"/>
  <c r="FB86" i="1"/>
  <c r="FB91" i="1"/>
  <c r="EZ86" i="1"/>
  <c r="EZ96" i="1"/>
  <c r="FB96" i="1"/>
  <c r="R31" i="1"/>
  <c r="M31" i="1"/>
  <c r="EQ45" i="1" l="1"/>
  <c r="EQ41" i="1"/>
  <c r="EQ46" i="1"/>
  <c r="EQ44" i="1"/>
  <c r="EQ40" i="1"/>
  <c r="EQ39" i="1"/>
  <c r="EQ42" i="1"/>
  <c r="EQ43" i="1"/>
  <c r="BY35" i="1"/>
  <c r="EQ35" i="1" s="1"/>
  <c r="BY36" i="1"/>
  <c r="EQ36" i="1" s="1"/>
  <c r="BY34" i="1"/>
  <c r="EQ34" i="1" s="1"/>
  <c r="BY4" i="1"/>
  <c r="EQ4" i="1" s="1"/>
  <c r="BY72" i="1"/>
  <c r="EQ72" i="1" s="1"/>
  <c r="BY73" i="1"/>
  <c r="EQ73" i="1" s="1"/>
  <c r="BY74" i="1"/>
  <c r="EQ74" i="1" s="1"/>
  <c r="BY71" i="1"/>
  <c r="EQ71" i="1" s="1"/>
  <c r="BY75" i="1"/>
  <c r="EQ75" i="1" s="1"/>
  <c r="BY68" i="1"/>
  <c r="EQ68" i="1" s="1"/>
  <c r="BY69" i="1"/>
  <c r="EQ69" i="1" s="1"/>
  <c r="BY70" i="1"/>
  <c r="EQ70" i="1" s="1"/>
  <c r="BY8" i="1"/>
  <c r="EQ8" i="1" s="1"/>
  <c r="Z31" i="1"/>
  <c r="Z32" i="1"/>
  <c r="AJ31" i="1"/>
  <c r="AJ32" i="1"/>
  <c r="AN31" i="1"/>
  <c r="EZ31" i="1" s="1"/>
  <c r="AN32" i="1"/>
  <c r="BS31" i="1"/>
  <c r="BU31" i="1" s="1"/>
  <c r="BS32" i="1"/>
  <c r="BU32" i="1" s="1"/>
  <c r="CL31" i="1"/>
  <c r="CL32" i="1"/>
  <c r="CM31" i="1"/>
  <c r="CM32" i="1"/>
  <c r="CN31" i="1"/>
  <c r="CN32" i="1"/>
  <c r="CO31" i="1"/>
  <c r="CO32" i="1"/>
  <c r="CP31" i="1"/>
  <c r="CP32" i="1"/>
  <c r="CQ31" i="1"/>
  <c r="CQ32" i="1"/>
  <c r="CR31" i="1"/>
  <c r="CR32" i="1"/>
  <c r="CS31" i="1"/>
  <c r="CS32" i="1"/>
  <c r="CT31" i="1"/>
  <c r="CT32" i="1"/>
  <c r="CU31" i="1"/>
  <c r="CU32" i="1"/>
  <c r="CV31" i="1"/>
  <c r="CV32" i="1"/>
  <c r="CW31" i="1"/>
  <c r="CW32" i="1"/>
  <c r="CX31" i="1"/>
  <c r="CX32" i="1"/>
  <c r="CY31" i="1"/>
  <c r="CY32" i="1"/>
  <c r="CZ31" i="1"/>
  <c r="CZ32" i="1"/>
  <c r="DA31" i="1"/>
  <c r="DA32" i="1"/>
  <c r="DB31" i="1"/>
  <c r="DB32" i="1"/>
  <c r="DC31" i="1"/>
  <c r="DC32" i="1"/>
  <c r="DD31" i="1"/>
  <c r="DD32" i="1"/>
  <c r="DE31" i="1"/>
  <c r="DE32" i="1"/>
  <c r="DF31" i="1"/>
  <c r="DF32" i="1"/>
  <c r="DG31" i="1"/>
  <c r="DG32" i="1"/>
  <c r="DH31" i="1"/>
  <c r="DH32" i="1"/>
  <c r="DI31" i="1"/>
  <c r="DI32" i="1"/>
  <c r="DJ31" i="1"/>
  <c r="DJ32" i="1"/>
  <c r="DK31" i="1"/>
  <c r="DK32" i="1"/>
  <c r="DL31" i="1"/>
  <c r="DL32" i="1"/>
  <c r="DM31" i="1"/>
  <c r="DM32" i="1"/>
  <c r="DN31" i="1"/>
  <c r="DN32" i="1"/>
  <c r="DO31" i="1"/>
  <c r="DO32" i="1"/>
  <c r="DP31" i="1"/>
  <c r="DP32" i="1"/>
  <c r="DQ31" i="1"/>
  <c r="DQ32" i="1"/>
  <c r="DR31" i="1"/>
  <c r="DR32" i="1"/>
  <c r="DS31" i="1"/>
  <c r="DS32" i="1"/>
  <c r="DT31" i="1"/>
  <c r="DT32" i="1"/>
  <c r="DV31" i="1"/>
  <c r="DV32" i="1"/>
  <c r="DW31" i="1"/>
  <c r="DW32" i="1"/>
  <c r="DX31" i="1"/>
  <c r="DX32" i="1"/>
  <c r="DY31" i="1"/>
  <c r="DY32" i="1"/>
  <c r="DZ31" i="1"/>
  <c r="DZ32" i="1"/>
  <c r="EA31" i="1"/>
  <c r="EA32" i="1"/>
  <c r="EB31" i="1"/>
  <c r="EB32" i="1"/>
  <c r="EC31" i="1"/>
  <c r="EC32" i="1"/>
  <c r="ED31" i="1"/>
  <c r="ED32" i="1"/>
  <c r="EE31" i="1"/>
  <c r="EE32" i="1"/>
  <c r="EF31" i="1"/>
  <c r="EF32" i="1"/>
  <c r="EG31" i="1"/>
  <c r="EG32" i="1"/>
  <c r="EH31" i="1"/>
  <c r="EH32" i="1"/>
  <c r="EI31" i="1"/>
  <c r="EI32" i="1"/>
  <c r="EJ31" i="1"/>
  <c r="EJ32" i="1"/>
  <c r="EK31" i="1"/>
  <c r="EK32" i="1"/>
  <c r="EV31" i="1"/>
  <c r="EV32" i="1"/>
  <c r="EW31" i="1"/>
  <c r="EW32" i="1"/>
  <c r="EX31" i="1"/>
  <c r="EX32" i="1"/>
  <c r="FD31" i="1"/>
  <c r="FD32" i="1"/>
  <c r="FG31" i="1"/>
  <c r="FG32" i="1"/>
  <c r="FI31" i="1"/>
  <c r="FI32" i="1"/>
  <c r="R63" i="1"/>
  <c r="R64" i="1"/>
  <c r="R65" i="1"/>
  <c r="R66" i="1"/>
  <c r="R67" i="1"/>
  <c r="Z63" i="1"/>
  <c r="Z64" i="1"/>
  <c r="Z65" i="1"/>
  <c r="Z66" i="1"/>
  <c r="Z67" i="1"/>
  <c r="AJ63" i="1"/>
  <c r="AJ64" i="1"/>
  <c r="AJ65" i="1"/>
  <c r="AJ66" i="1"/>
  <c r="AJ67" i="1"/>
  <c r="AN63" i="1"/>
  <c r="AN64" i="1"/>
  <c r="AN65" i="1"/>
  <c r="AN66" i="1"/>
  <c r="AN67" i="1"/>
  <c r="BS63" i="1"/>
  <c r="BU63" i="1" s="1"/>
  <c r="BS64" i="1"/>
  <c r="BU64" i="1" s="1"/>
  <c r="BS65" i="1"/>
  <c r="BU65" i="1" s="1"/>
  <c r="BS66" i="1"/>
  <c r="BU66" i="1" s="1"/>
  <c r="BS67" i="1"/>
  <c r="BU67" i="1" s="1"/>
  <c r="CL63" i="1"/>
  <c r="CL64" i="1"/>
  <c r="CL65" i="1"/>
  <c r="CL66" i="1"/>
  <c r="CL67" i="1"/>
  <c r="CM63" i="1"/>
  <c r="CM64" i="1"/>
  <c r="CM65" i="1"/>
  <c r="CM66" i="1"/>
  <c r="CM67" i="1"/>
  <c r="CN63" i="1"/>
  <c r="CN64" i="1"/>
  <c r="CN65" i="1"/>
  <c r="CN66" i="1"/>
  <c r="CN67" i="1"/>
  <c r="CO63" i="1"/>
  <c r="CO64" i="1"/>
  <c r="CO65" i="1"/>
  <c r="CO66" i="1"/>
  <c r="CO67" i="1"/>
  <c r="CP63" i="1"/>
  <c r="CP64" i="1"/>
  <c r="CP65" i="1"/>
  <c r="CP66" i="1"/>
  <c r="CP67" i="1"/>
  <c r="CQ63" i="1"/>
  <c r="CQ64" i="1"/>
  <c r="CQ65" i="1"/>
  <c r="CQ66" i="1"/>
  <c r="CQ67" i="1"/>
  <c r="CR63" i="1"/>
  <c r="CR64" i="1"/>
  <c r="CR65" i="1"/>
  <c r="CR66" i="1"/>
  <c r="CR67" i="1"/>
  <c r="CS63" i="1"/>
  <c r="CS64" i="1"/>
  <c r="CS65" i="1"/>
  <c r="CS66" i="1"/>
  <c r="CS67" i="1"/>
  <c r="CT63" i="1"/>
  <c r="CT64" i="1"/>
  <c r="CT65" i="1"/>
  <c r="CT66" i="1"/>
  <c r="CT67" i="1"/>
  <c r="CU63" i="1"/>
  <c r="CU64" i="1"/>
  <c r="CU65" i="1"/>
  <c r="CU66" i="1"/>
  <c r="CU67" i="1"/>
  <c r="CV63" i="1"/>
  <c r="CV64" i="1"/>
  <c r="CV65" i="1"/>
  <c r="CV66" i="1"/>
  <c r="CV67" i="1"/>
  <c r="CW63" i="1"/>
  <c r="CW64" i="1"/>
  <c r="CW65" i="1"/>
  <c r="CW66" i="1"/>
  <c r="CW67" i="1"/>
  <c r="CX63" i="1"/>
  <c r="CX64" i="1"/>
  <c r="CX65" i="1"/>
  <c r="CX66" i="1"/>
  <c r="CX67" i="1"/>
  <c r="CY63" i="1"/>
  <c r="CY64" i="1"/>
  <c r="CY65" i="1"/>
  <c r="CY66" i="1"/>
  <c r="CY67" i="1"/>
  <c r="CZ63" i="1"/>
  <c r="CZ64" i="1"/>
  <c r="CZ65" i="1"/>
  <c r="CZ66" i="1"/>
  <c r="CZ67" i="1"/>
  <c r="DA63" i="1"/>
  <c r="DA64" i="1"/>
  <c r="DA65" i="1"/>
  <c r="DA66" i="1"/>
  <c r="DA67" i="1"/>
  <c r="DB63" i="1"/>
  <c r="DB64" i="1"/>
  <c r="DB65" i="1"/>
  <c r="DB66" i="1"/>
  <c r="DB67" i="1"/>
  <c r="DC63" i="1"/>
  <c r="DC64" i="1"/>
  <c r="DC65" i="1"/>
  <c r="DC66" i="1"/>
  <c r="DC67" i="1"/>
  <c r="DD63" i="1"/>
  <c r="DD64" i="1"/>
  <c r="DD65" i="1"/>
  <c r="DD66" i="1"/>
  <c r="DD67" i="1"/>
  <c r="DE63" i="1"/>
  <c r="DE64" i="1"/>
  <c r="DE65" i="1"/>
  <c r="DE66" i="1"/>
  <c r="DE67" i="1"/>
  <c r="DF63" i="1"/>
  <c r="DF64" i="1"/>
  <c r="DF65" i="1"/>
  <c r="DF66" i="1"/>
  <c r="DF67" i="1"/>
  <c r="DG63" i="1"/>
  <c r="DG64" i="1"/>
  <c r="DG65" i="1"/>
  <c r="DG66" i="1"/>
  <c r="DG67" i="1"/>
  <c r="DH63" i="1"/>
  <c r="DH64" i="1"/>
  <c r="DH65" i="1"/>
  <c r="DH66" i="1"/>
  <c r="DH67" i="1"/>
  <c r="DI63" i="1"/>
  <c r="DI64" i="1"/>
  <c r="DI65" i="1"/>
  <c r="DI66" i="1"/>
  <c r="DI67" i="1"/>
  <c r="DJ63" i="1"/>
  <c r="DJ64" i="1"/>
  <c r="DJ65" i="1"/>
  <c r="DJ66" i="1"/>
  <c r="DJ67" i="1"/>
  <c r="DK63" i="1"/>
  <c r="DK64" i="1"/>
  <c r="DK65" i="1"/>
  <c r="DK66" i="1"/>
  <c r="DK67" i="1"/>
  <c r="DL63" i="1"/>
  <c r="DL64" i="1"/>
  <c r="DL65" i="1"/>
  <c r="DL66" i="1"/>
  <c r="DL67" i="1"/>
  <c r="DM63" i="1"/>
  <c r="DM64" i="1"/>
  <c r="DM65" i="1"/>
  <c r="DM66" i="1"/>
  <c r="DM67" i="1"/>
  <c r="DN63" i="1"/>
  <c r="DN64" i="1"/>
  <c r="DN65" i="1"/>
  <c r="DN66" i="1"/>
  <c r="DN67" i="1"/>
  <c r="DO63" i="1"/>
  <c r="DO64" i="1"/>
  <c r="DO65" i="1"/>
  <c r="DO66" i="1"/>
  <c r="DO67" i="1"/>
  <c r="DP63" i="1"/>
  <c r="DP64" i="1"/>
  <c r="DP65" i="1"/>
  <c r="DP66" i="1"/>
  <c r="DP67" i="1"/>
  <c r="DQ63" i="1"/>
  <c r="DQ64" i="1"/>
  <c r="DQ65" i="1"/>
  <c r="DQ66" i="1"/>
  <c r="DQ67" i="1"/>
  <c r="DR63" i="1"/>
  <c r="DR64" i="1"/>
  <c r="DR65" i="1"/>
  <c r="DR66" i="1"/>
  <c r="DR67" i="1"/>
  <c r="DS63" i="1"/>
  <c r="DS64" i="1"/>
  <c r="DS65" i="1"/>
  <c r="DS66" i="1"/>
  <c r="DS67" i="1"/>
  <c r="DT63" i="1"/>
  <c r="DT64" i="1"/>
  <c r="DT65" i="1"/>
  <c r="DT66" i="1"/>
  <c r="DT67" i="1"/>
  <c r="DU66" i="1"/>
  <c r="DU67" i="1"/>
  <c r="DV63" i="1"/>
  <c r="DV64" i="1"/>
  <c r="DV65" i="1"/>
  <c r="DV66" i="1"/>
  <c r="DV67" i="1"/>
  <c r="DW63" i="1"/>
  <c r="DW64" i="1"/>
  <c r="DW65" i="1"/>
  <c r="DW66" i="1"/>
  <c r="DW67" i="1"/>
  <c r="DX63" i="1"/>
  <c r="DX64" i="1"/>
  <c r="DX65" i="1"/>
  <c r="DX66" i="1"/>
  <c r="DX67" i="1"/>
  <c r="DY63" i="1"/>
  <c r="DY64" i="1"/>
  <c r="DY65" i="1"/>
  <c r="DZ63" i="1"/>
  <c r="DZ64" i="1"/>
  <c r="DZ65" i="1"/>
  <c r="DZ66" i="1"/>
  <c r="DZ67" i="1"/>
  <c r="EA63" i="1"/>
  <c r="EA64" i="1"/>
  <c r="EA65" i="1"/>
  <c r="EA66" i="1"/>
  <c r="EA67" i="1"/>
  <c r="EB63" i="1"/>
  <c r="EB64" i="1"/>
  <c r="EB65" i="1"/>
  <c r="EB66" i="1"/>
  <c r="EB67" i="1"/>
  <c r="EC63" i="1"/>
  <c r="EC64" i="1"/>
  <c r="EC65" i="1"/>
  <c r="EC66" i="1"/>
  <c r="EC67" i="1"/>
  <c r="ED63" i="1"/>
  <c r="ED64" i="1"/>
  <c r="ED65" i="1"/>
  <c r="ED66" i="1"/>
  <c r="ED67" i="1"/>
  <c r="EE63" i="1"/>
  <c r="EE64" i="1"/>
  <c r="EE65" i="1"/>
  <c r="EE66" i="1"/>
  <c r="EE67" i="1"/>
  <c r="EF63" i="1"/>
  <c r="EF64" i="1"/>
  <c r="EF65" i="1"/>
  <c r="EF66" i="1"/>
  <c r="EF67" i="1"/>
  <c r="EG63" i="1"/>
  <c r="EG64" i="1"/>
  <c r="EG65" i="1"/>
  <c r="EG66" i="1"/>
  <c r="EG67" i="1"/>
  <c r="EH63" i="1"/>
  <c r="EH64" i="1"/>
  <c r="EH65" i="1"/>
  <c r="EH66" i="1"/>
  <c r="EH67" i="1"/>
  <c r="EI63" i="1"/>
  <c r="EI64" i="1"/>
  <c r="EI65" i="1"/>
  <c r="EI66" i="1"/>
  <c r="EI67" i="1"/>
  <c r="EJ63" i="1"/>
  <c r="EJ64" i="1"/>
  <c r="EJ65" i="1"/>
  <c r="EJ66" i="1"/>
  <c r="EJ67" i="1"/>
  <c r="EK63" i="1"/>
  <c r="EK64" i="1"/>
  <c r="EK65" i="1"/>
  <c r="EK66" i="1"/>
  <c r="EK67" i="1"/>
  <c r="EV63" i="1"/>
  <c r="EV64" i="1"/>
  <c r="EV65" i="1"/>
  <c r="EV66" i="1"/>
  <c r="EV67" i="1"/>
  <c r="EW63" i="1"/>
  <c r="EW64" i="1"/>
  <c r="EW65" i="1"/>
  <c r="EW66" i="1"/>
  <c r="EW67" i="1"/>
  <c r="EX63" i="1"/>
  <c r="FG86" i="1" s="1"/>
  <c r="EX64" i="1"/>
  <c r="EX65" i="1"/>
  <c r="EX66" i="1"/>
  <c r="FG95" i="1" s="1"/>
  <c r="EX67" i="1"/>
  <c r="FG96" i="1" s="1"/>
  <c r="FD63" i="1"/>
  <c r="FD64" i="1"/>
  <c r="FD65" i="1"/>
  <c r="FD66" i="1"/>
  <c r="FD67" i="1"/>
  <c r="FG63" i="1"/>
  <c r="FG64" i="1"/>
  <c r="FG65" i="1"/>
  <c r="FG66" i="1"/>
  <c r="FG67" i="1"/>
  <c r="FI63" i="1"/>
  <c r="FI64" i="1"/>
  <c r="FI65" i="1"/>
  <c r="FI66" i="1"/>
  <c r="FI67" i="1"/>
  <c r="M29" i="1"/>
  <c r="M30" i="1"/>
  <c r="M66" i="1"/>
  <c r="M64" i="1"/>
  <c r="M67" i="1"/>
  <c r="M63" i="1"/>
  <c r="M65" i="1"/>
  <c r="EZ64" i="1" l="1"/>
  <c r="FG94" i="1"/>
  <c r="EZ63" i="1"/>
  <c r="FB63" i="1"/>
  <c r="EZ32" i="1"/>
  <c r="EZ66" i="1"/>
  <c r="FH65" i="1"/>
  <c r="EZ65" i="1"/>
  <c r="FB67" i="1"/>
  <c r="EZ67" i="1"/>
  <c r="FB32" i="1"/>
  <c r="FH32" i="1"/>
  <c r="FB64" i="1"/>
  <c r="FH66" i="1"/>
  <c r="FH31" i="1"/>
  <c r="FB31" i="1"/>
  <c r="FB66" i="1"/>
  <c r="FH67" i="1"/>
  <c r="FH63" i="1"/>
  <c r="FB65" i="1"/>
  <c r="FH64" i="1"/>
  <c r="R29" i="1"/>
  <c r="R30" i="1"/>
  <c r="Z29" i="1"/>
  <c r="Z30" i="1"/>
  <c r="AJ29" i="1"/>
  <c r="AJ30" i="1"/>
  <c r="AN29" i="1"/>
  <c r="AN30" i="1"/>
  <c r="EZ30" i="1" s="1"/>
  <c r="BK29" i="1"/>
  <c r="BM29" i="1" s="1"/>
  <c r="BO29" i="1" s="1"/>
  <c r="BK30" i="1"/>
  <c r="BM30" i="1" s="1"/>
  <c r="BO30" i="1" s="1"/>
  <c r="BS29" i="1"/>
  <c r="BU29" i="1" s="1"/>
  <c r="BS30" i="1"/>
  <c r="BU30" i="1" s="1"/>
  <c r="CL29" i="1"/>
  <c r="CL30" i="1"/>
  <c r="CM29" i="1"/>
  <c r="CM30" i="1"/>
  <c r="CN29" i="1"/>
  <c r="CN30" i="1"/>
  <c r="CO29" i="1"/>
  <c r="CO30" i="1"/>
  <c r="CP29" i="1"/>
  <c r="CP30" i="1"/>
  <c r="CQ29" i="1"/>
  <c r="CQ30" i="1"/>
  <c r="CR29" i="1"/>
  <c r="CR30" i="1"/>
  <c r="CS29" i="1"/>
  <c r="CS30" i="1"/>
  <c r="CT29" i="1"/>
  <c r="CT30" i="1"/>
  <c r="CU29" i="1"/>
  <c r="CU30" i="1"/>
  <c r="CV29" i="1"/>
  <c r="CV30" i="1"/>
  <c r="CW29" i="1"/>
  <c r="CW30" i="1"/>
  <c r="CX29" i="1"/>
  <c r="CX30" i="1"/>
  <c r="CY29" i="1"/>
  <c r="CY30" i="1"/>
  <c r="CZ29" i="1"/>
  <c r="CZ30" i="1"/>
  <c r="DA29" i="1"/>
  <c r="DA30" i="1"/>
  <c r="DB29" i="1"/>
  <c r="DB30" i="1"/>
  <c r="DC29" i="1"/>
  <c r="DC30" i="1"/>
  <c r="DD29" i="1"/>
  <c r="DD30" i="1"/>
  <c r="DE29" i="1"/>
  <c r="DE30" i="1"/>
  <c r="DF29" i="1"/>
  <c r="DF30" i="1"/>
  <c r="DG29" i="1"/>
  <c r="DG30" i="1"/>
  <c r="DH29" i="1"/>
  <c r="DH30" i="1"/>
  <c r="DI29" i="1"/>
  <c r="DI30" i="1"/>
  <c r="DJ29" i="1"/>
  <c r="DJ30" i="1"/>
  <c r="DK29" i="1"/>
  <c r="DK30" i="1"/>
  <c r="DL29" i="1"/>
  <c r="DL30" i="1"/>
  <c r="DM29" i="1"/>
  <c r="DM30" i="1"/>
  <c r="DN29" i="1"/>
  <c r="DN30" i="1"/>
  <c r="DO29" i="1"/>
  <c r="DO30" i="1"/>
  <c r="DP29" i="1"/>
  <c r="DP30" i="1"/>
  <c r="DQ29" i="1"/>
  <c r="DQ30" i="1"/>
  <c r="DR29" i="1"/>
  <c r="DR30" i="1"/>
  <c r="DS29" i="1"/>
  <c r="DS30" i="1"/>
  <c r="DT29" i="1"/>
  <c r="DT30" i="1"/>
  <c r="DU29" i="1"/>
  <c r="DU30" i="1"/>
  <c r="DV29" i="1"/>
  <c r="DV30" i="1"/>
  <c r="DW29" i="1"/>
  <c r="DW30" i="1"/>
  <c r="DX29" i="1"/>
  <c r="DX30" i="1"/>
  <c r="DZ29" i="1"/>
  <c r="DZ30" i="1"/>
  <c r="EA29" i="1"/>
  <c r="EA30" i="1"/>
  <c r="EB29" i="1"/>
  <c r="EB30" i="1"/>
  <c r="EC29" i="1"/>
  <c r="EC30" i="1"/>
  <c r="ED29" i="1"/>
  <c r="ED30" i="1"/>
  <c r="EE29" i="1"/>
  <c r="EE30" i="1"/>
  <c r="EF29" i="1"/>
  <c r="EF30" i="1"/>
  <c r="EG29" i="1"/>
  <c r="EG30" i="1"/>
  <c r="EH29" i="1"/>
  <c r="EH30" i="1"/>
  <c r="EI29" i="1"/>
  <c r="EI30" i="1"/>
  <c r="EJ29" i="1"/>
  <c r="EJ30" i="1"/>
  <c r="EK29" i="1"/>
  <c r="EK30" i="1"/>
  <c r="EV29" i="1"/>
  <c r="EV30" i="1"/>
  <c r="EW29" i="1"/>
  <c r="EW30" i="1"/>
  <c r="EX29" i="1"/>
  <c r="EX30" i="1"/>
  <c r="FD29" i="1"/>
  <c r="FD30" i="1"/>
  <c r="FF29" i="1"/>
  <c r="FF30" i="1"/>
  <c r="FG29" i="1"/>
  <c r="FG30" i="1"/>
  <c r="FI29" i="1"/>
  <c r="FI30" i="1"/>
  <c r="R26" i="1"/>
  <c r="R27" i="1"/>
  <c r="R28" i="1"/>
  <c r="Z26" i="1"/>
  <c r="Z27" i="1"/>
  <c r="Z28" i="1"/>
  <c r="AJ26" i="1"/>
  <c r="AJ27" i="1"/>
  <c r="AJ28" i="1"/>
  <c r="AN26" i="1"/>
  <c r="AN27" i="1"/>
  <c r="AN28" i="1"/>
  <c r="BK26" i="1"/>
  <c r="BM26" i="1" s="1"/>
  <c r="BO26" i="1" s="1"/>
  <c r="BK27" i="1"/>
  <c r="BM27" i="1" s="1"/>
  <c r="BO27" i="1" s="1"/>
  <c r="BK28" i="1"/>
  <c r="BM28" i="1" s="1"/>
  <c r="BO28" i="1" s="1"/>
  <c r="BS26" i="1"/>
  <c r="BU26" i="1" s="1"/>
  <c r="BS27" i="1"/>
  <c r="BU27" i="1" s="1"/>
  <c r="BS28" i="1"/>
  <c r="BU28" i="1" s="1"/>
  <c r="CL26" i="1"/>
  <c r="CL27" i="1"/>
  <c r="CL28" i="1"/>
  <c r="CM26" i="1"/>
  <c r="CM27" i="1"/>
  <c r="CM28" i="1"/>
  <c r="CN26" i="1"/>
  <c r="CN27" i="1"/>
  <c r="CN28" i="1"/>
  <c r="CO26" i="1"/>
  <c r="CO27" i="1"/>
  <c r="CO28" i="1"/>
  <c r="CP26" i="1"/>
  <c r="CP27" i="1"/>
  <c r="CP28" i="1"/>
  <c r="CQ26" i="1"/>
  <c r="CQ27" i="1"/>
  <c r="CQ28" i="1"/>
  <c r="CR26" i="1"/>
  <c r="CR27" i="1"/>
  <c r="CR28" i="1"/>
  <c r="CS26" i="1"/>
  <c r="CS27" i="1"/>
  <c r="CS28" i="1"/>
  <c r="CT26" i="1"/>
  <c r="CT27" i="1"/>
  <c r="CT28" i="1"/>
  <c r="CU26" i="1"/>
  <c r="CU27" i="1"/>
  <c r="CU28" i="1"/>
  <c r="CV26" i="1"/>
  <c r="CV27" i="1"/>
  <c r="CV28" i="1"/>
  <c r="CW26" i="1"/>
  <c r="CW27" i="1"/>
  <c r="CW28" i="1"/>
  <c r="CX26" i="1"/>
  <c r="CX27" i="1"/>
  <c r="CX28" i="1"/>
  <c r="CY26" i="1"/>
  <c r="CY27" i="1"/>
  <c r="CY28" i="1"/>
  <c r="CZ26" i="1"/>
  <c r="CZ27" i="1"/>
  <c r="CZ28" i="1"/>
  <c r="DA26" i="1"/>
  <c r="DA27" i="1"/>
  <c r="DA28" i="1"/>
  <c r="DB26" i="1"/>
  <c r="DB27" i="1"/>
  <c r="DB28" i="1"/>
  <c r="DC26" i="1"/>
  <c r="DC27" i="1"/>
  <c r="DC28" i="1"/>
  <c r="DD26" i="1"/>
  <c r="DD27" i="1"/>
  <c r="DD28" i="1"/>
  <c r="DE26" i="1"/>
  <c r="DE27" i="1"/>
  <c r="DE28" i="1"/>
  <c r="DF26" i="1"/>
  <c r="DF27" i="1"/>
  <c r="DF28" i="1"/>
  <c r="DG26" i="1"/>
  <c r="DG27" i="1"/>
  <c r="DG28" i="1"/>
  <c r="DH26" i="1"/>
  <c r="DH27" i="1"/>
  <c r="DH28" i="1"/>
  <c r="DI26" i="1"/>
  <c r="DI27" i="1"/>
  <c r="DI28" i="1"/>
  <c r="DJ26" i="1"/>
  <c r="DJ27" i="1"/>
  <c r="DJ28" i="1"/>
  <c r="DK26" i="1"/>
  <c r="DK27" i="1"/>
  <c r="DK28" i="1"/>
  <c r="DL26" i="1"/>
  <c r="DL27" i="1"/>
  <c r="DL28" i="1"/>
  <c r="DM26" i="1"/>
  <c r="DM27" i="1"/>
  <c r="DM28" i="1"/>
  <c r="DN26" i="1"/>
  <c r="DN27" i="1"/>
  <c r="DN28" i="1"/>
  <c r="DO26" i="1"/>
  <c r="DO27" i="1"/>
  <c r="DO28" i="1"/>
  <c r="DP26" i="1"/>
  <c r="DP27" i="1"/>
  <c r="DP28" i="1"/>
  <c r="DQ26" i="1"/>
  <c r="DQ27" i="1"/>
  <c r="DQ28" i="1"/>
  <c r="DR26" i="1"/>
  <c r="DR27" i="1"/>
  <c r="DR28" i="1"/>
  <c r="DS26" i="1"/>
  <c r="DS27" i="1"/>
  <c r="DS28" i="1"/>
  <c r="DT26" i="1"/>
  <c r="DT27" i="1"/>
  <c r="DT28" i="1"/>
  <c r="DV26" i="1"/>
  <c r="DV27" i="1"/>
  <c r="DV28" i="1"/>
  <c r="DW26" i="1"/>
  <c r="DW27" i="1"/>
  <c r="DW28" i="1"/>
  <c r="DX26" i="1"/>
  <c r="DX27" i="1"/>
  <c r="DX28" i="1"/>
  <c r="DY26" i="1"/>
  <c r="DY27" i="1"/>
  <c r="DY28" i="1"/>
  <c r="DZ26" i="1"/>
  <c r="DZ27" i="1"/>
  <c r="DZ28" i="1"/>
  <c r="EA26" i="1"/>
  <c r="EA27" i="1"/>
  <c r="EA28" i="1"/>
  <c r="EB26" i="1"/>
  <c r="EB27" i="1"/>
  <c r="EB28" i="1"/>
  <c r="EC26" i="1"/>
  <c r="EC27" i="1"/>
  <c r="EC28" i="1"/>
  <c r="ED26" i="1"/>
  <c r="ED27" i="1"/>
  <c r="ED28" i="1"/>
  <c r="EE26" i="1"/>
  <c r="EE27" i="1"/>
  <c r="EE28" i="1"/>
  <c r="EF26" i="1"/>
  <c r="EF27" i="1"/>
  <c r="EF28" i="1"/>
  <c r="EG26" i="1"/>
  <c r="EG27" i="1"/>
  <c r="EG28" i="1"/>
  <c r="EH26" i="1"/>
  <c r="EH27" i="1"/>
  <c r="EH28" i="1"/>
  <c r="EI26" i="1"/>
  <c r="EI27" i="1"/>
  <c r="EI28" i="1"/>
  <c r="EJ26" i="1"/>
  <c r="EJ27" i="1"/>
  <c r="EJ28" i="1"/>
  <c r="EK26" i="1"/>
  <c r="EK27" i="1"/>
  <c r="EK28" i="1"/>
  <c r="EV26" i="1"/>
  <c r="EV27" i="1"/>
  <c r="EV28" i="1"/>
  <c r="EW26" i="1"/>
  <c r="EW27" i="1"/>
  <c r="EW28" i="1"/>
  <c r="EX26" i="1"/>
  <c r="EX27" i="1"/>
  <c r="EX28" i="1"/>
  <c r="FD26" i="1"/>
  <c r="FD27" i="1"/>
  <c r="FD28" i="1"/>
  <c r="FF26" i="1"/>
  <c r="FF27" i="1"/>
  <c r="FF28" i="1"/>
  <c r="FG26" i="1"/>
  <c r="FG27" i="1"/>
  <c r="FG28" i="1"/>
  <c r="FI26" i="1"/>
  <c r="FI27" i="1"/>
  <c r="FI28" i="1"/>
  <c r="R85" i="1"/>
  <c r="Z85" i="1"/>
  <c r="AJ85" i="1"/>
  <c r="AN85" i="1"/>
  <c r="AU85" i="1" s="1"/>
  <c r="BS85" i="1"/>
  <c r="BU85" i="1" s="1"/>
  <c r="CL85" i="1"/>
  <c r="CN85" i="1"/>
  <c r="CO85" i="1"/>
  <c r="CP85" i="1"/>
  <c r="CQ85" i="1"/>
  <c r="CR85" i="1"/>
  <c r="CS85" i="1"/>
  <c r="CT85" i="1"/>
  <c r="CU85" i="1"/>
  <c r="CV85" i="1"/>
  <c r="CW85" i="1"/>
  <c r="CX85" i="1"/>
  <c r="CY85" i="1"/>
  <c r="CZ85" i="1"/>
  <c r="DA85" i="1"/>
  <c r="DB85" i="1"/>
  <c r="DC85" i="1"/>
  <c r="DD85" i="1"/>
  <c r="DE85" i="1"/>
  <c r="DF85" i="1"/>
  <c r="DG85" i="1"/>
  <c r="DH85" i="1"/>
  <c r="DI85" i="1"/>
  <c r="DJ85" i="1"/>
  <c r="DK85" i="1"/>
  <c r="DL85" i="1"/>
  <c r="DM85" i="1"/>
  <c r="DN85" i="1"/>
  <c r="DO85" i="1"/>
  <c r="DP85" i="1"/>
  <c r="DQ85" i="1"/>
  <c r="DR85" i="1"/>
  <c r="DS85" i="1"/>
  <c r="DT85" i="1"/>
  <c r="DU85" i="1"/>
  <c r="DV85" i="1"/>
  <c r="DW85" i="1"/>
  <c r="DX85" i="1"/>
  <c r="DY85" i="1"/>
  <c r="DZ85" i="1"/>
  <c r="EA85" i="1"/>
  <c r="EB85" i="1"/>
  <c r="EC85" i="1"/>
  <c r="ED85" i="1"/>
  <c r="EE85" i="1"/>
  <c r="EF85" i="1"/>
  <c r="EG85" i="1"/>
  <c r="EI85" i="1"/>
  <c r="EJ85" i="1"/>
  <c r="EK85" i="1"/>
  <c r="EV85" i="1"/>
  <c r="EW85" i="1"/>
  <c r="EX85" i="1"/>
  <c r="FD85" i="1"/>
  <c r="FI85" i="1"/>
  <c r="R84" i="1"/>
  <c r="Z84" i="1"/>
  <c r="AJ84" i="1"/>
  <c r="AN84" i="1"/>
  <c r="AU84" i="1" s="1"/>
  <c r="BS84" i="1"/>
  <c r="BU84" i="1" s="1"/>
  <c r="CL84" i="1"/>
  <c r="CN84" i="1"/>
  <c r="CO84" i="1"/>
  <c r="CP84" i="1"/>
  <c r="CQ84" i="1"/>
  <c r="CR84" i="1"/>
  <c r="CS84" i="1"/>
  <c r="CT84" i="1"/>
  <c r="CU84" i="1"/>
  <c r="CV84" i="1"/>
  <c r="CW84" i="1"/>
  <c r="CX84" i="1"/>
  <c r="CY84" i="1"/>
  <c r="CZ84" i="1"/>
  <c r="DA84" i="1"/>
  <c r="DB84" i="1"/>
  <c r="DC84" i="1"/>
  <c r="DD84" i="1"/>
  <c r="DE84" i="1"/>
  <c r="DF84" i="1"/>
  <c r="DG84" i="1"/>
  <c r="DH84" i="1"/>
  <c r="DI84" i="1"/>
  <c r="DJ84" i="1"/>
  <c r="DK84" i="1"/>
  <c r="DL84" i="1"/>
  <c r="DM84" i="1"/>
  <c r="DN84" i="1"/>
  <c r="DO84" i="1"/>
  <c r="DP84" i="1"/>
  <c r="DQ84" i="1"/>
  <c r="DR84" i="1"/>
  <c r="DS84" i="1"/>
  <c r="DT84" i="1"/>
  <c r="DU84" i="1"/>
  <c r="DV84" i="1"/>
  <c r="DW84" i="1"/>
  <c r="DX84" i="1"/>
  <c r="DY84" i="1"/>
  <c r="DZ84" i="1"/>
  <c r="EA84" i="1"/>
  <c r="EB84" i="1"/>
  <c r="EC84" i="1"/>
  <c r="ED84" i="1"/>
  <c r="EE84" i="1"/>
  <c r="EF84" i="1"/>
  <c r="EG84" i="1"/>
  <c r="EI84" i="1"/>
  <c r="EJ84" i="1"/>
  <c r="EK84" i="1"/>
  <c r="EV84" i="1"/>
  <c r="EW84" i="1"/>
  <c r="EX84" i="1"/>
  <c r="FD84" i="1"/>
  <c r="FI84" i="1"/>
  <c r="R83" i="1"/>
  <c r="Z83" i="1"/>
  <c r="AJ83" i="1"/>
  <c r="AN83" i="1"/>
  <c r="AU83" i="1" s="1"/>
  <c r="BS83" i="1"/>
  <c r="BU83" i="1" s="1"/>
  <c r="CL83" i="1"/>
  <c r="CN83" i="1"/>
  <c r="CO83" i="1"/>
  <c r="CP83" i="1"/>
  <c r="CQ83" i="1"/>
  <c r="CR83" i="1"/>
  <c r="CS83" i="1"/>
  <c r="CT83" i="1"/>
  <c r="CU83" i="1"/>
  <c r="CV83" i="1"/>
  <c r="CW83" i="1"/>
  <c r="CX83" i="1"/>
  <c r="CY83" i="1"/>
  <c r="CZ83" i="1"/>
  <c r="DA83" i="1"/>
  <c r="DB83" i="1"/>
  <c r="DC83" i="1"/>
  <c r="DD83" i="1"/>
  <c r="DE83" i="1"/>
  <c r="DF83" i="1"/>
  <c r="DG83" i="1"/>
  <c r="DH83" i="1"/>
  <c r="DI83" i="1"/>
  <c r="DJ83" i="1"/>
  <c r="DK83" i="1"/>
  <c r="DL83" i="1"/>
  <c r="DM83" i="1"/>
  <c r="DN83" i="1"/>
  <c r="DO83" i="1"/>
  <c r="DP83" i="1"/>
  <c r="DQ83" i="1"/>
  <c r="DR83" i="1"/>
  <c r="DS83" i="1"/>
  <c r="DT83" i="1"/>
  <c r="DU83" i="1"/>
  <c r="DV83" i="1"/>
  <c r="DW83" i="1"/>
  <c r="DX83" i="1"/>
  <c r="DY83" i="1"/>
  <c r="DZ83" i="1"/>
  <c r="EA83" i="1"/>
  <c r="EB83" i="1"/>
  <c r="EC83" i="1"/>
  <c r="ED83" i="1"/>
  <c r="EE83" i="1"/>
  <c r="EF83" i="1"/>
  <c r="EG83" i="1"/>
  <c r="EI83" i="1"/>
  <c r="EJ83" i="1"/>
  <c r="EK83" i="1"/>
  <c r="EV83" i="1"/>
  <c r="EW83" i="1"/>
  <c r="EX83" i="1"/>
  <c r="FD83" i="1"/>
  <c r="FI83" i="1"/>
  <c r="R82" i="1"/>
  <c r="Z82" i="1"/>
  <c r="AJ82" i="1"/>
  <c r="AN82" i="1"/>
  <c r="AU82" i="1" s="1"/>
  <c r="BS82" i="1"/>
  <c r="BU82" i="1" s="1"/>
  <c r="CL82" i="1"/>
  <c r="CN82" i="1"/>
  <c r="CO82" i="1"/>
  <c r="CP82" i="1"/>
  <c r="CQ82" i="1"/>
  <c r="CR82" i="1"/>
  <c r="CS82" i="1"/>
  <c r="CT82" i="1"/>
  <c r="CU82" i="1"/>
  <c r="CV82" i="1"/>
  <c r="CW82" i="1"/>
  <c r="CX82" i="1"/>
  <c r="CY82" i="1"/>
  <c r="CZ82" i="1"/>
  <c r="DA82" i="1"/>
  <c r="DB82" i="1"/>
  <c r="DC82" i="1"/>
  <c r="DD82" i="1"/>
  <c r="DE82" i="1"/>
  <c r="DF82" i="1"/>
  <c r="DG82" i="1"/>
  <c r="DH82" i="1"/>
  <c r="DI82" i="1"/>
  <c r="DJ82" i="1"/>
  <c r="DK82" i="1"/>
  <c r="DL82" i="1"/>
  <c r="DM82" i="1"/>
  <c r="DN82" i="1"/>
  <c r="DO82" i="1"/>
  <c r="DP82" i="1"/>
  <c r="DQ82" i="1"/>
  <c r="DR82" i="1"/>
  <c r="DS82" i="1"/>
  <c r="DT82" i="1"/>
  <c r="DU82" i="1"/>
  <c r="DV82" i="1"/>
  <c r="DW82" i="1"/>
  <c r="DX82" i="1"/>
  <c r="DY82" i="1"/>
  <c r="DZ82" i="1"/>
  <c r="EA82" i="1"/>
  <c r="EB82" i="1"/>
  <c r="EC82" i="1"/>
  <c r="ED82" i="1"/>
  <c r="EE82" i="1"/>
  <c r="EF82" i="1"/>
  <c r="EG82" i="1"/>
  <c r="EI82" i="1"/>
  <c r="EJ82" i="1"/>
  <c r="EK82" i="1"/>
  <c r="EV82" i="1"/>
  <c r="EW82" i="1"/>
  <c r="EX82" i="1"/>
  <c r="FD82" i="1"/>
  <c r="FI82" i="1"/>
  <c r="R81" i="1"/>
  <c r="Z81" i="1"/>
  <c r="AJ81" i="1"/>
  <c r="AN81" i="1"/>
  <c r="AU81" i="1" s="1"/>
  <c r="BS81" i="1"/>
  <c r="BU81" i="1" s="1"/>
  <c r="CL81" i="1"/>
  <c r="CN81" i="1"/>
  <c r="CO81" i="1"/>
  <c r="CP81" i="1"/>
  <c r="CQ81" i="1"/>
  <c r="CR81" i="1"/>
  <c r="CS81" i="1"/>
  <c r="CT81" i="1"/>
  <c r="CU81" i="1"/>
  <c r="CV81" i="1"/>
  <c r="CW81" i="1"/>
  <c r="CX81" i="1"/>
  <c r="CY81" i="1"/>
  <c r="CZ81" i="1"/>
  <c r="DA81" i="1"/>
  <c r="DB81" i="1"/>
  <c r="DC81" i="1"/>
  <c r="DD81" i="1"/>
  <c r="DE81" i="1"/>
  <c r="DF81" i="1"/>
  <c r="DG81" i="1"/>
  <c r="DH81" i="1"/>
  <c r="DI81" i="1"/>
  <c r="DJ81" i="1"/>
  <c r="DK81" i="1"/>
  <c r="DL81" i="1"/>
  <c r="DM81" i="1"/>
  <c r="DN81" i="1"/>
  <c r="DO81" i="1"/>
  <c r="DP81" i="1"/>
  <c r="DQ81" i="1"/>
  <c r="DR81" i="1"/>
  <c r="DS81" i="1"/>
  <c r="DT81" i="1"/>
  <c r="DU81" i="1"/>
  <c r="DV81" i="1"/>
  <c r="DW81" i="1"/>
  <c r="DX81" i="1"/>
  <c r="DY81" i="1"/>
  <c r="DZ81" i="1"/>
  <c r="EA81" i="1"/>
  <c r="EB81" i="1"/>
  <c r="EC81" i="1"/>
  <c r="ED81" i="1"/>
  <c r="EE81" i="1"/>
  <c r="EF81" i="1"/>
  <c r="EG81" i="1"/>
  <c r="EI81" i="1"/>
  <c r="EJ81" i="1"/>
  <c r="EK81" i="1"/>
  <c r="EV81" i="1"/>
  <c r="EW81" i="1"/>
  <c r="EX81" i="1"/>
  <c r="FD81" i="1"/>
  <c r="FI81" i="1"/>
  <c r="R80" i="1"/>
  <c r="Z80" i="1"/>
  <c r="AJ80" i="1"/>
  <c r="AN80" i="1"/>
  <c r="AU80" i="1" s="1"/>
  <c r="BS80" i="1"/>
  <c r="BU80" i="1" s="1"/>
  <c r="CL80" i="1"/>
  <c r="CN80" i="1"/>
  <c r="CO80" i="1"/>
  <c r="CP80" i="1"/>
  <c r="CQ80" i="1"/>
  <c r="CR80" i="1"/>
  <c r="CS80" i="1"/>
  <c r="CT80" i="1"/>
  <c r="CU80" i="1"/>
  <c r="CV80" i="1"/>
  <c r="CW80" i="1"/>
  <c r="CX80" i="1"/>
  <c r="CY80" i="1"/>
  <c r="CZ80" i="1"/>
  <c r="DA80" i="1"/>
  <c r="DB80" i="1"/>
  <c r="DC80" i="1"/>
  <c r="DD80" i="1"/>
  <c r="DE80" i="1"/>
  <c r="DF80" i="1"/>
  <c r="DG80" i="1"/>
  <c r="DH80" i="1"/>
  <c r="DI80" i="1"/>
  <c r="DJ80" i="1"/>
  <c r="DK80" i="1"/>
  <c r="DL80" i="1"/>
  <c r="DM80" i="1"/>
  <c r="DN80" i="1"/>
  <c r="DO80" i="1"/>
  <c r="DP80" i="1"/>
  <c r="DQ80" i="1"/>
  <c r="DR80" i="1"/>
  <c r="DS80" i="1"/>
  <c r="DT80" i="1"/>
  <c r="DU80" i="1"/>
  <c r="DV80" i="1"/>
  <c r="DW80" i="1"/>
  <c r="DX80" i="1"/>
  <c r="DY80" i="1"/>
  <c r="DZ80" i="1"/>
  <c r="EA80" i="1"/>
  <c r="EB80" i="1"/>
  <c r="EC80" i="1"/>
  <c r="ED80" i="1"/>
  <c r="EE80" i="1"/>
  <c r="EF80" i="1"/>
  <c r="EG80" i="1"/>
  <c r="EI80" i="1"/>
  <c r="EJ80" i="1"/>
  <c r="EK80" i="1"/>
  <c r="EV80" i="1"/>
  <c r="EW80" i="1"/>
  <c r="EX80" i="1"/>
  <c r="FD80" i="1"/>
  <c r="FI80" i="1"/>
  <c r="R79" i="1"/>
  <c r="Z79" i="1"/>
  <c r="AJ79" i="1"/>
  <c r="AN79" i="1"/>
  <c r="AU79" i="1" s="1"/>
  <c r="BS79" i="1"/>
  <c r="BU79" i="1" s="1"/>
  <c r="CL79" i="1"/>
  <c r="CN79" i="1"/>
  <c r="CO79" i="1"/>
  <c r="CP79" i="1"/>
  <c r="CQ79" i="1"/>
  <c r="CR79" i="1"/>
  <c r="CS79" i="1"/>
  <c r="CT79" i="1"/>
  <c r="CU79" i="1"/>
  <c r="CV79" i="1"/>
  <c r="CW79" i="1"/>
  <c r="CX79" i="1"/>
  <c r="CY79" i="1"/>
  <c r="CZ79" i="1"/>
  <c r="DA79" i="1"/>
  <c r="DB79" i="1"/>
  <c r="DC79" i="1"/>
  <c r="DD79" i="1"/>
  <c r="DE79" i="1"/>
  <c r="DF79" i="1"/>
  <c r="DG79" i="1"/>
  <c r="DH79" i="1"/>
  <c r="DI79" i="1"/>
  <c r="DJ79" i="1"/>
  <c r="DK79" i="1"/>
  <c r="DL79" i="1"/>
  <c r="DM79" i="1"/>
  <c r="DN79" i="1"/>
  <c r="DO79" i="1"/>
  <c r="DP79" i="1"/>
  <c r="DQ79" i="1"/>
  <c r="DR79" i="1"/>
  <c r="DS79" i="1"/>
  <c r="DT79" i="1"/>
  <c r="DU79" i="1"/>
  <c r="DV79" i="1"/>
  <c r="DW79" i="1"/>
  <c r="DX79" i="1"/>
  <c r="DY79" i="1"/>
  <c r="DZ79" i="1"/>
  <c r="EA79" i="1"/>
  <c r="EB79" i="1"/>
  <c r="EC79" i="1"/>
  <c r="ED79" i="1"/>
  <c r="EE79" i="1"/>
  <c r="EF79" i="1"/>
  <c r="EG79" i="1"/>
  <c r="EH79" i="1"/>
  <c r="EJ79" i="1"/>
  <c r="EV79" i="1"/>
  <c r="EW79" i="1"/>
  <c r="EX79" i="1"/>
  <c r="FD79" i="1"/>
  <c r="FI79" i="1"/>
  <c r="R78" i="1"/>
  <c r="Z78" i="1"/>
  <c r="AJ78" i="1"/>
  <c r="AN78" i="1"/>
  <c r="AU78" i="1" s="1"/>
  <c r="BS78" i="1"/>
  <c r="BU78" i="1" s="1"/>
  <c r="CL78" i="1"/>
  <c r="CN78" i="1"/>
  <c r="CO78" i="1"/>
  <c r="CP78" i="1"/>
  <c r="CQ78" i="1"/>
  <c r="CR78" i="1"/>
  <c r="CS78" i="1"/>
  <c r="CT78" i="1"/>
  <c r="CU78" i="1"/>
  <c r="CV78" i="1"/>
  <c r="CW78" i="1"/>
  <c r="CX78" i="1"/>
  <c r="CY78" i="1"/>
  <c r="CZ78" i="1"/>
  <c r="DA78" i="1"/>
  <c r="DB78" i="1"/>
  <c r="DC78" i="1"/>
  <c r="DD78" i="1"/>
  <c r="DE78" i="1"/>
  <c r="DF78" i="1"/>
  <c r="DG78" i="1"/>
  <c r="DH78" i="1"/>
  <c r="DI78" i="1"/>
  <c r="DJ78" i="1"/>
  <c r="DK78" i="1"/>
  <c r="DL78" i="1"/>
  <c r="DM78" i="1"/>
  <c r="DN78" i="1"/>
  <c r="DO78" i="1"/>
  <c r="DP78" i="1"/>
  <c r="DQ78" i="1"/>
  <c r="DR78" i="1"/>
  <c r="DS78" i="1"/>
  <c r="DT78" i="1"/>
  <c r="DU78" i="1"/>
  <c r="DV78" i="1"/>
  <c r="DW78" i="1"/>
  <c r="DX78" i="1"/>
  <c r="DY78" i="1"/>
  <c r="DZ78" i="1"/>
  <c r="EA78" i="1"/>
  <c r="EB78" i="1"/>
  <c r="EC78" i="1"/>
  <c r="ED78" i="1"/>
  <c r="EE78" i="1"/>
  <c r="EF78" i="1"/>
  <c r="EG78" i="1"/>
  <c r="EH78" i="1"/>
  <c r="EJ78" i="1"/>
  <c r="EV78" i="1"/>
  <c r="EW78" i="1"/>
  <c r="EX78" i="1"/>
  <c r="FD78" i="1"/>
  <c r="FI78" i="1"/>
  <c r="R77" i="1"/>
  <c r="Z77" i="1"/>
  <c r="AJ77" i="1"/>
  <c r="AN77" i="1"/>
  <c r="AU77" i="1" s="1"/>
  <c r="BS77" i="1"/>
  <c r="BU77" i="1" s="1"/>
  <c r="CL77" i="1"/>
  <c r="CN77" i="1"/>
  <c r="CO77" i="1"/>
  <c r="CP77" i="1"/>
  <c r="CQ77" i="1"/>
  <c r="CR77" i="1"/>
  <c r="CS77" i="1"/>
  <c r="CT77" i="1"/>
  <c r="CU77" i="1"/>
  <c r="CV77" i="1"/>
  <c r="CW77" i="1"/>
  <c r="CX77" i="1"/>
  <c r="CY77" i="1"/>
  <c r="CZ77" i="1"/>
  <c r="DA77" i="1"/>
  <c r="DB77" i="1"/>
  <c r="DC77" i="1"/>
  <c r="DD77" i="1"/>
  <c r="DE77" i="1"/>
  <c r="DF77" i="1"/>
  <c r="DG77" i="1"/>
  <c r="DH77" i="1"/>
  <c r="DI77" i="1"/>
  <c r="DJ77" i="1"/>
  <c r="DK77" i="1"/>
  <c r="DL77" i="1"/>
  <c r="DM77" i="1"/>
  <c r="DN77" i="1"/>
  <c r="DO77" i="1"/>
  <c r="DP77" i="1"/>
  <c r="DQ77" i="1"/>
  <c r="DR77" i="1"/>
  <c r="DS77" i="1"/>
  <c r="DT77" i="1"/>
  <c r="DU77" i="1"/>
  <c r="DV77" i="1"/>
  <c r="DW77" i="1"/>
  <c r="DX77" i="1"/>
  <c r="DY77" i="1"/>
  <c r="DZ77" i="1"/>
  <c r="EA77" i="1"/>
  <c r="EB77" i="1"/>
  <c r="EC77" i="1"/>
  <c r="ED77" i="1"/>
  <c r="EE77" i="1"/>
  <c r="EF77" i="1"/>
  <c r="EG77" i="1"/>
  <c r="EH77" i="1"/>
  <c r="EJ77" i="1"/>
  <c r="EV77" i="1"/>
  <c r="EW77" i="1"/>
  <c r="EX77" i="1"/>
  <c r="FD77" i="1"/>
  <c r="FI77" i="1"/>
  <c r="R76" i="1"/>
  <c r="Z76" i="1"/>
  <c r="AJ76" i="1"/>
  <c r="AN76" i="1"/>
  <c r="AU76" i="1" s="1"/>
  <c r="BS76" i="1"/>
  <c r="BU76" i="1" s="1"/>
  <c r="CL76" i="1"/>
  <c r="CN76" i="1"/>
  <c r="CO76" i="1"/>
  <c r="CP76" i="1"/>
  <c r="CQ76" i="1"/>
  <c r="CR76" i="1"/>
  <c r="CS76" i="1"/>
  <c r="CT76" i="1"/>
  <c r="CU76" i="1"/>
  <c r="CV76" i="1"/>
  <c r="CW76" i="1"/>
  <c r="CX76" i="1"/>
  <c r="CY76" i="1"/>
  <c r="CZ76" i="1"/>
  <c r="DA76" i="1"/>
  <c r="DB76" i="1"/>
  <c r="DC76" i="1"/>
  <c r="DD76" i="1"/>
  <c r="DE76" i="1"/>
  <c r="DF76" i="1"/>
  <c r="DG76" i="1"/>
  <c r="DH76" i="1"/>
  <c r="DI76" i="1"/>
  <c r="DJ76" i="1"/>
  <c r="DK76" i="1"/>
  <c r="DL76" i="1"/>
  <c r="DM76" i="1"/>
  <c r="DN76" i="1"/>
  <c r="DO76" i="1"/>
  <c r="DP76" i="1"/>
  <c r="DQ76" i="1"/>
  <c r="DR76" i="1"/>
  <c r="DS76" i="1"/>
  <c r="DT76" i="1"/>
  <c r="DU76" i="1"/>
  <c r="DV76" i="1"/>
  <c r="DW76" i="1"/>
  <c r="DX76" i="1"/>
  <c r="DY76" i="1"/>
  <c r="DZ76" i="1"/>
  <c r="EA76" i="1"/>
  <c r="EB76" i="1"/>
  <c r="EC76" i="1"/>
  <c r="ED76" i="1"/>
  <c r="EE76" i="1"/>
  <c r="EF76" i="1"/>
  <c r="EG76" i="1"/>
  <c r="EH76" i="1"/>
  <c r="EJ76" i="1"/>
  <c r="EV76" i="1"/>
  <c r="EW76" i="1"/>
  <c r="EX76" i="1"/>
  <c r="FG76" i="1" s="1"/>
  <c r="FD76" i="1"/>
  <c r="FI76" i="1"/>
  <c r="R62" i="1"/>
  <c r="Z62" i="1"/>
  <c r="AJ62" i="1"/>
  <c r="AN62" i="1"/>
  <c r="EZ62" i="1" s="1"/>
  <c r="BS62" i="1"/>
  <c r="BU62" i="1" s="1"/>
  <c r="CL62" i="1"/>
  <c r="CN62" i="1"/>
  <c r="CO62" i="1"/>
  <c r="CP62" i="1"/>
  <c r="CQ62" i="1"/>
  <c r="CR62" i="1"/>
  <c r="CS62" i="1"/>
  <c r="CT62" i="1"/>
  <c r="CU62" i="1"/>
  <c r="CV62" i="1"/>
  <c r="CW62" i="1"/>
  <c r="CX62" i="1"/>
  <c r="CY62" i="1"/>
  <c r="CZ62" i="1"/>
  <c r="DA62" i="1"/>
  <c r="DB62" i="1"/>
  <c r="DC62" i="1"/>
  <c r="DD62" i="1"/>
  <c r="DE62" i="1"/>
  <c r="DF62" i="1"/>
  <c r="DG62" i="1"/>
  <c r="DH62" i="1"/>
  <c r="DI62" i="1"/>
  <c r="DJ62" i="1"/>
  <c r="DK62" i="1"/>
  <c r="DL62" i="1"/>
  <c r="DM62" i="1"/>
  <c r="DN62" i="1"/>
  <c r="DO62" i="1"/>
  <c r="DP62" i="1"/>
  <c r="DQ62" i="1"/>
  <c r="DR62" i="1"/>
  <c r="DS62" i="1"/>
  <c r="DT62" i="1"/>
  <c r="DU62" i="1"/>
  <c r="DV62" i="1"/>
  <c r="DW62" i="1"/>
  <c r="DX62" i="1"/>
  <c r="DY62" i="1"/>
  <c r="DZ62" i="1"/>
  <c r="EA62" i="1"/>
  <c r="EB62" i="1"/>
  <c r="EC62" i="1"/>
  <c r="ED62" i="1"/>
  <c r="EE62" i="1"/>
  <c r="EF62" i="1"/>
  <c r="EG62" i="1"/>
  <c r="EI62" i="1"/>
  <c r="EJ62" i="1"/>
  <c r="EK62" i="1"/>
  <c r="EV62" i="1"/>
  <c r="EW62" i="1"/>
  <c r="EX62" i="1"/>
  <c r="FD62" i="1"/>
  <c r="FI62" i="1"/>
  <c r="R61" i="1"/>
  <c r="Z61" i="1"/>
  <c r="AJ61" i="1"/>
  <c r="AN61" i="1"/>
  <c r="AU61" i="1" s="1"/>
  <c r="BS61" i="1"/>
  <c r="BU61" i="1" s="1"/>
  <c r="CL61" i="1"/>
  <c r="CN61" i="1"/>
  <c r="CO61" i="1"/>
  <c r="CP61" i="1"/>
  <c r="CQ61" i="1"/>
  <c r="CR61" i="1"/>
  <c r="CS61" i="1"/>
  <c r="CT61" i="1"/>
  <c r="CU61" i="1"/>
  <c r="CV61" i="1"/>
  <c r="CW61" i="1"/>
  <c r="CX61" i="1"/>
  <c r="CY61" i="1"/>
  <c r="CZ61" i="1"/>
  <c r="DA61" i="1"/>
  <c r="DB61" i="1"/>
  <c r="DC61" i="1"/>
  <c r="DD61" i="1"/>
  <c r="DE61" i="1"/>
  <c r="DF61" i="1"/>
  <c r="DG61" i="1"/>
  <c r="DH61" i="1"/>
  <c r="DI61" i="1"/>
  <c r="DJ61" i="1"/>
  <c r="DK61" i="1"/>
  <c r="DL61" i="1"/>
  <c r="DM61" i="1"/>
  <c r="DN61" i="1"/>
  <c r="DO61" i="1"/>
  <c r="DP61" i="1"/>
  <c r="DQ61" i="1"/>
  <c r="DR61" i="1"/>
  <c r="DS61" i="1"/>
  <c r="DT61" i="1"/>
  <c r="DU61" i="1"/>
  <c r="DV61" i="1"/>
  <c r="DW61" i="1"/>
  <c r="DX61" i="1"/>
  <c r="DY61" i="1"/>
  <c r="DZ61" i="1"/>
  <c r="EA61" i="1"/>
  <c r="EB61" i="1"/>
  <c r="EC61" i="1"/>
  <c r="ED61" i="1"/>
  <c r="EE61" i="1"/>
  <c r="EF61" i="1"/>
  <c r="EG61" i="1"/>
  <c r="EI61" i="1"/>
  <c r="EJ61" i="1"/>
  <c r="EK61" i="1"/>
  <c r="EV61" i="1"/>
  <c r="EW61" i="1"/>
  <c r="EX61" i="1"/>
  <c r="FD61" i="1"/>
  <c r="FI61" i="1"/>
  <c r="R60" i="1"/>
  <c r="Z60" i="1"/>
  <c r="AJ60" i="1"/>
  <c r="AN60" i="1"/>
  <c r="BS60" i="1"/>
  <c r="BU60" i="1" s="1"/>
  <c r="CL60" i="1"/>
  <c r="CN60" i="1"/>
  <c r="CO60" i="1"/>
  <c r="CP60" i="1"/>
  <c r="CQ60" i="1"/>
  <c r="CR60" i="1"/>
  <c r="CS60" i="1"/>
  <c r="CT60" i="1"/>
  <c r="CU60" i="1"/>
  <c r="CV60" i="1"/>
  <c r="CW60" i="1"/>
  <c r="CX60" i="1"/>
  <c r="CY60" i="1"/>
  <c r="CZ60" i="1"/>
  <c r="DA60" i="1"/>
  <c r="DB60" i="1"/>
  <c r="DC60" i="1"/>
  <c r="DD60" i="1"/>
  <c r="DE60" i="1"/>
  <c r="DF60" i="1"/>
  <c r="DG60" i="1"/>
  <c r="DH60" i="1"/>
  <c r="DI60" i="1"/>
  <c r="DJ60" i="1"/>
  <c r="DK60" i="1"/>
  <c r="DL60" i="1"/>
  <c r="DM60" i="1"/>
  <c r="DN60" i="1"/>
  <c r="DO60" i="1"/>
  <c r="DP60" i="1"/>
  <c r="DQ60" i="1"/>
  <c r="DR60" i="1"/>
  <c r="DS60" i="1"/>
  <c r="DT60" i="1"/>
  <c r="DU60" i="1"/>
  <c r="DV60" i="1"/>
  <c r="DW60" i="1"/>
  <c r="DX60" i="1"/>
  <c r="DY60" i="1"/>
  <c r="DZ60" i="1"/>
  <c r="EA60" i="1"/>
  <c r="EB60" i="1"/>
  <c r="EC60" i="1"/>
  <c r="ED60" i="1"/>
  <c r="EE60" i="1"/>
  <c r="EF60" i="1"/>
  <c r="EG60" i="1"/>
  <c r="EI60" i="1"/>
  <c r="EJ60" i="1"/>
  <c r="EK60" i="1"/>
  <c r="EV60" i="1"/>
  <c r="EW60" i="1"/>
  <c r="EX60" i="1"/>
  <c r="FD60" i="1"/>
  <c r="FI60" i="1"/>
  <c r="R59" i="1"/>
  <c r="Z59" i="1"/>
  <c r="AJ59" i="1"/>
  <c r="AN59" i="1"/>
  <c r="BS59" i="1"/>
  <c r="BU59" i="1" s="1"/>
  <c r="CL59" i="1"/>
  <c r="CN59" i="1"/>
  <c r="CO59" i="1"/>
  <c r="CP59" i="1"/>
  <c r="CQ59" i="1"/>
  <c r="CR59" i="1"/>
  <c r="CS59" i="1"/>
  <c r="CT59" i="1"/>
  <c r="CU59" i="1"/>
  <c r="CV59" i="1"/>
  <c r="CW59" i="1"/>
  <c r="CX59" i="1"/>
  <c r="CY59" i="1"/>
  <c r="CZ59" i="1"/>
  <c r="DA59" i="1"/>
  <c r="DB59" i="1"/>
  <c r="DC59" i="1"/>
  <c r="DD59" i="1"/>
  <c r="DE59" i="1"/>
  <c r="DF59" i="1"/>
  <c r="DG59" i="1"/>
  <c r="DH59" i="1"/>
  <c r="DI59" i="1"/>
  <c r="DJ59" i="1"/>
  <c r="DK59" i="1"/>
  <c r="DL59" i="1"/>
  <c r="DM59" i="1"/>
  <c r="DN59" i="1"/>
  <c r="DO59" i="1"/>
  <c r="DP59" i="1"/>
  <c r="DQ59" i="1"/>
  <c r="DR59" i="1"/>
  <c r="DS59" i="1"/>
  <c r="DT59" i="1"/>
  <c r="DU59" i="1"/>
  <c r="DV59" i="1"/>
  <c r="DW59" i="1"/>
  <c r="DX59" i="1"/>
  <c r="DY59" i="1"/>
  <c r="DZ59" i="1"/>
  <c r="EA59" i="1"/>
  <c r="EB59" i="1"/>
  <c r="EC59" i="1"/>
  <c r="ED59" i="1"/>
  <c r="EE59" i="1"/>
  <c r="EF59" i="1"/>
  <c r="EG59" i="1"/>
  <c r="EI59" i="1"/>
  <c r="EJ59" i="1"/>
  <c r="EK59" i="1"/>
  <c r="EV59" i="1"/>
  <c r="EW59" i="1"/>
  <c r="EX59" i="1"/>
  <c r="FD59" i="1"/>
  <c r="FI59" i="1"/>
  <c r="R58" i="1"/>
  <c r="Z58" i="1"/>
  <c r="AJ58" i="1"/>
  <c r="AN58" i="1"/>
  <c r="AU58" i="1" s="1"/>
  <c r="BS58" i="1"/>
  <c r="BU58" i="1" s="1"/>
  <c r="CL58" i="1"/>
  <c r="CN58" i="1"/>
  <c r="CO58" i="1"/>
  <c r="CP58" i="1"/>
  <c r="CQ58" i="1"/>
  <c r="CR58" i="1"/>
  <c r="CS58" i="1"/>
  <c r="CT58" i="1"/>
  <c r="CU58" i="1"/>
  <c r="CV58" i="1"/>
  <c r="CW58" i="1"/>
  <c r="CX58" i="1"/>
  <c r="CY58" i="1"/>
  <c r="CZ58" i="1"/>
  <c r="DA58" i="1"/>
  <c r="DB58" i="1"/>
  <c r="DC58" i="1"/>
  <c r="DD58" i="1"/>
  <c r="DE58" i="1"/>
  <c r="DF58" i="1"/>
  <c r="DG58" i="1"/>
  <c r="DH58" i="1"/>
  <c r="DI58" i="1"/>
  <c r="DJ58" i="1"/>
  <c r="DK58" i="1"/>
  <c r="DL58" i="1"/>
  <c r="DM58" i="1"/>
  <c r="DN58" i="1"/>
  <c r="DO58" i="1"/>
  <c r="DP58" i="1"/>
  <c r="DQ58" i="1"/>
  <c r="DR58" i="1"/>
  <c r="DS58" i="1"/>
  <c r="DT58" i="1"/>
  <c r="DU58" i="1"/>
  <c r="DV58" i="1"/>
  <c r="DW58" i="1"/>
  <c r="DX58" i="1"/>
  <c r="DY58" i="1"/>
  <c r="DZ58" i="1"/>
  <c r="EA58" i="1"/>
  <c r="EB58" i="1"/>
  <c r="EC58" i="1"/>
  <c r="ED58" i="1"/>
  <c r="EE58" i="1"/>
  <c r="EF58" i="1"/>
  <c r="EG58" i="1"/>
  <c r="EI58" i="1"/>
  <c r="EJ58" i="1"/>
  <c r="EK58" i="1"/>
  <c r="EV58" i="1"/>
  <c r="EW58" i="1"/>
  <c r="EX58" i="1"/>
  <c r="FD58" i="1"/>
  <c r="FI58" i="1"/>
  <c r="R57" i="1"/>
  <c r="Z57" i="1"/>
  <c r="AJ57" i="1"/>
  <c r="AN57" i="1"/>
  <c r="FB57" i="1" s="1"/>
  <c r="BS57" i="1"/>
  <c r="BU57" i="1" s="1"/>
  <c r="CL57" i="1"/>
  <c r="CN57" i="1"/>
  <c r="CO57" i="1"/>
  <c r="CP57" i="1"/>
  <c r="CQ57" i="1"/>
  <c r="CR57" i="1"/>
  <c r="CS57" i="1"/>
  <c r="CT57" i="1"/>
  <c r="CU57" i="1"/>
  <c r="CV57" i="1"/>
  <c r="CW57" i="1"/>
  <c r="CX57" i="1"/>
  <c r="CY57" i="1"/>
  <c r="CZ57" i="1"/>
  <c r="DA57" i="1"/>
  <c r="DB57" i="1"/>
  <c r="DC57" i="1"/>
  <c r="DD57" i="1"/>
  <c r="DE57" i="1"/>
  <c r="DF57" i="1"/>
  <c r="DG57" i="1"/>
  <c r="DH57" i="1"/>
  <c r="DI57" i="1"/>
  <c r="DJ57" i="1"/>
  <c r="DK57" i="1"/>
  <c r="DL57" i="1"/>
  <c r="DM57" i="1"/>
  <c r="DN57" i="1"/>
  <c r="DO57" i="1"/>
  <c r="DP57" i="1"/>
  <c r="DQ57" i="1"/>
  <c r="DR57" i="1"/>
  <c r="DS57" i="1"/>
  <c r="DT57" i="1"/>
  <c r="DU57" i="1"/>
  <c r="DV57" i="1"/>
  <c r="DW57" i="1"/>
  <c r="DX57" i="1"/>
  <c r="DY57" i="1"/>
  <c r="DZ57" i="1"/>
  <c r="EA57" i="1"/>
  <c r="EB57" i="1"/>
  <c r="EC57" i="1"/>
  <c r="ED57" i="1"/>
  <c r="EE57" i="1"/>
  <c r="EF57" i="1"/>
  <c r="EG57" i="1"/>
  <c r="EI57" i="1"/>
  <c r="EJ57" i="1"/>
  <c r="EK57" i="1"/>
  <c r="EV57" i="1"/>
  <c r="EW57" i="1"/>
  <c r="EX57" i="1"/>
  <c r="FD57" i="1"/>
  <c r="FI57" i="1"/>
  <c r="R56" i="1"/>
  <c r="Z56" i="1"/>
  <c r="AJ56" i="1"/>
  <c r="AN56" i="1"/>
  <c r="AU56" i="1" s="1"/>
  <c r="BS56" i="1"/>
  <c r="BU56" i="1" s="1"/>
  <c r="CL56" i="1"/>
  <c r="CN56" i="1"/>
  <c r="CO56" i="1"/>
  <c r="CP56" i="1"/>
  <c r="CQ56" i="1"/>
  <c r="CR56" i="1"/>
  <c r="CS56" i="1"/>
  <c r="CT56" i="1"/>
  <c r="CU56" i="1"/>
  <c r="CV56" i="1"/>
  <c r="CW56" i="1"/>
  <c r="CX56" i="1"/>
  <c r="CY56" i="1"/>
  <c r="CZ56" i="1"/>
  <c r="DA56" i="1"/>
  <c r="DB56" i="1"/>
  <c r="DC56" i="1"/>
  <c r="DD56" i="1"/>
  <c r="DE56" i="1"/>
  <c r="DF56" i="1"/>
  <c r="DG56" i="1"/>
  <c r="DH56" i="1"/>
  <c r="DI56" i="1"/>
  <c r="DJ56" i="1"/>
  <c r="DK56" i="1"/>
  <c r="DL56" i="1"/>
  <c r="DM56" i="1"/>
  <c r="DN56" i="1"/>
  <c r="DO56" i="1"/>
  <c r="DP56" i="1"/>
  <c r="DQ56" i="1"/>
  <c r="DR56" i="1"/>
  <c r="DS56" i="1"/>
  <c r="DT56" i="1"/>
  <c r="DU56" i="1"/>
  <c r="DV56" i="1"/>
  <c r="DW56" i="1"/>
  <c r="DX56" i="1"/>
  <c r="DY56" i="1"/>
  <c r="DZ56" i="1"/>
  <c r="EA56" i="1"/>
  <c r="EB56" i="1"/>
  <c r="EC56" i="1"/>
  <c r="ED56" i="1"/>
  <c r="EE56" i="1"/>
  <c r="EF56" i="1"/>
  <c r="EG56" i="1"/>
  <c r="EI56" i="1"/>
  <c r="EJ56" i="1"/>
  <c r="EK56" i="1"/>
  <c r="EV56" i="1"/>
  <c r="EW56" i="1"/>
  <c r="EX56" i="1"/>
  <c r="FD56" i="1"/>
  <c r="FI56" i="1"/>
  <c r="R55" i="1"/>
  <c r="Z55" i="1"/>
  <c r="AJ55" i="1"/>
  <c r="AN55" i="1"/>
  <c r="AU55" i="1" s="1"/>
  <c r="BS55" i="1"/>
  <c r="BU55" i="1" s="1"/>
  <c r="CL55" i="1"/>
  <c r="CN55" i="1"/>
  <c r="CO55" i="1"/>
  <c r="CP55" i="1"/>
  <c r="CQ55" i="1"/>
  <c r="CR55" i="1"/>
  <c r="CS55" i="1"/>
  <c r="CT55" i="1"/>
  <c r="CU55" i="1"/>
  <c r="CV55" i="1"/>
  <c r="CW55" i="1"/>
  <c r="CX55" i="1"/>
  <c r="CY55" i="1"/>
  <c r="CZ55" i="1"/>
  <c r="DA55" i="1"/>
  <c r="DB55" i="1"/>
  <c r="DC55" i="1"/>
  <c r="DD55" i="1"/>
  <c r="DE55" i="1"/>
  <c r="DF55" i="1"/>
  <c r="DG55" i="1"/>
  <c r="DH55" i="1"/>
  <c r="DI55" i="1"/>
  <c r="DJ55" i="1"/>
  <c r="DK55" i="1"/>
  <c r="DL55" i="1"/>
  <c r="DM55" i="1"/>
  <c r="DN55" i="1"/>
  <c r="DO55" i="1"/>
  <c r="DP55" i="1"/>
  <c r="DQ55" i="1"/>
  <c r="DR55" i="1"/>
  <c r="DS55" i="1"/>
  <c r="DT55" i="1"/>
  <c r="DU55" i="1"/>
  <c r="DV55" i="1"/>
  <c r="DW55" i="1"/>
  <c r="DX55" i="1"/>
  <c r="DY55" i="1"/>
  <c r="DZ55" i="1"/>
  <c r="EA55" i="1"/>
  <c r="EB55" i="1"/>
  <c r="EC55" i="1"/>
  <c r="ED55" i="1"/>
  <c r="EE55" i="1"/>
  <c r="EF55" i="1"/>
  <c r="EG55" i="1"/>
  <c r="EI55" i="1"/>
  <c r="EJ55" i="1"/>
  <c r="EK55" i="1"/>
  <c r="EV55" i="1"/>
  <c r="EW55" i="1"/>
  <c r="EX55" i="1"/>
  <c r="FD55" i="1"/>
  <c r="FI55" i="1"/>
  <c r="R54" i="1"/>
  <c r="Z54" i="1"/>
  <c r="AJ54" i="1"/>
  <c r="AN54" i="1"/>
  <c r="FB54" i="1" s="1"/>
  <c r="BS54" i="1"/>
  <c r="BU54" i="1" s="1"/>
  <c r="CL54" i="1"/>
  <c r="CN54" i="1"/>
  <c r="CO54" i="1"/>
  <c r="CP54" i="1"/>
  <c r="CQ54" i="1"/>
  <c r="CR54" i="1"/>
  <c r="CS54" i="1"/>
  <c r="CT54" i="1"/>
  <c r="CU54" i="1"/>
  <c r="CV54" i="1"/>
  <c r="CW54" i="1"/>
  <c r="CX54" i="1"/>
  <c r="CY54" i="1"/>
  <c r="CZ54" i="1"/>
  <c r="DA54" i="1"/>
  <c r="DB54" i="1"/>
  <c r="DC54" i="1"/>
  <c r="DD54" i="1"/>
  <c r="DE54" i="1"/>
  <c r="DF54" i="1"/>
  <c r="DG54" i="1"/>
  <c r="DH54" i="1"/>
  <c r="DI54" i="1"/>
  <c r="DJ54" i="1"/>
  <c r="DK54" i="1"/>
  <c r="DL54" i="1"/>
  <c r="DM54" i="1"/>
  <c r="DN54" i="1"/>
  <c r="DO54" i="1"/>
  <c r="DP54" i="1"/>
  <c r="DQ54" i="1"/>
  <c r="DR54" i="1"/>
  <c r="DS54" i="1"/>
  <c r="DT54" i="1"/>
  <c r="DU54" i="1"/>
  <c r="DV54" i="1"/>
  <c r="DW54" i="1"/>
  <c r="DX54" i="1"/>
  <c r="DY54" i="1"/>
  <c r="DZ54" i="1"/>
  <c r="EA54" i="1"/>
  <c r="EB54" i="1"/>
  <c r="EC54" i="1"/>
  <c r="ED54" i="1"/>
  <c r="EE54" i="1"/>
  <c r="EF54" i="1"/>
  <c r="EG54" i="1"/>
  <c r="EI54" i="1"/>
  <c r="EJ54" i="1"/>
  <c r="EK54" i="1"/>
  <c r="EV54" i="1"/>
  <c r="EW54" i="1"/>
  <c r="EX54" i="1"/>
  <c r="FD54" i="1"/>
  <c r="FI54" i="1"/>
  <c r="R53" i="1"/>
  <c r="Z53" i="1"/>
  <c r="AJ53" i="1"/>
  <c r="AN53" i="1"/>
  <c r="AU53" i="1" s="1"/>
  <c r="BS53" i="1"/>
  <c r="BU53" i="1" s="1"/>
  <c r="CL53" i="1"/>
  <c r="CN53" i="1"/>
  <c r="CO53" i="1"/>
  <c r="CP53" i="1"/>
  <c r="CQ53" i="1"/>
  <c r="CR53" i="1"/>
  <c r="CS53" i="1"/>
  <c r="CT53" i="1"/>
  <c r="CU53" i="1"/>
  <c r="CV53" i="1"/>
  <c r="CW53" i="1"/>
  <c r="CX53" i="1"/>
  <c r="CY53" i="1"/>
  <c r="CZ53" i="1"/>
  <c r="DA53" i="1"/>
  <c r="DB53" i="1"/>
  <c r="DC53" i="1"/>
  <c r="DD53" i="1"/>
  <c r="DE53" i="1"/>
  <c r="DF53" i="1"/>
  <c r="DG53" i="1"/>
  <c r="DH53" i="1"/>
  <c r="DI53" i="1"/>
  <c r="DJ53" i="1"/>
  <c r="DK53" i="1"/>
  <c r="DL53" i="1"/>
  <c r="DM53" i="1"/>
  <c r="DN53" i="1"/>
  <c r="DO53" i="1"/>
  <c r="DP53" i="1"/>
  <c r="DQ53" i="1"/>
  <c r="DR53" i="1"/>
  <c r="DS53" i="1"/>
  <c r="DT53" i="1"/>
  <c r="DU53" i="1"/>
  <c r="DV53" i="1"/>
  <c r="DW53" i="1"/>
  <c r="DX53" i="1"/>
  <c r="DY53" i="1"/>
  <c r="DZ53" i="1"/>
  <c r="EA53" i="1"/>
  <c r="EB53" i="1"/>
  <c r="EC53" i="1"/>
  <c r="ED53" i="1"/>
  <c r="EE53" i="1"/>
  <c r="EF53" i="1"/>
  <c r="EG53" i="1"/>
  <c r="EI53" i="1"/>
  <c r="EJ53" i="1"/>
  <c r="EK53" i="1"/>
  <c r="EV53" i="1"/>
  <c r="EW53" i="1"/>
  <c r="EX53" i="1"/>
  <c r="FD53" i="1"/>
  <c r="FI53" i="1"/>
  <c r="R52" i="1"/>
  <c r="Z52" i="1"/>
  <c r="AJ52" i="1"/>
  <c r="AN52" i="1"/>
  <c r="AU52" i="1" s="1"/>
  <c r="BS52" i="1"/>
  <c r="BU52" i="1" s="1"/>
  <c r="CL52" i="1"/>
  <c r="CN52" i="1"/>
  <c r="CO52" i="1"/>
  <c r="CP52" i="1"/>
  <c r="CQ52" i="1"/>
  <c r="CR52" i="1"/>
  <c r="CS52" i="1"/>
  <c r="CT52" i="1"/>
  <c r="CU52" i="1"/>
  <c r="CV52" i="1"/>
  <c r="CW52" i="1"/>
  <c r="CX52" i="1"/>
  <c r="CY52" i="1"/>
  <c r="CZ52" i="1"/>
  <c r="DA52" i="1"/>
  <c r="DB52" i="1"/>
  <c r="DC52" i="1"/>
  <c r="DD52" i="1"/>
  <c r="DE52" i="1"/>
  <c r="DF52" i="1"/>
  <c r="DG52" i="1"/>
  <c r="DH52" i="1"/>
  <c r="DI52" i="1"/>
  <c r="DJ52" i="1"/>
  <c r="DK52" i="1"/>
  <c r="DL52" i="1"/>
  <c r="DM52" i="1"/>
  <c r="DN52" i="1"/>
  <c r="DO52" i="1"/>
  <c r="DP52" i="1"/>
  <c r="DQ52" i="1"/>
  <c r="DR52" i="1"/>
  <c r="DS52" i="1"/>
  <c r="DT52" i="1"/>
  <c r="DU52" i="1"/>
  <c r="DV52" i="1"/>
  <c r="DW52" i="1"/>
  <c r="DX52" i="1"/>
  <c r="DY52" i="1"/>
  <c r="DZ52" i="1"/>
  <c r="EA52" i="1"/>
  <c r="EB52" i="1"/>
  <c r="EC52" i="1"/>
  <c r="ED52" i="1"/>
  <c r="EE52" i="1"/>
  <c r="EF52" i="1"/>
  <c r="EG52" i="1"/>
  <c r="EI52" i="1"/>
  <c r="EJ52" i="1"/>
  <c r="EK52" i="1"/>
  <c r="EV52" i="1"/>
  <c r="EW52" i="1"/>
  <c r="EX52" i="1"/>
  <c r="FD52" i="1"/>
  <c r="FI52" i="1"/>
  <c r="R51" i="1"/>
  <c r="Z51" i="1"/>
  <c r="AJ51" i="1"/>
  <c r="AN51" i="1"/>
  <c r="FB51" i="1" s="1"/>
  <c r="BS51" i="1"/>
  <c r="BU51" i="1" s="1"/>
  <c r="CL51" i="1"/>
  <c r="CN51" i="1"/>
  <c r="CO51" i="1"/>
  <c r="CP51" i="1"/>
  <c r="CQ51" i="1"/>
  <c r="CR51" i="1"/>
  <c r="CS51" i="1"/>
  <c r="CT51" i="1"/>
  <c r="CU51" i="1"/>
  <c r="CV51" i="1"/>
  <c r="CW51" i="1"/>
  <c r="CX51" i="1"/>
  <c r="CY51" i="1"/>
  <c r="CZ51" i="1"/>
  <c r="DA51" i="1"/>
  <c r="DB51" i="1"/>
  <c r="DC51" i="1"/>
  <c r="DD51" i="1"/>
  <c r="DE51" i="1"/>
  <c r="DF51" i="1"/>
  <c r="DG51" i="1"/>
  <c r="DH51" i="1"/>
  <c r="DI51" i="1"/>
  <c r="DJ51" i="1"/>
  <c r="DK51" i="1"/>
  <c r="DL51" i="1"/>
  <c r="DM51" i="1"/>
  <c r="DN51" i="1"/>
  <c r="DO51" i="1"/>
  <c r="DP51" i="1"/>
  <c r="DQ51" i="1"/>
  <c r="DR51" i="1"/>
  <c r="DS51" i="1"/>
  <c r="DT51" i="1"/>
  <c r="DU51" i="1"/>
  <c r="DV51" i="1"/>
  <c r="DW51" i="1"/>
  <c r="DX51" i="1"/>
  <c r="DY51" i="1"/>
  <c r="DZ51" i="1"/>
  <c r="EA51" i="1"/>
  <c r="EB51" i="1"/>
  <c r="EC51" i="1"/>
  <c r="ED51" i="1"/>
  <c r="EE51" i="1"/>
  <c r="EF51" i="1"/>
  <c r="EG51" i="1"/>
  <c r="EI51" i="1"/>
  <c r="EJ51" i="1"/>
  <c r="EK51" i="1"/>
  <c r="EV51" i="1"/>
  <c r="EW51" i="1"/>
  <c r="EX51" i="1"/>
  <c r="FD51" i="1"/>
  <c r="FI51" i="1"/>
  <c r="R50" i="1"/>
  <c r="Z50" i="1"/>
  <c r="AJ50" i="1"/>
  <c r="AN50" i="1"/>
  <c r="AU50" i="1" s="1"/>
  <c r="BS50" i="1"/>
  <c r="BU50" i="1" s="1"/>
  <c r="CL50" i="1"/>
  <c r="CN50" i="1"/>
  <c r="CO50" i="1"/>
  <c r="CP50" i="1"/>
  <c r="CQ50" i="1"/>
  <c r="CR50" i="1"/>
  <c r="CS50" i="1"/>
  <c r="CT50" i="1"/>
  <c r="CU50" i="1"/>
  <c r="CV50" i="1"/>
  <c r="CW50" i="1"/>
  <c r="CX50" i="1"/>
  <c r="CY50" i="1"/>
  <c r="CZ50" i="1"/>
  <c r="DA50" i="1"/>
  <c r="DB50" i="1"/>
  <c r="DC50" i="1"/>
  <c r="DD50" i="1"/>
  <c r="DE50" i="1"/>
  <c r="DF50" i="1"/>
  <c r="DG50" i="1"/>
  <c r="DH50" i="1"/>
  <c r="DI50" i="1"/>
  <c r="DJ50" i="1"/>
  <c r="DK50" i="1"/>
  <c r="DL50" i="1"/>
  <c r="DM50" i="1"/>
  <c r="DN50" i="1"/>
  <c r="DO50" i="1"/>
  <c r="DP50" i="1"/>
  <c r="DQ50" i="1"/>
  <c r="DR50" i="1"/>
  <c r="DS50" i="1"/>
  <c r="DT50" i="1"/>
  <c r="DU50" i="1"/>
  <c r="DV50" i="1"/>
  <c r="DW50" i="1"/>
  <c r="DX50" i="1"/>
  <c r="DY50" i="1"/>
  <c r="DZ50" i="1"/>
  <c r="EA50" i="1"/>
  <c r="EB50" i="1"/>
  <c r="EC50" i="1"/>
  <c r="ED50" i="1"/>
  <c r="EE50" i="1"/>
  <c r="EF50" i="1"/>
  <c r="EG50" i="1"/>
  <c r="EH50" i="1"/>
  <c r="EJ50" i="1"/>
  <c r="EV50" i="1"/>
  <c r="EW50" i="1"/>
  <c r="EX50" i="1"/>
  <c r="FD50" i="1"/>
  <c r="FI50" i="1"/>
  <c r="R49" i="1"/>
  <c r="Z49" i="1"/>
  <c r="AJ49" i="1"/>
  <c r="AN49" i="1"/>
  <c r="AU49" i="1" s="1"/>
  <c r="BS49" i="1"/>
  <c r="BU49" i="1" s="1"/>
  <c r="CL49" i="1"/>
  <c r="CN49" i="1"/>
  <c r="CO49" i="1"/>
  <c r="CP49" i="1"/>
  <c r="CQ49" i="1"/>
  <c r="CR49" i="1"/>
  <c r="CS49" i="1"/>
  <c r="CT49" i="1"/>
  <c r="CU49" i="1"/>
  <c r="CV49" i="1"/>
  <c r="CW49" i="1"/>
  <c r="CX49" i="1"/>
  <c r="CY49" i="1"/>
  <c r="CZ49" i="1"/>
  <c r="DA49" i="1"/>
  <c r="DB49" i="1"/>
  <c r="DC49" i="1"/>
  <c r="DD49" i="1"/>
  <c r="DE49" i="1"/>
  <c r="DF49" i="1"/>
  <c r="DG49" i="1"/>
  <c r="DH49" i="1"/>
  <c r="DI49" i="1"/>
  <c r="DJ49" i="1"/>
  <c r="DK49" i="1"/>
  <c r="DL49" i="1"/>
  <c r="DM49" i="1"/>
  <c r="DN49" i="1"/>
  <c r="DO49" i="1"/>
  <c r="DP49" i="1"/>
  <c r="DQ49" i="1"/>
  <c r="DR49" i="1"/>
  <c r="DS49" i="1"/>
  <c r="DT49" i="1"/>
  <c r="DU49" i="1"/>
  <c r="DV49" i="1"/>
  <c r="DW49" i="1"/>
  <c r="DX49" i="1"/>
  <c r="DY49" i="1"/>
  <c r="DZ49" i="1"/>
  <c r="EA49" i="1"/>
  <c r="EB49" i="1"/>
  <c r="EC49" i="1"/>
  <c r="ED49" i="1"/>
  <c r="EE49" i="1"/>
  <c r="EF49" i="1"/>
  <c r="EG49" i="1"/>
  <c r="EH49" i="1"/>
  <c r="EJ49" i="1"/>
  <c r="EV49" i="1"/>
  <c r="EW49" i="1"/>
  <c r="EX49" i="1"/>
  <c r="FD49" i="1"/>
  <c r="FI49" i="1"/>
  <c r="R48" i="1"/>
  <c r="Z48" i="1"/>
  <c r="AJ48" i="1"/>
  <c r="AN48" i="1"/>
  <c r="FB48" i="1" s="1"/>
  <c r="BS48" i="1"/>
  <c r="BU48" i="1" s="1"/>
  <c r="CL48" i="1"/>
  <c r="CN48" i="1"/>
  <c r="CO48" i="1"/>
  <c r="CP48" i="1"/>
  <c r="CQ48" i="1"/>
  <c r="CR48" i="1"/>
  <c r="CS48" i="1"/>
  <c r="CT48" i="1"/>
  <c r="CU48" i="1"/>
  <c r="CV48" i="1"/>
  <c r="CW48" i="1"/>
  <c r="CX48" i="1"/>
  <c r="CY48" i="1"/>
  <c r="CZ48" i="1"/>
  <c r="DA48" i="1"/>
  <c r="DB48" i="1"/>
  <c r="DC48" i="1"/>
  <c r="DD48" i="1"/>
  <c r="DE48" i="1"/>
  <c r="DF48" i="1"/>
  <c r="DG48" i="1"/>
  <c r="DH48" i="1"/>
  <c r="DI48" i="1"/>
  <c r="DJ48" i="1"/>
  <c r="DK48" i="1"/>
  <c r="DL48" i="1"/>
  <c r="DM48" i="1"/>
  <c r="DN48" i="1"/>
  <c r="DO48" i="1"/>
  <c r="DP48" i="1"/>
  <c r="DQ48" i="1"/>
  <c r="DR48" i="1"/>
  <c r="DS48" i="1"/>
  <c r="DT48" i="1"/>
  <c r="DU48" i="1"/>
  <c r="DV48" i="1"/>
  <c r="DW48" i="1"/>
  <c r="DX48" i="1"/>
  <c r="DY48" i="1"/>
  <c r="DZ48" i="1"/>
  <c r="EA48" i="1"/>
  <c r="EB48" i="1"/>
  <c r="EC48" i="1"/>
  <c r="ED48" i="1"/>
  <c r="EE48" i="1"/>
  <c r="EF48" i="1"/>
  <c r="EG48" i="1"/>
  <c r="EH48" i="1"/>
  <c r="EJ48" i="1"/>
  <c r="EV48" i="1"/>
  <c r="EW48" i="1"/>
  <c r="EX48" i="1"/>
  <c r="FD48" i="1"/>
  <c r="FI48" i="1"/>
  <c r="R47" i="1"/>
  <c r="Z47" i="1"/>
  <c r="AJ47" i="1"/>
  <c r="AN47" i="1"/>
  <c r="FB47" i="1" s="1"/>
  <c r="BS47" i="1"/>
  <c r="BU47" i="1" s="1"/>
  <c r="CL47" i="1"/>
  <c r="CN47" i="1"/>
  <c r="CO47" i="1"/>
  <c r="CP47" i="1"/>
  <c r="CQ47" i="1"/>
  <c r="CR47" i="1"/>
  <c r="CS47" i="1"/>
  <c r="CT47" i="1"/>
  <c r="CU47" i="1"/>
  <c r="CV47" i="1"/>
  <c r="CW47" i="1"/>
  <c r="CX47" i="1"/>
  <c r="CY47" i="1"/>
  <c r="CZ47" i="1"/>
  <c r="DA47" i="1"/>
  <c r="DB47" i="1"/>
  <c r="DC47" i="1"/>
  <c r="DD47" i="1"/>
  <c r="DE47" i="1"/>
  <c r="DF47" i="1"/>
  <c r="DG47" i="1"/>
  <c r="DH47" i="1"/>
  <c r="DI47" i="1"/>
  <c r="DJ47" i="1"/>
  <c r="DK47" i="1"/>
  <c r="DL47" i="1"/>
  <c r="DM47" i="1"/>
  <c r="DN47" i="1"/>
  <c r="DO47" i="1"/>
  <c r="DP47" i="1"/>
  <c r="DQ47" i="1"/>
  <c r="DR47" i="1"/>
  <c r="DS47" i="1"/>
  <c r="DT47" i="1"/>
  <c r="DU47" i="1"/>
  <c r="DV47" i="1"/>
  <c r="DW47" i="1"/>
  <c r="DX47" i="1"/>
  <c r="DY47" i="1"/>
  <c r="DZ47" i="1"/>
  <c r="EA47" i="1"/>
  <c r="EB47" i="1"/>
  <c r="EC47" i="1"/>
  <c r="ED47" i="1"/>
  <c r="EE47" i="1"/>
  <c r="EF47" i="1"/>
  <c r="EG47" i="1"/>
  <c r="EH47" i="1"/>
  <c r="EJ47" i="1"/>
  <c r="EV47" i="1"/>
  <c r="EW47" i="1"/>
  <c r="EX47" i="1"/>
  <c r="FD47" i="1"/>
  <c r="FI47" i="1"/>
  <c r="R25" i="1"/>
  <c r="Z25" i="1"/>
  <c r="AJ25" i="1"/>
  <c r="AN25" i="1"/>
  <c r="FB25" i="1" s="1"/>
  <c r="BS25" i="1"/>
  <c r="BU25" i="1" s="1"/>
  <c r="CL25" i="1"/>
  <c r="CN25" i="1"/>
  <c r="CO25" i="1"/>
  <c r="CP25" i="1"/>
  <c r="CQ25" i="1"/>
  <c r="CR25" i="1"/>
  <c r="CS25" i="1"/>
  <c r="CT25" i="1"/>
  <c r="CU25" i="1"/>
  <c r="CV25" i="1"/>
  <c r="CW25" i="1"/>
  <c r="CX25" i="1"/>
  <c r="CY25" i="1"/>
  <c r="CZ25" i="1"/>
  <c r="DA25" i="1"/>
  <c r="DB25" i="1"/>
  <c r="DC25" i="1"/>
  <c r="DD25" i="1"/>
  <c r="DE25" i="1"/>
  <c r="DF25" i="1"/>
  <c r="DG25" i="1"/>
  <c r="DH25" i="1"/>
  <c r="DI25" i="1"/>
  <c r="DJ25" i="1"/>
  <c r="DK25" i="1"/>
  <c r="DL25" i="1"/>
  <c r="DM25" i="1"/>
  <c r="DN25" i="1"/>
  <c r="DO25" i="1"/>
  <c r="DP25" i="1"/>
  <c r="DQ25" i="1"/>
  <c r="DR25" i="1"/>
  <c r="DS25" i="1"/>
  <c r="DT25" i="1"/>
  <c r="DU25" i="1"/>
  <c r="DV25" i="1"/>
  <c r="DW25" i="1"/>
  <c r="DX25" i="1"/>
  <c r="DY25" i="1"/>
  <c r="DZ25" i="1"/>
  <c r="EA25" i="1"/>
  <c r="EB25" i="1"/>
  <c r="EC25" i="1"/>
  <c r="ED25" i="1"/>
  <c r="EE25" i="1"/>
  <c r="EF25" i="1"/>
  <c r="EG25" i="1"/>
  <c r="EI25" i="1"/>
  <c r="EJ25" i="1"/>
  <c r="EK25" i="1"/>
  <c r="EV25" i="1"/>
  <c r="EW25" i="1"/>
  <c r="EX25" i="1"/>
  <c r="FD25" i="1"/>
  <c r="FG25" i="1"/>
  <c r="FI25" i="1"/>
  <c r="R24" i="1"/>
  <c r="Z24" i="1"/>
  <c r="AJ24" i="1"/>
  <c r="AN24" i="1"/>
  <c r="BS24" i="1"/>
  <c r="BU24" i="1" s="1"/>
  <c r="CL24" i="1"/>
  <c r="CN24" i="1"/>
  <c r="CO24" i="1"/>
  <c r="CP24" i="1"/>
  <c r="CQ24" i="1"/>
  <c r="CR24" i="1"/>
  <c r="CS24" i="1"/>
  <c r="CT24" i="1"/>
  <c r="CU24" i="1"/>
  <c r="CV24" i="1"/>
  <c r="CW24" i="1"/>
  <c r="CX24" i="1"/>
  <c r="CY24" i="1"/>
  <c r="CZ24" i="1"/>
  <c r="DA24" i="1"/>
  <c r="DB24" i="1"/>
  <c r="DC24" i="1"/>
  <c r="DD24" i="1"/>
  <c r="DE24" i="1"/>
  <c r="DF24" i="1"/>
  <c r="DG24" i="1"/>
  <c r="DH24" i="1"/>
  <c r="DI24" i="1"/>
  <c r="DJ24" i="1"/>
  <c r="DK24" i="1"/>
  <c r="DL24" i="1"/>
  <c r="DM24" i="1"/>
  <c r="DN24" i="1"/>
  <c r="DO24" i="1"/>
  <c r="DP24" i="1"/>
  <c r="DQ24" i="1"/>
  <c r="DR24" i="1"/>
  <c r="DS24" i="1"/>
  <c r="DT24" i="1"/>
  <c r="DU24" i="1"/>
  <c r="DV24" i="1"/>
  <c r="DW24" i="1"/>
  <c r="DX24" i="1"/>
  <c r="DY24" i="1"/>
  <c r="DZ24" i="1"/>
  <c r="EA24" i="1"/>
  <c r="EB24" i="1"/>
  <c r="EC24" i="1"/>
  <c r="ED24" i="1"/>
  <c r="EE24" i="1"/>
  <c r="EF24" i="1"/>
  <c r="EG24" i="1"/>
  <c r="EI24" i="1"/>
  <c r="EJ24" i="1"/>
  <c r="EK24" i="1"/>
  <c r="EV24" i="1"/>
  <c r="EW24" i="1"/>
  <c r="EX24" i="1"/>
  <c r="FD24" i="1"/>
  <c r="FG24" i="1"/>
  <c r="FI24" i="1"/>
  <c r="R23" i="1"/>
  <c r="Z23" i="1"/>
  <c r="AJ23" i="1"/>
  <c r="AN23" i="1"/>
  <c r="AU23" i="1" s="1"/>
  <c r="BS23" i="1"/>
  <c r="BU23" i="1" s="1"/>
  <c r="CL23" i="1"/>
  <c r="CN23" i="1"/>
  <c r="CO23" i="1"/>
  <c r="CP23" i="1"/>
  <c r="CQ23" i="1"/>
  <c r="CR23" i="1"/>
  <c r="CS23" i="1"/>
  <c r="CT23" i="1"/>
  <c r="CU23" i="1"/>
  <c r="CV23" i="1"/>
  <c r="CW23" i="1"/>
  <c r="CX23" i="1"/>
  <c r="CY23" i="1"/>
  <c r="CZ23" i="1"/>
  <c r="DA23" i="1"/>
  <c r="DB23" i="1"/>
  <c r="DC23" i="1"/>
  <c r="DD23" i="1"/>
  <c r="DE23" i="1"/>
  <c r="DF23" i="1"/>
  <c r="DG23" i="1"/>
  <c r="DH23" i="1"/>
  <c r="DI23" i="1"/>
  <c r="DJ23" i="1"/>
  <c r="DK23" i="1"/>
  <c r="DL23" i="1"/>
  <c r="DM23" i="1"/>
  <c r="DN23" i="1"/>
  <c r="DO23" i="1"/>
  <c r="DP23" i="1"/>
  <c r="DQ23" i="1"/>
  <c r="DR23" i="1"/>
  <c r="DS23" i="1"/>
  <c r="DT23" i="1"/>
  <c r="DU23" i="1"/>
  <c r="DV23" i="1"/>
  <c r="DW23" i="1"/>
  <c r="DX23" i="1"/>
  <c r="DY23" i="1"/>
  <c r="DZ23" i="1"/>
  <c r="EA23" i="1"/>
  <c r="EB23" i="1"/>
  <c r="EC23" i="1"/>
  <c r="ED23" i="1"/>
  <c r="EE23" i="1"/>
  <c r="EF23" i="1"/>
  <c r="EG23" i="1"/>
  <c r="EI23" i="1"/>
  <c r="EJ23" i="1"/>
  <c r="EK23" i="1"/>
  <c r="EV23" i="1"/>
  <c r="EW23" i="1"/>
  <c r="EX23" i="1"/>
  <c r="FD23" i="1"/>
  <c r="FG23" i="1"/>
  <c r="FI23" i="1"/>
  <c r="R22" i="1"/>
  <c r="Z22" i="1"/>
  <c r="AJ22" i="1"/>
  <c r="AN22" i="1"/>
  <c r="AU22" i="1" s="1"/>
  <c r="BS22" i="1"/>
  <c r="BU22" i="1" s="1"/>
  <c r="CL22" i="1"/>
  <c r="CN22" i="1"/>
  <c r="CO22" i="1"/>
  <c r="CP22" i="1"/>
  <c r="CQ22" i="1"/>
  <c r="CR22" i="1"/>
  <c r="CS22" i="1"/>
  <c r="CT22" i="1"/>
  <c r="CU22" i="1"/>
  <c r="CV22" i="1"/>
  <c r="CW22" i="1"/>
  <c r="CX22" i="1"/>
  <c r="CY22" i="1"/>
  <c r="CZ22" i="1"/>
  <c r="DA22" i="1"/>
  <c r="DB22" i="1"/>
  <c r="DC22" i="1"/>
  <c r="DD22" i="1"/>
  <c r="DE22" i="1"/>
  <c r="DF22" i="1"/>
  <c r="DG22" i="1"/>
  <c r="DH22" i="1"/>
  <c r="DI22" i="1"/>
  <c r="DJ22" i="1"/>
  <c r="DK22" i="1"/>
  <c r="DL22" i="1"/>
  <c r="DM22" i="1"/>
  <c r="DN22" i="1"/>
  <c r="DO22" i="1"/>
  <c r="DP22" i="1"/>
  <c r="DQ22" i="1"/>
  <c r="DR22" i="1"/>
  <c r="DS22" i="1"/>
  <c r="DT22" i="1"/>
  <c r="DU22" i="1"/>
  <c r="DV22" i="1"/>
  <c r="DW22" i="1"/>
  <c r="DX22" i="1"/>
  <c r="DY22" i="1"/>
  <c r="DZ22" i="1"/>
  <c r="EA22" i="1"/>
  <c r="EB22" i="1"/>
  <c r="EC22" i="1"/>
  <c r="ED22" i="1"/>
  <c r="EE22" i="1"/>
  <c r="EF22" i="1"/>
  <c r="EG22" i="1"/>
  <c r="EI22" i="1"/>
  <c r="EJ22" i="1"/>
  <c r="EK22" i="1"/>
  <c r="EV22" i="1"/>
  <c r="EW22" i="1"/>
  <c r="EX22" i="1"/>
  <c r="FD22" i="1"/>
  <c r="FG22" i="1"/>
  <c r="FI22" i="1"/>
  <c r="R21" i="1"/>
  <c r="Z21" i="1"/>
  <c r="AJ21" i="1"/>
  <c r="AN21" i="1"/>
  <c r="AU21" i="1" s="1"/>
  <c r="BS21" i="1"/>
  <c r="BU21" i="1" s="1"/>
  <c r="CL21" i="1"/>
  <c r="CN21" i="1"/>
  <c r="CO21" i="1"/>
  <c r="CP21" i="1"/>
  <c r="CQ21" i="1"/>
  <c r="CR21" i="1"/>
  <c r="CS21" i="1"/>
  <c r="CT21" i="1"/>
  <c r="CU21" i="1"/>
  <c r="CV21" i="1"/>
  <c r="CW21" i="1"/>
  <c r="CX21" i="1"/>
  <c r="CY21" i="1"/>
  <c r="CZ21" i="1"/>
  <c r="DA21" i="1"/>
  <c r="DB21" i="1"/>
  <c r="DC21" i="1"/>
  <c r="DD21" i="1"/>
  <c r="DE21" i="1"/>
  <c r="DF21" i="1"/>
  <c r="DG21" i="1"/>
  <c r="DH21" i="1"/>
  <c r="DI21" i="1"/>
  <c r="DJ21" i="1"/>
  <c r="DK21" i="1"/>
  <c r="DL21" i="1"/>
  <c r="DM21" i="1"/>
  <c r="DN21" i="1"/>
  <c r="DO21" i="1"/>
  <c r="DP21" i="1"/>
  <c r="DQ21" i="1"/>
  <c r="DR21" i="1"/>
  <c r="DS21" i="1"/>
  <c r="DT21" i="1"/>
  <c r="DU21" i="1"/>
  <c r="DV21" i="1"/>
  <c r="DW21" i="1"/>
  <c r="DX21" i="1"/>
  <c r="DY21" i="1"/>
  <c r="DZ21" i="1"/>
  <c r="EA21" i="1"/>
  <c r="EB21" i="1"/>
  <c r="EC21" i="1"/>
  <c r="ED21" i="1"/>
  <c r="EE21" i="1"/>
  <c r="EF21" i="1"/>
  <c r="EG21" i="1"/>
  <c r="EI21" i="1"/>
  <c r="EJ21" i="1"/>
  <c r="EK21" i="1"/>
  <c r="EV21" i="1"/>
  <c r="EW21" i="1"/>
  <c r="EX21" i="1"/>
  <c r="FD21" i="1"/>
  <c r="FG21" i="1"/>
  <c r="FI21" i="1"/>
  <c r="R20" i="1"/>
  <c r="Z20" i="1"/>
  <c r="AJ20" i="1"/>
  <c r="AN20" i="1"/>
  <c r="AU20" i="1" s="1"/>
  <c r="BS20" i="1"/>
  <c r="BU20" i="1" s="1"/>
  <c r="CL20" i="1"/>
  <c r="CN20" i="1"/>
  <c r="CO20" i="1"/>
  <c r="CP20" i="1"/>
  <c r="CQ20" i="1"/>
  <c r="CR20" i="1"/>
  <c r="CS20" i="1"/>
  <c r="CT20" i="1"/>
  <c r="CU20" i="1"/>
  <c r="CV20" i="1"/>
  <c r="CW20" i="1"/>
  <c r="CX20" i="1"/>
  <c r="CY20" i="1"/>
  <c r="CZ20" i="1"/>
  <c r="DA20" i="1"/>
  <c r="DB20" i="1"/>
  <c r="DC20" i="1"/>
  <c r="DD20" i="1"/>
  <c r="DE20" i="1"/>
  <c r="DF20" i="1"/>
  <c r="DG20" i="1"/>
  <c r="DH20" i="1"/>
  <c r="DI20" i="1"/>
  <c r="DJ20" i="1"/>
  <c r="DK20" i="1"/>
  <c r="DL20" i="1"/>
  <c r="DM20" i="1"/>
  <c r="DN20" i="1"/>
  <c r="DO20" i="1"/>
  <c r="DP20" i="1"/>
  <c r="DQ20" i="1"/>
  <c r="DR20" i="1"/>
  <c r="DS20" i="1"/>
  <c r="DT20" i="1"/>
  <c r="DU20" i="1"/>
  <c r="DV20" i="1"/>
  <c r="DW20" i="1"/>
  <c r="DX20" i="1"/>
  <c r="DY20" i="1"/>
  <c r="DZ20" i="1"/>
  <c r="EA20" i="1"/>
  <c r="EB20" i="1"/>
  <c r="EC20" i="1"/>
  <c r="ED20" i="1"/>
  <c r="EE20" i="1"/>
  <c r="EF20" i="1"/>
  <c r="EG20" i="1"/>
  <c r="EI20" i="1"/>
  <c r="EJ20" i="1"/>
  <c r="EK20" i="1"/>
  <c r="EV20" i="1"/>
  <c r="EW20" i="1"/>
  <c r="EX20" i="1"/>
  <c r="FD20" i="1"/>
  <c r="FG20" i="1"/>
  <c r="FI20" i="1"/>
  <c r="R19" i="1"/>
  <c r="Z19" i="1"/>
  <c r="AJ19" i="1"/>
  <c r="AN19" i="1"/>
  <c r="AU19" i="1" s="1"/>
  <c r="BS19" i="1"/>
  <c r="BU19" i="1" s="1"/>
  <c r="CL19" i="1"/>
  <c r="CN19" i="1"/>
  <c r="CO19" i="1"/>
  <c r="CP19" i="1"/>
  <c r="CQ19" i="1"/>
  <c r="CR19" i="1"/>
  <c r="CS19" i="1"/>
  <c r="CT19" i="1"/>
  <c r="CU19" i="1"/>
  <c r="CV19" i="1"/>
  <c r="CW19" i="1"/>
  <c r="CX19" i="1"/>
  <c r="CY19" i="1"/>
  <c r="CZ19" i="1"/>
  <c r="DA19" i="1"/>
  <c r="DB19" i="1"/>
  <c r="DC19" i="1"/>
  <c r="DD19" i="1"/>
  <c r="DE19" i="1"/>
  <c r="DF19" i="1"/>
  <c r="DG19" i="1"/>
  <c r="DH19" i="1"/>
  <c r="DI19" i="1"/>
  <c r="DJ19" i="1"/>
  <c r="DK19" i="1"/>
  <c r="DL19" i="1"/>
  <c r="DM19" i="1"/>
  <c r="DN19" i="1"/>
  <c r="DO19" i="1"/>
  <c r="DP19" i="1"/>
  <c r="DQ19" i="1"/>
  <c r="DR19" i="1"/>
  <c r="DS19" i="1"/>
  <c r="DT19" i="1"/>
  <c r="DU19" i="1"/>
  <c r="DV19" i="1"/>
  <c r="DW19" i="1"/>
  <c r="DX19" i="1"/>
  <c r="DY19" i="1"/>
  <c r="DZ19" i="1"/>
  <c r="EA19" i="1"/>
  <c r="EB19" i="1"/>
  <c r="EC19" i="1"/>
  <c r="ED19" i="1"/>
  <c r="EE19" i="1"/>
  <c r="EF19" i="1"/>
  <c r="EG19" i="1"/>
  <c r="EI19" i="1"/>
  <c r="EJ19" i="1"/>
  <c r="EK19" i="1"/>
  <c r="EV19" i="1"/>
  <c r="EW19" i="1"/>
  <c r="EX19" i="1"/>
  <c r="FD19" i="1"/>
  <c r="FG19" i="1"/>
  <c r="FI19" i="1"/>
  <c r="R18" i="1"/>
  <c r="Z18" i="1"/>
  <c r="AJ18" i="1"/>
  <c r="AN18" i="1"/>
  <c r="AU18" i="1" s="1"/>
  <c r="BS18" i="1"/>
  <c r="BU18" i="1" s="1"/>
  <c r="CL18" i="1"/>
  <c r="CN18" i="1"/>
  <c r="CO18" i="1"/>
  <c r="CP18" i="1"/>
  <c r="CQ18" i="1"/>
  <c r="CR18" i="1"/>
  <c r="CS18" i="1"/>
  <c r="CT18" i="1"/>
  <c r="CU18" i="1"/>
  <c r="CV18" i="1"/>
  <c r="CW18" i="1"/>
  <c r="CX18" i="1"/>
  <c r="CY18" i="1"/>
  <c r="CZ18" i="1"/>
  <c r="DA18" i="1"/>
  <c r="DB18" i="1"/>
  <c r="DC18" i="1"/>
  <c r="DD18" i="1"/>
  <c r="DE18" i="1"/>
  <c r="DF18" i="1"/>
  <c r="DG18" i="1"/>
  <c r="DH18" i="1"/>
  <c r="DI18" i="1"/>
  <c r="DJ18" i="1"/>
  <c r="DK18" i="1"/>
  <c r="DL18" i="1"/>
  <c r="DM18" i="1"/>
  <c r="DN18" i="1"/>
  <c r="DO18" i="1"/>
  <c r="DP18" i="1"/>
  <c r="DQ18" i="1"/>
  <c r="DR18" i="1"/>
  <c r="DS18" i="1"/>
  <c r="DT18" i="1"/>
  <c r="DU18" i="1"/>
  <c r="DV18" i="1"/>
  <c r="DW18" i="1"/>
  <c r="DX18" i="1"/>
  <c r="DY18" i="1"/>
  <c r="DZ18" i="1"/>
  <c r="EA18" i="1"/>
  <c r="EB18" i="1"/>
  <c r="EC18" i="1"/>
  <c r="ED18" i="1"/>
  <c r="EE18" i="1"/>
  <c r="EF18" i="1"/>
  <c r="EG18" i="1"/>
  <c r="EI18" i="1"/>
  <c r="EJ18" i="1"/>
  <c r="EK18" i="1"/>
  <c r="EV18" i="1"/>
  <c r="EW18" i="1"/>
  <c r="EX18" i="1"/>
  <c r="FD18" i="1"/>
  <c r="FG18" i="1"/>
  <c r="FI18" i="1"/>
  <c r="R17" i="1"/>
  <c r="Z17" i="1"/>
  <c r="AJ17" i="1"/>
  <c r="AN17" i="1"/>
  <c r="AU17" i="1" s="1"/>
  <c r="BS17" i="1"/>
  <c r="BU17" i="1" s="1"/>
  <c r="CL17" i="1"/>
  <c r="CN17" i="1"/>
  <c r="CO17" i="1"/>
  <c r="CP17" i="1"/>
  <c r="CQ17" i="1"/>
  <c r="CR17" i="1"/>
  <c r="CS17" i="1"/>
  <c r="CT17" i="1"/>
  <c r="CU17" i="1"/>
  <c r="CV17" i="1"/>
  <c r="CW17" i="1"/>
  <c r="CX17" i="1"/>
  <c r="CY17" i="1"/>
  <c r="CZ17" i="1"/>
  <c r="DA17" i="1"/>
  <c r="DB17" i="1"/>
  <c r="DC17" i="1"/>
  <c r="DD17" i="1"/>
  <c r="DE17" i="1"/>
  <c r="DF17" i="1"/>
  <c r="DG17" i="1"/>
  <c r="DH17" i="1"/>
  <c r="DI17" i="1"/>
  <c r="DJ17" i="1"/>
  <c r="DK17" i="1"/>
  <c r="DL17" i="1"/>
  <c r="DM17" i="1"/>
  <c r="DN17" i="1"/>
  <c r="DO17" i="1"/>
  <c r="DP17" i="1"/>
  <c r="DQ17" i="1"/>
  <c r="DR17" i="1"/>
  <c r="DS17" i="1"/>
  <c r="DT17" i="1"/>
  <c r="DU17" i="1"/>
  <c r="DV17" i="1"/>
  <c r="DW17" i="1"/>
  <c r="DX17" i="1"/>
  <c r="DY17" i="1"/>
  <c r="DZ17" i="1"/>
  <c r="EA17" i="1"/>
  <c r="EB17" i="1"/>
  <c r="EC17" i="1"/>
  <c r="ED17" i="1"/>
  <c r="EE17" i="1"/>
  <c r="EF17" i="1"/>
  <c r="EG17" i="1"/>
  <c r="EI17" i="1"/>
  <c r="EJ17" i="1"/>
  <c r="EK17" i="1"/>
  <c r="EV17" i="1"/>
  <c r="EW17" i="1"/>
  <c r="EX17" i="1"/>
  <c r="FD17" i="1"/>
  <c r="FG17" i="1"/>
  <c r="FI17" i="1"/>
  <c r="R16" i="1"/>
  <c r="Z16" i="1"/>
  <c r="AJ16" i="1"/>
  <c r="AN16" i="1"/>
  <c r="AU16" i="1" s="1"/>
  <c r="BS16" i="1"/>
  <c r="BU16" i="1" s="1"/>
  <c r="CL16" i="1"/>
  <c r="CN16" i="1"/>
  <c r="CO16" i="1"/>
  <c r="CP16" i="1"/>
  <c r="CQ16" i="1"/>
  <c r="CR16" i="1"/>
  <c r="CS16" i="1"/>
  <c r="CT16" i="1"/>
  <c r="CU16" i="1"/>
  <c r="CV16" i="1"/>
  <c r="CW16" i="1"/>
  <c r="CX16" i="1"/>
  <c r="CY16" i="1"/>
  <c r="CZ16" i="1"/>
  <c r="DA16" i="1"/>
  <c r="DB16" i="1"/>
  <c r="DC16" i="1"/>
  <c r="DD16" i="1"/>
  <c r="DE16" i="1"/>
  <c r="DF16" i="1"/>
  <c r="DG16" i="1"/>
  <c r="DH16" i="1"/>
  <c r="DI16" i="1"/>
  <c r="DJ16" i="1"/>
  <c r="DK16" i="1"/>
  <c r="DL16" i="1"/>
  <c r="DM16" i="1"/>
  <c r="DN16" i="1"/>
  <c r="DO16" i="1"/>
  <c r="DP16" i="1"/>
  <c r="DQ16" i="1"/>
  <c r="DR16" i="1"/>
  <c r="DS16" i="1"/>
  <c r="DT16" i="1"/>
  <c r="DU16" i="1"/>
  <c r="DV16" i="1"/>
  <c r="DW16" i="1"/>
  <c r="DX16" i="1"/>
  <c r="DY16" i="1"/>
  <c r="DZ16" i="1"/>
  <c r="EA16" i="1"/>
  <c r="EB16" i="1"/>
  <c r="EC16" i="1"/>
  <c r="ED16" i="1"/>
  <c r="EE16" i="1"/>
  <c r="EF16" i="1"/>
  <c r="EG16" i="1"/>
  <c r="EI16" i="1"/>
  <c r="EJ16" i="1"/>
  <c r="EK16" i="1"/>
  <c r="EV16" i="1"/>
  <c r="EW16" i="1"/>
  <c r="EX16" i="1"/>
  <c r="FD16" i="1"/>
  <c r="FG16" i="1"/>
  <c r="FI16" i="1"/>
  <c r="R15" i="1"/>
  <c r="Z15" i="1"/>
  <c r="AJ15" i="1"/>
  <c r="AN15" i="1"/>
  <c r="AU15" i="1" s="1"/>
  <c r="BS15" i="1"/>
  <c r="BU15" i="1" s="1"/>
  <c r="CL15" i="1"/>
  <c r="CN15" i="1"/>
  <c r="CO15" i="1"/>
  <c r="CP15" i="1"/>
  <c r="CQ15" i="1"/>
  <c r="CR15" i="1"/>
  <c r="CS15" i="1"/>
  <c r="CT15" i="1"/>
  <c r="CU15" i="1"/>
  <c r="CV15" i="1"/>
  <c r="CW15" i="1"/>
  <c r="CX15" i="1"/>
  <c r="CY15" i="1"/>
  <c r="CZ15" i="1"/>
  <c r="DA15" i="1"/>
  <c r="DB15" i="1"/>
  <c r="DC15" i="1"/>
  <c r="DD15" i="1"/>
  <c r="DE15" i="1"/>
  <c r="DF15" i="1"/>
  <c r="DG15" i="1"/>
  <c r="DH15" i="1"/>
  <c r="DI15" i="1"/>
  <c r="DJ15" i="1"/>
  <c r="DK15" i="1"/>
  <c r="DL15" i="1"/>
  <c r="DM15" i="1"/>
  <c r="DN15" i="1"/>
  <c r="DO15" i="1"/>
  <c r="DP15" i="1"/>
  <c r="DQ15" i="1"/>
  <c r="DR15" i="1"/>
  <c r="DS15" i="1"/>
  <c r="DT15" i="1"/>
  <c r="DU15" i="1"/>
  <c r="DV15" i="1"/>
  <c r="DW15" i="1"/>
  <c r="DX15" i="1"/>
  <c r="DY15" i="1"/>
  <c r="DZ15" i="1"/>
  <c r="EA15" i="1"/>
  <c r="EB15" i="1"/>
  <c r="EC15" i="1"/>
  <c r="ED15" i="1"/>
  <c r="EE15" i="1"/>
  <c r="EF15" i="1"/>
  <c r="EG15" i="1"/>
  <c r="EI15" i="1"/>
  <c r="EJ15" i="1"/>
  <c r="EK15" i="1"/>
  <c r="EV15" i="1"/>
  <c r="EW15" i="1"/>
  <c r="EX15" i="1"/>
  <c r="FD15" i="1"/>
  <c r="FG15" i="1"/>
  <c r="FI15" i="1"/>
  <c r="R14" i="1"/>
  <c r="Z14" i="1"/>
  <c r="AJ14" i="1"/>
  <c r="AN14" i="1"/>
  <c r="AU14" i="1" s="1"/>
  <c r="BS14" i="1"/>
  <c r="BU14" i="1" s="1"/>
  <c r="CL14" i="1"/>
  <c r="CN14" i="1"/>
  <c r="CO14" i="1"/>
  <c r="CP14" i="1"/>
  <c r="CQ14" i="1"/>
  <c r="CR14" i="1"/>
  <c r="CS14" i="1"/>
  <c r="CT14" i="1"/>
  <c r="CU14" i="1"/>
  <c r="CV14" i="1"/>
  <c r="CW14" i="1"/>
  <c r="CX14" i="1"/>
  <c r="CY14" i="1"/>
  <c r="CZ14" i="1"/>
  <c r="DA14" i="1"/>
  <c r="DB14" i="1"/>
  <c r="DC14" i="1"/>
  <c r="DD14" i="1"/>
  <c r="DE14" i="1"/>
  <c r="DF14" i="1"/>
  <c r="DG14" i="1"/>
  <c r="DH14" i="1"/>
  <c r="DI14" i="1"/>
  <c r="DJ14" i="1"/>
  <c r="DK14" i="1"/>
  <c r="DL14" i="1"/>
  <c r="DM14" i="1"/>
  <c r="DN14" i="1"/>
  <c r="DO14" i="1"/>
  <c r="DP14" i="1"/>
  <c r="DQ14" i="1"/>
  <c r="DR14" i="1"/>
  <c r="DS14" i="1"/>
  <c r="DT14" i="1"/>
  <c r="DU14" i="1"/>
  <c r="DV14" i="1"/>
  <c r="DW14" i="1"/>
  <c r="DX14" i="1"/>
  <c r="DY14" i="1"/>
  <c r="DZ14" i="1"/>
  <c r="EA14" i="1"/>
  <c r="EB14" i="1"/>
  <c r="EC14" i="1"/>
  <c r="ED14" i="1"/>
  <c r="EE14" i="1"/>
  <c r="EF14" i="1"/>
  <c r="EG14" i="1"/>
  <c r="EI14" i="1"/>
  <c r="EJ14" i="1"/>
  <c r="EK14" i="1"/>
  <c r="EV14" i="1"/>
  <c r="EW14" i="1"/>
  <c r="EX14" i="1"/>
  <c r="FD14" i="1"/>
  <c r="FG14" i="1"/>
  <c r="FI14" i="1"/>
  <c r="R13" i="1"/>
  <c r="Z13" i="1"/>
  <c r="AJ13" i="1"/>
  <c r="AN13" i="1"/>
  <c r="AU13" i="1" s="1"/>
  <c r="BS13" i="1"/>
  <c r="BU13" i="1" s="1"/>
  <c r="CL13" i="1"/>
  <c r="CN13" i="1"/>
  <c r="CO13" i="1"/>
  <c r="CP13" i="1"/>
  <c r="CQ13" i="1"/>
  <c r="CR13" i="1"/>
  <c r="CS13" i="1"/>
  <c r="CT13" i="1"/>
  <c r="CU13" i="1"/>
  <c r="CV13" i="1"/>
  <c r="CW13" i="1"/>
  <c r="CX13" i="1"/>
  <c r="CY13" i="1"/>
  <c r="CZ13" i="1"/>
  <c r="DA13" i="1"/>
  <c r="DB13" i="1"/>
  <c r="DC13" i="1"/>
  <c r="DD13" i="1"/>
  <c r="DE13" i="1"/>
  <c r="DF13" i="1"/>
  <c r="DG13" i="1"/>
  <c r="DH13" i="1"/>
  <c r="DI13" i="1"/>
  <c r="DJ13" i="1"/>
  <c r="DK13" i="1"/>
  <c r="DL13" i="1"/>
  <c r="DM13" i="1"/>
  <c r="DN13" i="1"/>
  <c r="DO13" i="1"/>
  <c r="DP13" i="1"/>
  <c r="DQ13" i="1"/>
  <c r="DR13" i="1"/>
  <c r="DS13" i="1"/>
  <c r="DT13" i="1"/>
  <c r="DU13" i="1"/>
  <c r="DV13" i="1"/>
  <c r="DW13" i="1"/>
  <c r="DX13" i="1"/>
  <c r="DY13" i="1"/>
  <c r="DZ13" i="1"/>
  <c r="EA13" i="1"/>
  <c r="EB13" i="1"/>
  <c r="EC13" i="1"/>
  <c r="ED13" i="1"/>
  <c r="EE13" i="1"/>
  <c r="EF13" i="1"/>
  <c r="EG13" i="1"/>
  <c r="EH13" i="1"/>
  <c r="EJ13" i="1"/>
  <c r="EV13" i="1"/>
  <c r="EW13" i="1"/>
  <c r="EX13" i="1"/>
  <c r="FD13" i="1"/>
  <c r="FG13" i="1"/>
  <c r="FI13" i="1"/>
  <c r="R12" i="1"/>
  <c r="Z12" i="1"/>
  <c r="AJ12" i="1"/>
  <c r="AN12" i="1"/>
  <c r="AU12" i="1" s="1"/>
  <c r="BS12" i="1"/>
  <c r="BU12" i="1" s="1"/>
  <c r="CL12" i="1"/>
  <c r="CN12" i="1"/>
  <c r="CO12" i="1"/>
  <c r="CP12" i="1"/>
  <c r="CQ12" i="1"/>
  <c r="CR12" i="1"/>
  <c r="CS12" i="1"/>
  <c r="CT12" i="1"/>
  <c r="CU12" i="1"/>
  <c r="CV12" i="1"/>
  <c r="CW12" i="1"/>
  <c r="CX12" i="1"/>
  <c r="CY12" i="1"/>
  <c r="CZ12" i="1"/>
  <c r="DA12" i="1"/>
  <c r="DB12" i="1"/>
  <c r="DC12" i="1"/>
  <c r="DD12" i="1"/>
  <c r="DE12" i="1"/>
  <c r="DF12" i="1"/>
  <c r="DG12" i="1"/>
  <c r="DH12" i="1"/>
  <c r="DI12" i="1"/>
  <c r="DJ12" i="1"/>
  <c r="DK12" i="1"/>
  <c r="DL12" i="1"/>
  <c r="DM12" i="1"/>
  <c r="DN12" i="1"/>
  <c r="DO12" i="1"/>
  <c r="DP12" i="1"/>
  <c r="DQ12" i="1"/>
  <c r="DR12" i="1"/>
  <c r="DS12" i="1"/>
  <c r="DT12" i="1"/>
  <c r="DU12" i="1"/>
  <c r="DV12" i="1"/>
  <c r="DW12" i="1"/>
  <c r="DX12" i="1"/>
  <c r="DY12" i="1"/>
  <c r="DZ12" i="1"/>
  <c r="EA12" i="1"/>
  <c r="EB12" i="1"/>
  <c r="EC12" i="1"/>
  <c r="ED12" i="1"/>
  <c r="EE12" i="1"/>
  <c r="EF12" i="1"/>
  <c r="EG12" i="1"/>
  <c r="EH12" i="1"/>
  <c r="EJ12" i="1"/>
  <c r="EV12" i="1"/>
  <c r="EW12" i="1"/>
  <c r="EX12" i="1"/>
  <c r="FD12" i="1"/>
  <c r="FG12" i="1"/>
  <c r="FI12" i="1"/>
  <c r="R11" i="1"/>
  <c r="Z11" i="1"/>
  <c r="AJ11" i="1"/>
  <c r="AN11" i="1"/>
  <c r="AU11" i="1" s="1"/>
  <c r="BS11" i="1"/>
  <c r="BU11" i="1" s="1"/>
  <c r="CL11" i="1"/>
  <c r="CN11" i="1"/>
  <c r="CO11" i="1"/>
  <c r="CP11" i="1"/>
  <c r="CQ11" i="1"/>
  <c r="CR11" i="1"/>
  <c r="CS11" i="1"/>
  <c r="CT11" i="1"/>
  <c r="CU11" i="1"/>
  <c r="CV11" i="1"/>
  <c r="CW11" i="1"/>
  <c r="CX11" i="1"/>
  <c r="CY11" i="1"/>
  <c r="CZ11" i="1"/>
  <c r="DA11" i="1"/>
  <c r="DB11" i="1"/>
  <c r="DC11" i="1"/>
  <c r="DD11" i="1"/>
  <c r="DE11" i="1"/>
  <c r="DF11" i="1"/>
  <c r="DG11" i="1"/>
  <c r="DH11" i="1"/>
  <c r="DI11" i="1"/>
  <c r="DJ11" i="1"/>
  <c r="DK11" i="1"/>
  <c r="DL11" i="1"/>
  <c r="DM11" i="1"/>
  <c r="DN11" i="1"/>
  <c r="DO11" i="1"/>
  <c r="DP11" i="1"/>
  <c r="DQ11" i="1"/>
  <c r="DR11" i="1"/>
  <c r="DS11" i="1"/>
  <c r="DT11" i="1"/>
  <c r="DU11" i="1"/>
  <c r="DV11" i="1"/>
  <c r="DW11" i="1"/>
  <c r="DX11" i="1"/>
  <c r="DY11" i="1"/>
  <c r="DZ11" i="1"/>
  <c r="EA11" i="1"/>
  <c r="EB11" i="1"/>
  <c r="EC11" i="1"/>
  <c r="ED11" i="1"/>
  <c r="EE11" i="1"/>
  <c r="EF11" i="1"/>
  <c r="EG11" i="1"/>
  <c r="EH11" i="1"/>
  <c r="EJ11" i="1"/>
  <c r="EV11" i="1"/>
  <c r="EW11" i="1"/>
  <c r="EX11" i="1"/>
  <c r="FD11" i="1"/>
  <c r="FG11" i="1"/>
  <c r="FI11" i="1"/>
  <c r="M81" i="1"/>
  <c r="M17" i="1"/>
  <c r="M59" i="1"/>
  <c r="M52" i="1"/>
  <c r="M20" i="1"/>
  <c r="M61" i="1"/>
  <c r="M84" i="1"/>
  <c r="M48" i="1"/>
  <c r="M76" i="1"/>
  <c r="M58" i="1"/>
  <c r="M50" i="1"/>
  <c r="M15" i="1"/>
  <c r="M12" i="1"/>
  <c r="M18" i="1"/>
  <c r="M19" i="1"/>
  <c r="M21" i="1"/>
  <c r="M27" i="1"/>
  <c r="M49" i="1"/>
  <c r="M82" i="1"/>
  <c r="M54" i="1"/>
  <c r="M25" i="1"/>
  <c r="M11" i="1"/>
  <c r="M28" i="1"/>
  <c r="M77" i="1"/>
  <c r="M26" i="1"/>
  <c r="M56" i="1"/>
  <c r="M23" i="1"/>
  <c r="M53" i="1"/>
  <c r="M24" i="1"/>
  <c r="M78" i="1"/>
  <c r="M79" i="1"/>
  <c r="M13" i="1"/>
  <c r="M16" i="1"/>
  <c r="M55" i="1"/>
  <c r="M60" i="1"/>
  <c r="M85" i="1"/>
  <c r="M57" i="1"/>
  <c r="M47" i="1"/>
  <c r="M51" i="1"/>
  <c r="M83" i="1"/>
  <c r="M22" i="1"/>
  <c r="M80" i="1"/>
  <c r="M62" i="1"/>
  <c r="M14" i="1"/>
  <c r="FH30" i="1" l="1"/>
  <c r="FB26" i="1"/>
  <c r="FB29" i="1"/>
  <c r="FH29" i="1"/>
  <c r="EZ29" i="1"/>
  <c r="EZ26" i="1"/>
  <c r="FB30" i="1"/>
  <c r="FH26" i="1"/>
  <c r="EZ12" i="1"/>
  <c r="EZ81" i="1"/>
  <c r="EZ23" i="1"/>
  <c r="FH28" i="1"/>
  <c r="FB28" i="1"/>
  <c r="EZ28" i="1"/>
  <c r="EZ58" i="1"/>
  <c r="FH27" i="1"/>
  <c r="EZ27" i="1"/>
  <c r="FB27" i="1"/>
  <c r="EP29" i="1"/>
  <c r="BX29" i="1"/>
  <c r="EP30" i="1"/>
  <c r="BX30" i="1"/>
  <c r="BX28" i="1"/>
  <c r="BY28" i="1" s="1"/>
  <c r="EP28" i="1"/>
  <c r="EZ49" i="1"/>
  <c r="EZ79" i="1"/>
  <c r="EP26" i="1"/>
  <c r="BX26" i="1"/>
  <c r="EP27" i="1"/>
  <c r="BX27" i="1"/>
  <c r="EZ11" i="1"/>
  <c r="EZ13" i="1"/>
  <c r="EZ76" i="1"/>
  <c r="EZ18" i="1"/>
  <c r="EZ21" i="1"/>
  <c r="EZ52" i="1"/>
  <c r="EZ78" i="1"/>
  <c r="EZ85" i="1"/>
  <c r="EZ14" i="1"/>
  <c r="EZ19" i="1"/>
  <c r="EZ22" i="1"/>
  <c r="EZ55" i="1"/>
  <c r="EZ83" i="1"/>
  <c r="FB83" i="1"/>
  <c r="FB85" i="1"/>
  <c r="FB81" i="1"/>
  <c r="EZ84" i="1"/>
  <c r="FB84" i="1"/>
  <c r="FB79" i="1"/>
  <c r="EZ82" i="1"/>
  <c r="FB82" i="1"/>
  <c r="EZ80" i="1"/>
  <c r="FB80" i="1"/>
  <c r="FB78" i="1"/>
  <c r="FB77" i="1"/>
  <c r="FB76" i="1"/>
  <c r="FB58" i="1"/>
  <c r="AU62" i="1"/>
  <c r="EZ77" i="1"/>
  <c r="FB59" i="1"/>
  <c r="EZ60" i="1"/>
  <c r="AU60" i="1"/>
  <c r="EZ61" i="1"/>
  <c r="FB61" i="1"/>
  <c r="AU59" i="1"/>
  <c r="FB60" i="1"/>
  <c r="FB62" i="1"/>
  <c r="FB49" i="1"/>
  <c r="FB52" i="1"/>
  <c r="FB55" i="1"/>
  <c r="EZ59" i="1"/>
  <c r="EZ56" i="1"/>
  <c r="FB56" i="1"/>
  <c r="EZ57" i="1"/>
  <c r="AU57" i="1"/>
  <c r="EZ53" i="1"/>
  <c r="FB53" i="1"/>
  <c r="EZ54" i="1"/>
  <c r="AU54" i="1"/>
  <c r="EZ50" i="1"/>
  <c r="FB50" i="1"/>
  <c r="EZ51" i="1"/>
  <c r="AU51" i="1"/>
  <c r="FB12" i="1"/>
  <c r="EZ24" i="1"/>
  <c r="FB24" i="1"/>
  <c r="EZ25" i="1"/>
  <c r="EZ47" i="1"/>
  <c r="AU47" i="1"/>
  <c r="EZ48" i="1"/>
  <c r="AU48" i="1"/>
  <c r="FB21" i="1"/>
  <c r="FB11" i="1"/>
  <c r="FB19" i="1"/>
  <c r="FB23" i="1"/>
  <c r="FB22" i="1"/>
  <c r="EZ20" i="1"/>
  <c r="FB14" i="1"/>
  <c r="FB20" i="1"/>
  <c r="FB18" i="1"/>
  <c r="EZ17" i="1"/>
  <c r="FB17" i="1"/>
  <c r="EZ15" i="1"/>
  <c r="EZ16" i="1"/>
  <c r="FB15" i="1"/>
  <c r="FB16" i="1"/>
  <c r="FB13" i="1"/>
  <c r="AH4" i="26"/>
  <c r="AH3" i="26"/>
  <c r="AH2" i="26"/>
  <c r="AK10" i="26"/>
  <c r="AK9" i="26"/>
  <c r="AK8" i="26"/>
  <c r="AK7" i="26"/>
  <c r="AK6" i="26"/>
  <c r="AK5" i="26"/>
  <c r="AK4" i="26"/>
  <c r="AK3" i="26"/>
  <c r="AK2" i="26"/>
  <c r="EQ28" i="1" l="1"/>
  <c r="BY29" i="1"/>
  <c r="EQ29" i="1" s="1"/>
  <c r="BY30" i="1"/>
  <c r="EQ30" i="1" s="1"/>
  <c r="BY26" i="1"/>
  <c r="EQ26" i="1" s="1"/>
  <c r="BY27" i="1"/>
  <c r="EQ27" i="1" s="1"/>
  <c r="FG10" i="1"/>
  <c r="FI10" i="1"/>
  <c r="I1596" i="38" l="1"/>
  <c r="H1596" i="38"/>
  <c r="EJ10" i="1" l="1"/>
  <c r="EJ151" i="1" s="1"/>
  <c r="EH10" i="1"/>
  <c r="EG10" i="1"/>
  <c r="EG151" i="1" s="1"/>
  <c r="EF10" i="1"/>
  <c r="EF151" i="1" s="1"/>
  <c r="EE10" i="1"/>
  <c r="ED10" i="1"/>
  <c r="ED151" i="1" s="1"/>
  <c r="EC10" i="1"/>
  <c r="EC151" i="1" s="1"/>
  <c r="EB10" i="1"/>
  <c r="EB151" i="1" s="1"/>
  <c r="EA10" i="1"/>
  <c r="DZ10" i="1"/>
  <c r="DY10" i="1"/>
  <c r="DX10" i="1"/>
  <c r="DW10" i="1"/>
  <c r="DW151" i="1" s="1"/>
  <c r="DV10" i="1"/>
  <c r="DU10" i="1"/>
  <c r="DT10" i="1"/>
  <c r="DT151" i="1" s="1"/>
  <c r="DS10" i="1"/>
  <c r="DS151" i="1" s="1"/>
  <c r="DR10" i="1"/>
  <c r="DR151" i="1" s="1"/>
  <c r="DQ10" i="1"/>
  <c r="DQ151" i="1" s="1"/>
  <c r="DP10" i="1"/>
  <c r="DP151" i="1" s="1"/>
  <c r="DO10" i="1"/>
  <c r="DO151" i="1" s="1"/>
  <c r="DN10" i="1"/>
  <c r="DN151" i="1" s="1"/>
  <c r="DM10" i="1"/>
  <c r="DM151" i="1" s="1"/>
  <c r="DL10" i="1"/>
  <c r="DL151" i="1" s="1"/>
  <c r="DK10" i="1"/>
  <c r="DK151" i="1" s="1"/>
  <c r="DJ10" i="1"/>
  <c r="DJ151" i="1" s="1"/>
  <c r="DI10" i="1"/>
  <c r="DH10" i="1"/>
  <c r="DH151" i="1" s="1"/>
  <c r="DG10" i="1"/>
  <c r="DF10" i="1"/>
  <c r="DF151" i="1" s="1"/>
  <c r="DE10" i="1"/>
  <c r="DD10" i="1"/>
  <c r="DC10" i="1"/>
  <c r="DB10" i="1"/>
  <c r="DB151" i="1" s="1"/>
  <c r="DA10" i="1"/>
  <c r="DA151" i="1" s="1"/>
  <c r="CZ10" i="1"/>
  <c r="CY10" i="1"/>
  <c r="CX10" i="1"/>
  <c r="CW10" i="1"/>
  <c r="CW151" i="1" s="1"/>
  <c r="CV10" i="1"/>
  <c r="CU10" i="1"/>
  <c r="CT10" i="1"/>
  <c r="CS10" i="1"/>
  <c r="CR10" i="1"/>
  <c r="CR151" i="1" s="1"/>
  <c r="CQ10" i="1"/>
  <c r="CQ151" i="1" s="1"/>
  <c r="CP10" i="1"/>
  <c r="CP151" i="1" s="1"/>
  <c r="CO10" i="1"/>
  <c r="CO151" i="1" s="1"/>
  <c r="CN10" i="1"/>
  <c r="CN151" i="1" s="1"/>
  <c r="CL10" i="1"/>
  <c r="CL151" i="1" s="1"/>
  <c r="A301" i="20"/>
  <c r="B301" i="20"/>
  <c r="C301" i="20"/>
  <c r="D301" i="20"/>
  <c r="A302" i="20"/>
  <c r="B302" i="20"/>
  <c r="C302" i="20"/>
  <c r="D302" i="20"/>
  <c r="A303" i="20"/>
  <c r="B303" i="20"/>
  <c r="C303" i="20"/>
  <c r="D303" i="20"/>
  <c r="A304" i="20"/>
  <c r="B304" i="20"/>
  <c r="C304" i="20"/>
  <c r="D304" i="20"/>
  <c r="A305" i="20"/>
  <c r="B305" i="20"/>
  <c r="C305" i="20"/>
  <c r="D305" i="20"/>
  <c r="A306" i="20"/>
  <c r="B306" i="20"/>
  <c r="C306" i="20"/>
  <c r="D306" i="20"/>
  <c r="A307" i="20"/>
  <c r="B307" i="20"/>
  <c r="C307" i="20"/>
  <c r="D307" i="20"/>
  <c r="A308" i="20"/>
  <c r="B308" i="20"/>
  <c r="C308" i="20"/>
  <c r="D308" i="20"/>
  <c r="A309" i="20"/>
  <c r="B309" i="20"/>
  <c r="C309" i="20"/>
  <c r="D309" i="20"/>
  <c r="A310" i="20"/>
  <c r="B310" i="20"/>
  <c r="C310" i="20"/>
  <c r="D310" i="20"/>
  <c r="A311" i="20"/>
  <c r="B311" i="20"/>
  <c r="C311" i="20"/>
  <c r="D311" i="20"/>
  <c r="A312" i="20"/>
  <c r="B312" i="20"/>
  <c r="C312" i="20"/>
  <c r="D312" i="20"/>
  <c r="A313" i="20"/>
  <c r="B313" i="20"/>
  <c r="C313" i="20"/>
  <c r="D313" i="20"/>
  <c r="A314" i="20"/>
  <c r="B314" i="20"/>
  <c r="C314" i="20"/>
  <c r="D314" i="20"/>
  <c r="A315" i="20"/>
  <c r="B315" i="20"/>
  <c r="C315" i="20"/>
  <c r="D315" i="20"/>
  <c r="A316" i="20"/>
  <c r="B316" i="20"/>
  <c r="C316" i="20"/>
  <c r="D316" i="20"/>
  <c r="A317" i="20"/>
  <c r="B317" i="20"/>
  <c r="C317" i="20"/>
  <c r="D317" i="20"/>
  <c r="A318" i="20"/>
  <c r="B318" i="20"/>
  <c r="C318" i="20"/>
  <c r="D318" i="20"/>
  <c r="A319" i="20"/>
  <c r="B319" i="20"/>
  <c r="C319" i="20"/>
  <c r="D319" i="20"/>
  <c r="A320" i="20"/>
  <c r="B320" i="20"/>
  <c r="C320" i="20"/>
  <c r="D320" i="20"/>
  <c r="A321" i="20"/>
  <c r="B321" i="20"/>
  <c r="C321" i="20"/>
  <c r="D321" i="20"/>
  <c r="A322" i="20"/>
  <c r="B322" i="20"/>
  <c r="C322" i="20"/>
  <c r="D322" i="20"/>
  <c r="A323" i="20"/>
  <c r="B323" i="20"/>
  <c r="C323" i="20"/>
  <c r="D323" i="20"/>
  <c r="A324" i="20"/>
  <c r="B324" i="20"/>
  <c r="C324" i="20"/>
  <c r="D324" i="20"/>
  <c r="A325" i="20"/>
  <c r="B325" i="20"/>
  <c r="C325" i="20"/>
  <c r="D325" i="20"/>
  <c r="A326" i="20"/>
  <c r="B326" i="20"/>
  <c r="C326" i="20"/>
  <c r="D326" i="20"/>
  <c r="A327" i="20"/>
  <c r="B327" i="20"/>
  <c r="C327" i="20"/>
  <c r="D327" i="20"/>
  <c r="A328" i="20"/>
  <c r="B328" i="20"/>
  <c r="C328" i="20"/>
  <c r="D328" i="20"/>
  <c r="A329" i="20"/>
  <c r="B329" i="20"/>
  <c r="C329" i="20"/>
  <c r="D329" i="20"/>
  <c r="A330" i="20"/>
  <c r="B330" i="20"/>
  <c r="C330" i="20"/>
  <c r="D330" i="20"/>
  <c r="A331" i="20"/>
  <c r="B331" i="20"/>
  <c r="C331" i="20"/>
  <c r="D331" i="20"/>
  <c r="A332" i="20"/>
  <c r="B332" i="20"/>
  <c r="C332" i="20"/>
  <c r="D332" i="20"/>
  <c r="A333" i="20"/>
  <c r="B333" i="20"/>
  <c r="C333" i="20"/>
  <c r="D333" i="20"/>
  <c r="A334" i="20"/>
  <c r="B334" i="20"/>
  <c r="C334" i="20"/>
  <c r="D334" i="20"/>
  <c r="A335" i="20"/>
  <c r="B335" i="20"/>
  <c r="C335" i="20"/>
  <c r="D335" i="20"/>
  <c r="A336" i="20"/>
  <c r="B336" i="20"/>
  <c r="C336" i="20"/>
  <c r="D336" i="20"/>
  <c r="A337" i="20"/>
  <c r="B337" i="20"/>
  <c r="C337" i="20"/>
  <c r="D337" i="20"/>
  <c r="A338" i="20"/>
  <c r="B338" i="20"/>
  <c r="C338" i="20"/>
  <c r="D338" i="20"/>
  <c r="A339" i="20"/>
  <c r="B339" i="20"/>
  <c r="C339" i="20"/>
  <c r="D339" i="20"/>
  <c r="A340" i="20"/>
  <c r="B340" i="20"/>
  <c r="C340" i="20"/>
  <c r="D340" i="20"/>
  <c r="A341" i="20"/>
  <c r="B341" i="20"/>
  <c r="C341" i="20"/>
  <c r="D341" i="20"/>
  <c r="A342" i="20"/>
  <c r="B342" i="20"/>
  <c r="C342" i="20"/>
  <c r="D342" i="20"/>
  <c r="A343" i="20"/>
  <c r="B343" i="20"/>
  <c r="C343" i="20"/>
  <c r="D343" i="20"/>
  <c r="A344" i="20"/>
  <c r="B344" i="20"/>
  <c r="C344" i="20"/>
  <c r="D344" i="20"/>
  <c r="A345" i="20"/>
  <c r="B345" i="20"/>
  <c r="C345" i="20"/>
  <c r="D345" i="20"/>
  <c r="A346" i="20"/>
  <c r="B346" i="20"/>
  <c r="C346" i="20"/>
  <c r="D346" i="20"/>
  <c r="A347" i="20"/>
  <c r="B347" i="20"/>
  <c r="C347" i="20"/>
  <c r="D347" i="20"/>
  <c r="A348" i="20"/>
  <c r="B348" i="20"/>
  <c r="C348" i="20"/>
  <c r="D348" i="20"/>
  <c r="A349" i="20"/>
  <c r="B349" i="20"/>
  <c r="C349" i="20"/>
  <c r="D349" i="20"/>
  <c r="A350" i="20"/>
  <c r="B350" i="20"/>
  <c r="C350" i="20"/>
  <c r="D350" i="20"/>
  <c r="A351" i="20"/>
  <c r="B351" i="20"/>
  <c r="C351" i="20"/>
  <c r="D351" i="20"/>
  <c r="A352" i="20"/>
  <c r="B352" i="20"/>
  <c r="C352" i="20"/>
  <c r="D352" i="20"/>
  <c r="A353" i="20"/>
  <c r="B353" i="20"/>
  <c r="C353" i="20"/>
  <c r="D353" i="20"/>
  <c r="A354" i="20"/>
  <c r="B354" i="20"/>
  <c r="C354" i="20"/>
  <c r="D354" i="20"/>
  <c r="A355" i="20"/>
  <c r="B355" i="20"/>
  <c r="C355" i="20"/>
  <c r="D355" i="20"/>
  <c r="A356" i="20"/>
  <c r="B356" i="20"/>
  <c r="C356" i="20"/>
  <c r="D356" i="20"/>
  <c r="A357" i="20"/>
  <c r="B357" i="20"/>
  <c r="C357" i="20"/>
  <c r="D357" i="20"/>
  <c r="A358" i="20"/>
  <c r="B358" i="20"/>
  <c r="C358" i="20"/>
  <c r="D358" i="20"/>
  <c r="A359" i="20"/>
  <c r="B359" i="20"/>
  <c r="C359" i="20"/>
  <c r="D359" i="20"/>
  <c r="A360" i="20"/>
  <c r="B360" i="20"/>
  <c r="C360" i="20"/>
  <c r="D360" i="20"/>
  <c r="A361" i="20"/>
  <c r="B361" i="20"/>
  <c r="C361" i="20"/>
  <c r="D361" i="20"/>
  <c r="A362" i="20"/>
  <c r="B362" i="20"/>
  <c r="C362" i="20"/>
  <c r="D362" i="20"/>
  <c r="A363" i="20"/>
  <c r="B363" i="20"/>
  <c r="C363" i="20"/>
  <c r="D363" i="20"/>
  <c r="A364" i="20"/>
  <c r="B364" i="20"/>
  <c r="C364" i="20"/>
  <c r="D364" i="20"/>
  <c r="A365" i="20"/>
  <c r="B365" i="20"/>
  <c r="C365" i="20"/>
  <c r="D365" i="20"/>
  <c r="A366" i="20"/>
  <c r="B366" i="20"/>
  <c r="C366" i="20"/>
  <c r="D366" i="20"/>
  <c r="A367" i="20"/>
  <c r="B367" i="20"/>
  <c r="C367" i="20"/>
  <c r="D367" i="20"/>
  <c r="A368" i="20"/>
  <c r="B368" i="20"/>
  <c r="C368" i="20"/>
  <c r="D368" i="20"/>
  <c r="A369" i="20"/>
  <c r="B369" i="20"/>
  <c r="C369" i="20"/>
  <c r="D369" i="20"/>
  <c r="A370" i="20"/>
  <c r="B370" i="20"/>
  <c r="C370" i="20"/>
  <c r="D370" i="20"/>
  <c r="A371" i="20"/>
  <c r="B371" i="20"/>
  <c r="C371" i="20"/>
  <c r="D371" i="20"/>
  <c r="A372" i="20"/>
  <c r="B372" i="20"/>
  <c r="C372" i="20"/>
  <c r="D372" i="20"/>
  <c r="A373" i="20"/>
  <c r="B373" i="20"/>
  <c r="C373" i="20"/>
  <c r="D373" i="20"/>
  <c r="A374" i="20"/>
  <c r="B374" i="20"/>
  <c r="C374" i="20"/>
  <c r="D374" i="20"/>
  <c r="A375" i="20"/>
  <c r="B375" i="20"/>
  <c r="C375" i="20"/>
  <c r="D375" i="20"/>
  <c r="A376" i="20"/>
  <c r="B376" i="20"/>
  <c r="C376" i="20"/>
  <c r="D376" i="20"/>
  <c r="A377" i="20"/>
  <c r="B377" i="20"/>
  <c r="C377" i="20"/>
  <c r="D377" i="20"/>
  <c r="A378" i="20"/>
  <c r="B378" i="20"/>
  <c r="C378" i="20"/>
  <c r="D378" i="20"/>
  <c r="A379" i="20"/>
  <c r="B379" i="20"/>
  <c r="C379" i="20"/>
  <c r="D379" i="20"/>
  <c r="A380" i="20"/>
  <c r="B380" i="20"/>
  <c r="C380" i="20"/>
  <c r="D380" i="20"/>
  <c r="A381" i="20"/>
  <c r="B381" i="20"/>
  <c r="C381" i="20"/>
  <c r="D381" i="20"/>
  <c r="A382" i="20"/>
  <c r="B382" i="20"/>
  <c r="C382" i="20"/>
  <c r="D382" i="20"/>
  <c r="A383" i="20"/>
  <c r="B383" i="20"/>
  <c r="C383" i="20"/>
  <c r="D383" i="20"/>
  <c r="A384" i="20"/>
  <c r="B384" i="20"/>
  <c r="C384" i="20"/>
  <c r="D384" i="20"/>
  <c r="A385" i="20"/>
  <c r="B385" i="20"/>
  <c r="C385" i="20"/>
  <c r="D385" i="20"/>
  <c r="A386" i="20"/>
  <c r="B386" i="20"/>
  <c r="C386" i="20"/>
  <c r="D386" i="20"/>
  <c r="A387" i="20"/>
  <c r="B387" i="20"/>
  <c r="C387" i="20"/>
  <c r="D387" i="20"/>
  <c r="A388" i="20"/>
  <c r="B388" i="20"/>
  <c r="C388" i="20"/>
  <c r="D388" i="20"/>
  <c r="A389" i="20"/>
  <c r="B389" i="20"/>
  <c r="C389" i="20"/>
  <c r="D389" i="20"/>
  <c r="A390" i="20"/>
  <c r="B390" i="20"/>
  <c r="C390" i="20"/>
  <c r="D390" i="20"/>
  <c r="A391" i="20"/>
  <c r="B391" i="20"/>
  <c r="C391" i="20"/>
  <c r="D391" i="20"/>
  <c r="A392" i="20"/>
  <c r="B392" i="20"/>
  <c r="C392" i="20"/>
  <c r="D392" i="20"/>
  <c r="A393" i="20"/>
  <c r="B393" i="20"/>
  <c r="C393" i="20"/>
  <c r="D393" i="20"/>
  <c r="A394" i="20"/>
  <c r="B394" i="20"/>
  <c r="C394" i="20"/>
  <c r="D394" i="20"/>
  <c r="A395" i="20"/>
  <c r="B395" i="20"/>
  <c r="C395" i="20"/>
  <c r="D395" i="20"/>
  <c r="A396" i="20"/>
  <c r="B396" i="20"/>
  <c r="C396" i="20"/>
  <c r="D396" i="20"/>
  <c r="A397" i="20"/>
  <c r="B397" i="20"/>
  <c r="C397" i="20"/>
  <c r="D397" i="20"/>
  <c r="A398" i="20"/>
  <c r="B398" i="20"/>
  <c r="C398" i="20"/>
  <c r="D398" i="20"/>
  <c r="A399" i="20"/>
  <c r="B399" i="20"/>
  <c r="C399" i="20"/>
  <c r="D399" i="20"/>
  <c r="A400" i="20"/>
  <c r="B400" i="20"/>
  <c r="C400" i="20"/>
  <c r="D400" i="20"/>
  <c r="A401" i="20"/>
  <c r="B401" i="20"/>
  <c r="C401" i="20"/>
  <c r="D401" i="20"/>
  <c r="A402" i="20"/>
  <c r="B402" i="20"/>
  <c r="C402" i="20"/>
  <c r="D402" i="20"/>
  <c r="A403" i="20"/>
  <c r="B403" i="20"/>
  <c r="C403" i="20"/>
  <c r="D403" i="20"/>
  <c r="A404" i="20"/>
  <c r="B404" i="20"/>
  <c r="C404" i="20"/>
  <c r="D404" i="20"/>
  <c r="A405" i="20"/>
  <c r="B405" i="20"/>
  <c r="C405" i="20"/>
  <c r="D405" i="20"/>
  <c r="A406" i="20"/>
  <c r="B406" i="20"/>
  <c r="C406" i="20"/>
  <c r="D406" i="20"/>
  <c r="A407" i="20"/>
  <c r="B407" i="20"/>
  <c r="C407" i="20"/>
  <c r="D407" i="20"/>
  <c r="A408" i="20"/>
  <c r="B408" i="20"/>
  <c r="C408" i="20"/>
  <c r="D408" i="20"/>
  <c r="A409" i="20"/>
  <c r="B409" i="20"/>
  <c r="C409" i="20"/>
  <c r="D409" i="20"/>
  <c r="A410" i="20"/>
  <c r="B410" i="20"/>
  <c r="C410" i="20"/>
  <c r="D410" i="20"/>
  <c r="A411" i="20"/>
  <c r="B411" i="20"/>
  <c r="C411" i="20"/>
  <c r="D411" i="20"/>
  <c r="A412" i="20"/>
  <c r="B412" i="20"/>
  <c r="C412" i="20"/>
  <c r="D412" i="20"/>
  <c r="A413" i="20"/>
  <c r="B413" i="20"/>
  <c r="C413" i="20"/>
  <c r="D413" i="20"/>
  <c r="A414" i="20"/>
  <c r="B414" i="20"/>
  <c r="C414" i="20"/>
  <c r="D414" i="20"/>
  <c r="A415" i="20"/>
  <c r="B415" i="20"/>
  <c r="C415" i="20"/>
  <c r="D415" i="20"/>
  <c r="A416" i="20"/>
  <c r="B416" i="20"/>
  <c r="C416" i="20"/>
  <c r="D416" i="20"/>
  <c r="A417" i="20"/>
  <c r="B417" i="20"/>
  <c r="C417" i="20"/>
  <c r="D417" i="20"/>
  <c r="A418" i="20"/>
  <c r="B418" i="20"/>
  <c r="C418" i="20"/>
  <c r="D418" i="20"/>
  <c r="A419" i="20"/>
  <c r="B419" i="20"/>
  <c r="C419" i="20"/>
  <c r="D419" i="20"/>
  <c r="A420" i="20"/>
  <c r="B420" i="20"/>
  <c r="C420" i="20"/>
  <c r="D420" i="20"/>
  <c r="A421" i="20"/>
  <c r="B421" i="20"/>
  <c r="C421" i="20"/>
  <c r="D421" i="20"/>
  <c r="A422" i="20"/>
  <c r="B422" i="20"/>
  <c r="C422" i="20"/>
  <c r="D422" i="20"/>
  <c r="A423" i="20"/>
  <c r="B423" i="20"/>
  <c r="C423" i="20"/>
  <c r="D423" i="20"/>
  <c r="A424" i="20"/>
  <c r="B424" i="20"/>
  <c r="C424" i="20"/>
  <c r="D424" i="20"/>
  <c r="A425" i="20"/>
  <c r="B425" i="20"/>
  <c r="C425" i="20"/>
  <c r="D425" i="20"/>
  <c r="A426" i="20"/>
  <c r="B426" i="20"/>
  <c r="C426" i="20"/>
  <c r="D426" i="20"/>
  <c r="A427" i="20"/>
  <c r="B427" i="20"/>
  <c r="C427" i="20"/>
  <c r="D427" i="20"/>
  <c r="A428" i="20"/>
  <c r="B428" i="20"/>
  <c r="C428" i="20"/>
  <c r="D428" i="20"/>
  <c r="A429" i="20"/>
  <c r="B429" i="20"/>
  <c r="C429" i="20"/>
  <c r="D429" i="20"/>
  <c r="A430" i="20"/>
  <c r="B430" i="20"/>
  <c r="C430" i="20"/>
  <c r="D430" i="20"/>
  <c r="A431" i="20"/>
  <c r="B431" i="20"/>
  <c r="C431" i="20"/>
  <c r="D431" i="20"/>
  <c r="A432" i="20"/>
  <c r="B432" i="20"/>
  <c r="C432" i="20"/>
  <c r="D432" i="20"/>
  <c r="A433" i="20"/>
  <c r="B433" i="20"/>
  <c r="C433" i="20"/>
  <c r="D433" i="20"/>
  <c r="A434" i="20"/>
  <c r="B434" i="20"/>
  <c r="C434" i="20"/>
  <c r="D434" i="20"/>
  <c r="A435" i="20"/>
  <c r="B435" i="20"/>
  <c r="C435" i="20"/>
  <c r="D435" i="20"/>
  <c r="A436" i="20"/>
  <c r="B436" i="20"/>
  <c r="C436" i="20"/>
  <c r="D436" i="20"/>
  <c r="A437" i="20"/>
  <c r="B437" i="20"/>
  <c r="C437" i="20"/>
  <c r="D437" i="20"/>
  <c r="A438" i="20"/>
  <c r="B438" i="20"/>
  <c r="C438" i="20"/>
  <c r="D438" i="20"/>
  <c r="A439" i="20"/>
  <c r="B439" i="20"/>
  <c r="C439" i="20"/>
  <c r="D439" i="20"/>
  <c r="A440" i="20"/>
  <c r="B440" i="20"/>
  <c r="C440" i="20"/>
  <c r="D440" i="20"/>
  <c r="A441" i="20"/>
  <c r="B441" i="20"/>
  <c r="C441" i="20"/>
  <c r="D441" i="20"/>
  <c r="A442" i="20"/>
  <c r="B442" i="20"/>
  <c r="C442" i="20"/>
  <c r="D442" i="20"/>
  <c r="A443" i="20"/>
  <c r="B443" i="20"/>
  <c r="C443" i="20"/>
  <c r="D443" i="20"/>
  <c r="A444" i="20"/>
  <c r="B444" i="20"/>
  <c r="C444" i="20"/>
  <c r="D444" i="20"/>
  <c r="A445" i="20"/>
  <c r="B445" i="20"/>
  <c r="C445" i="20"/>
  <c r="D445" i="20"/>
  <c r="A446" i="20"/>
  <c r="B446" i="20"/>
  <c r="C446" i="20"/>
  <c r="D446" i="20"/>
  <c r="A447" i="20"/>
  <c r="B447" i="20"/>
  <c r="C447" i="20"/>
  <c r="D447" i="20"/>
  <c r="A448" i="20"/>
  <c r="B448" i="20"/>
  <c r="C448" i="20"/>
  <c r="D448" i="20"/>
  <c r="A449" i="20"/>
  <c r="B449" i="20"/>
  <c r="C449" i="20"/>
  <c r="D449" i="20"/>
  <c r="A450" i="20"/>
  <c r="B450" i="20"/>
  <c r="C450" i="20"/>
  <c r="D450" i="20"/>
  <c r="A451" i="20"/>
  <c r="B451" i="20"/>
  <c r="C451" i="20"/>
  <c r="D451" i="20"/>
  <c r="A452" i="20"/>
  <c r="B452" i="20"/>
  <c r="C452" i="20"/>
  <c r="D452" i="20"/>
  <c r="A453" i="20"/>
  <c r="B453" i="20"/>
  <c r="C453" i="20"/>
  <c r="D453" i="20"/>
  <c r="A454" i="20"/>
  <c r="B454" i="20"/>
  <c r="C454" i="20"/>
  <c r="D454" i="20"/>
  <c r="A455" i="20"/>
  <c r="B455" i="20"/>
  <c r="C455" i="20"/>
  <c r="D455" i="20"/>
  <c r="A456" i="20"/>
  <c r="B456" i="20"/>
  <c r="C456" i="20"/>
  <c r="D456" i="20"/>
  <c r="A457" i="20"/>
  <c r="B457" i="20"/>
  <c r="C457" i="20"/>
  <c r="D457" i="20"/>
  <c r="A458" i="20"/>
  <c r="B458" i="20"/>
  <c r="C458" i="20"/>
  <c r="D458" i="20"/>
  <c r="A459" i="20"/>
  <c r="B459" i="20"/>
  <c r="C459" i="20"/>
  <c r="D459" i="20"/>
  <c r="A460" i="20"/>
  <c r="B460" i="20"/>
  <c r="C460" i="20"/>
  <c r="D460" i="20"/>
  <c r="A461" i="20"/>
  <c r="B461" i="20"/>
  <c r="C461" i="20"/>
  <c r="D461" i="20"/>
  <c r="A462" i="20"/>
  <c r="B462" i="20"/>
  <c r="C462" i="20"/>
  <c r="D462" i="20"/>
  <c r="A463" i="20"/>
  <c r="B463" i="20"/>
  <c r="C463" i="20"/>
  <c r="D463" i="20"/>
  <c r="A464" i="20"/>
  <c r="B464" i="20"/>
  <c r="C464" i="20"/>
  <c r="D464" i="20"/>
  <c r="A465" i="20"/>
  <c r="B465" i="20"/>
  <c r="C465" i="20"/>
  <c r="D465" i="20"/>
  <c r="A466" i="20"/>
  <c r="B466" i="20"/>
  <c r="C466" i="20"/>
  <c r="D466" i="20"/>
  <c r="A467" i="20"/>
  <c r="B467" i="20"/>
  <c r="C467" i="20"/>
  <c r="D467" i="20"/>
  <c r="A468" i="20"/>
  <c r="B468" i="20"/>
  <c r="C468" i="20"/>
  <c r="D468" i="20"/>
  <c r="A469" i="20"/>
  <c r="B469" i="20"/>
  <c r="C469" i="20"/>
  <c r="D469" i="20"/>
  <c r="A470" i="20"/>
  <c r="B470" i="20"/>
  <c r="C470" i="20"/>
  <c r="D470" i="20"/>
  <c r="A471" i="20"/>
  <c r="B471" i="20"/>
  <c r="C471" i="20"/>
  <c r="D471" i="20"/>
  <c r="A472" i="20"/>
  <c r="B472" i="20"/>
  <c r="C472" i="20"/>
  <c r="D472" i="20"/>
  <c r="A473" i="20"/>
  <c r="B473" i="20"/>
  <c r="C473" i="20"/>
  <c r="D473" i="20"/>
  <c r="A474" i="20"/>
  <c r="B474" i="20"/>
  <c r="C474" i="20"/>
  <c r="D474" i="20"/>
  <c r="A475" i="20"/>
  <c r="B475" i="20"/>
  <c r="C475" i="20"/>
  <c r="D475" i="20"/>
  <c r="A476" i="20"/>
  <c r="B476" i="20"/>
  <c r="C476" i="20"/>
  <c r="D476" i="20"/>
  <c r="A477" i="20"/>
  <c r="B477" i="20"/>
  <c r="C477" i="20"/>
  <c r="D477" i="20"/>
  <c r="A478" i="20"/>
  <c r="B478" i="20"/>
  <c r="C478" i="20"/>
  <c r="D478" i="20"/>
  <c r="A479" i="20"/>
  <c r="B479" i="20"/>
  <c r="C479" i="20"/>
  <c r="D479" i="20"/>
  <c r="A480" i="20"/>
  <c r="B480" i="20"/>
  <c r="C480" i="20"/>
  <c r="D480" i="20"/>
  <c r="A481" i="20"/>
  <c r="B481" i="20"/>
  <c r="C481" i="20"/>
  <c r="D481" i="20"/>
  <c r="A482" i="20"/>
  <c r="B482" i="20"/>
  <c r="C482" i="20"/>
  <c r="D482" i="20"/>
  <c r="A483" i="20"/>
  <c r="B483" i="20"/>
  <c r="C483" i="20"/>
  <c r="D483" i="20"/>
  <c r="A484" i="20"/>
  <c r="B484" i="20"/>
  <c r="C484" i="20"/>
  <c r="D484" i="20"/>
  <c r="A485" i="20"/>
  <c r="B485" i="20"/>
  <c r="C485" i="20"/>
  <c r="D485" i="20"/>
  <c r="A486" i="20"/>
  <c r="B486" i="20"/>
  <c r="C486" i="20"/>
  <c r="D486" i="20"/>
  <c r="A487" i="20"/>
  <c r="B487" i="20"/>
  <c r="C487" i="20"/>
  <c r="D487" i="20"/>
  <c r="A488" i="20"/>
  <c r="B488" i="20"/>
  <c r="C488" i="20"/>
  <c r="D488" i="20"/>
  <c r="A489" i="20"/>
  <c r="B489" i="20"/>
  <c r="C489" i="20"/>
  <c r="D489" i="20"/>
  <c r="A490" i="20"/>
  <c r="B490" i="20"/>
  <c r="C490" i="20"/>
  <c r="D490" i="20"/>
  <c r="A491" i="20"/>
  <c r="B491" i="20"/>
  <c r="C491" i="20"/>
  <c r="D491" i="20"/>
  <c r="A492" i="20"/>
  <c r="B492" i="20"/>
  <c r="C492" i="20"/>
  <c r="D492" i="20"/>
  <c r="A493" i="20"/>
  <c r="B493" i="20"/>
  <c r="C493" i="20"/>
  <c r="D493" i="20"/>
  <c r="A494" i="20"/>
  <c r="B494" i="20"/>
  <c r="C494" i="20"/>
  <c r="D494" i="20"/>
  <c r="A495" i="20"/>
  <c r="B495" i="20"/>
  <c r="C495" i="20"/>
  <c r="D495" i="20"/>
  <c r="A496" i="20"/>
  <c r="B496" i="20"/>
  <c r="C496" i="20"/>
  <c r="D496" i="20"/>
  <c r="A497" i="20"/>
  <c r="B497" i="20"/>
  <c r="C497" i="20"/>
  <c r="D497" i="20"/>
  <c r="A498" i="20"/>
  <c r="B498" i="20"/>
  <c r="C498" i="20"/>
  <c r="D498" i="20"/>
  <c r="A499" i="20"/>
  <c r="B499" i="20"/>
  <c r="C499" i="20"/>
  <c r="D499" i="20"/>
  <c r="A500" i="20"/>
  <c r="B500" i="20"/>
  <c r="C500" i="20"/>
  <c r="D500" i="20"/>
  <c r="A501" i="20"/>
  <c r="B501" i="20"/>
  <c r="C501" i="20"/>
  <c r="D501" i="20"/>
  <c r="A502" i="20"/>
  <c r="B502" i="20"/>
  <c r="C502" i="20"/>
  <c r="D502" i="20"/>
  <c r="A503" i="20"/>
  <c r="B503" i="20"/>
  <c r="C503" i="20"/>
  <c r="D503" i="20"/>
  <c r="A504" i="20"/>
  <c r="B504" i="20"/>
  <c r="C504" i="20"/>
  <c r="D504" i="20"/>
  <c r="A505" i="20"/>
  <c r="B505" i="20"/>
  <c r="C505" i="20"/>
  <c r="D505" i="20"/>
  <c r="A506" i="20"/>
  <c r="B506" i="20"/>
  <c r="C506" i="20"/>
  <c r="D506" i="20"/>
  <c r="A507" i="20"/>
  <c r="B507" i="20"/>
  <c r="C507" i="20"/>
  <c r="D507" i="20"/>
  <c r="A508" i="20"/>
  <c r="B508" i="20"/>
  <c r="C508" i="20"/>
  <c r="D508" i="20"/>
  <c r="A509" i="20"/>
  <c r="B509" i="20"/>
  <c r="C509" i="20"/>
  <c r="D509" i="20"/>
  <c r="A510" i="20"/>
  <c r="B510" i="20"/>
  <c r="C510" i="20"/>
  <c r="D510" i="20"/>
  <c r="A511" i="20"/>
  <c r="B511" i="20"/>
  <c r="C511" i="20"/>
  <c r="D511" i="20"/>
  <c r="A512" i="20"/>
  <c r="B512" i="20"/>
  <c r="C512" i="20"/>
  <c r="D512" i="20"/>
  <c r="A513" i="20"/>
  <c r="B513" i="20"/>
  <c r="C513" i="20"/>
  <c r="D513" i="20"/>
  <c r="A514" i="20"/>
  <c r="B514" i="20"/>
  <c r="C514" i="20"/>
  <c r="D514" i="20"/>
  <c r="A515" i="20"/>
  <c r="B515" i="20"/>
  <c r="C515" i="20"/>
  <c r="D515" i="20"/>
  <c r="A516" i="20"/>
  <c r="B516" i="20"/>
  <c r="C516" i="20"/>
  <c r="D516" i="20"/>
  <c r="A517" i="20"/>
  <c r="B517" i="20"/>
  <c r="C517" i="20"/>
  <c r="D517" i="20"/>
  <c r="A518" i="20"/>
  <c r="B518" i="20"/>
  <c r="C518" i="20"/>
  <c r="D518" i="20"/>
  <c r="A519" i="20"/>
  <c r="B519" i="20"/>
  <c r="C519" i="20"/>
  <c r="D519" i="20"/>
  <c r="A520" i="20"/>
  <c r="B520" i="20"/>
  <c r="C520" i="20"/>
  <c r="D520" i="20"/>
  <c r="A521" i="20"/>
  <c r="B521" i="20"/>
  <c r="C521" i="20"/>
  <c r="D521" i="20"/>
  <c r="A522" i="20"/>
  <c r="B522" i="20"/>
  <c r="C522" i="20"/>
  <c r="D522" i="20"/>
  <c r="A523" i="20"/>
  <c r="B523" i="20"/>
  <c r="C523" i="20"/>
  <c r="D523" i="20"/>
  <c r="A524" i="20"/>
  <c r="B524" i="20"/>
  <c r="C524" i="20"/>
  <c r="D524" i="20"/>
  <c r="A525" i="20"/>
  <c r="B525" i="20"/>
  <c r="C525" i="20"/>
  <c r="D525" i="20"/>
  <c r="A526" i="20"/>
  <c r="B526" i="20"/>
  <c r="C526" i="20"/>
  <c r="D526" i="20"/>
  <c r="A527" i="20"/>
  <c r="B527" i="20"/>
  <c r="C527" i="20"/>
  <c r="D527" i="20"/>
  <c r="A528" i="20"/>
  <c r="B528" i="20"/>
  <c r="C528" i="20"/>
  <c r="D528" i="20"/>
  <c r="A529" i="20"/>
  <c r="B529" i="20"/>
  <c r="C529" i="20"/>
  <c r="D529" i="20"/>
  <c r="A530" i="20"/>
  <c r="B530" i="20"/>
  <c r="C530" i="20"/>
  <c r="D530" i="20"/>
  <c r="A531" i="20"/>
  <c r="B531" i="20"/>
  <c r="C531" i="20"/>
  <c r="D531" i="20"/>
  <c r="A532" i="20"/>
  <c r="B532" i="20"/>
  <c r="C532" i="20"/>
  <c r="D532" i="20"/>
  <c r="A533" i="20"/>
  <c r="B533" i="20"/>
  <c r="C533" i="20"/>
  <c r="D533" i="20"/>
  <c r="A534" i="20"/>
  <c r="B534" i="20"/>
  <c r="C534" i="20"/>
  <c r="D534" i="20"/>
  <c r="A535" i="20"/>
  <c r="B535" i="20"/>
  <c r="C535" i="20"/>
  <c r="D535" i="20"/>
  <c r="A536" i="20"/>
  <c r="B536" i="20"/>
  <c r="C536" i="20"/>
  <c r="D536" i="20"/>
  <c r="A537" i="20"/>
  <c r="B537" i="20"/>
  <c r="C537" i="20"/>
  <c r="D537" i="20"/>
  <c r="A538" i="20"/>
  <c r="B538" i="20"/>
  <c r="C538" i="20"/>
  <c r="D538" i="20"/>
  <c r="A539" i="20"/>
  <c r="B539" i="20"/>
  <c r="C539" i="20"/>
  <c r="D539" i="20"/>
  <c r="A540" i="20"/>
  <c r="B540" i="20"/>
  <c r="C540" i="20"/>
  <c r="D540" i="20"/>
  <c r="A541" i="20"/>
  <c r="B541" i="20"/>
  <c r="C541" i="20"/>
  <c r="D541" i="20"/>
  <c r="A542" i="20"/>
  <c r="B542" i="20"/>
  <c r="C542" i="20"/>
  <c r="D542" i="20"/>
  <c r="A543" i="20"/>
  <c r="B543" i="20"/>
  <c r="C543" i="20"/>
  <c r="D543" i="20"/>
  <c r="A544" i="20"/>
  <c r="B544" i="20"/>
  <c r="C544" i="20"/>
  <c r="D544" i="20"/>
  <c r="A545" i="20"/>
  <c r="B545" i="20"/>
  <c r="C545" i="20"/>
  <c r="D545" i="20"/>
  <c r="A546" i="20"/>
  <c r="B546" i="20"/>
  <c r="C546" i="20"/>
  <c r="D546" i="20"/>
  <c r="A547" i="20"/>
  <c r="B547" i="20"/>
  <c r="C547" i="20"/>
  <c r="D547" i="20"/>
  <c r="A548" i="20"/>
  <c r="B548" i="20"/>
  <c r="C548" i="20"/>
  <c r="D548" i="20"/>
  <c r="A549" i="20"/>
  <c r="B549" i="20"/>
  <c r="C549" i="20"/>
  <c r="D549" i="20"/>
  <c r="A550" i="20"/>
  <c r="B550" i="20"/>
  <c r="C550" i="20"/>
  <c r="D550" i="20"/>
  <c r="A551" i="20"/>
  <c r="B551" i="20"/>
  <c r="C551" i="20"/>
  <c r="D551" i="20"/>
  <c r="A552" i="20"/>
  <c r="B552" i="20"/>
  <c r="C552" i="20"/>
  <c r="D552" i="20"/>
  <c r="A553" i="20"/>
  <c r="B553" i="20"/>
  <c r="C553" i="20"/>
  <c r="D553" i="20"/>
  <c r="A554" i="20"/>
  <c r="B554" i="20"/>
  <c r="C554" i="20"/>
  <c r="D554" i="20"/>
  <c r="A555" i="20"/>
  <c r="B555" i="20"/>
  <c r="C555" i="20"/>
  <c r="D555" i="20"/>
  <c r="A556" i="20"/>
  <c r="B556" i="20"/>
  <c r="C556" i="20"/>
  <c r="D556" i="20"/>
  <c r="A557" i="20"/>
  <c r="B557" i="20"/>
  <c r="C557" i="20"/>
  <c r="D557" i="20"/>
  <c r="A558" i="20"/>
  <c r="B558" i="20"/>
  <c r="C558" i="20"/>
  <c r="D558" i="20"/>
  <c r="A559" i="20"/>
  <c r="B559" i="20"/>
  <c r="C559" i="20"/>
  <c r="D559" i="20"/>
  <c r="A560" i="20"/>
  <c r="B560" i="20"/>
  <c r="C560" i="20"/>
  <c r="D560" i="20"/>
  <c r="A561" i="20"/>
  <c r="B561" i="20"/>
  <c r="C561" i="20"/>
  <c r="D561" i="20"/>
  <c r="A562" i="20"/>
  <c r="B562" i="20"/>
  <c r="C562" i="20"/>
  <c r="D562" i="20"/>
  <c r="A563" i="20"/>
  <c r="B563" i="20"/>
  <c r="C563" i="20"/>
  <c r="D563" i="20"/>
  <c r="A564" i="20"/>
  <c r="B564" i="20"/>
  <c r="C564" i="20"/>
  <c r="D564" i="20"/>
  <c r="A565" i="20"/>
  <c r="B565" i="20"/>
  <c r="C565" i="20"/>
  <c r="D565" i="20"/>
  <c r="A566" i="20"/>
  <c r="B566" i="20"/>
  <c r="C566" i="20"/>
  <c r="D566" i="20"/>
  <c r="A567" i="20"/>
  <c r="B567" i="20"/>
  <c r="C567" i="20"/>
  <c r="D567" i="20"/>
  <c r="A568" i="20"/>
  <c r="B568" i="20"/>
  <c r="C568" i="20"/>
  <c r="D568" i="20"/>
  <c r="A569" i="20"/>
  <c r="B569" i="20"/>
  <c r="C569" i="20"/>
  <c r="D569" i="20"/>
  <c r="A570" i="20"/>
  <c r="B570" i="20"/>
  <c r="C570" i="20"/>
  <c r="D570" i="20"/>
  <c r="A571" i="20"/>
  <c r="B571" i="20"/>
  <c r="C571" i="20"/>
  <c r="D571" i="20"/>
  <c r="A572" i="20"/>
  <c r="B572" i="20"/>
  <c r="C572" i="20"/>
  <c r="D572" i="20"/>
  <c r="A573" i="20"/>
  <c r="B573" i="20"/>
  <c r="C573" i="20"/>
  <c r="D573" i="20"/>
  <c r="A574" i="20"/>
  <c r="B574" i="20"/>
  <c r="C574" i="20"/>
  <c r="D574" i="20"/>
  <c r="A575" i="20"/>
  <c r="B575" i="20"/>
  <c r="C575" i="20"/>
  <c r="D575" i="20"/>
  <c r="A576" i="20"/>
  <c r="B576" i="20"/>
  <c r="C576" i="20"/>
  <c r="D576" i="20"/>
  <c r="A577" i="20"/>
  <c r="B577" i="20"/>
  <c r="C577" i="20"/>
  <c r="D577" i="20"/>
  <c r="A578" i="20"/>
  <c r="B578" i="20"/>
  <c r="C578" i="20"/>
  <c r="D578" i="20"/>
  <c r="A579" i="20"/>
  <c r="B579" i="20"/>
  <c r="C579" i="20"/>
  <c r="D579" i="20"/>
  <c r="A580" i="20"/>
  <c r="B580" i="20"/>
  <c r="C580" i="20"/>
  <c r="D580" i="20"/>
  <c r="A581" i="20"/>
  <c r="B581" i="20"/>
  <c r="C581" i="20"/>
  <c r="D581" i="20"/>
  <c r="A582" i="20"/>
  <c r="B582" i="20"/>
  <c r="C582" i="20"/>
  <c r="D582" i="20"/>
  <c r="A583" i="20"/>
  <c r="B583" i="20"/>
  <c r="C583" i="20"/>
  <c r="D583" i="20"/>
  <c r="A584" i="20"/>
  <c r="B584" i="20"/>
  <c r="C584" i="20"/>
  <c r="D584" i="20"/>
  <c r="A585" i="20"/>
  <c r="B585" i="20"/>
  <c r="C585" i="20"/>
  <c r="D585" i="20"/>
  <c r="A586" i="20"/>
  <c r="B586" i="20"/>
  <c r="C586" i="20"/>
  <c r="D586" i="20"/>
  <c r="A587" i="20"/>
  <c r="B587" i="20"/>
  <c r="C587" i="20"/>
  <c r="D587" i="20"/>
  <c r="A588" i="20"/>
  <c r="B588" i="20"/>
  <c r="C588" i="20"/>
  <c r="D588" i="20"/>
  <c r="A589" i="20"/>
  <c r="B589" i="20"/>
  <c r="C589" i="20"/>
  <c r="D589" i="20"/>
  <c r="A590" i="20"/>
  <c r="B590" i="20"/>
  <c r="C590" i="20"/>
  <c r="D590" i="20"/>
  <c r="A591" i="20"/>
  <c r="B591" i="20"/>
  <c r="C591" i="20"/>
  <c r="D591" i="20"/>
  <c r="A592" i="20"/>
  <c r="B592" i="20"/>
  <c r="C592" i="20"/>
  <c r="D592" i="20"/>
  <c r="A593" i="20"/>
  <c r="B593" i="20"/>
  <c r="C593" i="20"/>
  <c r="D593" i="20"/>
  <c r="A594" i="20"/>
  <c r="B594" i="20"/>
  <c r="C594" i="20"/>
  <c r="D594" i="20"/>
  <c r="A595" i="20"/>
  <c r="B595" i="20"/>
  <c r="C595" i="20"/>
  <c r="D595" i="20"/>
  <c r="A596" i="20"/>
  <c r="B596" i="20"/>
  <c r="C596" i="20"/>
  <c r="D596" i="20"/>
  <c r="A597" i="20"/>
  <c r="B597" i="20"/>
  <c r="C597" i="20"/>
  <c r="D597" i="20"/>
  <c r="A598" i="20"/>
  <c r="B598" i="20"/>
  <c r="C598" i="20"/>
  <c r="D598" i="20"/>
  <c r="A599" i="20"/>
  <c r="B599" i="20"/>
  <c r="C599" i="20"/>
  <c r="D599" i="20"/>
  <c r="A600" i="20"/>
  <c r="B600" i="20"/>
  <c r="C600" i="20"/>
  <c r="D600" i="20"/>
  <c r="A601" i="20"/>
  <c r="B601" i="20"/>
  <c r="C601" i="20"/>
  <c r="D601" i="20"/>
  <c r="A602" i="20"/>
  <c r="B602" i="20"/>
  <c r="C602" i="20"/>
  <c r="D602" i="20"/>
  <c r="A603" i="20"/>
  <c r="B603" i="20"/>
  <c r="C603" i="20"/>
  <c r="D603" i="20"/>
  <c r="A604" i="20"/>
  <c r="B604" i="20"/>
  <c r="C604" i="20"/>
  <c r="D604" i="20"/>
  <c r="A605" i="20"/>
  <c r="B605" i="20"/>
  <c r="C605" i="20"/>
  <c r="D605" i="20"/>
  <c r="A606" i="20"/>
  <c r="B606" i="20"/>
  <c r="C606" i="20"/>
  <c r="D606" i="20"/>
  <c r="A607" i="20"/>
  <c r="B607" i="20"/>
  <c r="C607" i="20"/>
  <c r="D607" i="20"/>
  <c r="A608" i="20"/>
  <c r="B608" i="20"/>
  <c r="C608" i="20"/>
  <c r="D608" i="20"/>
  <c r="A609" i="20"/>
  <c r="B609" i="20"/>
  <c r="C609" i="20"/>
  <c r="D609" i="20"/>
  <c r="A610" i="20"/>
  <c r="B610" i="20"/>
  <c r="C610" i="20"/>
  <c r="D610" i="20"/>
  <c r="A611" i="20"/>
  <c r="B611" i="20"/>
  <c r="C611" i="20"/>
  <c r="D611" i="20"/>
  <c r="A612" i="20"/>
  <c r="B612" i="20"/>
  <c r="C612" i="20"/>
  <c r="D612" i="20"/>
  <c r="A613" i="20"/>
  <c r="B613" i="20"/>
  <c r="C613" i="20"/>
  <c r="D613" i="20"/>
  <c r="A614" i="20"/>
  <c r="B614" i="20"/>
  <c r="C614" i="20"/>
  <c r="D614" i="20"/>
  <c r="A615" i="20"/>
  <c r="B615" i="20"/>
  <c r="C615" i="20"/>
  <c r="D615" i="20"/>
  <c r="A616" i="20"/>
  <c r="B616" i="20"/>
  <c r="C616" i="20"/>
  <c r="D616" i="20"/>
  <c r="A617" i="20"/>
  <c r="B617" i="20"/>
  <c r="C617" i="20"/>
  <c r="D617" i="20"/>
  <c r="A618" i="20"/>
  <c r="B618" i="20"/>
  <c r="C618" i="20"/>
  <c r="D618" i="20"/>
  <c r="A619" i="20"/>
  <c r="B619" i="20"/>
  <c r="C619" i="20"/>
  <c r="D619" i="20"/>
  <c r="A620" i="20"/>
  <c r="B620" i="20"/>
  <c r="C620" i="20"/>
  <c r="D620" i="20"/>
  <c r="A621" i="20"/>
  <c r="B621" i="20"/>
  <c r="C621" i="20"/>
  <c r="D621" i="20"/>
  <c r="A622" i="20"/>
  <c r="B622" i="20"/>
  <c r="C622" i="20"/>
  <c r="D622" i="20"/>
  <c r="A623" i="20"/>
  <c r="B623" i="20"/>
  <c r="C623" i="20"/>
  <c r="D623" i="20"/>
  <c r="A624" i="20"/>
  <c r="B624" i="20"/>
  <c r="C624" i="20"/>
  <c r="D624" i="20"/>
  <c r="A625" i="20"/>
  <c r="B625" i="20"/>
  <c r="C625" i="20"/>
  <c r="D625" i="20"/>
  <c r="A626" i="20"/>
  <c r="B626" i="20"/>
  <c r="C626" i="20"/>
  <c r="D626" i="20"/>
  <c r="A627" i="20"/>
  <c r="B627" i="20"/>
  <c r="C627" i="20"/>
  <c r="D627" i="20"/>
  <c r="A628" i="20"/>
  <c r="B628" i="20"/>
  <c r="C628" i="20"/>
  <c r="D628" i="20"/>
  <c r="A629" i="20"/>
  <c r="B629" i="20"/>
  <c r="C629" i="20"/>
  <c r="D629" i="20"/>
  <c r="A630" i="20"/>
  <c r="B630" i="20"/>
  <c r="C630" i="20"/>
  <c r="D630" i="20"/>
  <c r="A631" i="20"/>
  <c r="B631" i="20"/>
  <c r="C631" i="20"/>
  <c r="D631" i="20"/>
  <c r="A632" i="20"/>
  <c r="B632" i="20"/>
  <c r="C632" i="20"/>
  <c r="D632" i="20"/>
  <c r="A633" i="20"/>
  <c r="B633" i="20"/>
  <c r="C633" i="20"/>
  <c r="D633" i="20"/>
  <c r="A634" i="20"/>
  <c r="B634" i="20"/>
  <c r="C634" i="20"/>
  <c r="D634" i="20"/>
  <c r="A635" i="20"/>
  <c r="B635" i="20"/>
  <c r="C635" i="20"/>
  <c r="D635" i="20"/>
  <c r="A636" i="20"/>
  <c r="B636" i="20"/>
  <c r="C636" i="20"/>
  <c r="D636" i="20"/>
  <c r="A637" i="20"/>
  <c r="B637" i="20"/>
  <c r="C637" i="20"/>
  <c r="D637" i="20"/>
  <c r="A638" i="20"/>
  <c r="B638" i="20"/>
  <c r="C638" i="20"/>
  <c r="D638" i="20"/>
  <c r="A639" i="20"/>
  <c r="B639" i="20"/>
  <c r="C639" i="20"/>
  <c r="D639" i="20"/>
  <c r="A640" i="20"/>
  <c r="B640" i="20"/>
  <c r="C640" i="20"/>
  <c r="D640" i="20"/>
  <c r="A641" i="20"/>
  <c r="B641" i="20"/>
  <c r="C641" i="20"/>
  <c r="D641" i="20"/>
  <c r="A642" i="20"/>
  <c r="B642" i="20"/>
  <c r="C642" i="20"/>
  <c r="D642" i="20"/>
  <c r="A643" i="20"/>
  <c r="B643" i="20"/>
  <c r="C643" i="20"/>
  <c r="D643" i="20"/>
  <c r="A644" i="20"/>
  <c r="B644" i="20"/>
  <c r="C644" i="20"/>
  <c r="D644" i="20"/>
  <c r="A645" i="20"/>
  <c r="B645" i="20"/>
  <c r="C645" i="20"/>
  <c r="D645" i="20"/>
  <c r="A646" i="20"/>
  <c r="B646" i="20"/>
  <c r="C646" i="20"/>
  <c r="D646" i="20"/>
  <c r="A647" i="20"/>
  <c r="B647" i="20"/>
  <c r="C647" i="20"/>
  <c r="D647" i="20"/>
  <c r="A648" i="20"/>
  <c r="B648" i="20"/>
  <c r="C648" i="20"/>
  <c r="D648" i="20"/>
  <c r="A649" i="20"/>
  <c r="B649" i="20"/>
  <c r="C649" i="20"/>
  <c r="D649" i="20"/>
  <c r="A650" i="20"/>
  <c r="B650" i="20"/>
  <c r="C650" i="20"/>
  <c r="D650" i="20"/>
  <c r="A651" i="20"/>
  <c r="B651" i="20"/>
  <c r="C651" i="20"/>
  <c r="D651" i="20"/>
  <c r="A652" i="20"/>
  <c r="B652" i="20"/>
  <c r="C652" i="20"/>
  <c r="D652" i="20"/>
  <c r="A653" i="20"/>
  <c r="B653" i="20"/>
  <c r="C653" i="20"/>
  <c r="D653" i="20"/>
  <c r="A654" i="20"/>
  <c r="B654" i="20"/>
  <c r="C654" i="20"/>
  <c r="D654" i="20"/>
  <c r="A655" i="20"/>
  <c r="B655" i="20"/>
  <c r="C655" i="20"/>
  <c r="D655" i="20"/>
  <c r="A656" i="20"/>
  <c r="B656" i="20"/>
  <c r="C656" i="20"/>
  <c r="D656" i="20"/>
  <c r="A657" i="20"/>
  <c r="B657" i="20"/>
  <c r="C657" i="20"/>
  <c r="D657" i="20"/>
  <c r="A658" i="20"/>
  <c r="B658" i="20"/>
  <c r="C658" i="20"/>
  <c r="D658" i="20"/>
  <c r="A659" i="20"/>
  <c r="B659" i="20"/>
  <c r="C659" i="20"/>
  <c r="D659" i="20"/>
  <c r="A660" i="20"/>
  <c r="B660" i="20"/>
  <c r="C660" i="20"/>
  <c r="D660" i="20"/>
  <c r="A661" i="20"/>
  <c r="B661" i="20"/>
  <c r="C661" i="20"/>
  <c r="D661" i="20"/>
  <c r="A662" i="20"/>
  <c r="B662" i="20"/>
  <c r="C662" i="20"/>
  <c r="D662" i="20"/>
  <c r="A663" i="20"/>
  <c r="B663" i="20"/>
  <c r="C663" i="20"/>
  <c r="D663" i="20"/>
  <c r="A664" i="20"/>
  <c r="B664" i="20"/>
  <c r="C664" i="20"/>
  <c r="D664" i="20"/>
  <c r="A665" i="20"/>
  <c r="B665" i="20"/>
  <c r="C665" i="20"/>
  <c r="D665" i="20"/>
  <c r="A666" i="20"/>
  <c r="B666" i="20"/>
  <c r="C666" i="20"/>
  <c r="D666" i="20"/>
  <c r="A667" i="20"/>
  <c r="B667" i="20"/>
  <c r="C667" i="20"/>
  <c r="D667" i="20"/>
  <c r="A668" i="20"/>
  <c r="B668" i="20"/>
  <c r="C668" i="20"/>
  <c r="D668" i="20"/>
  <c r="A669" i="20"/>
  <c r="B669" i="20"/>
  <c r="C669" i="20"/>
  <c r="D669" i="20"/>
  <c r="A670" i="20"/>
  <c r="B670" i="20"/>
  <c r="C670" i="20"/>
  <c r="D670" i="20"/>
  <c r="A671" i="20"/>
  <c r="B671" i="20"/>
  <c r="C671" i="20"/>
  <c r="D671" i="20"/>
  <c r="A672" i="20"/>
  <c r="B672" i="20"/>
  <c r="C672" i="20"/>
  <c r="D672" i="20"/>
  <c r="A673" i="20"/>
  <c r="B673" i="20"/>
  <c r="C673" i="20"/>
  <c r="D673" i="20"/>
  <c r="A674" i="20"/>
  <c r="B674" i="20"/>
  <c r="C674" i="20"/>
  <c r="D674" i="20"/>
  <c r="A675" i="20"/>
  <c r="B675" i="20"/>
  <c r="C675" i="20"/>
  <c r="D675" i="20"/>
  <c r="A676" i="20"/>
  <c r="B676" i="20"/>
  <c r="C676" i="20"/>
  <c r="D676" i="20"/>
  <c r="A677" i="20"/>
  <c r="B677" i="20"/>
  <c r="C677" i="20"/>
  <c r="D677" i="20"/>
  <c r="A678" i="20"/>
  <c r="B678" i="20"/>
  <c r="C678" i="20"/>
  <c r="D678" i="20"/>
  <c r="A679" i="20"/>
  <c r="B679" i="20"/>
  <c r="C679" i="20"/>
  <c r="D679" i="20"/>
  <c r="A680" i="20"/>
  <c r="B680" i="20"/>
  <c r="C680" i="20"/>
  <c r="D680" i="20"/>
  <c r="A681" i="20"/>
  <c r="B681" i="20"/>
  <c r="C681" i="20"/>
  <c r="D681" i="20"/>
  <c r="A682" i="20"/>
  <c r="B682" i="20"/>
  <c r="C682" i="20"/>
  <c r="D682" i="20"/>
  <c r="A683" i="20"/>
  <c r="B683" i="20"/>
  <c r="C683" i="20"/>
  <c r="D683" i="20"/>
  <c r="A684" i="20"/>
  <c r="B684" i="20"/>
  <c r="C684" i="20"/>
  <c r="D684" i="20"/>
  <c r="A685" i="20"/>
  <c r="B685" i="20"/>
  <c r="C685" i="20"/>
  <c r="D685" i="20"/>
  <c r="A686" i="20"/>
  <c r="B686" i="20"/>
  <c r="C686" i="20"/>
  <c r="D686" i="20"/>
  <c r="A687" i="20"/>
  <c r="B687" i="20"/>
  <c r="C687" i="20"/>
  <c r="D687" i="20"/>
  <c r="A688" i="20"/>
  <c r="B688" i="20"/>
  <c r="C688" i="20"/>
  <c r="D688" i="20"/>
  <c r="A689" i="20"/>
  <c r="B689" i="20"/>
  <c r="C689" i="20"/>
  <c r="D689" i="20"/>
  <c r="A690" i="20"/>
  <c r="B690" i="20"/>
  <c r="C690" i="20"/>
  <c r="D690" i="20"/>
  <c r="A691" i="20"/>
  <c r="B691" i="20"/>
  <c r="C691" i="20"/>
  <c r="D691" i="20"/>
  <c r="A692" i="20"/>
  <c r="B692" i="20"/>
  <c r="C692" i="20"/>
  <c r="D692" i="20"/>
  <c r="A693" i="20"/>
  <c r="B693" i="20"/>
  <c r="C693" i="20"/>
  <c r="D693" i="20"/>
  <c r="A694" i="20"/>
  <c r="B694" i="20"/>
  <c r="C694" i="20"/>
  <c r="D694" i="20"/>
  <c r="A695" i="20"/>
  <c r="B695" i="20"/>
  <c r="C695" i="20"/>
  <c r="D695" i="20"/>
  <c r="A696" i="20"/>
  <c r="B696" i="20"/>
  <c r="C696" i="20"/>
  <c r="D696" i="20"/>
  <c r="A697" i="20"/>
  <c r="B697" i="20"/>
  <c r="C697" i="20"/>
  <c r="D697" i="20"/>
  <c r="A698" i="20"/>
  <c r="B698" i="20"/>
  <c r="C698" i="20"/>
  <c r="D698" i="20"/>
  <c r="A699" i="20"/>
  <c r="B699" i="20"/>
  <c r="C699" i="20"/>
  <c r="D699" i="20"/>
  <c r="A700" i="20"/>
  <c r="B700" i="20"/>
  <c r="C700" i="20"/>
  <c r="D700" i="20"/>
  <c r="A701" i="20"/>
  <c r="B701" i="20"/>
  <c r="C701" i="20"/>
  <c r="D701" i="20"/>
  <c r="A702" i="20"/>
  <c r="B702" i="20"/>
  <c r="C702" i="20"/>
  <c r="D702" i="20"/>
  <c r="A703" i="20"/>
  <c r="B703" i="20"/>
  <c r="C703" i="20"/>
  <c r="D703" i="20"/>
  <c r="A704" i="20"/>
  <c r="B704" i="20"/>
  <c r="C704" i="20"/>
  <c r="D704" i="20"/>
  <c r="A705" i="20"/>
  <c r="B705" i="20"/>
  <c r="C705" i="20"/>
  <c r="D705" i="20"/>
  <c r="A706" i="20"/>
  <c r="B706" i="20"/>
  <c r="C706" i="20"/>
  <c r="D706" i="20"/>
  <c r="A707" i="20"/>
  <c r="B707" i="20"/>
  <c r="C707" i="20"/>
  <c r="D707" i="20"/>
  <c r="A708" i="20"/>
  <c r="B708" i="20"/>
  <c r="C708" i="20"/>
  <c r="D708" i="20"/>
  <c r="A709" i="20"/>
  <c r="B709" i="20"/>
  <c r="C709" i="20"/>
  <c r="D709" i="20"/>
  <c r="A710" i="20"/>
  <c r="B710" i="20"/>
  <c r="C710" i="20"/>
  <c r="D710" i="20"/>
  <c r="A711" i="20"/>
  <c r="B711" i="20"/>
  <c r="C711" i="20"/>
  <c r="D711" i="20"/>
  <c r="A712" i="20"/>
  <c r="B712" i="20"/>
  <c r="C712" i="20"/>
  <c r="D712" i="20"/>
  <c r="A713" i="20"/>
  <c r="B713" i="20"/>
  <c r="C713" i="20"/>
  <c r="D713" i="20"/>
  <c r="A714" i="20"/>
  <c r="B714" i="20"/>
  <c r="C714" i="20"/>
  <c r="D714" i="20"/>
  <c r="A715" i="20"/>
  <c r="B715" i="20"/>
  <c r="C715" i="20"/>
  <c r="D715" i="20"/>
  <c r="A716" i="20"/>
  <c r="B716" i="20"/>
  <c r="C716" i="20"/>
  <c r="D716" i="20"/>
  <c r="A717" i="20"/>
  <c r="B717" i="20"/>
  <c r="C717" i="20"/>
  <c r="D717" i="20"/>
  <c r="A718" i="20"/>
  <c r="B718" i="20"/>
  <c r="C718" i="20"/>
  <c r="D718" i="20"/>
  <c r="A719" i="20"/>
  <c r="B719" i="20"/>
  <c r="C719" i="20"/>
  <c r="D719" i="20"/>
  <c r="A720" i="20"/>
  <c r="B720" i="20"/>
  <c r="C720" i="20"/>
  <c r="D720" i="20"/>
  <c r="A721" i="20"/>
  <c r="B721" i="20"/>
  <c r="C721" i="20"/>
  <c r="D721" i="20"/>
  <c r="A722" i="20"/>
  <c r="B722" i="20"/>
  <c r="C722" i="20"/>
  <c r="D722" i="20"/>
  <c r="A723" i="20"/>
  <c r="B723" i="20"/>
  <c r="C723" i="20"/>
  <c r="D723" i="20"/>
  <c r="A724" i="20"/>
  <c r="B724" i="20"/>
  <c r="C724" i="20"/>
  <c r="D724" i="20"/>
  <c r="A725" i="20"/>
  <c r="B725" i="20"/>
  <c r="C725" i="20"/>
  <c r="D725" i="20"/>
  <c r="A726" i="20"/>
  <c r="B726" i="20"/>
  <c r="C726" i="20"/>
  <c r="D726" i="20"/>
  <c r="A727" i="20"/>
  <c r="B727" i="20"/>
  <c r="C727" i="20"/>
  <c r="D727" i="20"/>
  <c r="A728" i="20"/>
  <c r="B728" i="20"/>
  <c r="C728" i="20"/>
  <c r="D728" i="20"/>
  <c r="A729" i="20"/>
  <c r="B729" i="20"/>
  <c r="C729" i="20"/>
  <c r="D729" i="20"/>
  <c r="A730" i="20"/>
  <c r="B730" i="20"/>
  <c r="C730" i="20"/>
  <c r="D730" i="20"/>
  <c r="A731" i="20"/>
  <c r="B731" i="20"/>
  <c r="C731" i="20"/>
  <c r="D731" i="20"/>
  <c r="A732" i="20"/>
  <c r="B732" i="20"/>
  <c r="C732" i="20"/>
  <c r="D732" i="20"/>
  <c r="A733" i="20"/>
  <c r="B733" i="20"/>
  <c r="C733" i="20"/>
  <c r="D733" i="20"/>
  <c r="A734" i="20"/>
  <c r="B734" i="20"/>
  <c r="C734" i="20"/>
  <c r="D734" i="20"/>
  <c r="A735" i="20"/>
  <c r="B735" i="20"/>
  <c r="C735" i="20"/>
  <c r="D735" i="20"/>
  <c r="A736" i="20"/>
  <c r="B736" i="20"/>
  <c r="C736" i="20"/>
  <c r="D736" i="20"/>
  <c r="A737" i="20"/>
  <c r="B737" i="20"/>
  <c r="C737" i="20"/>
  <c r="D737" i="20"/>
  <c r="A738" i="20"/>
  <c r="B738" i="20"/>
  <c r="C738" i="20"/>
  <c r="D738" i="20"/>
  <c r="A739" i="20"/>
  <c r="B739" i="20"/>
  <c r="C739" i="20"/>
  <c r="D739" i="20"/>
  <c r="A740" i="20"/>
  <c r="B740" i="20"/>
  <c r="C740" i="20"/>
  <c r="D740" i="20"/>
  <c r="A741" i="20"/>
  <c r="B741" i="20"/>
  <c r="C741" i="20"/>
  <c r="D741" i="20"/>
  <c r="A742" i="20"/>
  <c r="B742" i="20"/>
  <c r="C742" i="20"/>
  <c r="D742" i="20"/>
  <c r="A743" i="20"/>
  <c r="B743" i="20"/>
  <c r="C743" i="20"/>
  <c r="D743" i="20"/>
  <c r="A744" i="20"/>
  <c r="B744" i="20"/>
  <c r="C744" i="20"/>
  <c r="D744" i="20"/>
  <c r="A745" i="20"/>
  <c r="B745" i="20"/>
  <c r="C745" i="20"/>
  <c r="D745" i="20"/>
  <c r="A746" i="20"/>
  <c r="B746" i="20"/>
  <c r="C746" i="20"/>
  <c r="D746" i="20"/>
  <c r="A747" i="20"/>
  <c r="B747" i="20"/>
  <c r="C747" i="20"/>
  <c r="D747" i="20"/>
  <c r="A748" i="20"/>
  <c r="B748" i="20"/>
  <c r="C748" i="20"/>
  <c r="D748" i="20"/>
  <c r="A749" i="20"/>
  <c r="B749" i="20"/>
  <c r="C749" i="20"/>
  <c r="D749" i="20"/>
  <c r="A750" i="20"/>
  <c r="B750" i="20"/>
  <c r="C750" i="20"/>
  <c r="D750" i="20"/>
  <c r="A751" i="20"/>
  <c r="B751" i="20"/>
  <c r="C751" i="20"/>
  <c r="D751" i="20"/>
  <c r="A752" i="20"/>
  <c r="B752" i="20"/>
  <c r="C752" i="20"/>
  <c r="D752" i="20"/>
  <c r="A753" i="20"/>
  <c r="B753" i="20"/>
  <c r="C753" i="20"/>
  <c r="D753" i="20"/>
  <c r="A754" i="20"/>
  <c r="B754" i="20"/>
  <c r="C754" i="20"/>
  <c r="D754" i="20"/>
  <c r="A755" i="20"/>
  <c r="B755" i="20"/>
  <c r="C755" i="20"/>
  <c r="D755" i="20"/>
  <c r="A756" i="20"/>
  <c r="B756" i="20"/>
  <c r="C756" i="20"/>
  <c r="D756" i="20"/>
  <c r="A757" i="20"/>
  <c r="B757" i="20"/>
  <c r="C757" i="20"/>
  <c r="D757" i="20"/>
  <c r="A758" i="20"/>
  <c r="B758" i="20"/>
  <c r="C758" i="20"/>
  <c r="D758" i="20"/>
  <c r="A759" i="20"/>
  <c r="B759" i="20"/>
  <c r="C759" i="20"/>
  <c r="D759" i="20"/>
  <c r="A760" i="20"/>
  <c r="B760" i="20"/>
  <c r="C760" i="20"/>
  <c r="D760" i="20"/>
  <c r="A761" i="20"/>
  <c r="B761" i="20"/>
  <c r="C761" i="20"/>
  <c r="D761" i="20"/>
  <c r="A762" i="20"/>
  <c r="B762" i="20"/>
  <c r="C762" i="20"/>
  <c r="D762" i="20"/>
  <c r="A763" i="20"/>
  <c r="B763" i="20"/>
  <c r="C763" i="20"/>
  <c r="D763" i="20"/>
  <c r="A764" i="20"/>
  <c r="B764" i="20"/>
  <c r="C764" i="20"/>
  <c r="D764" i="20"/>
  <c r="A765" i="20"/>
  <c r="B765" i="20"/>
  <c r="C765" i="20"/>
  <c r="D765" i="20"/>
  <c r="A766" i="20"/>
  <c r="B766" i="20"/>
  <c r="C766" i="20"/>
  <c r="D766" i="20"/>
  <c r="A767" i="20"/>
  <c r="B767" i="20"/>
  <c r="C767" i="20"/>
  <c r="D767" i="20"/>
  <c r="A768" i="20"/>
  <c r="B768" i="20"/>
  <c r="C768" i="20"/>
  <c r="D768" i="20"/>
  <c r="A769" i="20"/>
  <c r="B769" i="20"/>
  <c r="C769" i="20"/>
  <c r="D769" i="20"/>
  <c r="A770" i="20"/>
  <c r="B770" i="20"/>
  <c r="C770" i="20"/>
  <c r="D770" i="20"/>
  <c r="A771" i="20"/>
  <c r="B771" i="20"/>
  <c r="C771" i="20"/>
  <c r="D771" i="20"/>
  <c r="A772" i="20"/>
  <c r="B772" i="20"/>
  <c r="C772" i="20"/>
  <c r="D772" i="20"/>
  <c r="A773" i="20"/>
  <c r="B773" i="20"/>
  <c r="C773" i="20"/>
  <c r="D773" i="20"/>
  <c r="A774" i="20"/>
  <c r="B774" i="20"/>
  <c r="C774" i="20"/>
  <c r="D774" i="20"/>
  <c r="A775" i="20"/>
  <c r="B775" i="20"/>
  <c r="C775" i="20"/>
  <c r="D775" i="20"/>
  <c r="A776" i="20"/>
  <c r="B776" i="20"/>
  <c r="C776" i="20"/>
  <c r="D776" i="20"/>
  <c r="A777" i="20"/>
  <c r="B777" i="20"/>
  <c r="C777" i="20"/>
  <c r="D777" i="20"/>
  <c r="A778" i="20"/>
  <c r="B778" i="20"/>
  <c r="C778" i="20"/>
  <c r="D778" i="20"/>
  <c r="A779" i="20"/>
  <c r="B779" i="20"/>
  <c r="C779" i="20"/>
  <c r="D779" i="20"/>
  <c r="A780" i="20"/>
  <c r="B780" i="20"/>
  <c r="C780" i="20"/>
  <c r="D780" i="20"/>
  <c r="A781" i="20"/>
  <c r="B781" i="20"/>
  <c r="C781" i="20"/>
  <c r="D781" i="20"/>
  <c r="A782" i="20"/>
  <c r="B782" i="20"/>
  <c r="C782" i="20"/>
  <c r="D782" i="20"/>
  <c r="A783" i="20"/>
  <c r="B783" i="20"/>
  <c r="C783" i="20"/>
  <c r="D783" i="20"/>
  <c r="A784" i="20"/>
  <c r="B784" i="20"/>
  <c r="C784" i="20"/>
  <c r="D784" i="20"/>
  <c r="A785" i="20"/>
  <c r="B785" i="20"/>
  <c r="C785" i="20"/>
  <c r="D785" i="20"/>
  <c r="A786" i="20"/>
  <c r="B786" i="20"/>
  <c r="C786" i="20"/>
  <c r="D786" i="20"/>
  <c r="A787" i="20"/>
  <c r="B787" i="20"/>
  <c r="C787" i="20"/>
  <c r="D787" i="20"/>
  <c r="A788" i="20"/>
  <c r="B788" i="20"/>
  <c r="C788" i="20"/>
  <c r="D788" i="20"/>
  <c r="A789" i="20"/>
  <c r="B789" i="20"/>
  <c r="C789" i="20"/>
  <c r="D789" i="20"/>
  <c r="A790" i="20"/>
  <c r="B790" i="20"/>
  <c r="C790" i="20"/>
  <c r="D790" i="20"/>
  <c r="A791" i="20"/>
  <c r="B791" i="20"/>
  <c r="C791" i="20"/>
  <c r="D791" i="20"/>
  <c r="A792" i="20"/>
  <c r="B792" i="20"/>
  <c r="C792" i="20"/>
  <c r="D792" i="20"/>
  <c r="A793" i="20"/>
  <c r="B793" i="20"/>
  <c r="C793" i="20"/>
  <c r="D793" i="20"/>
  <c r="A794" i="20"/>
  <c r="B794" i="20"/>
  <c r="C794" i="20"/>
  <c r="D794" i="20"/>
  <c r="A795" i="20"/>
  <c r="B795" i="20"/>
  <c r="C795" i="20"/>
  <c r="D795" i="20"/>
  <c r="A796" i="20"/>
  <c r="B796" i="20"/>
  <c r="C796" i="20"/>
  <c r="D796" i="20"/>
  <c r="A797" i="20"/>
  <c r="B797" i="20"/>
  <c r="C797" i="20"/>
  <c r="D797" i="20"/>
  <c r="A798" i="20"/>
  <c r="B798" i="20"/>
  <c r="C798" i="20"/>
  <c r="D798" i="20"/>
  <c r="A799" i="20"/>
  <c r="B799" i="20"/>
  <c r="C799" i="20"/>
  <c r="D799" i="20"/>
  <c r="A800" i="20"/>
  <c r="B800" i="20"/>
  <c r="C800" i="20"/>
  <c r="D800" i="20"/>
  <c r="A801" i="20"/>
  <c r="B801" i="20"/>
  <c r="C801" i="20"/>
  <c r="D801" i="20"/>
  <c r="A802" i="20"/>
  <c r="B802" i="20"/>
  <c r="C802" i="20"/>
  <c r="D802" i="20"/>
  <c r="A803" i="20"/>
  <c r="B803" i="20"/>
  <c r="C803" i="20"/>
  <c r="D803" i="20"/>
  <c r="A804" i="20"/>
  <c r="B804" i="20"/>
  <c r="C804" i="20"/>
  <c r="D804" i="20"/>
  <c r="A805" i="20"/>
  <c r="B805" i="20"/>
  <c r="C805" i="20"/>
  <c r="D805" i="20"/>
  <c r="A806" i="20"/>
  <c r="B806" i="20"/>
  <c r="C806" i="20"/>
  <c r="D806" i="20"/>
  <c r="A807" i="20"/>
  <c r="B807" i="20"/>
  <c r="C807" i="20"/>
  <c r="D807" i="20"/>
  <c r="A808" i="20"/>
  <c r="B808" i="20"/>
  <c r="C808" i="20"/>
  <c r="D808" i="20"/>
  <c r="A809" i="20"/>
  <c r="B809" i="20"/>
  <c r="C809" i="20"/>
  <c r="D809" i="20"/>
  <c r="A810" i="20"/>
  <c r="B810" i="20"/>
  <c r="C810" i="20"/>
  <c r="D810" i="20"/>
  <c r="A811" i="20"/>
  <c r="B811" i="20"/>
  <c r="C811" i="20"/>
  <c r="D811" i="20"/>
  <c r="A812" i="20"/>
  <c r="B812" i="20"/>
  <c r="C812" i="20"/>
  <c r="D812" i="20"/>
  <c r="A813" i="20"/>
  <c r="B813" i="20"/>
  <c r="C813" i="20"/>
  <c r="D813" i="20"/>
  <c r="A814" i="20"/>
  <c r="B814" i="20"/>
  <c r="C814" i="20"/>
  <c r="D814" i="20"/>
  <c r="A815" i="20"/>
  <c r="B815" i="20"/>
  <c r="C815" i="20"/>
  <c r="D815" i="20"/>
  <c r="A816" i="20"/>
  <c r="B816" i="20"/>
  <c r="C816" i="20"/>
  <c r="D816" i="20"/>
  <c r="A817" i="20"/>
  <c r="B817" i="20"/>
  <c r="C817" i="20"/>
  <c r="D817" i="20"/>
  <c r="A818" i="20"/>
  <c r="B818" i="20"/>
  <c r="C818" i="20"/>
  <c r="D818" i="20"/>
  <c r="A819" i="20"/>
  <c r="B819" i="20"/>
  <c r="C819" i="20"/>
  <c r="D819" i="20"/>
  <c r="A820" i="20"/>
  <c r="B820" i="20"/>
  <c r="C820" i="20"/>
  <c r="D820" i="20"/>
  <c r="A821" i="20"/>
  <c r="B821" i="20"/>
  <c r="C821" i="20"/>
  <c r="D821" i="20"/>
  <c r="A822" i="20"/>
  <c r="B822" i="20"/>
  <c r="C822" i="20"/>
  <c r="D822" i="20"/>
  <c r="A823" i="20"/>
  <c r="B823" i="20"/>
  <c r="C823" i="20"/>
  <c r="D823" i="20"/>
  <c r="A824" i="20"/>
  <c r="B824" i="20"/>
  <c r="C824" i="20"/>
  <c r="D824" i="20"/>
  <c r="A825" i="20"/>
  <c r="B825" i="20"/>
  <c r="C825" i="20"/>
  <c r="D825" i="20"/>
  <c r="A826" i="20"/>
  <c r="B826" i="20"/>
  <c r="C826" i="20"/>
  <c r="D826" i="20"/>
  <c r="A827" i="20"/>
  <c r="B827" i="20"/>
  <c r="C827" i="20"/>
  <c r="D827" i="20"/>
  <c r="A828" i="20"/>
  <c r="B828" i="20"/>
  <c r="C828" i="20"/>
  <c r="D828" i="20"/>
  <c r="A829" i="20"/>
  <c r="B829" i="20"/>
  <c r="C829" i="20"/>
  <c r="D829" i="20"/>
  <c r="A830" i="20"/>
  <c r="B830" i="20"/>
  <c r="C830" i="20"/>
  <c r="D830" i="20"/>
  <c r="A831" i="20"/>
  <c r="B831" i="20"/>
  <c r="C831" i="20"/>
  <c r="D831" i="20"/>
  <c r="A832" i="20"/>
  <c r="B832" i="20"/>
  <c r="C832" i="20"/>
  <c r="D832" i="20"/>
  <c r="A833" i="20"/>
  <c r="B833" i="20"/>
  <c r="C833" i="20"/>
  <c r="D833" i="20"/>
  <c r="A834" i="20"/>
  <c r="B834" i="20"/>
  <c r="C834" i="20"/>
  <c r="D834" i="20"/>
  <c r="A835" i="20"/>
  <c r="B835" i="20"/>
  <c r="C835" i="20"/>
  <c r="D835" i="20"/>
  <c r="A836" i="20"/>
  <c r="B836" i="20"/>
  <c r="C836" i="20"/>
  <c r="D836" i="20"/>
  <c r="A837" i="20"/>
  <c r="B837" i="20"/>
  <c r="C837" i="20"/>
  <c r="D837" i="20"/>
  <c r="A838" i="20"/>
  <c r="B838" i="20"/>
  <c r="C838" i="20"/>
  <c r="D838" i="20"/>
  <c r="A839" i="20"/>
  <c r="B839" i="20"/>
  <c r="C839" i="20"/>
  <c r="D839" i="20"/>
  <c r="A840" i="20"/>
  <c r="B840" i="20"/>
  <c r="C840" i="20"/>
  <c r="D840" i="20"/>
  <c r="A841" i="20"/>
  <c r="B841" i="20"/>
  <c r="C841" i="20"/>
  <c r="D841" i="20"/>
  <c r="A842" i="20"/>
  <c r="B842" i="20"/>
  <c r="C842" i="20"/>
  <c r="D842" i="20"/>
  <c r="A843" i="20"/>
  <c r="B843" i="20"/>
  <c r="C843" i="20"/>
  <c r="D843" i="20"/>
  <c r="A844" i="20"/>
  <c r="B844" i="20"/>
  <c r="C844" i="20"/>
  <c r="D844" i="20"/>
  <c r="A845" i="20"/>
  <c r="B845" i="20"/>
  <c r="C845" i="20"/>
  <c r="D845" i="20"/>
  <c r="A846" i="20"/>
  <c r="B846" i="20"/>
  <c r="C846" i="20"/>
  <c r="D846" i="20"/>
  <c r="A847" i="20"/>
  <c r="B847" i="20"/>
  <c r="C847" i="20"/>
  <c r="D847" i="20"/>
  <c r="A848" i="20"/>
  <c r="B848" i="20"/>
  <c r="C848" i="20"/>
  <c r="D848" i="20"/>
  <c r="A849" i="20"/>
  <c r="B849" i="20"/>
  <c r="C849" i="20"/>
  <c r="D849" i="20"/>
  <c r="A850" i="20"/>
  <c r="B850" i="20"/>
  <c r="C850" i="20"/>
  <c r="D850" i="20"/>
  <c r="A851" i="20"/>
  <c r="B851" i="20"/>
  <c r="C851" i="20"/>
  <c r="D851" i="20"/>
  <c r="A852" i="20"/>
  <c r="B852" i="20"/>
  <c r="C852" i="20"/>
  <c r="D852" i="20"/>
  <c r="A853" i="20"/>
  <c r="B853" i="20"/>
  <c r="C853" i="20"/>
  <c r="D853" i="20"/>
  <c r="A854" i="20"/>
  <c r="B854" i="20"/>
  <c r="C854" i="20"/>
  <c r="D854" i="20"/>
  <c r="A855" i="20"/>
  <c r="B855" i="20"/>
  <c r="C855" i="20"/>
  <c r="D855" i="20"/>
  <c r="A856" i="20"/>
  <c r="B856" i="20"/>
  <c r="C856" i="20"/>
  <c r="D856" i="20"/>
  <c r="A857" i="20"/>
  <c r="B857" i="20"/>
  <c r="C857" i="20"/>
  <c r="D857" i="20"/>
  <c r="A858" i="20"/>
  <c r="B858" i="20"/>
  <c r="C858" i="20"/>
  <c r="D858" i="20"/>
  <c r="A859" i="20"/>
  <c r="B859" i="20"/>
  <c r="C859" i="20"/>
  <c r="D859" i="20"/>
  <c r="A860" i="20"/>
  <c r="B860" i="20"/>
  <c r="C860" i="20"/>
  <c r="D860" i="20"/>
  <c r="A861" i="20"/>
  <c r="B861" i="20"/>
  <c r="C861" i="20"/>
  <c r="D861" i="20"/>
  <c r="A862" i="20"/>
  <c r="B862" i="20"/>
  <c r="C862" i="20"/>
  <c r="D862" i="20"/>
  <c r="A863" i="20"/>
  <c r="B863" i="20"/>
  <c r="C863" i="20"/>
  <c r="D863" i="20"/>
  <c r="A864" i="20"/>
  <c r="B864" i="20"/>
  <c r="C864" i="20"/>
  <c r="D864" i="20"/>
  <c r="A865" i="20"/>
  <c r="B865" i="20"/>
  <c r="C865" i="20"/>
  <c r="D865" i="20"/>
  <c r="A866" i="20"/>
  <c r="B866" i="20"/>
  <c r="C866" i="20"/>
  <c r="D866" i="20"/>
  <c r="A867" i="20"/>
  <c r="B867" i="20"/>
  <c r="C867" i="20"/>
  <c r="D867" i="20"/>
  <c r="A868" i="20"/>
  <c r="B868" i="20"/>
  <c r="C868" i="20"/>
  <c r="D868" i="20"/>
  <c r="A869" i="20"/>
  <c r="B869" i="20"/>
  <c r="C869" i="20"/>
  <c r="D869" i="20"/>
  <c r="A870" i="20"/>
  <c r="B870" i="20"/>
  <c r="C870" i="20"/>
  <c r="D870" i="20"/>
  <c r="A871" i="20"/>
  <c r="B871" i="20"/>
  <c r="C871" i="20"/>
  <c r="D871" i="20"/>
  <c r="A872" i="20"/>
  <c r="B872" i="20"/>
  <c r="C872" i="20"/>
  <c r="D872" i="20"/>
  <c r="A873" i="20"/>
  <c r="B873" i="20"/>
  <c r="C873" i="20"/>
  <c r="D873" i="20"/>
  <c r="A874" i="20"/>
  <c r="B874" i="20"/>
  <c r="C874" i="20"/>
  <c r="D874" i="20"/>
  <c r="A875" i="20"/>
  <c r="B875" i="20"/>
  <c r="C875" i="20"/>
  <c r="D875" i="20"/>
  <c r="A876" i="20"/>
  <c r="B876" i="20"/>
  <c r="C876" i="20"/>
  <c r="D876" i="20"/>
  <c r="A877" i="20"/>
  <c r="B877" i="20"/>
  <c r="C877" i="20"/>
  <c r="D877" i="20"/>
  <c r="A878" i="20"/>
  <c r="B878" i="20"/>
  <c r="C878" i="20"/>
  <c r="D878" i="20"/>
  <c r="A879" i="20"/>
  <c r="B879" i="20"/>
  <c r="C879" i="20"/>
  <c r="D879" i="20"/>
  <c r="A880" i="20"/>
  <c r="B880" i="20"/>
  <c r="C880" i="20"/>
  <c r="D880" i="20"/>
  <c r="A881" i="20"/>
  <c r="B881" i="20"/>
  <c r="C881" i="20"/>
  <c r="D881" i="20"/>
  <c r="A882" i="20"/>
  <c r="B882" i="20"/>
  <c r="C882" i="20"/>
  <c r="D882" i="20"/>
  <c r="A883" i="20"/>
  <c r="B883" i="20"/>
  <c r="C883" i="20"/>
  <c r="D883" i="20"/>
  <c r="A884" i="20"/>
  <c r="B884" i="20"/>
  <c r="C884" i="20"/>
  <c r="D884" i="20"/>
  <c r="A885" i="20"/>
  <c r="B885" i="20"/>
  <c r="C885" i="20"/>
  <c r="D885" i="20"/>
  <c r="A886" i="20"/>
  <c r="B886" i="20"/>
  <c r="C886" i="20"/>
  <c r="D886" i="20"/>
  <c r="A887" i="20"/>
  <c r="B887" i="20"/>
  <c r="C887" i="20"/>
  <c r="D887" i="20"/>
  <c r="A888" i="20"/>
  <c r="B888" i="20"/>
  <c r="C888" i="20"/>
  <c r="D888" i="20"/>
  <c r="A889" i="20"/>
  <c r="B889" i="20"/>
  <c r="C889" i="20"/>
  <c r="D889" i="20"/>
  <c r="A890" i="20"/>
  <c r="B890" i="20"/>
  <c r="C890" i="20"/>
  <c r="D890" i="20"/>
  <c r="A891" i="20"/>
  <c r="B891" i="20"/>
  <c r="C891" i="20"/>
  <c r="D891" i="20"/>
  <c r="A892" i="20"/>
  <c r="B892" i="20"/>
  <c r="C892" i="20"/>
  <c r="D892" i="20"/>
  <c r="A893" i="20"/>
  <c r="B893" i="20"/>
  <c r="C893" i="20"/>
  <c r="D893" i="20"/>
  <c r="A894" i="20"/>
  <c r="B894" i="20"/>
  <c r="C894" i="20"/>
  <c r="D894" i="20"/>
  <c r="A895" i="20"/>
  <c r="B895" i="20"/>
  <c r="C895" i="20"/>
  <c r="D895" i="20"/>
  <c r="A896" i="20"/>
  <c r="B896" i="20"/>
  <c r="C896" i="20"/>
  <c r="D896" i="20"/>
  <c r="A897" i="20"/>
  <c r="B897" i="20"/>
  <c r="C897" i="20"/>
  <c r="D897" i="20"/>
  <c r="A898" i="20"/>
  <c r="B898" i="20"/>
  <c r="C898" i="20"/>
  <c r="D898" i="20"/>
  <c r="A899" i="20"/>
  <c r="B899" i="20"/>
  <c r="C899" i="20"/>
  <c r="D899" i="20"/>
  <c r="A900" i="20"/>
  <c r="B900" i="20"/>
  <c r="C900" i="20"/>
  <c r="D900" i="20"/>
  <c r="A901" i="20"/>
  <c r="B901" i="20"/>
  <c r="C901" i="20"/>
  <c r="D901" i="20"/>
  <c r="A902" i="20"/>
  <c r="B902" i="20"/>
  <c r="C902" i="20"/>
  <c r="D902" i="20"/>
  <c r="A903" i="20"/>
  <c r="B903" i="20"/>
  <c r="C903" i="20"/>
  <c r="D903" i="20"/>
  <c r="A904" i="20"/>
  <c r="B904" i="20"/>
  <c r="C904" i="20"/>
  <c r="D904" i="20"/>
  <c r="A905" i="20"/>
  <c r="B905" i="20"/>
  <c r="C905" i="20"/>
  <c r="D905" i="20"/>
  <c r="A906" i="20"/>
  <c r="B906" i="20"/>
  <c r="C906" i="20"/>
  <c r="D906" i="20"/>
  <c r="A907" i="20"/>
  <c r="B907" i="20"/>
  <c r="C907" i="20"/>
  <c r="D907" i="20"/>
  <c r="A908" i="20"/>
  <c r="B908" i="20"/>
  <c r="C908" i="20"/>
  <c r="D908" i="20"/>
  <c r="A909" i="20"/>
  <c r="B909" i="20"/>
  <c r="C909" i="20"/>
  <c r="D909" i="20"/>
  <c r="A910" i="20"/>
  <c r="B910" i="20"/>
  <c r="C910" i="20"/>
  <c r="D910" i="20"/>
  <c r="A911" i="20"/>
  <c r="B911" i="20"/>
  <c r="C911" i="20"/>
  <c r="D911" i="20"/>
  <c r="A912" i="20"/>
  <c r="B912" i="20"/>
  <c r="C912" i="20"/>
  <c r="D912" i="20"/>
  <c r="A913" i="20"/>
  <c r="B913" i="20"/>
  <c r="C913" i="20"/>
  <c r="D913" i="20"/>
  <c r="A914" i="20"/>
  <c r="B914" i="20"/>
  <c r="C914" i="20"/>
  <c r="D914" i="20"/>
  <c r="A915" i="20"/>
  <c r="B915" i="20"/>
  <c r="C915" i="20"/>
  <c r="D915" i="20"/>
  <c r="A916" i="20"/>
  <c r="B916" i="20"/>
  <c r="C916" i="20"/>
  <c r="D916" i="20"/>
  <c r="A917" i="20"/>
  <c r="B917" i="20"/>
  <c r="C917" i="20"/>
  <c r="D917" i="20"/>
  <c r="A918" i="20"/>
  <c r="B918" i="20"/>
  <c r="C918" i="20"/>
  <c r="D918" i="20"/>
  <c r="A919" i="20"/>
  <c r="B919" i="20"/>
  <c r="C919" i="20"/>
  <c r="D919" i="20"/>
  <c r="A920" i="20"/>
  <c r="B920" i="20"/>
  <c r="C920" i="20"/>
  <c r="D920" i="20"/>
  <c r="A921" i="20"/>
  <c r="B921" i="20"/>
  <c r="C921" i="20"/>
  <c r="D921" i="20"/>
  <c r="A922" i="20"/>
  <c r="B922" i="20"/>
  <c r="C922" i="20"/>
  <c r="D922" i="20"/>
  <c r="A923" i="20"/>
  <c r="B923" i="20"/>
  <c r="C923" i="20"/>
  <c r="D923" i="20"/>
  <c r="A924" i="20"/>
  <c r="B924" i="20"/>
  <c r="C924" i="20"/>
  <c r="D924" i="20"/>
  <c r="A925" i="20"/>
  <c r="B925" i="20"/>
  <c r="C925" i="20"/>
  <c r="D925" i="20"/>
  <c r="A926" i="20"/>
  <c r="B926" i="20"/>
  <c r="C926" i="20"/>
  <c r="D926" i="20"/>
  <c r="A927" i="20"/>
  <c r="B927" i="20"/>
  <c r="C927" i="20"/>
  <c r="D927" i="20"/>
  <c r="A928" i="20"/>
  <c r="B928" i="20"/>
  <c r="C928" i="20"/>
  <c r="D928" i="20"/>
  <c r="A929" i="20"/>
  <c r="B929" i="20"/>
  <c r="C929" i="20"/>
  <c r="D929" i="20"/>
  <c r="A930" i="20"/>
  <c r="B930" i="20"/>
  <c r="C930" i="20"/>
  <c r="D930" i="20"/>
  <c r="A931" i="20"/>
  <c r="B931" i="20"/>
  <c r="C931" i="20"/>
  <c r="D931" i="20"/>
  <c r="A932" i="20"/>
  <c r="B932" i="20"/>
  <c r="C932" i="20"/>
  <c r="D932" i="20"/>
  <c r="A933" i="20"/>
  <c r="B933" i="20"/>
  <c r="C933" i="20"/>
  <c r="D933" i="20"/>
  <c r="A934" i="20"/>
  <c r="B934" i="20"/>
  <c r="C934" i="20"/>
  <c r="D934" i="20"/>
  <c r="A935" i="20"/>
  <c r="B935" i="20"/>
  <c r="C935" i="20"/>
  <c r="D935" i="20"/>
  <c r="A936" i="20"/>
  <c r="B936" i="20"/>
  <c r="C936" i="20"/>
  <c r="D936" i="20"/>
  <c r="A937" i="20"/>
  <c r="B937" i="20"/>
  <c r="C937" i="20"/>
  <c r="D937" i="20"/>
  <c r="A938" i="20"/>
  <c r="B938" i="20"/>
  <c r="C938" i="20"/>
  <c r="D938" i="20"/>
  <c r="A939" i="20"/>
  <c r="B939" i="20"/>
  <c r="C939" i="20"/>
  <c r="D939" i="20"/>
  <c r="A940" i="20"/>
  <c r="B940" i="20"/>
  <c r="C940" i="20"/>
  <c r="D940" i="20"/>
  <c r="A941" i="20"/>
  <c r="B941" i="20"/>
  <c r="C941" i="20"/>
  <c r="D941" i="20"/>
  <c r="A942" i="20"/>
  <c r="B942" i="20"/>
  <c r="C942" i="20"/>
  <c r="D942" i="20"/>
  <c r="A943" i="20"/>
  <c r="B943" i="20"/>
  <c r="C943" i="20"/>
  <c r="D943" i="20"/>
  <c r="A944" i="20"/>
  <c r="B944" i="20"/>
  <c r="C944" i="20"/>
  <c r="D944" i="20"/>
  <c r="A945" i="20"/>
  <c r="B945" i="20"/>
  <c r="C945" i="20"/>
  <c r="D945" i="20"/>
  <c r="A946" i="20"/>
  <c r="B946" i="20"/>
  <c r="C946" i="20"/>
  <c r="D946" i="20"/>
  <c r="A947" i="20"/>
  <c r="B947" i="20"/>
  <c r="C947" i="20"/>
  <c r="D947" i="20"/>
  <c r="A948" i="20"/>
  <c r="B948" i="20"/>
  <c r="C948" i="20"/>
  <c r="D948" i="20"/>
  <c r="A949" i="20"/>
  <c r="B949" i="20"/>
  <c r="C949" i="20"/>
  <c r="D949" i="20"/>
  <c r="A950" i="20"/>
  <c r="B950" i="20"/>
  <c r="C950" i="20"/>
  <c r="D950" i="20"/>
  <c r="A951" i="20"/>
  <c r="B951" i="20"/>
  <c r="C951" i="20"/>
  <c r="D951" i="20"/>
  <c r="A952" i="20"/>
  <c r="B952" i="20"/>
  <c r="C952" i="20"/>
  <c r="D952" i="20"/>
  <c r="A953" i="20"/>
  <c r="B953" i="20"/>
  <c r="C953" i="20"/>
  <c r="D953" i="20"/>
  <c r="A954" i="20"/>
  <c r="B954" i="20"/>
  <c r="C954" i="20"/>
  <c r="D954" i="20"/>
  <c r="A955" i="20"/>
  <c r="B955" i="20"/>
  <c r="C955" i="20"/>
  <c r="D955" i="20"/>
  <c r="A956" i="20"/>
  <c r="B956" i="20"/>
  <c r="C956" i="20"/>
  <c r="D956" i="20"/>
  <c r="A957" i="20"/>
  <c r="B957" i="20"/>
  <c r="C957" i="20"/>
  <c r="D957" i="20"/>
  <c r="A958" i="20"/>
  <c r="B958" i="20"/>
  <c r="C958" i="20"/>
  <c r="D958" i="20"/>
  <c r="A959" i="20"/>
  <c r="B959" i="20"/>
  <c r="C959" i="20"/>
  <c r="D959" i="20"/>
  <c r="A960" i="20"/>
  <c r="B960" i="20"/>
  <c r="C960" i="20"/>
  <c r="D960" i="20"/>
  <c r="A961" i="20"/>
  <c r="B961" i="20"/>
  <c r="C961" i="20"/>
  <c r="D961" i="20"/>
  <c r="A962" i="20"/>
  <c r="B962" i="20"/>
  <c r="C962" i="20"/>
  <c r="D962" i="20"/>
  <c r="A963" i="20"/>
  <c r="B963" i="20"/>
  <c r="C963" i="20"/>
  <c r="D963" i="20"/>
  <c r="A964" i="20"/>
  <c r="B964" i="20"/>
  <c r="C964" i="20"/>
  <c r="D964" i="20"/>
  <c r="A965" i="20"/>
  <c r="B965" i="20"/>
  <c r="C965" i="20"/>
  <c r="D965" i="20"/>
  <c r="A966" i="20"/>
  <c r="B966" i="20"/>
  <c r="C966" i="20"/>
  <c r="D966" i="20"/>
  <c r="A967" i="20"/>
  <c r="B967" i="20"/>
  <c r="C967" i="20"/>
  <c r="D967" i="20"/>
  <c r="A968" i="20"/>
  <c r="B968" i="20"/>
  <c r="C968" i="20"/>
  <c r="D968" i="20"/>
  <c r="A969" i="20"/>
  <c r="B969" i="20"/>
  <c r="C969" i="20"/>
  <c r="D969" i="20"/>
  <c r="A970" i="20"/>
  <c r="B970" i="20"/>
  <c r="C970" i="20"/>
  <c r="D970" i="20"/>
  <c r="A971" i="20"/>
  <c r="B971" i="20"/>
  <c r="C971" i="20"/>
  <c r="D971" i="20"/>
  <c r="A972" i="20"/>
  <c r="B972" i="20"/>
  <c r="C972" i="20"/>
  <c r="D972" i="20"/>
  <c r="A973" i="20"/>
  <c r="B973" i="20"/>
  <c r="C973" i="20"/>
  <c r="D973" i="20"/>
  <c r="A974" i="20"/>
  <c r="B974" i="20"/>
  <c r="C974" i="20"/>
  <c r="D974" i="20"/>
  <c r="A975" i="20"/>
  <c r="B975" i="20"/>
  <c r="C975" i="20"/>
  <c r="D975" i="20"/>
  <c r="A976" i="20"/>
  <c r="B976" i="20"/>
  <c r="C976" i="20"/>
  <c r="D976" i="20"/>
  <c r="A977" i="20"/>
  <c r="B977" i="20"/>
  <c r="C977" i="20"/>
  <c r="D977" i="20"/>
  <c r="A978" i="20"/>
  <c r="B978" i="20"/>
  <c r="C978" i="20"/>
  <c r="D978" i="20"/>
  <c r="A979" i="20"/>
  <c r="B979" i="20"/>
  <c r="C979" i="20"/>
  <c r="D979" i="20"/>
  <c r="A980" i="20"/>
  <c r="B980" i="20"/>
  <c r="C980" i="20"/>
  <c r="D980" i="20"/>
  <c r="A981" i="20"/>
  <c r="B981" i="20"/>
  <c r="C981" i="20"/>
  <c r="D981" i="20"/>
  <c r="A982" i="20"/>
  <c r="B982" i="20"/>
  <c r="C982" i="20"/>
  <c r="D982" i="20"/>
  <c r="A983" i="20"/>
  <c r="B983" i="20"/>
  <c r="C983" i="20"/>
  <c r="D983" i="20"/>
  <c r="A984" i="20"/>
  <c r="B984" i="20"/>
  <c r="C984" i="20"/>
  <c r="D984" i="20"/>
  <c r="A985" i="20"/>
  <c r="B985" i="20"/>
  <c r="C985" i="20"/>
  <c r="D985" i="20"/>
  <c r="A986" i="20"/>
  <c r="B986" i="20"/>
  <c r="C986" i="20"/>
  <c r="D986" i="20"/>
  <c r="A987" i="20"/>
  <c r="B987" i="20"/>
  <c r="C987" i="20"/>
  <c r="D987" i="20"/>
  <c r="A988" i="20"/>
  <c r="B988" i="20"/>
  <c r="C988" i="20"/>
  <c r="D988" i="20"/>
  <c r="A989" i="20"/>
  <c r="B989" i="20"/>
  <c r="C989" i="20"/>
  <c r="D989" i="20"/>
  <c r="A990" i="20"/>
  <c r="B990" i="20"/>
  <c r="C990" i="20"/>
  <c r="D990" i="20"/>
  <c r="A991" i="20"/>
  <c r="B991" i="20"/>
  <c r="C991" i="20"/>
  <c r="D991" i="20"/>
  <c r="A992" i="20"/>
  <c r="B992" i="20"/>
  <c r="C992" i="20"/>
  <c r="D992" i="20"/>
  <c r="A993" i="20"/>
  <c r="B993" i="20"/>
  <c r="C993" i="20"/>
  <c r="D993" i="20"/>
  <c r="A994" i="20"/>
  <c r="B994" i="20"/>
  <c r="C994" i="20"/>
  <c r="D994" i="20"/>
  <c r="A995" i="20"/>
  <c r="B995" i="20"/>
  <c r="C995" i="20"/>
  <c r="D995" i="20"/>
  <c r="A996" i="20"/>
  <c r="B996" i="20"/>
  <c r="C996" i="20"/>
  <c r="D996" i="20"/>
  <c r="A997" i="20"/>
  <c r="B997" i="20"/>
  <c r="C997" i="20"/>
  <c r="D997" i="20"/>
  <c r="A998" i="20"/>
  <c r="B998" i="20"/>
  <c r="C998" i="20"/>
  <c r="D998" i="20"/>
  <c r="A999" i="20"/>
  <c r="B999" i="20"/>
  <c r="C999" i="20"/>
  <c r="D999" i="20"/>
  <c r="A1000" i="20"/>
  <c r="B1000" i="20"/>
  <c r="C1000" i="20"/>
  <c r="D1000" i="20"/>
  <c r="A1001" i="20"/>
  <c r="B1001" i="20"/>
  <c r="C1001" i="20"/>
  <c r="D1001" i="20"/>
  <c r="A1002" i="20"/>
  <c r="B1002" i="20"/>
  <c r="C1002" i="20"/>
  <c r="D1002" i="20"/>
  <c r="A1003" i="20"/>
  <c r="B1003" i="20"/>
  <c r="C1003" i="20"/>
  <c r="D1003" i="20"/>
  <c r="A1004" i="20"/>
  <c r="B1004" i="20"/>
  <c r="C1004" i="20"/>
  <c r="D1004" i="20"/>
  <c r="A1005" i="20"/>
  <c r="B1005" i="20"/>
  <c r="C1005" i="20"/>
  <c r="D1005" i="20"/>
  <c r="A1006" i="20"/>
  <c r="B1006" i="20"/>
  <c r="C1006" i="20"/>
  <c r="D1006" i="20"/>
  <c r="A1007" i="20"/>
  <c r="B1007" i="20"/>
  <c r="C1007" i="20"/>
  <c r="D1007" i="20"/>
  <c r="A1008" i="20"/>
  <c r="B1008" i="20"/>
  <c r="C1008" i="20"/>
  <c r="D1008" i="20"/>
  <c r="A1009" i="20"/>
  <c r="B1009" i="20"/>
  <c r="C1009" i="20"/>
  <c r="D1009" i="20"/>
  <c r="A1010" i="20"/>
  <c r="B1010" i="20"/>
  <c r="C1010" i="20"/>
  <c r="D1010" i="20"/>
  <c r="A1011" i="20"/>
  <c r="B1011" i="20"/>
  <c r="C1011" i="20"/>
  <c r="D1011" i="20"/>
  <c r="A1012" i="20"/>
  <c r="B1012" i="20"/>
  <c r="C1012" i="20"/>
  <c r="D1012" i="20"/>
  <c r="A1013" i="20"/>
  <c r="B1013" i="20"/>
  <c r="C1013" i="20"/>
  <c r="D1013" i="20"/>
  <c r="A1014" i="20"/>
  <c r="B1014" i="20"/>
  <c r="C1014" i="20"/>
  <c r="D1014" i="20"/>
  <c r="A1015" i="20"/>
  <c r="B1015" i="20"/>
  <c r="C1015" i="20"/>
  <c r="D1015" i="20"/>
  <c r="A1016" i="20"/>
  <c r="B1016" i="20"/>
  <c r="C1016" i="20"/>
  <c r="D1016" i="20"/>
  <c r="A1017" i="20"/>
  <c r="B1017" i="20"/>
  <c r="C1017" i="20"/>
  <c r="D1017" i="20"/>
  <c r="A1018" i="20"/>
  <c r="B1018" i="20"/>
  <c r="C1018" i="20"/>
  <c r="D1018" i="20"/>
  <c r="A1019" i="20"/>
  <c r="B1019" i="20"/>
  <c r="C1019" i="20"/>
  <c r="D1019" i="20"/>
  <c r="A1020" i="20"/>
  <c r="B1020" i="20"/>
  <c r="C1020" i="20"/>
  <c r="D1020" i="20"/>
  <c r="A1021" i="20"/>
  <c r="B1021" i="20"/>
  <c r="C1021" i="20"/>
  <c r="D1021" i="20"/>
  <c r="A1022" i="20"/>
  <c r="B1022" i="20"/>
  <c r="C1022" i="20"/>
  <c r="D1022" i="20"/>
  <c r="A1023" i="20"/>
  <c r="B1023" i="20"/>
  <c r="C1023" i="20"/>
  <c r="D1023" i="20"/>
  <c r="A1024" i="20"/>
  <c r="B1024" i="20"/>
  <c r="C1024" i="20"/>
  <c r="D1024" i="20"/>
  <c r="A1025" i="20"/>
  <c r="B1025" i="20"/>
  <c r="C1025" i="20"/>
  <c r="D1025" i="20"/>
  <c r="A1026" i="20"/>
  <c r="B1026" i="20"/>
  <c r="C1026" i="20"/>
  <c r="D1026" i="20"/>
  <c r="A1027" i="20"/>
  <c r="B1027" i="20"/>
  <c r="C1027" i="20"/>
  <c r="D1027" i="20"/>
  <c r="A1028" i="20"/>
  <c r="B1028" i="20"/>
  <c r="C1028" i="20"/>
  <c r="D1028" i="20"/>
  <c r="A1029" i="20"/>
  <c r="B1029" i="20"/>
  <c r="C1029" i="20"/>
  <c r="D1029" i="20"/>
  <c r="A1030" i="20"/>
  <c r="B1030" i="20"/>
  <c r="C1030" i="20"/>
  <c r="D1030" i="20"/>
  <c r="A1031" i="20"/>
  <c r="B1031" i="20"/>
  <c r="C1031" i="20"/>
  <c r="D1031" i="20"/>
  <c r="A1032" i="20"/>
  <c r="B1032" i="20"/>
  <c r="C1032" i="20"/>
  <c r="D1032" i="20"/>
  <c r="A1033" i="20"/>
  <c r="B1033" i="20"/>
  <c r="C1033" i="20"/>
  <c r="D1033" i="20"/>
  <c r="A1034" i="20"/>
  <c r="B1034" i="20"/>
  <c r="C1034" i="20"/>
  <c r="D1034" i="20"/>
  <c r="A1035" i="20"/>
  <c r="B1035" i="20"/>
  <c r="C1035" i="20"/>
  <c r="D1035" i="20"/>
  <c r="A1036" i="20"/>
  <c r="B1036" i="20"/>
  <c r="C1036" i="20"/>
  <c r="D1036" i="20"/>
  <c r="A1037" i="20"/>
  <c r="B1037" i="20"/>
  <c r="C1037" i="20"/>
  <c r="D1037" i="20"/>
  <c r="A1038" i="20"/>
  <c r="B1038" i="20"/>
  <c r="C1038" i="20"/>
  <c r="D1038" i="20"/>
  <c r="A1039" i="20"/>
  <c r="B1039" i="20"/>
  <c r="C1039" i="20"/>
  <c r="D1039" i="20"/>
  <c r="A1040" i="20"/>
  <c r="B1040" i="20"/>
  <c r="C1040" i="20"/>
  <c r="D1040" i="20"/>
  <c r="A1041" i="20"/>
  <c r="B1041" i="20"/>
  <c r="C1041" i="20"/>
  <c r="D1041" i="20"/>
  <c r="A1042" i="20"/>
  <c r="B1042" i="20"/>
  <c r="C1042" i="20"/>
  <c r="D1042" i="20"/>
  <c r="A1043" i="20"/>
  <c r="B1043" i="20"/>
  <c r="C1043" i="20"/>
  <c r="D1043" i="20"/>
  <c r="A1044" i="20"/>
  <c r="B1044" i="20"/>
  <c r="C1044" i="20"/>
  <c r="D1044" i="20"/>
  <c r="A1045" i="20"/>
  <c r="B1045" i="20"/>
  <c r="C1045" i="20"/>
  <c r="D1045" i="20"/>
  <c r="A1046" i="20"/>
  <c r="B1046" i="20"/>
  <c r="C1046" i="20"/>
  <c r="D1046" i="20"/>
  <c r="A1047" i="20"/>
  <c r="B1047" i="20"/>
  <c r="C1047" i="20"/>
  <c r="D1047" i="20"/>
  <c r="A1048" i="20"/>
  <c r="B1048" i="20"/>
  <c r="C1048" i="20"/>
  <c r="D1048" i="20"/>
  <c r="A1049" i="20"/>
  <c r="B1049" i="20"/>
  <c r="C1049" i="20"/>
  <c r="D1049" i="20"/>
  <c r="A1050" i="20"/>
  <c r="B1050" i="20"/>
  <c r="C1050" i="20"/>
  <c r="D1050" i="20"/>
  <c r="A1051" i="20"/>
  <c r="B1051" i="20"/>
  <c r="C1051" i="20"/>
  <c r="D1051" i="20"/>
  <c r="A1052" i="20"/>
  <c r="B1052" i="20"/>
  <c r="C1052" i="20"/>
  <c r="D1052" i="20"/>
  <c r="A1053" i="20"/>
  <c r="B1053" i="20"/>
  <c r="C1053" i="20"/>
  <c r="D1053" i="20"/>
  <c r="A1054" i="20"/>
  <c r="B1054" i="20"/>
  <c r="C1054" i="20"/>
  <c r="D1054" i="20"/>
  <c r="A1055" i="20"/>
  <c r="B1055" i="20"/>
  <c r="C1055" i="20"/>
  <c r="D1055" i="20"/>
  <c r="A1056" i="20"/>
  <c r="B1056" i="20"/>
  <c r="C1056" i="20"/>
  <c r="D1056" i="20"/>
  <c r="A1057" i="20"/>
  <c r="B1057" i="20"/>
  <c r="C1057" i="20"/>
  <c r="D1057" i="20"/>
  <c r="A1058" i="20"/>
  <c r="B1058" i="20"/>
  <c r="C1058" i="20"/>
  <c r="D1058" i="20"/>
  <c r="A1059" i="20"/>
  <c r="B1059" i="20"/>
  <c r="C1059" i="20"/>
  <c r="D1059" i="20"/>
  <c r="A1060" i="20"/>
  <c r="B1060" i="20"/>
  <c r="C1060" i="20"/>
  <c r="D1060" i="20"/>
  <c r="A1061" i="20"/>
  <c r="B1061" i="20"/>
  <c r="C1061" i="20"/>
  <c r="D1061" i="20"/>
  <c r="A1062" i="20"/>
  <c r="B1062" i="20"/>
  <c r="C1062" i="20"/>
  <c r="D1062" i="20"/>
  <c r="A1063" i="20"/>
  <c r="B1063" i="20"/>
  <c r="C1063" i="20"/>
  <c r="D1063" i="20"/>
  <c r="A1064" i="20"/>
  <c r="B1064" i="20"/>
  <c r="C1064" i="20"/>
  <c r="D1064" i="20"/>
  <c r="A1065" i="20"/>
  <c r="B1065" i="20"/>
  <c r="C1065" i="20"/>
  <c r="D1065" i="20"/>
  <c r="A1066" i="20"/>
  <c r="B1066" i="20"/>
  <c r="C1066" i="20"/>
  <c r="D1066" i="20"/>
  <c r="A1067" i="20"/>
  <c r="B1067" i="20"/>
  <c r="C1067" i="20"/>
  <c r="D1067" i="20"/>
  <c r="A1068" i="20"/>
  <c r="B1068" i="20"/>
  <c r="C1068" i="20"/>
  <c r="D1068" i="20"/>
  <c r="A1069" i="20"/>
  <c r="B1069" i="20"/>
  <c r="C1069" i="20"/>
  <c r="D1069" i="20"/>
  <c r="A1070" i="20"/>
  <c r="B1070" i="20"/>
  <c r="C1070" i="20"/>
  <c r="D1070" i="20"/>
  <c r="A1071" i="20"/>
  <c r="B1071" i="20"/>
  <c r="C1071" i="20"/>
  <c r="D1071" i="20"/>
  <c r="A1072" i="20"/>
  <c r="B1072" i="20"/>
  <c r="C1072" i="20"/>
  <c r="D1072" i="20"/>
  <c r="A1073" i="20"/>
  <c r="B1073" i="20"/>
  <c r="C1073" i="20"/>
  <c r="D1073" i="20"/>
  <c r="A1074" i="20"/>
  <c r="B1074" i="20"/>
  <c r="C1074" i="20"/>
  <c r="D1074" i="20"/>
  <c r="A1075" i="20"/>
  <c r="B1075" i="20"/>
  <c r="C1075" i="20"/>
  <c r="D1075" i="20"/>
  <c r="A1076" i="20"/>
  <c r="B1076" i="20"/>
  <c r="C1076" i="20"/>
  <c r="D1076" i="20"/>
  <c r="A1077" i="20"/>
  <c r="B1077" i="20"/>
  <c r="C1077" i="20"/>
  <c r="D1077" i="20"/>
  <c r="A1078" i="20"/>
  <c r="B1078" i="20"/>
  <c r="C1078" i="20"/>
  <c r="D1078" i="20"/>
  <c r="A1079" i="20"/>
  <c r="B1079" i="20"/>
  <c r="C1079" i="20"/>
  <c r="D1079" i="20"/>
  <c r="A1080" i="20"/>
  <c r="B1080" i="20"/>
  <c r="C1080" i="20"/>
  <c r="D1080" i="20"/>
  <c r="A1081" i="20"/>
  <c r="B1081" i="20"/>
  <c r="C1081" i="20"/>
  <c r="D1081" i="20"/>
  <c r="A1082" i="20"/>
  <c r="B1082" i="20"/>
  <c r="C1082" i="20"/>
  <c r="D1082" i="20"/>
  <c r="A1083" i="20"/>
  <c r="B1083" i="20"/>
  <c r="C1083" i="20"/>
  <c r="D1083" i="20"/>
  <c r="A1084" i="20"/>
  <c r="B1084" i="20"/>
  <c r="C1084" i="20"/>
  <c r="D1084" i="20"/>
  <c r="A1085" i="20"/>
  <c r="B1085" i="20"/>
  <c r="C1085" i="20"/>
  <c r="D1085" i="20"/>
  <c r="A1086" i="20"/>
  <c r="B1086" i="20"/>
  <c r="C1086" i="20"/>
  <c r="D1086" i="20"/>
  <c r="A1087" i="20"/>
  <c r="B1087" i="20"/>
  <c r="C1087" i="20"/>
  <c r="D1087" i="20"/>
  <c r="A1088" i="20"/>
  <c r="B1088" i="20"/>
  <c r="C1088" i="20"/>
  <c r="D1088" i="20"/>
  <c r="A1089" i="20"/>
  <c r="B1089" i="20"/>
  <c r="C1089" i="20"/>
  <c r="D1089" i="20"/>
  <c r="A1090" i="20"/>
  <c r="B1090" i="20"/>
  <c r="C1090" i="20"/>
  <c r="D1090" i="20"/>
  <c r="A1091" i="20"/>
  <c r="B1091" i="20"/>
  <c r="C1091" i="20"/>
  <c r="D1091" i="20"/>
  <c r="A1092" i="20"/>
  <c r="B1092" i="20"/>
  <c r="C1092" i="20"/>
  <c r="D1092" i="20"/>
  <c r="A1093" i="20"/>
  <c r="B1093" i="20"/>
  <c r="C1093" i="20"/>
  <c r="D1093" i="20"/>
  <c r="A1094" i="20"/>
  <c r="B1094" i="20"/>
  <c r="C1094" i="20"/>
  <c r="D1094" i="20"/>
  <c r="A1095" i="20"/>
  <c r="B1095" i="20"/>
  <c r="C1095" i="20"/>
  <c r="D1095" i="20"/>
  <c r="A1096" i="20"/>
  <c r="B1096" i="20"/>
  <c r="C1096" i="20"/>
  <c r="D1096" i="20"/>
  <c r="A1097" i="20"/>
  <c r="B1097" i="20"/>
  <c r="C1097" i="20"/>
  <c r="D1097" i="20"/>
  <c r="A1098" i="20"/>
  <c r="B1098" i="20"/>
  <c r="C1098" i="20"/>
  <c r="D1098" i="20"/>
  <c r="A1099" i="20"/>
  <c r="B1099" i="20"/>
  <c r="C1099" i="20"/>
  <c r="D1099" i="20"/>
  <c r="A1100" i="20"/>
  <c r="B1100" i="20"/>
  <c r="C1100" i="20"/>
  <c r="D1100" i="20"/>
  <c r="A1101" i="20"/>
  <c r="B1101" i="20"/>
  <c r="C1101" i="20"/>
  <c r="D1101" i="20"/>
  <c r="A1102" i="20"/>
  <c r="B1102" i="20"/>
  <c r="C1102" i="20"/>
  <c r="D1102" i="20"/>
  <c r="A1103" i="20"/>
  <c r="B1103" i="20"/>
  <c r="C1103" i="20"/>
  <c r="D1103" i="20"/>
  <c r="A1104" i="20"/>
  <c r="B1104" i="20"/>
  <c r="C1104" i="20"/>
  <c r="D1104" i="20"/>
  <c r="A1105" i="20"/>
  <c r="B1105" i="20"/>
  <c r="C1105" i="20"/>
  <c r="D1105" i="20"/>
  <c r="A1106" i="20"/>
  <c r="B1106" i="20"/>
  <c r="C1106" i="20"/>
  <c r="D1106" i="20"/>
  <c r="A1107" i="20"/>
  <c r="B1107" i="20"/>
  <c r="C1107" i="20"/>
  <c r="D1107" i="20"/>
  <c r="A1108" i="20"/>
  <c r="B1108" i="20"/>
  <c r="C1108" i="20"/>
  <c r="D1108" i="20"/>
  <c r="A1109" i="20"/>
  <c r="B1109" i="20"/>
  <c r="C1109" i="20"/>
  <c r="D1109" i="20"/>
  <c r="A1110" i="20"/>
  <c r="B1110" i="20"/>
  <c r="C1110" i="20"/>
  <c r="D1110" i="20"/>
  <c r="A1111" i="20"/>
  <c r="B1111" i="20"/>
  <c r="C1111" i="20"/>
  <c r="D1111" i="20"/>
  <c r="A1112" i="20"/>
  <c r="B1112" i="20"/>
  <c r="C1112" i="20"/>
  <c r="D1112" i="20"/>
  <c r="A1113" i="20"/>
  <c r="B1113" i="20"/>
  <c r="C1113" i="20"/>
  <c r="D1113" i="20"/>
  <c r="A1114" i="20"/>
  <c r="B1114" i="20"/>
  <c r="C1114" i="20"/>
  <c r="D1114" i="20"/>
  <c r="A1115" i="20"/>
  <c r="B1115" i="20"/>
  <c r="C1115" i="20"/>
  <c r="D1115" i="20"/>
  <c r="A1116" i="20"/>
  <c r="B1116" i="20"/>
  <c r="C1116" i="20"/>
  <c r="D1116" i="20"/>
  <c r="A1117" i="20"/>
  <c r="B1117" i="20"/>
  <c r="C1117" i="20"/>
  <c r="D1117" i="20"/>
  <c r="A1118" i="20"/>
  <c r="B1118" i="20"/>
  <c r="C1118" i="20"/>
  <c r="D1118" i="20"/>
  <c r="A1119" i="20"/>
  <c r="B1119" i="20"/>
  <c r="C1119" i="20"/>
  <c r="D1119" i="20"/>
  <c r="A1120" i="20"/>
  <c r="B1120" i="20"/>
  <c r="C1120" i="20"/>
  <c r="D1120" i="20"/>
  <c r="A1121" i="20"/>
  <c r="B1121" i="20"/>
  <c r="C1121" i="20"/>
  <c r="D1121" i="20"/>
  <c r="A1122" i="20"/>
  <c r="B1122" i="20"/>
  <c r="C1122" i="20"/>
  <c r="D1122" i="20"/>
  <c r="A1123" i="20"/>
  <c r="B1123" i="20"/>
  <c r="C1123" i="20"/>
  <c r="D1123" i="20"/>
  <c r="A1124" i="20"/>
  <c r="B1124" i="20"/>
  <c r="C1124" i="20"/>
  <c r="D1124" i="20"/>
  <c r="A1125" i="20"/>
  <c r="B1125" i="20"/>
  <c r="C1125" i="20"/>
  <c r="D1125" i="20"/>
  <c r="A1126" i="20"/>
  <c r="B1126" i="20"/>
  <c r="C1126" i="20"/>
  <c r="D1126" i="20"/>
  <c r="A1127" i="20"/>
  <c r="B1127" i="20"/>
  <c r="C1127" i="20"/>
  <c r="D1127" i="20"/>
  <c r="A1128" i="20"/>
  <c r="B1128" i="20"/>
  <c r="C1128" i="20"/>
  <c r="D1128" i="20"/>
  <c r="A1129" i="20"/>
  <c r="B1129" i="20"/>
  <c r="C1129" i="20"/>
  <c r="D1129" i="20"/>
  <c r="A1130" i="20"/>
  <c r="B1130" i="20"/>
  <c r="C1130" i="20"/>
  <c r="D1130" i="20"/>
  <c r="A1131" i="20"/>
  <c r="B1131" i="20"/>
  <c r="C1131" i="20"/>
  <c r="D1131" i="20"/>
  <c r="A1132" i="20"/>
  <c r="B1132" i="20"/>
  <c r="C1132" i="20"/>
  <c r="D1132" i="20"/>
  <c r="A1133" i="20"/>
  <c r="B1133" i="20"/>
  <c r="C1133" i="20"/>
  <c r="D1133" i="20"/>
  <c r="A1134" i="20"/>
  <c r="B1134" i="20"/>
  <c r="C1134" i="20"/>
  <c r="D1134" i="20"/>
  <c r="A1135" i="20"/>
  <c r="B1135" i="20"/>
  <c r="C1135" i="20"/>
  <c r="D1135" i="20"/>
  <c r="A1136" i="20"/>
  <c r="B1136" i="20"/>
  <c r="C1136" i="20"/>
  <c r="D1136" i="20"/>
  <c r="A1137" i="20"/>
  <c r="B1137" i="20"/>
  <c r="C1137" i="20"/>
  <c r="D1137" i="20"/>
  <c r="A1138" i="20"/>
  <c r="B1138" i="20"/>
  <c r="C1138" i="20"/>
  <c r="D1138" i="20"/>
  <c r="A1139" i="20"/>
  <c r="B1139" i="20"/>
  <c r="C1139" i="20"/>
  <c r="D1139" i="20"/>
  <c r="A1140" i="20"/>
  <c r="B1140" i="20"/>
  <c r="C1140" i="20"/>
  <c r="D1140" i="20"/>
  <c r="A1141" i="20"/>
  <c r="B1141" i="20"/>
  <c r="C1141" i="20"/>
  <c r="D1141" i="20"/>
  <c r="A1142" i="20"/>
  <c r="B1142" i="20"/>
  <c r="C1142" i="20"/>
  <c r="D1142" i="20"/>
  <c r="A1143" i="20"/>
  <c r="B1143" i="20"/>
  <c r="C1143" i="20"/>
  <c r="D1143" i="20"/>
  <c r="A1144" i="20"/>
  <c r="B1144" i="20"/>
  <c r="C1144" i="20"/>
  <c r="D1144" i="20"/>
  <c r="A1145" i="20"/>
  <c r="B1145" i="20"/>
  <c r="C1145" i="20"/>
  <c r="D1145" i="20"/>
  <c r="A1146" i="20"/>
  <c r="B1146" i="20"/>
  <c r="C1146" i="20"/>
  <c r="D1146" i="20"/>
  <c r="A1147" i="20"/>
  <c r="B1147" i="20"/>
  <c r="C1147" i="20"/>
  <c r="D1147" i="20"/>
  <c r="A1148" i="20"/>
  <c r="B1148" i="20"/>
  <c r="C1148" i="20"/>
  <c r="D1148" i="20"/>
  <c r="A1149" i="20"/>
  <c r="B1149" i="20"/>
  <c r="C1149" i="20"/>
  <c r="D1149" i="20"/>
  <c r="A1150" i="20"/>
  <c r="B1150" i="20"/>
  <c r="C1150" i="20"/>
  <c r="D1150" i="20"/>
  <c r="A1151" i="20"/>
  <c r="B1151" i="20"/>
  <c r="C1151" i="20"/>
  <c r="D1151" i="20"/>
  <c r="A1152" i="20"/>
  <c r="B1152" i="20"/>
  <c r="C1152" i="20"/>
  <c r="D1152" i="20"/>
  <c r="A1153" i="20"/>
  <c r="B1153" i="20"/>
  <c r="C1153" i="20"/>
  <c r="D1153" i="20"/>
  <c r="A1154" i="20"/>
  <c r="B1154" i="20"/>
  <c r="C1154" i="20"/>
  <c r="D1154" i="20"/>
  <c r="A1155" i="20"/>
  <c r="B1155" i="20"/>
  <c r="C1155" i="20"/>
  <c r="D1155" i="20"/>
  <c r="A1156" i="20"/>
  <c r="B1156" i="20"/>
  <c r="C1156" i="20"/>
  <c r="D1156" i="20"/>
  <c r="A1157" i="20"/>
  <c r="B1157" i="20"/>
  <c r="C1157" i="20"/>
  <c r="D1157" i="20"/>
  <c r="A1158" i="20"/>
  <c r="B1158" i="20"/>
  <c r="C1158" i="20"/>
  <c r="D1158" i="20"/>
  <c r="A1159" i="20"/>
  <c r="B1159" i="20"/>
  <c r="C1159" i="20"/>
  <c r="D1159" i="20"/>
  <c r="A1160" i="20"/>
  <c r="B1160" i="20"/>
  <c r="C1160" i="20"/>
  <c r="D1160" i="20"/>
  <c r="A1161" i="20"/>
  <c r="B1161" i="20"/>
  <c r="C1161" i="20"/>
  <c r="D1161" i="20"/>
  <c r="A1162" i="20"/>
  <c r="B1162" i="20"/>
  <c r="C1162" i="20"/>
  <c r="D1162" i="20"/>
  <c r="A1163" i="20"/>
  <c r="B1163" i="20"/>
  <c r="C1163" i="20"/>
  <c r="D1163" i="20"/>
  <c r="A1164" i="20"/>
  <c r="B1164" i="20"/>
  <c r="C1164" i="20"/>
  <c r="D1164" i="20"/>
  <c r="A1165" i="20"/>
  <c r="B1165" i="20"/>
  <c r="C1165" i="20"/>
  <c r="D1165" i="20"/>
  <c r="A1166" i="20"/>
  <c r="B1166" i="20"/>
  <c r="C1166" i="20"/>
  <c r="D1166" i="20"/>
  <c r="A1167" i="20"/>
  <c r="B1167" i="20"/>
  <c r="C1167" i="20"/>
  <c r="D1167" i="20"/>
  <c r="A1168" i="20"/>
  <c r="B1168" i="20"/>
  <c r="C1168" i="20"/>
  <c r="D1168" i="20"/>
  <c r="A1169" i="20"/>
  <c r="B1169" i="20"/>
  <c r="C1169" i="20"/>
  <c r="D1169" i="20"/>
  <c r="A1170" i="20"/>
  <c r="B1170" i="20"/>
  <c r="C1170" i="20"/>
  <c r="D1170" i="20"/>
  <c r="A1171" i="20"/>
  <c r="B1171" i="20"/>
  <c r="C1171" i="20"/>
  <c r="D1171" i="20"/>
  <c r="A1172" i="20"/>
  <c r="B1172" i="20"/>
  <c r="C1172" i="20"/>
  <c r="D1172" i="20"/>
  <c r="A1173" i="20"/>
  <c r="B1173" i="20"/>
  <c r="C1173" i="20"/>
  <c r="D1173" i="20"/>
  <c r="A1174" i="20"/>
  <c r="B1174" i="20"/>
  <c r="C1174" i="20"/>
  <c r="D1174" i="20"/>
  <c r="A1175" i="20"/>
  <c r="B1175" i="20"/>
  <c r="C1175" i="20"/>
  <c r="D1175" i="20"/>
  <c r="A1176" i="20"/>
  <c r="B1176" i="20"/>
  <c r="C1176" i="20"/>
  <c r="D1176" i="20"/>
  <c r="A1177" i="20"/>
  <c r="B1177" i="20"/>
  <c r="C1177" i="20"/>
  <c r="D1177" i="20"/>
  <c r="A1178" i="20"/>
  <c r="B1178" i="20"/>
  <c r="C1178" i="20"/>
  <c r="D1178" i="20"/>
  <c r="A1179" i="20"/>
  <c r="B1179" i="20"/>
  <c r="C1179" i="20"/>
  <c r="D1179" i="20"/>
  <c r="A1180" i="20"/>
  <c r="B1180" i="20"/>
  <c r="C1180" i="20"/>
  <c r="D1180" i="20"/>
  <c r="A1181" i="20"/>
  <c r="B1181" i="20"/>
  <c r="C1181" i="20"/>
  <c r="D1181" i="20"/>
  <c r="A1182" i="20"/>
  <c r="B1182" i="20"/>
  <c r="C1182" i="20"/>
  <c r="D1182" i="20"/>
  <c r="A1183" i="20"/>
  <c r="B1183" i="20"/>
  <c r="C1183" i="20"/>
  <c r="D1183" i="20"/>
  <c r="A1184" i="20"/>
  <c r="B1184" i="20"/>
  <c r="C1184" i="20"/>
  <c r="D1184" i="20"/>
  <c r="A1185" i="20"/>
  <c r="B1185" i="20"/>
  <c r="C1185" i="20"/>
  <c r="D1185" i="20"/>
  <c r="A1186" i="20"/>
  <c r="B1186" i="20"/>
  <c r="C1186" i="20"/>
  <c r="D1186" i="20"/>
  <c r="A1187" i="20"/>
  <c r="B1187" i="20"/>
  <c r="C1187" i="20"/>
  <c r="D1187" i="20"/>
  <c r="A1188" i="20"/>
  <c r="B1188" i="20"/>
  <c r="C1188" i="20"/>
  <c r="D1188" i="20"/>
  <c r="A1189" i="20"/>
  <c r="B1189" i="20"/>
  <c r="C1189" i="20"/>
  <c r="D1189" i="20"/>
  <c r="A1190" i="20"/>
  <c r="B1190" i="20"/>
  <c r="C1190" i="20"/>
  <c r="D1190" i="20"/>
  <c r="A1191" i="20"/>
  <c r="B1191" i="20"/>
  <c r="C1191" i="20"/>
  <c r="D1191" i="20"/>
  <c r="A1192" i="20"/>
  <c r="B1192" i="20"/>
  <c r="C1192" i="20"/>
  <c r="D1192" i="20"/>
  <c r="A1193" i="20"/>
  <c r="B1193" i="20"/>
  <c r="C1193" i="20"/>
  <c r="D1193" i="20"/>
  <c r="A1194" i="20"/>
  <c r="B1194" i="20"/>
  <c r="C1194" i="20"/>
  <c r="D1194" i="20"/>
  <c r="A1195" i="20"/>
  <c r="B1195" i="20"/>
  <c r="C1195" i="20"/>
  <c r="D1195" i="20"/>
  <c r="A1196" i="20"/>
  <c r="B1196" i="20"/>
  <c r="C1196" i="20"/>
  <c r="D1196" i="20"/>
  <c r="A1197" i="20"/>
  <c r="B1197" i="20"/>
  <c r="C1197" i="20"/>
  <c r="D1197" i="20"/>
  <c r="A1198" i="20"/>
  <c r="B1198" i="20"/>
  <c r="C1198" i="20"/>
  <c r="D1198" i="20"/>
  <c r="A1199" i="20"/>
  <c r="B1199" i="20"/>
  <c r="C1199" i="20"/>
  <c r="D1199" i="20"/>
  <c r="A1200" i="20"/>
  <c r="B1200" i="20"/>
  <c r="C1200" i="20"/>
  <c r="D1200" i="20"/>
  <c r="BS10" i="1" l="1"/>
  <c r="AE49" i="26"/>
  <c r="AE48" i="26"/>
  <c r="AE62" i="26"/>
  <c r="AE54" i="26"/>
  <c r="AE16" i="26"/>
  <c r="AE3" i="26"/>
  <c r="AE96" i="26"/>
  <c r="AE64" i="26" l="1"/>
  <c r="AE61" i="26"/>
  <c r="AE56" i="26"/>
  <c r="AE52" i="26"/>
  <c r="AE24" i="26"/>
  <c r="AE19" i="26"/>
  <c r="AE5" i="26"/>
  <c r="AE60" i="26"/>
  <c r="AR151" i="1" l="1"/>
  <c r="AT151" i="1"/>
  <c r="AV151" i="1"/>
  <c r="BN151" i="1"/>
  <c r="BV151" i="1"/>
  <c r="CH151" i="1"/>
  <c r="CI151" i="1"/>
  <c r="EM151" i="1"/>
  <c r="EN151" i="1"/>
  <c r="AE132" i="26" l="1"/>
  <c r="AN10" i="1" l="1"/>
  <c r="EZ10" i="1" s="1"/>
  <c r="FB10" i="1" l="1"/>
  <c r="AE130" i="26"/>
  <c r="AE131" i="26"/>
  <c r="AE133" i="26"/>
  <c r="AE134" i="26"/>
  <c r="M10" i="1"/>
  <c r="AJ10" i="1" l="1"/>
  <c r="R10" i="1" l="1"/>
  <c r="Z10" i="1"/>
  <c r="AU10" i="1"/>
  <c r="CS151" i="1"/>
  <c r="CT151" i="1"/>
  <c r="CV151" i="1"/>
  <c r="CY151" i="1"/>
  <c r="DC151" i="1"/>
  <c r="DD151" i="1"/>
  <c r="DE151" i="1"/>
  <c r="DG151" i="1"/>
  <c r="DI151" i="1"/>
  <c r="DX151" i="1"/>
  <c r="DZ151" i="1"/>
  <c r="EA151" i="1"/>
  <c r="EE151" i="1"/>
  <c r="EV10" i="1"/>
  <c r="EW10" i="1"/>
  <c r="EX10" i="1"/>
  <c r="FD10" i="1"/>
  <c r="AB25" i="17" l="1"/>
  <c r="AC25" i="17"/>
  <c r="AD25" i="17"/>
  <c r="AE25" i="17"/>
  <c r="AF25" i="17"/>
  <c r="AG25" i="17"/>
  <c r="AH25" i="17"/>
  <c r="AI25" i="17"/>
  <c r="AJ25" i="17"/>
  <c r="AB26" i="17"/>
  <c r="AC26" i="17"/>
  <c r="AD26" i="17"/>
  <c r="AE26" i="17"/>
  <c r="AF26" i="17"/>
  <c r="AG26" i="17"/>
  <c r="AH26" i="17"/>
  <c r="AI26" i="17"/>
  <c r="AJ26" i="17"/>
  <c r="AB27" i="17"/>
  <c r="AC27" i="17"/>
  <c r="AD27" i="17"/>
  <c r="AE27" i="17"/>
  <c r="AF27" i="17"/>
  <c r="AG27" i="17"/>
  <c r="AH27" i="17"/>
  <c r="AI27" i="17"/>
  <c r="AJ27" i="17"/>
  <c r="AA27" i="17"/>
  <c r="AA26" i="17"/>
  <c r="AA25" i="17"/>
  <c r="AB24" i="17"/>
  <c r="AC24" i="17"/>
  <c r="AD24" i="17"/>
  <c r="AE24" i="17"/>
  <c r="AF24" i="17"/>
  <c r="AG24" i="17"/>
  <c r="AH24" i="17"/>
  <c r="AI24" i="17"/>
  <c r="AJ24" i="17"/>
  <c r="AA24" i="17"/>
  <c r="M26" i="17"/>
  <c r="M24" i="17"/>
  <c r="J32" i="17"/>
  <c r="P26" i="17" s="1"/>
  <c r="J30" i="17"/>
  <c r="V24" i="17" s="1"/>
  <c r="BV5" i="21"/>
  <c r="BV6" i="21"/>
  <c r="BV7" i="21"/>
  <c r="BV8" i="21"/>
  <c r="BV9" i="21"/>
  <c r="BV10" i="21"/>
  <c r="BV11" i="21"/>
  <c r="BV12" i="21"/>
  <c r="BV13" i="21"/>
  <c r="BV14" i="21"/>
  <c r="BV15" i="21"/>
  <c r="BV16" i="21"/>
  <c r="BV17" i="21"/>
  <c r="BV18" i="21"/>
  <c r="BV19" i="21"/>
  <c r="BV20" i="21"/>
  <c r="BV21" i="21"/>
  <c r="BV22" i="21"/>
  <c r="BV23" i="21"/>
  <c r="BV24" i="21"/>
  <c r="BV25" i="21"/>
  <c r="BV26" i="21"/>
  <c r="BV27" i="21"/>
  <c r="BV28" i="21"/>
  <c r="BV29" i="21"/>
  <c r="BV30" i="21"/>
  <c r="BV31" i="21"/>
  <c r="BV32" i="21"/>
  <c r="BV33" i="21"/>
  <c r="BV34" i="21"/>
  <c r="BV35" i="21"/>
  <c r="BV36" i="21"/>
  <c r="BV37" i="21"/>
  <c r="BV38" i="21"/>
  <c r="BV39" i="21"/>
  <c r="BV40" i="21"/>
  <c r="BV41" i="21"/>
  <c r="BV42" i="21"/>
  <c r="BV43" i="21"/>
  <c r="BV44" i="21"/>
  <c r="BV45" i="21"/>
  <c r="BV46" i="21"/>
  <c r="BV47" i="21"/>
  <c r="BV48" i="21"/>
  <c r="BV49" i="21"/>
  <c r="BV50" i="21"/>
  <c r="BV51" i="21"/>
  <c r="BV52" i="21"/>
  <c r="BV53" i="21"/>
  <c r="BV54" i="21"/>
  <c r="BV55" i="21"/>
  <c r="D53" i="24" l="1"/>
  <c r="CN55" i="21"/>
  <c r="BU10" i="1"/>
  <c r="BU151" i="1" s="1"/>
  <c r="CN54" i="21"/>
  <c r="D54" i="24"/>
  <c r="T24" i="17"/>
  <c r="V26" i="17"/>
  <c r="S24" i="17"/>
  <c r="U26" i="17"/>
  <c r="R24" i="17"/>
  <c r="T26" i="17"/>
  <c r="U24" i="17"/>
  <c r="O24" i="17"/>
  <c r="Q24" i="17"/>
  <c r="S26" i="17"/>
  <c r="W26" i="17"/>
  <c r="X24" i="17"/>
  <c r="P24" i="17"/>
  <c r="R26" i="17"/>
  <c r="W24" i="17"/>
  <c r="O26" i="17"/>
  <c r="Q26" i="17"/>
  <c r="X26" i="17"/>
  <c r="BZ25" i="21"/>
  <c r="BY27" i="21"/>
  <c r="BY25" i="21"/>
  <c r="CH27" i="21"/>
  <c r="BZ27" i="21"/>
  <c r="CF25" i="21"/>
  <c r="CH25" i="21"/>
  <c r="CF27" i="21"/>
  <c r="N26" i="24" l="1"/>
  <c r="N24" i="24"/>
  <c r="P24" i="24"/>
  <c r="P26" i="24"/>
  <c r="V54" i="24"/>
  <c r="CP25" i="21"/>
  <c r="X24" i="24" s="1"/>
  <c r="CP27" i="21"/>
  <c r="X26" i="24" s="1"/>
  <c r="CO25" i="21"/>
  <c r="W24" i="24" s="1"/>
  <c r="CO27" i="21"/>
  <c r="W26" i="24" s="1"/>
  <c r="H26" i="24"/>
  <c r="H24" i="24"/>
  <c r="V53" i="24"/>
  <c r="CN24" i="21"/>
  <c r="CN29" i="21"/>
  <c r="CN30" i="21"/>
  <c r="CN31" i="21"/>
  <c r="CN32" i="21"/>
  <c r="CN33" i="21"/>
  <c r="CN34" i="21"/>
  <c r="CN35" i="21"/>
  <c r="CN36" i="21"/>
  <c r="CN37" i="21"/>
  <c r="CN38" i="21"/>
  <c r="CN39" i="21"/>
  <c r="CN40" i="21"/>
  <c r="CN41" i="21"/>
  <c r="CN42" i="21"/>
  <c r="CN43" i="21"/>
  <c r="CN44" i="21"/>
  <c r="CN45" i="21"/>
  <c r="CN46" i="21"/>
  <c r="CN47" i="21"/>
  <c r="CN48" i="21"/>
  <c r="CN49" i="21"/>
  <c r="CN50" i="21"/>
  <c r="CN51" i="21"/>
  <c r="CN52" i="21"/>
  <c r="CN53" i="21"/>
  <c r="CN18" i="21"/>
  <c r="CN19" i="21"/>
  <c r="CN20" i="21"/>
  <c r="CN21" i="21"/>
  <c r="CN22" i="21"/>
  <c r="CN23" i="21"/>
  <c r="AB21" i="17"/>
  <c r="AC21" i="17"/>
  <c r="AD21" i="17"/>
  <c r="AE21" i="17"/>
  <c r="AF21" i="17"/>
  <c r="AG21" i="17"/>
  <c r="AH21" i="17"/>
  <c r="AI21" i="17"/>
  <c r="AJ21" i="17"/>
  <c r="AB22" i="17"/>
  <c r="AC22" i="17"/>
  <c r="AD22" i="17"/>
  <c r="AE22" i="17"/>
  <c r="AF22" i="17"/>
  <c r="AG22" i="17"/>
  <c r="AH22" i="17"/>
  <c r="AI22" i="17"/>
  <c r="AJ22" i="17"/>
  <c r="AA22" i="17"/>
  <c r="AA21" i="17"/>
  <c r="M21" i="17"/>
  <c r="M22" i="17"/>
  <c r="J27" i="17"/>
  <c r="V21" i="17" s="1"/>
  <c r="J28" i="17"/>
  <c r="U22" i="17" s="1"/>
  <c r="CE25" i="21"/>
  <c r="CG25" i="21"/>
  <c r="CI25" i="21"/>
  <c r="CR23" i="21"/>
  <c r="CZ23" i="21"/>
  <c r="CR22" i="21"/>
  <c r="CX22" i="21"/>
  <c r="CZ22" i="21"/>
  <c r="CX23" i="21"/>
  <c r="CH23" i="21"/>
  <c r="AF21" i="24" l="1"/>
  <c r="AF22" i="24"/>
  <c r="P22" i="24"/>
  <c r="AH21" i="24"/>
  <c r="AH22" i="24"/>
  <c r="Z22" i="24"/>
  <c r="Z21" i="24"/>
  <c r="V22" i="24"/>
  <c r="V20" i="24"/>
  <c r="V18" i="24"/>
  <c r="V52" i="24"/>
  <c r="V50" i="24"/>
  <c r="V48" i="24"/>
  <c r="V46" i="24"/>
  <c r="V44" i="24"/>
  <c r="V42" i="24"/>
  <c r="V40" i="24"/>
  <c r="V38" i="24"/>
  <c r="V36" i="24"/>
  <c r="V34" i="24"/>
  <c r="V32" i="24"/>
  <c r="V30" i="24"/>
  <c r="V28" i="24"/>
  <c r="V21" i="24"/>
  <c r="V19" i="24"/>
  <c r="V17" i="24"/>
  <c r="V51" i="24"/>
  <c r="V49" i="24"/>
  <c r="V47" i="24"/>
  <c r="V45" i="24"/>
  <c r="V43" i="24"/>
  <c r="V41" i="24"/>
  <c r="V39" i="24"/>
  <c r="V37" i="24"/>
  <c r="V35" i="24"/>
  <c r="V33" i="24"/>
  <c r="V31" i="24"/>
  <c r="V29" i="24"/>
  <c r="V23" i="24"/>
  <c r="T22" i="17"/>
  <c r="S22" i="17"/>
  <c r="T21" i="17"/>
  <c r="U21" i="17"/>
  <c r="O21" i="17"/>
  <c r="S21" i="17"/>
  <c r="O22" i="17"/>
  <c r="R21" i="17"/>
  <c r="X22" i="17"/>
  <c r="P22" i="17"/>
  <c r="Q21" i="17"/>
  <c r="R22" i="17"/>
  <c r="Q22" i="17"/>
  <c r="W22" i="17"/>
  <c r="X21" i="17"/>
  <c r="P21" i="17"/>
  <c r="V22" i="17"/>
  <c r="W21" i="17"/>
  <c r="CN28" i="21"/>
  <c r="CN27" i="21"/>
  <c r="CN26" i="21"/>
  <c r="CN25" i="21"/>
  <c r="D24" i="24"/>
  <c r="D23" i="24"/>
  <c r="O24" i="24"/>
  <c r="Q24" i="24"/>
  <c r="M24" i="24"/>
  <c r="CX28" i="21"/>
  <c r="CC25" i="21"/>
  <c r="CZ28" i="21"/>
  <c r="CA25" i="21"/>
  <c r="CZ27" i="21"/>
  <c r="CB25" i="21"/>
  <c r="BZ23" i="21"/>
  <c r="CX27" i="21"/>
  <c r="CJ25" i="21"/>
  <c r="CR28" i="21"/>
  <c r="CX25" i="21"/>
  <c r="BY23" i="21"/>
  <c r="CZ25" i="21"/>
  <c r="CR25" i="21"/>
  <c r="CF22" i="21"/>
  <c r="CK25" i="21"/>
  <c r="CD25" i="21"/>
  <c r="CF23" i="21"/>
  <c r="CH22" i="21"/>
  <c r="CR27" i="21"/>
  <c r="BZ22" i="21"/>
  <c r="CZ26" i="21"/>
  <c r="N22" i="24" l="1"/>
  <c r="N21" i="24"/>
  <c r="AF26" i="24"/>
  <c r="AF24" i="24"/>
  <c r="AF27" i="24"/>
  <c r="P21" i="24"/>
  <c r="AH27" i="24"/>
  <c r="AH25" i="24"/>
  <c r="AH26" i="24"/>
  <c r="AH24" i="24"/>
  <c r="CP23" i="21"/>
  <c r="X22" i="24" s="1"/>
  <c r="CP22" i="21"/>
  <c r="X21" i="24" s="1"/>
  <c r="CO23" i="21"/>
  <c r="W22" i="24" s="1"/>
  <c r="H22" i="24"/>
  <c r="H21" i="24"/>
  <c r="Z27" i="24"/>
  <c r="Z24" i="24"/>
  <c r="Z26" i="24"/>
  <c r="V27" i="24"/>
  <c r="V24" i="24"/>
  <c r="V26" i="24"/>
  <c r="V25" i="24"/>
  <c r="S24" i="24"/>
  <c r="K24" i="24"/>
  <c r="R24" i="24"/>
  <c r="J24" i="24"/>
  <c r="L24" i="24"/>
  <c r="I24" i="24"/>
  <c r="G24" i="24"/>
  <c r="CL25" i="21"/>
  <c r="BY22" i="21"/>
  <c r="CR26" i="21"/>
  <c r="CX26" i="21"/>
  <c r="AF25" i="24" l="1"/>
  <c r="Z25" i="24"/>
  <c r="CO22" i="21"/>
  <c r="W21" i="24" s="1"/>
  <c r="T24" i="24"/>
  <c r="D4" i="24"/>
  <c r="D5" i="24"/>
  <c r="CN7" i="21"/>
  <c r="CN8" i="21"/>
  <c r="CN9" i="21"/>
  <c r="CN10" i="21"/>
  <c r="CN11" i="21"/>
  <c r="D11" i="24"/>
  <c r="D12" i="24"/>
  <c r="D13" i="24"/>
  <c r="CN15" i="21"/>
  <c r="CN16" i="21"/>
  <c r="CN17" i="21"/>
  <c r="D19" i="24"/>
  <c r="D20" i="24"/>
  <c r="D21" i="24"/>
  <c r="D29" i="24"/>
  <c r="D30" i="24"/>
  <c r="D31" i="24"/>
  <c r="D38" i="24"/>
  <c r="D39" i="24"/>
  <c r="D45" i="24"/>
  <c r="D46" i="24"/>
  <c r="D47" i="24"/>
  <c r="V15" i="24" l="1"/>
  <c r="V9" i="24"/>
  <c r="V7" i="24"/>
  <c r="V16" i="24"/>
  <c r="V14" i="24"/>
  <c r="V10" i="24"/>
  <c r="V8" i="24"/>
  <c r="V6" i="24"/>
  <c r="CN12" i="21"/>
  <c r="D44" i="24"/>
  <c r="D10" i="24"/>
  <c r="D37" i="24"/>
  <c r="D36" i="24"/>
  <c r="CN13" i="21"/>
  <c r="D28" i="24"/>
  <c r="CN5" i="21"/>
  <c r="D52" i="24"/>
  <c r="D18" i="24"/>
  <c r="CN14" i="21"/>
  <c r="CN6" i="21"/>
  <c r="D51" i="24"/>
  <c r="D43" i="24"/>
  <c r="D35" i="24"/>
  <c r="D27" i="24"/>
  <c r="D17" i="24"/>
  <c r="D9" i="24"/>
  <c r="D50" i="24"/>
  <c r="D42" i="24"/>
  <c r="D34" i="24"/>
  <c r="D26" i="24"/>
  <c r="D16" i="24"/>
  <c r="D8" i="24"/>
  <c r="D49" i="24"/>
  <c r="D41" i="24"/>
  <c r="D33" i="24"/>
  <c r="D25" i="24"/>
  <c r="D15" i="24"/>
  <c r="D7" i="24"/>
  <c r="D48" i="24"/>
  <c r="D40" i="24"/>
  <c r="D32" i="24"/>
  <c r="D22" i="24"/>
  <c r="D14" i="24"/>
  <c r="D6" i="24"/>
  <c r="C3" i="20"/>
  <c r="C4" i="20"/>
  <c r="C5" i="20"/>
  <c r="C6" i="20"/>
  <c r="C7" i="20"/>
  <c r="C8" i="20"/>
  <c r="C9" i="20"/>
  <c r="C10" i="20"/>
  <c r="C11" i="20"/>
  <c r="C12" i="20"/>
  <c r="C13" i="20"/>
  <c r="C14" i="20"/>
  <c r="C15" i="20"/>
  <c r="C16" i="20"/>
  <c r="C17" i="20"/>
  <c r="C18" i="20"/>
  <c r="C19" i="20"/>
  <c r="C20" i="20"/>
  <c r="C21" i="20"/>
  <c r="C22" i="20"/>
  <c r="C23" i="20"/>
  <c r="C24" i="20"/>
  <c r="C25" i="20"/>
  <c r="C26" i="20"/>
  <c r="C27" i="20"/>
  <c r="C28" i="20"/>
  <c r="C29" i="20"/>
  <c r="C30" i="20"/>
  <c r="C31" i="20"/>
  <c r="C32" i="20"/>
  <c r="C33" i="20"/>
  <c r="C34" i="20"/>
  <c r="C35" i="20"/>
  <c r="C36" i="20"/>
  <c r="C37" i="20"/>
  <c r="C38" i="20"/>
  <c r="C39" i="20"/>
  <c r="C40" i="20"/>
  <c r="C41" i="20"/>
  <c r="C42" i="20"/>
  <c r="C43" i="20"/>
  <c r="C44" i="20"/>
  <c r="C45" i="20"/>
  <c r="C46" i="20"/>
  <c r="C47" i="20"/>
  <c r="C48" i="20"/>
  <c r="C49" i="20"/>
  <c r="C50" i="20"/>
  <c r="C51" i="20"/>
  <c r="C52" i="20"/>
  <c r="C53" i="20"/>
  <c r="C54" i="20"/>
  <c r="C55" i="20"/>
  <c r="C56" i="20"/>
  <c r="C57" i="20"/>
  <c r="C58" i="20"/>
  <c r="C59" i="20"/>
  <c r="C60" i="20"/>
  <c r="C61" i="20"/>
  <c r="C62" i="20"/>
  <c r="C63" i="20"/>
  <c r="C64" i="20"/>
  <c r="C65" i="20"/>
  <c r="C66" i="20"/>
  <c r="C67" i="20"/>
  <c r="C68" i="20"/>
  <c r="C69" i="20"/>
  <c r="C70" i="20"/>
  <c r="C71" i="20"/>
  <c r="C72" i="20"/>
  <c r="C73" i="20"/>
  <c r="C74" i="20"/>
  <c r="C75" i="20"/>
  <c r="C76" i="20"/>
  <c r="C77" i="20"/>
  <c r="C78" i="20"/>
  <c r="C79" i="20"/>
  <c r="C80" i="20"/>
  <c r="C81" i="20"/>
  <c r="C82" i="20"/>
  <c r="C83" i="20"/>
  <c r="C84" i="20"/>
  <c r="C85" i="20"/>
  <c r="C86" i="20"/>
  <c r="C87" i="20"/>
  <c r="C88" i="20"/>
  <c r="C89" i="20"/>
  <c r="C90" i="20"/>
  <c r="C91" i="20"/>
  <c r="C92" i="20"/>
  <c r="C93" i="20"/>
  <c r="C94" i="20"/>
  <c r="C95" i="20"/>
  <c r="C96" i="20"/>
  <c r="C97" i="20"/>
  <c r="C98" i="20"/>
  <c r="C99" i="20"/>
  <c r="C100" i="20"/>
  <c r="C101" i="20"/>
  <c r="C102" i="20"/>
  <c r="C103" i="20"/>
  <c r="C104" i="20"/>
  <c r="C105" i="20"/>
  <c r="C106" i="20"/>
  <c r="C107" i="20"/>
  <c r="C108" i="20"/>
  <c r="C109" i="20"/>
  <c r="C110" i="20"/>
  <c r="C111" i="20"/>
  <c r="C112" i="20"/>
  <c r="C113" i="20"/>
  <c r="C114" i="20"/>
  <c r="C115" i="20"/>
  <c r="C116" i="20"/>
  <c r="C117" i="20"/>
  <c r="C118" i="20"/>
  <c r="C119" i="20"/>
  <c r="C120" i="20"/>
  <c r="C121" i="20"/>
  <c r="C122" i="20"/>
  <c r="C123" i="20"/>
  <c r="C124" i="20"/>
  <c r="C125" i="20"/>
  <c r="C126" i="20"/>
  <c r="C127" i="20"/>
  <c r="C128" i="20"/>
  <c r="C129" i="20"/>
  <c r="C130" i="20"/>
  <c r="C131" i="20"/>
  <c r="C132" i="20"/>
  <c r="C133" i="20"/>
  <c r="C134" i="20"/>
  <c r="C135" i="20"/>
  <c r="C136" i="20"/>
  <c r="C137" i="20"/>
  <c r="C138" i="20"/>
  <c r="C139" i="20"/>
  <c r="C140" i="20"/>
  <c r="C141" i="20"/>
  <c r="C142" i="20"/>
  <c r="C143" i="20"/>
  <c r="C144" i="20"/>
  <c r="C145" i="20"/>
  <c r="C146" i="20"/>
  <c r="C147" i="20"/>
  <c r="C148" i="20"/>
  <c r="C149" i="20"/>
  <c r="C150" i="20"/>
  <c r="C151" i="20"/>
  <c r="C152" i="20"/>
  <c r="C153" i="20"/>
  <c r="C154" i="20"/>
  <c r="C155" i="20"/>
  <c r="C156" i="20"/>
  <c r="C157" i="20"/>
  <c r="C158" i="20"/>
  <c r="C159" i="20"/>
  <c r="C160" i="20"/>
  <c r="C161" i="20"/>
  <c r="C162" i="20"/>
  <c r="C163" i="20"/>
  <c r="C164" i="20"/>
  <c r="C165" i="20"/>
  <c r="C166" i="20"/>
  <c r="C167" i="20"/>
  <c r="C168" i="20"/>
  <c r="C169" i="20"/>
  <c r="C170" i="20"/>
  <c r="C171" i="20"/>
  <c r="C172" i="20"/>
  <c r="C173" i="20"/>
  <c r="C174" i="20"/>
  <c r="C175" i="20"/>
  <c r="C176" i="20"/>
  <c r="C177" i="20"/>
  <c r="C178" i="20"/>
  <c r="C179" i="20"/>
  <c r="C180" i="20"/>
  <c r="C181" i="20"/>
  <c r="C182" i="20"/>
  <c r="C183" i="20"/>
  <c r="C184" i="20"/>
  <c r="C185" i="20"/>
  <c r="C186" i="20"/>
  <c r="C187" i="20"/>
  <c r="C188" i="20"/>
  <c r="C189" i="20"/>
  <c r="C190" i="20"/>
  <c r="C191" i="20"/>
  <c r="C192" i="20"/>
  <c r="C193" i="20"/>
  <c r="C194" i="20"/>
  <c r="C195" i="20"/>
  <c r="C196" i="20"/>
  <c r="C197" i="20"/>
  <c r="C198" i="20"/>
  <c r="C199" i="20"/>
  <c r="C200" i="20"/>
  <c r="C201" i="20"/>
  <c r="C202" i="20"/>
  <c r="C203" i="20"/>
  <c r="C204" i="20"/>
  <c r="C205" i="20"/>
  <c r="C206" i="20"/>
  <c r="C207" i="20"/>
  <c r="C208" i="20"/>
  <c r="C209" i="20"/>
  <c r="C210" i="20"/>
  <c r="C211" i="20"/>
  <c r="C212" i="20"/>
  <c r="C213" i="20"/>
  <c r="C214" i="20"/>
  <c r="C215" i="20"/>
  <c r="C216" i="20"/>
  <c r="C217" i="20"/>
  <c r="C218" i="20"/>
  <c r="C219" i="20"/>
  <c r="C220" i="20"/>
  <c r="C221" i="20"/>
  <c r="C222" i="20"/>
  <c r="C223" i="20"/>
  <c r="C224" i="20"/>
  <c r="C225" i="20"/>
  <c r="C226" i="20"/>
  <c r="C227" i="20"/>
  <c r="C228" i="20"/>
  <c r="C229" i="20"/>
  <c r="C230" i="20"/>
  <c r="C231" i="20"/>
  <c r="C232" i="20"/>
  <c r="C233" i="20"/>
  <c r="C234" i="20"/>
  <c r="C235" i="20"/>
  <c r="C236" i="20"/>
  <c r="C237" i="20"/>
  <c r="C238" i="20"/>
  <c r="C239" i="20"/>
  <c r="C240" i="20"/>
  <c r="C241" i="20"/>
  <c r="C242" i="20"/>
  <c r="C243" i="20"/>
  <c r="C244" i="20"/>
  <c r="C245" i="20"/>
  <c r="C246" i="20"/>
  <c r="C247" i="20"/>
  <c r="C248" i="20"/>
  <c r="C249" i="20"/>
  <c r="C250" i="20"/>
  <c r="C251" i="20"/>
  <c r="C252" i="20"/>
  <c r="C253" i="20"/>
  <c r="C254" i="20"/>
  <c r="C255" i="20"/>
  <c r="C256" i="20"/>
  <c r="C257" i="20"/>
  <c r="C258" i="20"/>
  <c r="C259" i="20"/>
  <c r="C260" i="20"/>
  <c r="C261" i="20"/>
  <c r="C262" i="20"/>
  <c r="C263" i="20"/>
  <c r="C264" i="20"/>
  <c r="C265" i="20"/>
  <c r="C266" i="20"/>
  <c r="C267" i="20"/>
  <c r="C268" i="20"/>
  <c r="C269" i="20"/>
  <c r="C270" i="20"/>
  <c r="C271" i="20"/>
  <c r="C272" i="20"/>
  <c r="C273" i="20"/>
  <c r="C274" i="20"/>
  <c r="C275" i="20"/>
  <c r="C276" i="20"/>
  <c r="C277" i="20"/>
  <c r="C278" i="20"/>
  <c r="C279" i="20"/>
  <c r="C280" i="20"/>
  <c r="C281" i="20"/>
  <c r="C282" i="20"/>
  <c r="C283" i="20"/>
  <c r="C284" i="20"/>
  <c r="C285" i="20"/>
  <c r="C286" i="20"/>
  <c r="C287" i="20"/>
  <c r="C288" i="20"/>
  <c r="C289" i="20"/>
  <c r="C290" i="20"/>
  <c r="C291" i="20"/>
  <c r="C292" i="20"/>
  <c r="C293" i="20"/>
  <c r="C294" i="20"/>
  <c r="C295" i="20"/>
  <c r="C296" i="20"/>
  <c r="C297" i="20"/>
  <c r="C298" i="20"/>
  <c r="C299" i="20"/>
  <c r="C300" i="20"/>
  <c r="V5" i="24" l="1"/>
  <c r="V4" i="24"/>
  <c r="V12" i="24"/>
  <c r="V13" i="24"/>
  <c r="V11" i="24"/>
  <c r="AD42" i="17"/>
  <c r="AE42" i="17"/>
  <c r="AF42" i="17"/>
  <c r="AG42" i="17"/>
  <c r="AH42" i="17"/>
  <c r="AI42" i="17"/>
  <c r="AJ42" i="17"/>
  <c r="AB43" i="17"/>
  <c r="AB28" i="17"/>
  <c r="AB32" i="17"/>
  <c r="AB34" i="17"/>
  <c r="AB36" i="17"/>
  <c r="AB38" i="17"/>
  <c r="AB40" i="17"/>
  <c r="AB42" i="17"/>
  <c r="AC42" i="17"/>
  <c r="AA42" i="17"/>
  <c r="AA40" i="17"/>
  <c r="AA38" i="17"/>
  <c r="AA36" i="17"/>
  <c r="AA43" i="17"/>
  <c r="AA34" i="17"/>
  <c r="AA32" i="17"/>
  <c r="AA28" i="17"/>
  <c r="R44" i="17"/>
  <c r="S44" i="17"/>
  <c r="T44" i="17"/>
  <c r="U44" i="17"/>
  <c r="V44" i="17"/>
  <c r="W44" i="17"/>
  <c r="X44" i="17"/>
  <c r="Q44" i="17"/>
  <c r="M34" i="17"/>
  <c r="M38" i="17"/>
  <c r="M36" i="17"/>
  <c r="M37" i="17"/>
  <c r="M43" i="17"/>
  <c r="M44" i="17"/>
  <c r="H66" i="17"/>
  <c r="H67" i="17" s="1"/>
  <c r="AE44" i="17" s="1"/>
  <c r="G66" i="17"/>
  <c r="G67" i="17" s="1"/>
  <c r="H65" i="17"/>
  <c r="AD43" i="17" s="1"/>
  <c r="G65" i="17"/>
  <c r="H61" i="17"/>
  <c r="H62" i="17" s="1"/>
  <c r="AJ41" i="17" s="1"/>
  <c r="G61" i="17"/>
  <c r="G62" i="17" s="1"/>
  <c r="H60" i="17"/>
  <c r="AI40" i="17" s="1"/>
  <c r="G60" i="17"/>
  <c r="H57" i="17"/>
  <c r="H58" i="17" s="1"/>
  <c r="AH39" i="17" s="1"/>
  <c r="G57" i="17"/>
  <c r="G58" i="17" s="1"/>
  <c r="H56" i="17"/>
  <c r="AG38" i="17" s="1"/>
  <c r="G56" i="17"/>
  <c r="J56" i="17" s="1"/>
  <c r="T38" i="17" s="1"/>
  <c r="H53" i="17"/>
  <c r="H54" i="17" s="1"/>
  <c r="AF37" i="17" s="1"/>
  <c r="G53" i="17"/>
  <c r="G54" i="17" s="1"/>
  <c r="J54" i="17" s="1"/>
  <c r="S37" i="17" s="1"/>
  <c r="H52" i="17"/>
  <c r="AE36" i="17" s="1"/>
  <c r="G52" i="17"/>
  <c r="J52" i="17" s="1"/>
  <c r="R36" i="17" s="1"/>
  <c r="H49" i="17"/>
  <c r="H50" i="17" s="1"/>
  <c r="AD35" i="17" s="1"/>
  <c r="G49" i="17"/>
  <c r="G50" i="17" s="1"/>
  <c r="H48" i="17"/>
  <c r="AC34" i="17" s="1"/>
  <c r="G48" i="17"/>
  <c r="H45" i="17"/>
  <c r="H46" i="17" s="1"/>
  <c r="AJ33" i="17" s="1"/>
  <c r="G45" i="17"/>
  <c r="G46" i="17" s="1"/>
  <c r="J46" i="17" s="1"/>
  <c r="S33" i="17" s="1"/>
  <c r="H44" i="17"/>
  <c r="AI32" i="17" s="1"/>
  <c r="G44" i="17"/>
  <c r="J44" i="17" s="1"/>
  <c r="Q32" i="17" s="1"/>
  <c r="M33" i="17"/>
  <c r="M31" i="17"/>
  <c r="M28" i="17"/>
  <c r="M29" i="17"/>
  <c r="H39" i="17"/>
  <c r="H41" i="17" s="1"/>
  <c r="H42" i="17" s="1"/>
  <c r="AH31" i="17" s="1"/>
  <c r="G39" i="17"/>
  <c r="G41" i="17" s="1"/>
  <c r="G42" i="17" s="1"/>
  <c r="H37" i="17"/>
  <c r="H38" i="17" s="1"/>
  <c r="AF29" i="17" s="1"/>
  <c r="G37" i="17"/>
  <c r="J37" i="17" s="1"/>
  <c r="O29" i="17" s="1"/>
  <c r="H36" i="17"/>
  <c r="AE28" i="17" s="1"/>
  <c r="G36" i="17"/>
  <c r="J36" i="17" s="1"/>
  <c r="Q28" i="17" s="1"/>
  <c r="J35" i="17"/>
  <c r="P28" i="17" s="1"/>
  <c r="J47" i="17"/>
  <c r="O34" i="17" s="1"/>
  <c r="J51" i="17"/>
  <c r="P36" i="17" s="1"/>
  <c r="J64" i="17"/>
  <c r="P43" i="17" s="1"/>
  <c r="J59" i="17"/>
  <c r="O40" i="17" s="1"/>
  <c r="B3" i="20"/>
  <c r="B4" i="20"/>
  <c r="B5" i="20"/>
  <c r="B6" i="20"/>
  <c r="B7" i="20"/>
  <c r="B8" i="20"/>
  <c r="B9" i="20"/>
  <c r="B10" i="20"/>
  <c r="B11" i="20"/>
  <c r="B12" i="20"/>
  <c r="B13" i="20"/>
  <c r="B14" i="20"/>
  <c r="B15" i="20"/>
  <c r="B16" i="20"/>
  <c r="B17" i="20"/>
  <c r="B18" i="20"/>
  <c r="B19" i="20"/>
  <c r="B20" i="20"/>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5" i="20"/>
  <c r="B106" i="20"/>
  <c r="B107" i="20"/>
  <c r="B108" i="20"/>
  <c r="B109" i="20"/>
  <c r="B110" i="20"/>
  <c r="B111" i="20"/>
  <c r="B112" i="20"/>
  <c r="B113" i="20"/>
  <c r="B114" i="20"/>
  <c r="B115" i="20"/>
  <c r="B116" i="20"/>
  <c r="B117" i="20"/>
  <c r="B118" i="20"/>
  <c r="B119" i="20"/>
  <c r="B120" i="20"/>
  <c r="B121" i="20"/>
  <c r="B122" i="20"/>
  <c r="B123" i="20"/>
  <c r="B124" i="20"/>
  <c r="B125" i="20"/>
  <c r="B126" i="20"/>
  <c r="B127" i="20"/>
  <c r="B128" i="20"/>
  <c r="B129" i="20"/>
  <c r="B130" i="20"/>
  <c r="B131" i="20"/>
  <c r="B132" i="20"/>
  <c r="B133" i="20"/>
  <c r="B134" i="20"/>
  <c r="B135" i="20"/>
  <c r="B136" i="20"/>
  <c r="B137" i="20"/>
  <c r="B138" i="20"/>
  <c r="B139" i="20"/>
  <c r="B140" i="20"/>
  <c r="B141" i="20"/>
  <c r="B142" i="20"/>
  <c r="B143" i="20"/>
  <c r="B144" i="20"/>
  <c r="B145" i="20"/>
  <c r="B146" i="20"/>
  <c r="B147" i="20"/>
  <c r="B148" i="20"/>
  <c r="B149" i="20"/>
  <c r="B150" i="20"/>
  <c r="B151" i="20"/>
  <c r="B152" i="20"/>
  <c r="B153" i="20"/>
  <c r="B154" i="20"/>
  <c r="B155" i="20"/>
  <c r="B156" i="20"/>
  <c r="B157" i="20"/>
  <c r="B158" i="20"/>
  <c r="B159" i="20"/>
  <c r="B160" i="20"/>
  <c r="B161" i="20"/>
  <c r="B162" i="20"/>
  <c r="B163" i="20"/>
  <c r="B164" i="20"/>
  <c r="B165" i="20"/>
  <c r="B166" i="20"/>
  <c r="B167" i="20"/>
  <c r="B168" i="20"/>
  <c r="B169" i="20"/>
  <c r="B170" i="20"/>
  <c r="B171" i="20"/>
  <c r="B172" i="20"/>
  <c r="B173" i="20"/>
  <c r="B174" i="20"/>
  <c r="B175" i="20"/>
  <c r="B176" i="20"/>
  <c r="B177" i="20"/>
  <c r="B178" i="20"/>
  <c r="B179" i="20"/>
  <c r="B180" i="20"/>
  <c r="B181" i="20"/>
  <c r="B182" i="20"/>
  <c r="B183" i="20"/>
  <c r="B184" i="20"/>
  <c r="B185" i="20"/>
  <c r="B186" i="20"/>
  <c r="B187" i="20"/>
  <c r="B188" i="20"/>
  <c r="B189" i="20"/>
  <c r="B190" i="20"/>
  <c r="B191" i="20"/>
  <c r="B192" i="20"/>
  <c r="B193" i="20"/>
  <c r="B194" i="20"/>
  <c r="B195" i="20"/>
  <c r="B196" i="20"/>
  <c r="B197" i="20"/>
  <c r="B198" i="20"/>
  <c r="B199" i="20"/>
  <c r="B200" i="20"/>
  <c r="B201" i="20"/>
  <c r="B202" i="20"/>
  <c r="B203" i="20"/>
  <c r="B204" i="20"/>
  <c r="B205" i="20"/>
  <c r="B206" i="20"/>
  <c r="B207" i="20"/>
  <c r="B208" i="20"/>
  <c r="B209" i="20"/>
  <c r="B210" i="20"/>
  <c r="B211" i="20"/>
  <c r="B212" i="20"/>
  <c r="B213" i="20"/>
  <c r="B214" i="20"/>
  <c r="B215" i="20"/>
  <c r="B216" i="20"/>
  <c r="B217" i="20"/>
  <c r="B218" i="20"/>
  <c r="B219" i="20"/>
  <c r="B220" i="20"/>
  <c r="B221" i="20"/>
  <c r="B222" i="20"/>
  <c r="B223" i="20"/>
  <c r="B224" i="20"/>
  <c r="B225" i="20"/>
  <c r="B226" i="20"/>
  <c r="B227" i="20"/>
  <c r="B228" i="20"/>
  <c r="B229" i="20"/>
  <c r="B230" i="20"/>
  <c r="B231" i="20"/>
  <c r="B232" i="20"/>
  <c r="B233" i="20"/>
  <c r="B234" i="20"/>
  <c r="B235" i="20"/>
  <c r="B236" i="20"/>
  <c r="B237" i="20"/>
  <c r="B238" i="20"/>
  <c r="B239" i="20"/>
  <c r="B240" i="20"/>
  <c r="B241" i="20"/>
  <c r="B242" i="20"/>
  <c r="B243" i="20"/>
  <c r="B244" i="20"/>
  <c r="B245" i="20"/>
  <c r="B246" i="20"/>
  <c r="B247" i="20"/>
  <c r="B248" i="20"/>
  <c r="B249" i="20"/>
  <c r="B250" i="20"/>
  <c r="B251" i="20"/>
  <c r="B252" i="20"/>
  <c r="B253" i="20"/>
  <c r="B254" i="20"/>
  <c r="B255" i="20"/>
  <c r="B256" i="20"/>
  <c r="B257" i="20"/>
  <c r="B258" i="20"/>
  <c r="B259" i="20"/>
  <c r="B260" i="20"/>
  <c r="B261" i="20"/>
  <c r="B262" i="20"/>
  <c r="B263" i="20"/>
  <c r="B264" i="20"/>
  <c r="B265" i="20"/>
  <c r="B266" i="20"/>
  <c r="B267" i="20"/>
  <c r="B268" i="20"/>
  <c r="B269" i="20"/>
  <c r="B270" i="20"/>
  <c r="B271" i="20"/>
  <c r="B272" i="20"/>
  <c r="B273" i="20"/>
  <c r="B274" i="20"/>
  <c r="B275" i="20"/>
  <c r="B276" i="20"/>
  <c r="B277" i="20"/>
  <c r="B278" i="20"/>
  <c r="B279" i="20"/>
  <c r="B280" i="20"/>
  <c r="B281" i="20"/>
  <c r="B282" i="20"/>
  <c r="B283" i="20"/>
  <c r="B284" i="20"/>
  <c r="B285" i="20"/>
  <c r="B286" i="20"/>
  <c r="B287" i="20"/>
  <c r="B288" i="20"/>
  <c r="B289" i="20"/>
  <c r="B290" i="20"/>
  <c r="B291" i="20"/>
  <c r="B292" i="20"/>
  <c r="B293" i="20"/>
  <c r="B294" i="20"/>
  <c r="B295" i="20"/>
  <c r="B296" i="20"/>
  <c r="B297" i="20"/>
  <c r="B298" i="20"/>
  <c r="B299" i="20"/>
  <c r="B300" i="20"/>
  <c r="CF40" i="21"/>
  <c r="CR42" i="21"/>
  <c r="BZ35" i="21"/>
  <c r="CX30" i="21"/>
  <c r="CR43" i="21"/>
  <c r="CR35" i="21"/>
  <c r="BZ42" i="21"/>
  <c r="CB27" i="21"/>
  <c r="CR29" i="21"/>
  <c r="BY35" i="21"/>
  <c r="BZ30" i="21"/>
  <c r="CR37" i="21"/>
  <c r="CH44" i="21"/>
  <c r="CA27" i="21"/>
  <c r="CF44" i="21"/>
  <c r="BY30" i="21"/>
  <c r="CZ43" i="21"/>
  <c r="CZ40" i="21"/>
  <c r="CX43" i="21"/>
  <c r="CR33" i="21"/>
  <c r="CR45" i="21"/>
  <c r="BY42" i="21"/>
  <c r="CR40" i="21"/>
  <c r="CX38" i="21"/>
  <c r="AF37" i="24" l="1"/>
  <c r="N43" i="24"/>
  <c r="AF42" i="24"/>
  <c r="AF29" i="24"/>
  <c r="N39" i="24"/>
  <c r="DU93" i="1"/>
  <c r="DU92" i="1"/>
  <c r="P43" i="24"/>
  <c r="AH42" i="24"/>
  <c r="AH39" i="24"/>
  <c r="CP30" i="21"/>
  <c r="X29" i="24" s="1"/>
  <c r="CP42" i="21"/>
  <c r="X41" i="24" s="1"/>
  <c r="CP35" i="21"/>
  <c r="X34" i="24" s="1"/>
  <c r="DU91" i="1"/>
  <c r="DU86" i="1"/>
  <c r="DU94" i="1"/>
  <c r="DU31" i="1"/>
  <c r="DU65" i="1"/>
  <c r="DU63" i="1"/>
  <c r="DU64" i="1"/>
  <c r="DU32" i="1"/>
  <c r="DU27" i="1"/>
  <c r="DU26" i="1"/>
  <c r="DU28" i="1"/>
  <c r="CO35" i="21"/>
  <c r="W34" i="24" s="1"/>
  <c r="CO30" i="21"/>
  <c r="W29" i="24" s="1"/>
  <c r="CO42" i="21"/>
  <c r="W41" i="24" s="1"/>
  <c r="H34" i="24"/>
  <c r="H29" i="24"/>
  <c r="Z28" i="24"/>
  <c r="Z34" i="24"/>
  <c r="Z36" i="24"/>
  <c r="Z41" i="24"/>
  <c r="H41" i="24"/>
  <c r="Z32" i="24"/>
  <c r="Z44" i="24"/>
  <c r="Z39" i="24"/>
  <c r="Z42" i="24"/>
  <c r="AD29" i="17"/>
  <c r="AF39" i="17"/>
  <c r="I26" i="24"/>
  <c r="J26" i="24"/>
  <c r="AG40" i="17"/>
  <c r="AF31" i="17"/>
  <c r="P40" i="17"/>
  <c r="AE38" i="17"/>
  <c r="AC28" i="17"/>
  <c r="AD37" i="17"/>
  <c r="AC36" i="17"/>
  <c r="AJ35" i="17"/>
  <c r="AI34" i="17"/>
  <c r="AC40" i="17"/>
  <c r="AH33" i="17"/>
  <c r="AJ43" i="17"/>
  <c r="AH41" i="17"/>
  <c r="AG32" i="17"/>
  <c r="AB35" i="17"/>
  <c r="AB44" i="17"/>
  <c r="AC35" i="17"/>
  <c r="AD44" i="17"/>
  <c r="AI41" i="17"/>
  <c r="AH40" i="17"/>
  <c r="AG39" i="17"/>
  <c r="AF38" i="17"/>
  <c r="AE37" i="17"/>
  <c r="AD36" i="17"/>
  <c r="AJ34" i="17"/>
  <c r="AI33" i="17"/>
  <c r="AH32" i="17"/>
  <c r="AG31" i="17"/>
  <c r="AE29" i="17"/>
  <c r="AD28" i="17"/>
  <c r="U41" i="17"/>
  <c r="AA37" i="17"/>
  <c r="AB41" i="17"/>
  <c r="AB33" i="17"/>
  <c r="AC29" i="17"/>
  <c r="AC37" i="17"/>
  <c r="AJ44" i="17"/>
  <c r="AI43" i="17"/>
  <c r="AG41" i="17"/>
  <c r="AF40" i="17"/>
  <c r="AE39" i="17"/>
  <c r="AD38" i="17"/>
  <c r="AJ36" i="17"/>
  <c r="AI35" i="17"/>
  <c r="AH34" i="17"/>
  <c r="AG33" i="17"/>
  <c r="AF32" i="17"/>
  <c r="AE31" i="17"/>
  <c r="AJ28" i="17"/>
  <c r="R38" i="17"/>
  <c r="AC38" i="17"/>
  <c r="AI44" i="17"/>
  <c r="AH43" i="17"/>
  <c r="AF41" i="17"/>
  <c r="AE40" i="17"/>
  <c r="AD39" i="17"/>
  <c r="AJ37" i="17"/>
  <c r="AI36" i="17"/>
  <c r="AH35" i="17"/>
  <c r="AG34" i="17"/>
  <c r="AF33" i="17"/>
  <c r="AE32" i="17"/>
  <c r="AD31" i="17"/>
  <c r="AJ29" i="17"/>
  <c r="AI28" i="17"/>
  <c r="AA39" i="17"/>
  <c r="AB39" i="17"/>
  <c r="AB31" i="17"/>
  <c r="AC31" i="17"/>
  <c r="AC39" i="17"/>
  <c r="AH44" i="17"/>
  <c r="AG43" i="17"/>
  <c r="AE41" i="17"/>
  <c r="AD40" i="17"/>
  <c r="AJ38" i="17"/>
  <c r="AI37" i="17"/>
  <c r="AH36" i="17"/>
  <c r="AG35" i="17"/>
  <c r="AF34" i="17"/>
  <c r="AE33" i="17"/>
  <c r="AD32" i="17"/>
  <c r="AI29" i="17"/>
  <c r="AH28" i="17"/>
  <c r="AA31" i="17"/>
  <c r="AB30" i="17"/>
  <c r="AC32" i="17"/>
  <c r="AC41" i="17"/>
  <c r="AG44" i="17"/>
  <c r="AF43" i="17"/>
  <c r="AD41" i="17"/>
  <c r="AJ39" i="17"/>
  <c r="AI38" i="17"/>
  <c r="AH37" i="17"/>
  <c r="AG36" i="17"/>
  <c r="AF35" i="17"/>
  <c r="AE34" i="17"/>
  <c r="AD33" i="17"/>
  <c r="AJ31" i="17"/>
  <c r="AH29" i="17"/>
  <c r="AG28" i="17"/>
  <c r="AA41" i="17"/>
  <c r="AB37" i="17"/>
  <c r="AB29" i="17"/>
  <c r="AC33" i="17"/>
  <c r="AC43" i="17"/>
  <c r="AF44" i="17"/>
  <c r="AE43" i="17"/>
  <c r="AJ40" i="17"/>
  <c r="AI39" i="17"/>
  <c r="AH38" i="17"/>
  <c r="AG37" i="17"/>
  <c r="AF36" i="17"/>
  <c r="AE35" i="17"/>
  <c r="AD34" i="17"/>
  <c r="AJ32" i="17"/>
  <c r="AI31" i="17"/>
  <c r="AG29" i="17"/>
  <c r="AF28" i="17"/>
  <c r="AC44" i="17"/>
  <c r="V28" i="17"/>
  <c r="V41" i="17"/>
  <c r="S38" i="17"/>
  <c r="R37" i="17"/>
  <c r="AA30" i="17"/>
  <c r="V32" i="17"/>
  <c r="Q38" i="17"/>
  <c r="T41" i="17"/>
  <c r="X37" i="17"/>
  <c r="W36" i="17"/>
  <c r="X36" i="17"/>
  <c r="O43" i="17"/>
  <c r="S41" i="17"/>
  <c r="X38" i="17"/>
  <c r="W37" i="17"/>
  <c r="V36" i="17"/>
  <c r="AA33" i="17"/>
  <c r="O36" i="17"/>
  <c r="R41" i="17"/>
  <c r="W38" i="17"/>
  <c r="V37" i="17"/>
  <c r="U36" i="17"/>
  <c r="W32" i="17"/>
  <c r="Q41" i="17"/>
  <c r="V38" i="17"/>
  <c r="U37" i="17"/>
  <c r="T36" i="17"/>
  <c r="AA35" i="17"/>
  <c r="Q37" i="17"/>
  <c r="X41" i="17"/>
  <c r="U38" i="17"/>
  <c r="T37" i="17"/>
  <c r="S36" i="17"/>
  <c r="W28" i="17"/>
  <c r="Q36" i="17"/>
  <c r="W41" i="17"/>
  <c r="AA29" i="17"/>
  <c r="AA44" i="17"/>
  <c r="X28" i="17"/>
  <c r="P29" i="17"/>
  <c r="X32" i="17"/>
  <c r="R33" i="17"/>
  <c r="U28" i="17"/>
  <c r="U32" i="17"/>
  <c r="W33" i="17"/>
  <c r="T28" i="17"/>
  <c r="T32" i="17"/>
  <c r="V33" i="17"/>
  <c r="P34" i="17"/>
  <c r="X33" i="17"/>
  <c r="O28" i="17"/>
  <c r="S28" i="17"/>
  <c r="S32" i="17"/>
  <c r="U33" i="17"/>
  <c r="R28" i="17"/>
  <c r="R32" i="17"/>
  <c r="T33" i="17"/>
  <c r="Q33" i="17"/>
  <c r="G40" i="17"/>
  <c r="J40" i="17" s="1"/>
  <c r="H40" i="17"/>
  <c r="J57" i="17"/>
  <c r="J66" i="17"/>
  <c r="J42" i="17"/>
  <c r="J58" i="17"/>
  <c r="J65" i="17"/>
  <c r="J48" i="17"/>
  <c r="G38" i="17"/>
  <c r="J38" i="17" s="1"/>
  <c r="J53" i="17"/>
  <c r="J49" i="17"/>
  <c r="J50" i="17"/>
  <c r="J45" i="17"/>
  <c r="J41" i="17"/>
  <c r="CX36" i="21"/>
  <c r="CW36" i="21"/>
  <c r="CT35" i="21"/>
  <c r="CJ27" i="21"/>
  <c r="CV34" i="21"/>
  <c r="CW35" i="21"/>
  <c r="DB36" i="21"/>
  <c r="CV37" i="21"/>
  <c r="CA35" i="21"/>
  <c r="CS29" i="21"/>
  <c r="CD27" i="21"/>
  <c r="CK27" i="21"/>
  <c r="CU39" i="21"/>
  <c r="BY45" i="21"/>
  <c r="CE27" i="21"/>
  <c r="CQ33" i="21"/>
  <c r="CU36" i="21"/>
  <c r="CR34" i="21"/>
  <c r="CY38" i="21"/>
  <c r="DA33" i="21"/>
  <c r="CX33" i="21"/>
  <c r="CX42" i="21"/>
  <c r="CS36" i="21"/>
  <c r="CT37" i="21"/>
  <c r="CV32" i="21"/>
  <c r="DC33" i="21"/>
  <c r="CQ32" i="21"/>
  <c r="DA35" i="21"/>
  <c r="CH33" i="21"/>
  <c r="CR36" i="21"/>
  <c r="BZ37" i="21"/>
  <c r="DA39" i="21"/>
  <c r="CZ35" i="21"/>
  <c r="CV36" i="21"/>
  <c r="CQ25" i="21"/>
  <c r="CT38" i="21"/>
  <c r="CX45" i="21"/>
  <c r="CX35" i="21"/>
  <c r="CX37" i="21"/>
  <c r="DA32" i="21"/>
  <c r="CQ31" i="21"/>
  <c r="CZ38" i="21"/>
  <c r="DA34" i="21"/>
  <c r="CU37" i="21"/>
  <c r="BZ29" i="21"/>
  <c r="CG38" i="21"/>
  <c r="CH34" i="21"/>
  <c r="CV35" i="21"/>
  <c r="CW33" i="21"/>
  <c r="CR41" i="21"/>
  <c r="DB34" i="21"/>
  <c r="CT39" i="21"/>
  <c r="DA37" i="21"/>
  <c r="CY34" i="21"/>
  <c r="DB33" i="21"/>
  <c r="CF34" i="21"/>
  <c r="CF41" i="21"/>
  <c r="CV38" i="21"/>
  <c r="CW38" i="21"/>
  <c r="DA36" i="21"/>
  <c r="CJ38" i="21"/>
  <c r="CZ41" i="21"/>
  <c r="CI27" i="21"/>
  <c r="CQ36" i="21"/>
  <c r="BZ45" i="21"/>
  <c r="CZ29" i="21"/>
  <c r="CZ45" i="21"/>
  <c r="DC36" i="21"/>
  <c r="DC39" i="21"/>
  <c r="CQ38" i="21"/>
  <c r="CS30" i="21"/>
  <c r="CS33" i="21"/>
  <c r="CG27" i="21"/>
  <c r="CZ44" i="21"/>
  <c r="CS39" i="21"/>
  <c r="CB38" i="21"/>
  <c r="CQ34" i="21"/>
  <c r="CW37" i="21"/>
  <c r="CR30" i="21"/>
  <c r="CC38" i="21"/>
  <c r="CX34" i="21"/>
  <c r="CF38" i="21"/>
  <c r="CZ30" i="21"/>
  <c r="CR31" i="21"/>
  <c r="CY35" i="21"/>
  <c r="CR32" i="21"/>
  <c r="CS35" i="21"/>
  <c r="CI38" i="21"/>
  <c r="CQ35" i="21"/>
  <c r="CT34" i="21"/>
  <c r="CY32" i="21"/>
  <c r="CQ30" i="21"/>
  <c r="CU33" i="21"/>
  <c r="CE38" i="21"/>
  <c r="CS37" i="21"/>
  <c r="DC34" i="21"/>
  <c r="CK38" i="21"/>
  <c r="CX44" i="21"/>
  <c r="CX32" i="21"/>
  <c r="CW34" i="21"/>
  <c r="CD38" i="21"/>
  <c r="CU35" i="21"/>
  <c r="DC38" i="21"/>
  <c r="CZ32" i="21"/>
  <c r="DC37" i="21"/>
  <c r="CS25" i="21"/>
  <c r="CC27" i="21"/>
  <c r="CS38" i="21"/>
  <c r="CQ37" i="21"/>
  <c r="DC35" i="21"/>
  <c r="CT32" i="21"/>
  <c r="CH41" i="21"/>
  <c r="CR38" i="21"/>
  <c r="CU32" i="21"/>
  <c r="CS32" i="21"/>
  <c r="CQ29" i="21"/>
  <c r="DB35" i="21"/>
  <c r="CS31" i="21"/>
  <c r="CH37" i="21"/>
  <c r="CF29" i="21"/>
  <c r="CW32" i="21"/>
  <c r="CY33" i="21"/>
  <c r="CS34" i="21"/>
  <c r="CX41" i="21"/>
  <c r="CZ36" i="21"/>
  <c r="CY37" i="21"/>
  <c r="CX29" i="21"/>
  <c r="CH40" i="21"/>
  <c r="CF33" i="21"/>
  <c r="CZ42" i="21"/>
  <c r="CT36" i="21"/>
  <c r="CZ39" i="21"/>
  <c r="CV39" i="21"/>
  <c r="DB38" i="21"/>
  <c r="DA38" i="21"/>
  <c r="CU34" i="21"/>
  <c r="BY37" i="21"/>
  <c r="CH38" i="21"/>
  <c r="CR44" i="21"/>
  <c r="CW39" i="21"/>
  <c r="CU38" i="21"/>
  <c r="CX40" i="21"/>
  <c r="CZ34" i="21"/>
  <c r="CV33" i="21"/>
  <c r="CQ39" i="21"/>
  <c r="CT33" i="21"/>
  <c r="DC32" i="21"/>
  <c r="CF37" i="21"/>
  <c r="CH29" i="21"/>
  <c r="BY29" i="21"/>
  <c r="AF36" i="24" l="1"/>
  <c r="AF41" i="24"/>
  <c r="N32" i="24"/>
  <c r="AF39" i="24"/>
  <c r="AF31" i="24"/>
  <c r="N37" i="24"/>
  <c r="N40" i="24"/>
  <c r="AF35" i="24"/>
  <c r="AF34" i="24"/>
  <c r="AF32" i="24"/>
  <c r="N33" i="24"/>
  <c r="N28" i="24"/>
  <c r="AF44" i="24"/>
  <c r="AF33" i="24"/>
  <c r="N36" i="24"/>
  <c r="AF28" i="24"/>
  <c r="AF43" i="24"/>
  <c r="AF40" i="24"/>
  <c r="DU151" i="1"/>
  <c r="AH28" i="24"/>
  <c r="P33" i="24"/>
  <c r="P37" i="24"/>
  <c r="P36" i="24"/>
  <c r="AH29" i="24"/>
  <c r="AH38" i="24"/>
  <c r="AH41" i="24"/>
  <c r="P28" i="24"/>
  <c r="P39" i="24"/>
  <c r="AH35" i="24"/>
  <c r="AH33" i="24"/>
  <c r="P32" i="24"/>
  <c r="AH37" i="24"/>
  <c r="AH40" i="24"/>
  <c r="P40" i="24"/>
  <c r="AH43" i="24"/>
  <c r="AH44" i="24"/>
  <c r="AH34" i="24"/>
  <c r="AH31" i="24"/>
  <c r="CP37" i="21"/>
  <c r="X36" i="24" s="1"/>
  <c r="CP45" i="21"/>
  <c r="X44" i="24" s="1"/>
  <c r="CP29" i="21"/>
  <c r="X28" i="24" s="1"/>
  <c r="CO29" i="21"/>
  <c r="W28" i="24" s="1"/>
  <c r="CO37" i="21"/>
  <c r="W36" i="24" s="1"/>
  <c r="CO45" i="21"/>
  <c r="W44" i="24" s="1"/>
  <c r="Z43" i="24"/>
  <c r="Z35" i="24"/>
  <c r="H36" i="24"/>
  <c r="H44" i="24"/>
  <c r="Z40" i="24"/>
  <c r="H28" i="24"/>
  <c r="Z29" i="24"/>
  <c r="Z33" i="24"/>
  <c r="Z30" i="24"/>
  <c r="Z31" i="24"/>
  <c r="Z37" i="24"/>
  <c r="Y28" i="24"/>
  <c r="AA32" i="24"/>
  <c r="AA28" i="24"/>
  <c r="Y32" i="24"/>
  <c r="AA37" i="24"/>
  <c r="AA30" i="24"/>
  <c r="Y30" i="24"/>
  <c r="M37" i="24"/>
  <c r="Y35" i="24"/>
  <c r="AA35" i="24"/>
  <c r="AD38" i="24"/>
  <c r="I34" i="24"/>
  <c r="Y37" i="24"/>
  <c r="AG34" i="24"/>
  <c r="AJ37" i="24"/>
  <c r="AK37" i="24"/>
  <c r="AB33" i="24"/>
  <c r="AI37" i="24"/>
  <c r="AD35" i="24"/>
  <c r="Y31" i="24"/>
  <c r="AJ34" i="24"/>
  <c r="AK34" i="24"/>
  <c r="AJ35" i="24"/>
  <c r="AK35" i="24"/>
  <c r="AA34" i="24"/>
  <c r="AI31" i="24"/>
  <c r="AB35" i="24"/>
  <c r="AK32" i="24"/>
  <c r="AJ32" i="24"/>
  <c r="Y36" i="24"/>
  <c r="AI32" i="24"/>
  <c r="AI36" i="24"/>
  <c r="AC36" i="24"/>
  <c r="AC37" i="24"/>
  <c r="Y34" i="24"/>
  <c r="AC35" i="24"/>
  <c r="AA29" i="24"/>
  <c r="AB37" i="24"/>
  <c r="AG37" i="24"/>
  <c r="AD34" i="24"/>
  <c r="AE32" i="24"/>
  <c r="AC34" i="24"/>
  <c r="AE37" i="24"/>
  <c r="AC32" i="24"/>
  <c r="AK31" i="24"/>
  <c r="AG33" i="24"/>
  <c r="AE31" i="24"/>
  <c r="AB36" i="24"/>
  <c r="AD37" i="24"/>
  <c r="AG36" i="24"/>
  <c r="AD33" i="24"/>
  <c r="AA31" i="24"/>
  <c r="AB32" i="24"/>
  <c r="AD31" i="24"/>
  <c r="AD36" i="24"/>
  <c r="AK33" i="24"/>
  <c r="AJ33" i="24"/>
  <c r="AA36" i="24"/>
  <c r="AB31" i="24"/>
  <c r="Y29" i="24"/>
  <c r="Y33" i="24"/>
  <c r="AI35" i="24"/>
  <c r="AA33" i="24"/>
  <c r="AG32" i="24"/>
  <c r="AG31" i="24"/>
  <c r="AB34" i="24"/>
  <c r="AE36" i="24"/>
  <c r="AE35" i="24"/>
  <c r="AC33" i="24"/>
  <c r="AI33" i="24"/>
  <c r="AE34" i="24"/>
  <c r="Y24" i="24"/>
  <c r="AK36" i="24"/>
  <c r="AD32" i="24"/>
  <c r="AE38" i="24"/>
  <c r="AC38" i="24"/>
  <c r="AB38" i="24"/>
  <c r="AI38" i="24"/>
  <c r="AA38" i="24"/>
  <c r="AC31" i="24"/>
  <c r="AA24" i="24"/>
  <c r="AK38" i="24"/>
  <c r="AI34" i="24"/>
  <c r="AE33" i="24"/>
  <c r="Y38" i="24"/>
  <c r="M26" i="24"/>
  <c r="L26" i="24"/>
  <c r="G26" i="24"/>
  <c r="O26" i="24"/>
  <c r="L37" i="24"/>
  <c r="K37" i="24"/>
  <c r="G34" i="24"/>
  <c r="Q37" i="24"/>
  <c r="Q26" i="24"/>
  <c r="K26" i="24"/>
  <c r="R26" i="24"/>
  <c r="S26" i="24"/>
  <c r="O37" i="24"/>
  <c r="J37" i="24"/>
  <c r="R37" i="24"/>
  <c r="S37" i="24"/>
  <c r="AG30" i="17"/>
  <c r="AH30" i="17"/>
  <c r="AI30" i="17"/>
  <c r="AJ30" i="17"/>
  <c r="AC30" i="17"/>
  <c r="AD30" i="17"/>
  <c r="AE30" i="17"/>
  <c r="AF30" i="17"/>
  <c r="DD38" i="21"/>
  <c r="DD34" i="21"/>
  <c r="DD35" i="21"/>
  <c r="U39" i="17"/>
  <c r="V39" i="17"/>
  <c r="W39" i="17"/>
  <c r="X39" i="17"/>
  <c r="Q39" i="17"/>
  <c r="R39" i="17"/>
  <c r="T39" i="17"/>
  <c r="S39" i="17"/>
  <c r="P44" i="17"/>
  <c r="O44" i="17"/>
  <c r="R35" i="17"/>
  <c r="S35" i="17"/>
  <c r="T35" i="17"/>
  <c r="W35" i="17"/>
  <c r="U35" i="17"/>
  <c r="V35" i="17"/>
  <c r="X35" i="17"/>
  <c r="Q35" i="17"/>
  <c r="O37" i="17"/>
  <c r="P37" i="17"/>
  <c r="O39" i="17"/>
  <c r="P39" i="17"/>
  <c r="X34" i="17"/>
  <c r="R34" i="17"/>
  <c r="V34" i="17"/>
  <c r="S34" i="17"/>
  <c r="T34" i="17"/>
  <c r="U34" i="17"/>
  <c r="Q34" i="17"/>
  <c r="W34" i="17"/>
  <c r="Q43" i="17"/>
  <c r="R43" i="17"/>
  <c r="S43" i="17"/>
  <c r="W43" i="17"/>
  <c r="T43" i="17"/>
  <c r="U43" i="17"/>
  <c r="V43" i="17"/>
  <c r="X43" i="17"/>
  <c r="U30" i="17"/>
  <c r="V30" i="17"/>
  <c r="W30" i="17"/>
  <c r="S30" i="17"/>
  <c r="X30" i="17"/>
  <c r="R30" i="17"/>
  <c r="Q30" i="17"/>
  <c r="T30" i="17"/>
  <c r="S29" i="17"/>
  <c r="T29" i="17"/>
  <c r="U29" i="17"/>
  <c r="V29" i="17"/>
  <c r="Q29" i="17"/>
  <c r="W29" i="17"/>
  <c r="R29" i="17"/>
  <c r="X29" i="17"/>
  <c r="O33" i="17"/>
  <c r="P33" i="17"/>
  <c r="W31" i="17"/>
  <c r="T31" i="17"/>
  <c r="X31" i="17"/>
  <c r="Q31" i="17"/>
  <c r="R31" i="17"/>
  <c r="S31" i="17"/>
  <c r="V31" i="17"/>
  <c r="U31" i="17"/>
  <c r="O35" i="17"/>
  <c r="P35" i="17"/>
  <c r="P31" i="17"/>
  <c r="O31" i="17"/>
  <c r="CY36" i="21"/>
  <c r="CZ37" i="21"/>
  <c r="CF31" i="21"/>
  <c r="CH35" i="21"/>
  <c r="CD34" i="21"/>
  <c r="CG32" i="21"/>
  <c r="CD31" i="21"/>
  <c r="CA36" i="21"/>
  <c r="DB39" i="21"/>
  <c r="CD39" i="21"/>
  <c r="DA29" i="21"/>
  <c r="DB29" i="21"/>
  <c r="CV30" i="21"/>
  <c r="CK33" i="21"/>
  <c r="DA30" i="21"/>
  <c r="CC29" i="21"/>
  <c r="CH32" i="21"/>
  <c r="CZ31" i="21"/>
  <c r="DC25" i="21"/>
  <c r="BY32" i="21"/>
  <c r="CI30" i="21"/>
  <c r="CI39" i="21"/>
  <c r="CJ29" i="21"/>
  <c r="CY39" i="21"/>
  <c r="CZ33" i="21"/>
  <c r="DB37" i="21"/>
  <c r="CB36" i="21"/>
  <c r="CT30" i="21"/>
  <c r="CI31" i="21"/>
  <c r="CB30" i="21"/>
  <c r="BZ36" i="21"/>
  <c r="CV25" i="21"/>
  <c r="CI29" i="21"/>
  <c r="BZ32" i="21"/>
  <c r="CV29" i="21"/>
  <c r="CJ34" i="21"/>
  <c r="CG35" i="21"/>
  <c r="CC35" i="21"/>
  <c r="DA25" i="21"/>
  <c r="CW30" i="21"/>
  <c r="CX39" i="21"/>
  <c r="CF32" i="21"/>
  <c r="CE30" i="21"/>
  <c r="CI37" i="21"/>
  <c r="CD35" i="21"/>
  <c r="CJ30" i="21"/>
  <c r="CE29" i="21"/>
  <c r="CD29" i="21"/>
  <c r="CI34" i="21"/>
  <c r="CD36" i="21"/>
  <c r="CE37" i="21"/>
  <c r="CU30" i="21"/>
  <c r="CV31" i="21"/>
  <c r="DB32" i="21"/>
  <c r="DB25" i="21"/>
  <c r="CB29" i="21"/>
  <c r="CE33" i="21"/>
  <c r="BY44" i="21"/>
  <c r="CI36" i="21"/>
  <c r="CH45" i="21"/>
  <c r="CK29" i="21"/>
  <c r="CK34" i="21"/>
  <c r="CB37" i="21"/>
  <c r="CC34" i="21"/>
  <c r="CA37" i="21"/>
  <c r="CJ33" i="21"/>
  <c r="CI33" i="21"/>
  <c r="BZ44" i="21"/>
  <c r="CR39" i="21"/>
  <c r="CF45" i="21"/>
  <c r="CG33" i="21"/>
  <c r="CW25" i="21"/>
  <c r="CG34" i="21"/>
  <c r="CY25" i="21"/>
  <c r="CJ35" i="21"/>
  <c r="CK37" i="21"/>
  <c r="CE32" i="21"/>
  <c r="CB32" i="21"/>
  <c r="CG29" i="21"/>
  <c r="CJ37" i="21"/>
  <c r="CC39" i="21"/>
  <c r="BZ38" i="21"/>
  <c r="CC37" i="21"/>
  <c r="CT29" i="21"/>
  <c r="CH36" i="21"/>
  <c r="CT31" i="21"/>
  <c r="CD33" i="21"/>
  <c r="CY31" i="21"/>
  <c r="CT25" i="21"/>
  <c r="DC30" i="21"/>
  <c r="CD37" i="21"/>
  <c r="CY30" i="21"/>
  <c r="CK39" i="21"/>
  <c r="CA34" i="21"/>
  <c r="CE34" i="21"/>
  <c r="CJ31" i="21"/>
  <c r="CK32" i="21"/>
  <c r="CB33" i="21"/>
  <c r="BY38" i="21"/>
  <c r="CF30" i="21"/>
  <c r="CF39" i="21"/>
  <c r="CH39" i="21"/>
  <c r="CC33" i="21"/>
  <c r="CB31" i="21"/>
  <c r="CE31" i="21"/>
  <c r="CA42" i="21"/>
  <c r="CC31" i="21"/>
  <c r="CB34" i="21"/>
  <c r="CA30" i="21"/>
  <c r="CU29" i="21"/>
  <c r="CG37" i="21"/>
  <c r="CH30" i="21"/>
  <c r="CW29" i="21"/>
  <c r="BY36" i="21"/>
  <c r="CD32" i="21"/>
  <c r="CK30" i="21"/>
  <c r="CU25" i="21"/>
  <c r="CC36" i="21"/>
  <c r="DC29" i="21"/>
  <c r="CY29" i="21"/>
  <c r="DB30" i="21"/>
  <c r="DA31" i="21"/>
  <c r="CU31" i="21"/>
  <c r="CE39" i="21"/>
  <c r="CG36" i="21"/>
  <c r="CK35" i="21"/>
  <c r="CE35" i="21"/>
  <c r="CH31" i="21"/>
  <c r="CK31" i="21"/>
  <c r="CD30" i="21"/>
  <c r="BY34" i="21"/>
  <c r="CJ32" i="21"/>
  <c r="CI32" i="21"/>
  <c r="CA32" i="21"/>
  <c r="DB31" i="21"/>
  <c r="CX31" i="21"/>
  <c r="CG39" i="21"/>
  <c r="CB39" i="21"/>
  <c r="CE36" i="21"/>
  <c r="CK36" i="21"/>
  <c r="BY39" i="21"/>
  <c r="CI35" i="21"/>
  <c r="CB35" i="21"/>
  <c r="CG30" i="21"/>
  <c r="CC30" i="21"/>
  <c r="CC32" i="21"/>
  <c r="Z38" i="24" l="1"/>
  <c r="AF38" i="24"/>
  <c r="AH32" i="24"/>
  <c r="AL32" i="24" s="1"/>
  <c r="DD33" i="21"/>
  <c r="AG38" i="24"/>
  <c r="AH36" i="24"/>
  <c r="DD36" i="21"/>
  <c r="AG35" i="24"/>
  <c r="AL35" i="24" s="1"/>
  <c r="N30" i="24"/>
  <c r="N44" i="24"/>
  <c r="N38" i="24"/>
  <c r="AF30" i="24"/>
  <c r="N31" i="24"/>
  <c r="N29" i="24"/>
  <c r="P30" i="24"/>
  <c r="P35" i="24"/>
  <c r="P31" i="24"/>
  <c r="P44" i="24"/>
  <c r="P34" i="24"/>
  <c r="AH30" i="24"/>
  <c r="P29" i="24"/>
  <c r="P38" i="24"/>
  <c r="CP44" i="21"/>
  <c r="X43" i="24" s="1"/>
  <c r="CP36" i="21"/>
  <c r="X35" i="24" s="1"/>
  <c r="CP32" i="21"/>
  <c r="X31" i="24" s="1"/>
  <c r="CP38" i="21"/>
  <c r="X37" i="24" s="1"/>
  <c r="CO34" i="21"/>
  <c r="W33" i="24" s="1"/>
  <c r="CO36" i="21"/>
  <c r="W35" i="24" s="1"/>
  <c r="CO39" i="21"/>
  <c r="W38" i="24" s="1"/>
  <c r="CO32" i="21"/>
  <c r="W31" i="24" s="1"/>
  <c r="CO38" i="21"/>
  <c r="W37" i="24" s="1"/>
  <c r="CO44" i="21"/>
  <c r="W43" i="24" s="1"/>
  <c r="H31" i="24"/>
  <c r="H43" i="24"/>
  <c r="H35" i="24"/>
  <c r="H37" i="24"/>
  <c r="AJ31" i="24"/>
  <c r="AL31" i="24" s="1"/>
  <c r="DD32" i="21"/>
  <c r="AJ36" i="24"/>
  <c r="DD37" i="21"/>
  <c r="AJ38" i="24"/>
  <c r="DD39" i="21"/>
  <c r="AD28" i="24"/>
  <c r="AB28" i="24"/>
  <c r="AC28" i="24"/>
  <c r="AJ28" i="24"/>
  <c r="AK28" i="24"/>
  <c r="AI28" i="24"/>
  <c r="AG28" i="24"/>
  <c r="AE28" i="24"/>
  <c r="AC29" i="24"/>
  <c r="AB29" i="24"/>
  <c r="AK29" i="24"/>
  <c r="AJ29" i="24"/>
  <c r="AI29" i="24"/>
  <c r="AG29" i="24"/>
  <c r="AD29" i="24"/>
  <c r="AE29" i="24"/>
  <c r="R31" i="24"/>
  <c r="S31" i="24"/>
  <c r="R30" i="24"/>
  <c r="S30" i="24"/>
  <c r="M34" i="24"/>
  <c r="K35" i="24"/>
  <c r="M31" i="24"/>
  <c r="L30" i="24"/>
  <c r="L34" i="24"/>
  <c r="J35" i="24"/>
  <c r="Q38" i="24"/>
  <c r="AI30" i="24"/>
  <c r="Q34" i="24"/>
  <c r="S35" i="24"/>
  <c r="O38" i="24"/>
  <c r="AG30" i="24"/>
  <c r="J31" i="24"/>
  <c r="L35" i="24"/>
  <c r="O31" i="24"/>
  <c r="Q30" i="24"/>
  <c r="K34" i="24"/>
  <c r="Q35" i="24"/>
  <c r="L38" i="24"/>
  <c r="AJ30" i="24"/>
  <c r="Q31" i="24"/>
  <c r="R34" i="24"/>
  <c r="S34" i="24"/>
  <c r="O35" i="24"/>
  <c r="M38" i="24"/>
  <c r="AD30" i="24"/>
  <c r="O34" i="24"/>
  <c r="L31" i="24"/>
  <c r="M30" i="24"/>
  <c r="K38" i="24"/>
  <c r="AC30" i="24"/>
  <c r="K30" i="24"/>
  <c r="S38" i="24"/>
  <c r="K31" i="24"/>
  <c r="J30" i="24"/>
  <c r="J34" i="24"/>
  <c r="M35" i="24"/>
  <c r="J38" i="24"/>
  <c r="AB30" i="24"/>
  <c r="AL37" i="24"/>
  <c r="AC24" i="24"/>
  <c r="AB24" i="24"/>
  <c r="AJ24" i="24"/>
  <c r="AK24" i="24"/>
  <c r="AI24" i="24"/>
  <c r="AG24" i="24"/>
  <c r="AE24" i="24"/>
  <c r="AD24" i="24"/>
  <c r="AL33" i="24"/>
  <c r="AL34" i="24"/>
  <c r="G31" i="24"/>
  <c r="O33" i="24"/>
  <c r="L29" i="24"/>
  <c r="M28" i="24"/>
  <c r="I36" i="24"/>
  <c r="K36" i="24"/>
  <c r="K29" i="24"/>
  <c r="J28" i="24"/>
  <c r="J32" i="24"/>
  <c r="G36" i="24"/>
  <c r="M33" i="24"/>
  <c r="J36" i="24"/>
  <c r="O28" i="24"/>
  <c r="M36" i="24"/>
  <c r="G29" i="24"/>
  <c r="J29" i="24"/>
  <c r="K28" i="24"/>
  <c r="O32" i="24"/>
  <c r="I35" i="24"/>
  <c r="L33" i="24"/>
  <c r="S36" i="24"/>
  <c r="R36" i="24"/>
  <c r="M32" i="24"/>
  <c r="K33" i="24"/>
  <c r="I29" i="24"/>
  <c r="M29" i="24"/>
  <c r="S28" i="24"/>
  <c r="R28" i="24"/>
  <c r="G35" i="24"/>
  <c r="L28" i="24"/>
  <c r="L32" i="24"/>
  <c r="G41" i="24"/>
  <c r="G33" i="24"/>
  <c r="Q32" i="24"/>
  <c r="S33" i="24"/>
  <c r="R33" i="24"/>
  <c r="I41" i="24"/>
  <c r="O36" i="24"/>
  <c r="R29" i="24"/>
  <c r="S29" i="24"/>
  <c r="I33" i="24"/>
  <c r="J33" i="24"/>
  <c r="Q36" i="24"/>
  <c r="O29" i="24"/>
  <c r="I31" i="24"/>
  <c r="Q28" i="24"/>
  <c r="K32" i="24"/>
  <c r="Q33" i="24"/>
  <c r="L36" i="24"/>
  <c r="Q29" i="24"/>
  <c r="S32" i="24"/>
  <c r="R32" i="24"/>
  <c r="BZ39" i="21"/>
  <c r="CF35" i="21"/>
  <c r="CF36" i="21"/>
  <c r="CG31" i="21"/>
  <c r="CJ39" i="21"/>
  <c r="BZ34" i="21"/>
  <c r="CJ36" i="21"/>
  <c r="CW31" i="21"/>
  <c r="DC31" i="21"/>
  <c r="AE30" i="24" l="1"/>
  <c r="CP34" i="21"/>
  <c r="X33" i="24" s="1"/>
  <c r="H33" i="24"/>
  <c r="O30" i="24"/>
  <c r="N35" i="24"/>
  <c r="N34" i="24"/>
  <c r="T34" i="24" s="1"/>
  <c r="CL35" i="21"/>
  <c r="H38" i="24"/>
  <c r="CP39" i="21"/>
  <c r="X38" i="24" s="1"/>
  <c r="AL38" i="24"/>
  <c r="AL36" i="24"/>
  <c r="R35" i="24"/>
  <c r="CL36" i="21"/>
  <c r="AK30" i="24"/>
  <c r="AL30" i="24" s="1"/>
  <c r="R38" i="24"/>
  <c r="AL29" i="24"/>
  <c r="AL28" i="24"/>
  <c r="AL24" i="24"/>
  <c r="CL34" i="21"/>
  <c r="CL37" i="21"/>
  <c r="H83" i="17"/>
  <c r="H82" i="17"/>
  <c r="T35" i="24" l="1"/>
  <c r="T36" i="24"/>
  <c r="BV4" i="21" l="1"/>
  <c r="AI4" i="17" l="1"/>
  <c r="AJ4" i="17"/>
  <c r="AH4" i="17"/>
  <c r="AB4" i="17"/>
  <c r="AC4" i="17"/>
  <c r="AD4" i="17"/>
  <c r="AE4" i="17"/>
  <c r="AF4" i="17"/>
  <c r="AG4" i="17"/>
  <c r="AA4" i="17"/>
  <c r="M4" i="17"/>
  <c r="J4" i="17"/>
  <c r="T4" i="17" s="1"/>
  <c r="J5" i="17"/>
  <c r="V4" i="17" s="1"/>
  <c r="CV5" i="21"/>
  <c r="CY5" i="21"/>
  <c r="CX5" i="21"/>
  <c r="CZ5" i="21"/>
  <c r="DC5" i="21"/>
  <c r="CS5" i="21"/>
  <c r="CI5" i="21"/>
  <c r="CT5" i="21"/>
  <c r="CW5" i="21"/>
  <c r="DA5" i="21"/>
  <c r="CR5" i="21"/>
  <c r="CQ5" i="21"/>
  <c r="CF5" i="21"/>
  <c r="CU5" i="21"/>
  <c r="N4" i="24" l="1"/>
  <c r="AF4" i="24"/>
  <c r="CM38" i="1"/>
  <c r="CM37" i="1"/>
  <c r="CM90" i="1"/>
  <c r="CM89" i="1"/>
  <c r="CM88" i="1"/>
  <c r="CM87" i="1"/>
  <c r="CM42" i="1"/>
  <c r="CM46" i="1"/>
  <c r="CM41" i="1"/>
  <c r="CM45" i="1"/>
  <c r="CM40" i="1"/>
  <c r="CM44" i="1"/>
  <c r="CM91" i="1"/>
  <c r="CM39" i="1"/>
  <c r="CM43" i="1"/>
  <c r="CM86" i="1"/>
  <c r="AH4" i="24"/>
  <c r="CM147" i="1"/>
  <c r="CM146" i="1"/>
  <c r="CM145" i="1"/>
  <c r="CM144" i="1"/>
  <c r="CM98" i="1"/>
  <c r="CM99" i="1"/>
  <c r="CM131" i="1"/>
  <c r="CM130" i="1"/>
  <c r="CM129" i="1"/>
  <c r="CM128" i="1"/>
  <c r="CM127" i="1"/>
  <c r="CM126" i="1"/>
  <c r="CM108" i="1"/>
  <c r="CM103" i="1"/>
  <c r="CM110" i="1"/>
  <c r="CM105" i="1"/>
  <c r="CM102" i="1"/>
  <c r="CM107" i="1"/>
  <c r="CM104" i="1"/>
  <c r="CM111" i="1"/>
  <c r="CM109" i="1"/>
  <c r="CM106" i="1"/>
  <c r="CM36" i="1"/>
  <c r="CM71" i="1"/>
  <c r="CM75" i="1"/>
  <c r="CM6" i="1"/>
  <c r="CM3" i="1"/>
  <c r="CM35" i="1"/>
  <c r="CM70" i="1"/>
  <c r="CM74" i="1"/>
  <c r="CM9" i="1"/>
  <c r="CM2" i="1"/>
  <c r="CM34" i="1"/>
  <c r="CM69" i="1"/>
  <c r="CM73" i="1"/>
  <c r="CM8" i="1"/>
  <c r="CM5" i="1"/>
  <c r="CM33" i="1"/>
  <c r="CM68" i="1"/>
  <c r="CM72" i="1"/>
  <c r="CM7" i="1"/>
  <c r="CM4" i="1"/>
  <c r="CM85" i="1"/>
  <c r="CM84" i="1"/>
  <c r="CM59" i="1"/>
  <c r="CM53" i="1"/>
  <c r="CM49" i="1"/>
  <c r="CM22" i="1"/>
  <c r="CM20" i="1"/>
  <c r="CM16" i="1"/>
  <c r="CM13" i="1"/>
  <c r="CM12" i="1"/>
  <c r="CM79" i="1"/>
  <c r="CM78" i="1"/>
  <c r="CM77" i="1"/>
  <c r="CM76" i="1"/>
  <c r="CM62" i="1"/>
  <c r="CM61" i="1"/>
  <c r="CM60" i="1"/>
  <c r="CM58" i="1"/>
  <c r="CM54" i="1"/>
  <c r="CM50" i="1"/>
  <c r="CM19" i="1"/>
  <c r="CM17" i="1"/>
  <c r="CM15" i="1"/>
  <c r="CM11" i="1"/>
  <c r="CM81" i="1"/>
  <c r="CM80" i="1"/>
  <c r="CM57" i="1"/>
  <c r="CM55" i="1"/>
  <c r="CM52" i="1"/>
  <c r="CM47" i="1"/>
  <c r="CM24" i="1"/>
  <c r="CM18" i="1"/>
  <c r="CM14" i="1"/>
  <c r="CM83" i="1"/>
  <c r="CM82" i="1"/>
  <c r="CM56" i="1"/>
  <c r="CM51" i="1"/>
  <c r="CM48" i="1"/>
  <c r="CM25" i="1"/>
  <c r="CM23" i="1"/>
  <c r="CM21" i="1"/>
  <c r="CM10" i="1"/>
  <c r="Z4" i="24"/>
  <c r="AE4" i="24"/>
  <c r="AD4" i="24"/>
  <c r="AB4" i="24"/>
  <c r="AC4" i="24"/>
  <c r="AA4" i="24"/>
  <c r="AI4" i="24"/>
  <c r="Y4" i="24"/>
  <c r="AK4" i="24"/>
  <c r="AG4" i="24"/>
  <c r="Q4" i="24"/>
  <c r="Q4" i="17"/>
  <c r="P4" i="17"/>
  <c r="O4" i="17"/>
  <c r="X4" i="17"/>
  <c r="R4" i="17"/>
  <c r="U4" i="17"/>
  <c r="W4" i="17"/>
  <c r="S4" i="17"/>
  <c r="CE5" i="21"/>
  <c r="CH5" i="21"/>
  <c r="CC5" i="21"/>
  <c r="CA5" i="21"/>
  <c r="CG5" i="21"/>
  <c r="DB5" i="21"/>
  <c r="CB5" i="21"/>
  <c r="BZ5" i="21"/>
  <c r="CD5" i="21"/>
  <c r="BY5" i="21"/>
  <c r="CK5" i="21"/>
  <c r="M4" i="24" l="1"/>
  <c r="P4" i="24"/>
  <c r="CP5" i="21"/>
  <c r="X4" i="24" s="1"/>
  <c r="CO5" i="21"/>
  <c r="W4" i="24" s="1"/>
  <c r="CM151" i="1"/>
  <c r="H4" i="24"/>
  <c r="AJ4" i="24"/>
  <c r="AL4" i="24" s="1"/>
  <c r="S4" i="24"/>
  <c r="G4" i="24"/>
  <c r="J4" i="24"/>
  <c r="L4" i="24"/>
  <c r="I4" i="24"/>
  <c r="O4" i="24"/>
  <c r="K4" i="24"/>
  <c r="CJ5" i="21"/>
  <c r="R4" i="24" l="1"/>
  <c r="AD46" i="17"/>
  <c r="AE46" i="17"/>
  <c r="AF46" i="17"/>
  <c r="AG46" i="17"/>
  <c r="AH46" i="17"/>
  <c r="AI46" i="17"/>
  <c r="AJ46" i="17"/>
  <c r="AC46" i="17"/>
  <c r="AB46" i="17"/>
  <c r="AA46" i="17"/>
  <c r="J70" i="17"/>
  <c r="W46" i="17" s="1"/>
  <c r="CX47" i="21"/>
  <c r="DC40" i="21"/>
  <c r="DB40" i="21"/>
  <c r="CY40" i="21"/>
  <c r="CQ40" i="21"/>
  <c r="CV40" i="21"/>
  <c r="CS40" i="21"/>
  <c r="CT40" i="21"/>
  <c r="CR47" i="21"/>
  <c r="DA40" i="21"/>
  <c r="CW40" i="21"/>
  <c r="CZ47" i="21"/>
  <c r="CU40" i="21"/>
  <c r="AF46" i="24" l="1"/>
  <c r="AH46" i="24"/>
  <c r="Z46" i="24"/>
  <c r="AK39" i="24"/>
  <c r="AJ39" i="24"/>
  <c r="AG39" i="24"/>
  <c r="AD39" i="24"/>
  <c r="AA39" i="24"/>
  <c r="AC39" i="24"/>
  <c r="AI39" i="24"/>
  <c r="AE39" i="24"/>
  <c r="Y39" i="24"/>
  <c r="AB39" i="24"/>
  <c r="DD40" i="21"/>
  <c r="V46" i="17"/>
  <c r="U46" i="17"/>
  <c r="T46" i="17"/>
  <c r="X46" i="17"/>
  <c r="S46" i="17"/>
  <c r="R46" i="17"/>
  <c r="Q46" i="17"/>
  <c r="CH47" i="21"/>
  <c r="CI45" i="21"/>
  <c r="CJ45" i="21"/>
  <c r="CG45" i="21"/>
  <c r="CE45" i="21"/>
  <c r="CC45" i="21"/>
  <c r="CD45" i="21"/>
  <c r="CK45" i="21"/>
  <c r="CF47" i="21"/>
  <c r="CB45" i="21"/>
  <c r="N46" i="24" l="1"/>
  <c r="P46" i="24"/>
  <c r="AL39" i="24"/>
  <c r="K44" i="24"/>
  <c r="L44" i="24"/>
  <c r="O44" i="24"/>
  <c r="R44" i="24"/>
  <c r="S44" i="24"/>
  <c r="M44" i="24"/>
  <c r="Q44" i="24"/>
  <c r="J44" i="24"/>
  <c r="D3" i="20"/>
  <c r="D4" i="20"/>
  <c r="D5" i="20"/>
  <c r="D6" i="20"/>
  <c r="D7" i="20"/>
  <c r="D8" i="20"/>
  <c r="D9" i="20"/>
  <c r="D10" i="20"/>
  <c r="D11" i="20"/>
  <c r="D12" i="20"/>
  <c r="D13" i="20"/>
  <c r="D14" i="20"/>
  <c r="D15" i="20"/>
  <c r="D16" i="20"/>
  <c r="D17" i="20"/>
  <c r="D18" i="20"/>
  <c r="D19" i="20"/>
  <c r="D20" i="20"/>
  <c r="D21" i="20"/>
  <c r="D22" i="20"/>
  <c r="D23" i="20"/>
  <c r="D24" i="20"/>
  <c r="D25" i="20"/>
  <c r="D26" i="20"/>
  <c r="D27" i="20"/>
  <c r="D28" i="20"/>
  <c r="D29" i="20"/>
  <c r="D30" i="20"/>
  <c r="D31" i="20"/>
  <c r="D32" i="20"/>
  <c r="D33" i="20"/>
  <c r="D34" i="20"/>
  <c r="D35" i="20"/>
  <c r="D36" i="20"/>
  <c r="D37" i="20"/>
  <c r="D38" i="20"/>
  <c r="D39" i="20"/>
  <c r="D40" i="20"/>
  <c r="D41" i="20"/>
  <c r="D42" i="20"/>
  <c r="D43" i="20"/>
  <c r="D44" i="20"/>
  <c r="D45" i="20"/>
  <c r="D46" i="20"/>
  <c r="D47" i="20"/>
  <c r="D48" i="20"/>
  <c r="D49" i="20"/>
  <c r="D50" i="20"/>
  <c r="D51" i="20"/>
  <c r="D52" i="20"/>
  <c r="D53" i="20"/>
  <c r="D54" i="20"/>
  <c r="D55" i="20"/>
  <c r="D56" i="20"/>
  <c r="D57" i="20"/>
  <c r="D58" i="20"/>
  <c r="D59" i="20"/>
  <c r="D60" i="20"/>
  <c r="D61" i="20"/>
  <c r="D62" i="20"/>
  <c r="D63" i="20"/>
  <c r="D64" i="20"/>
  <c r="D65" i="20"/>
  <c r="D66" i="20"/>
  <c r="D67" i="20"/>
  <c r="D68" i="20"/>
  <c r="D69" i="20"/>
  <c r="D70" i="20"/>
  <c r="D71" i="20"/>
  <c r="D72" i="20"/>
  <c r="D73" i="20"/>
  <c r="D74" i="20"/>
  <c r="D75" i="20"/>
  <c r="D76" i="20"/>
  <c r="D77" i="20"/>
  <c r="D78" i="20"/>
  <c r="D79" i="20"/>
  <c r="D80" i="20"/>
  <c r="D81" i="20"/>
  <c r="D82" i="20"/>
  <c r="D83" i="20"/>
  <c r="D84" i="20"/>
  <c r="D85" i="20"/>
  <c r="D86" i="20"/>
  <c r="D87" i="20"/>
  <c r="D88" i="20"/>
  <c r="D89" i="20"/>
  <c r="D90" i="20"/>
  <c r="D91" i="20"/>
  <c r="D92" i="20"/>
  <c r="D93" i="20"/>
  <c r="D94" i="20"/>
  <c r="D95" i="20"/>
  <c r="D96" i="20"/>
  <c r="D97" i="20"/>
  <c r="D98" i="20"/>
  <c r="D99" i="20"/>
  <c r="D100" i="20"/>
  <c r="D101" i="20"/>
  <c r="D102" i="20"/>
  <c r="D103" i="20"/>
  <c r="D104" i="20"/>
  <c r="D105" i="20"/>
  <c r="D106" i="20"/>
  <c r="D107" i="20"/>
  <c r="D108" i="20"/>
  <c r="D109" i="20"/>
  <c r="D110" i="20"/>
  <c r="D111" i="20"/>
  <c r="D112" i="20"/>
  <c r="D113" i="20"/>
  <c r="D114" i="20"/>
  <c r="D115" i="20"/>
  <c r="D116" i="20"/>
  <c r="D117" i="20"/>
  <c r="D118" i="20"/>
  <c r="D119" i="20"/>
  <c r="D120" i="20"/>
  <c r="D121" i="20"/>
  <c r="D122" i="20"/>
  <c r="D123" i="20"/>
  <c r="D124" i="20"/>
  <c r="D125" i="20"/>
  <c r="D126" i="20"/>
  <c r="D127" i="20"/>
  <c r="D128" i="20"/>
  <c r="D129" i="20"/>
  <c r="D130" i="20"/>
  <c r="D131" i="20"/>
  <c r="D132" i="20"/>
  <c r="D133" i="20"/>
  <c r="D134" i="20"/>
  <c r="D135" i="20"/>
  <c r="D136" i="20"/>
  <c r="D137" i="20"/>
  <c r="D138" i="20"/>
  <c r="D139" i="20"/>
  <c r="D140" i="20"/>
  <c r="D141" i="20"/>
  <c r="D142" i="20"/>
  <c r="D143" i="20"/>
  <c r="D144" i="20"/>
  <c r="D145" i="20"/>
  <c r="D146" i="20"/>
  <c r="D147" i="20"/>
  <c r="D148" i="20"/>
  <c r="D149" i="20"/>
  <c r="D150" i="20"/>
  <c r="D151" i="20"/>
  <c r="D152" i="20"/>
  <c r="D153" i="20"/>
  <c r="D154" i="20"/>
  <c r="D155" i="20"/>
  <c r="D156" i="20"/>
  <c r="D157" i="20"/>
  <c r="D158" i="20"/>
  <c r="D159" i="20"/>
  <c r="D160" i="20"/>
  <c r="D161" i="20"/>
  <c r="D162" i="20"/>
  <c r="D163" i="20"/>
  <c r="D164" i="20"/>
  <c r="D165" i="20"/>
  <c r="D166" i="20"/>
  <c r="D167" i="20"/>
  <c r="D168" i="20"/>
  <c r="D169" i="20"/>
  <c r="D170" i="20"/>
  <c r="D171" i="20"/>
  <c r="D172" i="20"/>
  <c r="D173" i="20"/>
  <c r="D174" i="20"/>
  <c r="D175" i="20"/>
  <c r="D176" i="20"/>
  <c r="D177" i="20"/>
  <c r="D178" i="20"/>
  <c r="D179" i="20"/>
  <c r="D180" i="20"/>
  <c r="D181" i="20"/>
  <c r="D182" i="20"/>
  <c r="D183" i="20"/>
  <c r="D184" i="20"/>
  <c r="D185" i="20"/>
  <c r="D186" i="20"/>
  <c r="D187" i="20"/>
  <c r="D188" i="20"/>
  <c r="D189" i="20"/>
  <c r="D190" i="20"/>
  <c r="D191" i="20"/>
  <c r="D192" i="20"/>
  <c r="D193" i="20"/>
  <c r="D194" i="20"/>
  <c r="D195" i="20"/>
  <c r="D196" i="20"/>
  <c r="D197" i="20"/>
  <c r="D198" i="20"/>
  <c r="D199" i="20"/>
  <c r="D200" i="20"/>
  <c r="D201" i="20"/>
  <c r="D202" i="20"/>
  <c r="D203" i="20"/>
  <c r="D204" i="20"/>
  <c r="D205" i="20"/>
  <c r="D206" i="20"/>
  <c r="D207" i="20"/>
  <c r="D208" i="20"/>
  <c r="D209" i="20"/>
  <c r="D210" i="20"/>
  <c r="D211" i="20"/>
  <c r="D212" i="20"/>
  <c r="D213" i="20"/>
  <c r="D214" i="20"/>
  <c r="D215" i="20"/>
  <c r="D216" i="20"/>
  <c r="D217" i="20"/>
  <c r="D218" i="20"/>
  <c r="D219" i="20"/>
  <c r="D220" i="20"/>
  <c r="D221" i="20"/>
  <c r="D222" i="20"/>
  <c r="D223" i="20"/>
  <c r="D224" i="20"/>
  <c r="D225" i="20"/>
  <c r="D226" i="20"/>
  <c r="D227" i="20"/>
  <c r="D228" i="20"/>
  <c r="D229" i="20"/>
  <c r="D230" i="20"/>
  <c r="D231" i="20"/>
  <c r="D232" i="20"/>
  <c r="D233" i="20"/>
  <c r="D234" i="20"/>
  <c r="D235" i="20"/>
  <c r="D236" i="20"/>
  <c r="D237" i="20"/>
  <c r="D238" i="20"/>
  <c r="D239" i="20"/>
  <c r="D240" i="20"/>
  <c r="D241" i="20"/>
  <c r="D242" i="20"/>
  <c r="D243" i="20"/>
  <c r="D244" i="20"/>
  <c r="D245" i="20"/>
  <c r="D246" i="20"/>
  <c r="D247" i="20"/>
  <c r="D248" i="20"/>
  <c r="D249" i="20"/>
  <c r="D250" i="20"/>
  <c r="D251" i="20"/>
  <c r="D252" i="20"/>
  <c r="D253" i="20"/>
  <c r="D254" i="20"/>
  <c r="D255" i="20"/>
  <c r="D256" i="20"/>
  <c r="D257" i="20"/>
  <c r="D258" i="20"/>
  <c r="D259" i="20"/>
  <c r="D260" i="20"/>
  <c r="D261" i="20"/>
  <c r="D262" i="20"/>
  <c r="D263" i="20"/>
  <c r="D264" i="20"/>
  <c r="D265" i="20"/>
  <c r="D266" i="20"/>
  <c r="D267" i="20"/>
  <c r="D268" i="20"/>
  <c r="D269" i="20"/>
  <c r="D270" i="20"/>
  <c r="D271" i="20"/>
  <c r="D272" i="20"/>
  <c r="D273" i="20"/>
  <c r="D274" i="20"/>
  <c r="D275" i="20"/>
  <c r="D276" i="20"/>
  <c r="D277" i="20"/>
  <c r="D278" i="20"/>
  <c r="D279" i="20"/>
  <c r="D280" i="20"/>
  <c r="D281" i="20"/>
  <c r="D282" i="20"/>
  <c r="D283" i="20"/>
  <c r="D284" i="20"/>
  <c r="D285" i="20"/>
  <c r="D286" i="20"/>
  <c r="D287" i="20"/>
  <c r="D288" i="20"/>
  <c r="D289" i="20"/>
  <c r="D290" i="20"/>
  <c r="D291" i="20"/>
  <c r="D292" i="20"/>
  <c r="D293" i="20"/>
  <c r="D294" i="20"/>
  <c r="D295" i="20"/>
  <c r="D296" i="20"/>
  <c r="D297" i="20"/>
  <c r="D298" i="20"/>
  <c r="D299" i="20"/>
  <c r="D300" i="20"/>
  <c r="A3" i="20"/>
  <c r="A4" i="20"/>
  <c r="A5" i="20"/>
  <c r="A6" i="20"/>
  <c r="A7" i="20"/>
  <c r="A8" i="20"/>
  <c r="A9" i="20"/>
  <c r="A10" i="20"/>
  <c r="A11" i="20"/>
  <c r="A12" i="20"/>
  <c r="A13" i="20"/>
  <c r="A14" i="20"/>
  <c r="A15" i="20"/>
  <c r="A16" i="20"/>
  <c r="A17" i="20"/>
  <c r="A18" i="20"/>
  <c r="A19" i="20"/>
  <c r="A20" i="20"/>
  <c r="A21" i="20"/>
  <c r="A22" i="20"/>
  <c r="A23" i="20"/>
  <c r="A24" i="20"/>
  <c r="A25" i="20"/>
  <c r="A26" i="20"/>
  <c r="A27" i="20"/>
  <c r="A28" i="20"/>
  <c r="A29" i="20"/>
  <c r="A30" i="20"/>
  <c r="A31" i="20"/>
  <c r="A32" i="20"/>
  <c r="A33" i="20"/>
  <c r="A34" i="20"/>
  <c r="A35" i="20"/>
  <c r="A36" i="20"/>
  <c r="A37" i="20"/>
  <c r="A38" i="20"/>
  <c r="A39" i="20"/>
  <c r="A40" i="20"/>
  <c r="A41" i="20"/>
  <c r="A42" i="20"/>
  <c r="A43" i="20"/>
  <c r="A44" i="20"/>
  <c r="A45" i="20"/>
  <c r="A46" i="20"/>
  <c r="A47" i="20"/>
  <c r="A48" i="20"/>
  <c r="A49" i="20"/>
  <c r="A50" i="20"/>
  <c r="A51" i="20"/>
  <c r="A52" i="20"/>
  <c r="A53" i="20"/>
  <c r="A54" i="20"/>
  <c r="A55" i="20"/>
  <c r="A56" i="20"/>
  <c r="A57" i="20"/>
  <c r="A58" i="20"/>
  <c r="A59" i="20"/>
  <c r="A60" i="20"/>
  <c r="A61" i="20"/>
  <c r="A62" i="20"/>
  <c r="A63" i="20"/>
  <c r="A64" i="20"/>
  <c r="A65" i="20"/>
  <c r="A66" i="20"/>
  <c r="A67" i="20"/>
  <c r="A68" i="20"/>
  <c r="A69" i="20"/>
  <c r="A70" i="20"/>
  <c r="A71" i="20"/>
  <c r="A72" i="20"/>
  <c r="A73" i="20"/>
  <c r="A74" i="20"/>
  <c r="A75" i="20"/>
  <c r="A76" i="20"/>
  <c r="A77" i="20"/>
  <c r="A78" i="20"/>
  <c r="A79" i="20"/>
  <c r="A80" i="20"/>
  <c r="A81" i="20"/>
  <c r="A82" i="20"/>
  <c r="A83" i="20"/>
  <c r="A84" i="20"/>
  <c r="A85" i="20"/>
  <c r="A86" i="20"/>
  <c r="A87" i="20"/>
  <c r="A88" i="20"/>
  <c r="A89" i="20"/>
  <c r="A90" i="20"/>
  <c r="A91" i="20"/>
  <c r="A92" i="20"/>
  <c r="A93" i="20"/>
  <c r="A94" i="20"/>
  <c r="A95" i="20"/>
  <c r="A96" i="20"/>
  <c r="A97" i="20"/>
  <c r="A98" i="20"/>
  <c r="A99" i="20"/>
  <c r="A100" i="20"/>
  <c r="A101" i="20"/>
  <c r="A102" i="20"/>
  <c r="A103" i="20"/>
  <c r="A104" i="20"/>
  <c r="A105" i="20"/>
  <c r="A106" i="20"/>
  <c r="A107" i="20"/>
  <c r="A108" i="20"/>
  <c r="A109" i="20"/>
  <c r="A110" i="20"/>
  <c r="A111" i="20"/>
  <c r="A112" i="20"/>
  <c r="A113" i="20"/>
  <c r="A114" i="20"/>
  <c r="A115" i="20"/>
  <c r="A116" i="20"/>
  <c r="A117" i="20"/>
  <c r="A118" i="20"/>
  <c r="A119" i="20"/>
  <c r="A120" i="20"/>
  <c r="A121" i="20"/>
  <c r="A122" i="20"/>
  <c r="A123" i="20"/>
  <c r="A124" i="20"/>
  <c r="A125" i="20"/>
  <c r="A126" i="20"/>
  <c r="A127" i="20"/>
  <c r="A128" i="20"/>
  <c r="A129" i="20"/>
  <c r="A130" i="20"/>
  <c r="A131" i="20"/>
  <c r="A132" i="20"/>
  <c r="A133" i="20"/>
  <c r="A134" i="20"/>
  <c r="A135" i="20"/>
  <c r="A136" i="20"/>
  <c r="A137" i="20"/>
  <c r="A138" i="20"/>
  <c r="A139" i="20"/>
  <c r="A140" i="20"/>
  <c r="A141" i="20"/>
  <c r="A142" i="20"/>
  <c r="A143" i="20"/>
  <c r="A144" i="20"/>
  <c r="A145" i="20"/>
  <c r="A146" i="20"/>
  <c r="A147" i="20"/>
  <c r="A148" i="20"/>
  <c r="A149" i="20"/>
  <c r="A150" i="20"/>
  <c r="A151" i="20"/>
  <c r="A152" i="20"/>
  <c r="A153" i="20"/>
  <c r="A154" i="20"/>
  <c r="A155" i="20"/>
  <c r="A156" i="20"/>
  <c r="A157" i="20"/>
  <c r="A158" i="20"/>
  <c r="A159" i="20"/>
  <c r="A160" i="20"/>
  <c r="A161" i="20"/>
  <c r="A162" i="20"/>
  <c r="A163" i="20"/>
  <c r="A164" i="20"/>
  <c r="A165" i="20"/>
  <c r="A166" i="20"/>
  <c r="A167" i="20"/>
  <c r="A168" i="20"/>
  <c r="A169" i="20"/>
  <c r="A170" i="20"/>
  <c r="A171" i="20"/>
  <c r="A172" i="20"/>
  <c r="A173" i="20"/>
  <c r="A174" i="20"/>
  <c r="A175" i="20"/>
  <c r="A176" i="20"/>
  <c r="A177" i="20"/>
  <c r="A178" i="20"/>
  <c r="A179" i="20"/>
  <c r="A180" i="20"/>
  <c r="A181" i="20"/>
  <c r="A182" i="20"/>
  <c r="A183" i="20"/>
  <c r="A184" i="20"/>
  <c r="A185" i="20"/>
  <c r="A186" i="20"/>
  <c r="A187" i="20"/>
  <c r="A188" i="20"/>
  <c r="A189" i="20"/>
  <c r="A190" i="20"/>
  <c r="A191" i="20"/>
  <c r="A192" i="20"/>
  <c r="A193" i="20"/>
  <c r="A194" i="20"/>
  <c r="A195" i="20"/>
  <c r="A196" i="20"/>
  <c r="A197" i="20"/>
  <c r="A198" i="20"/>
  <c r="A199" i="20"/>
  <c r="A200" i="20"/>
  <c r="A201" i="20"/>
  <c r="A202" i="20"/>
  <c r="A203" i="20"/>
  <c r="A204" i="20"/>
  <c r="A205" i="20"/>
  <c r="A206" i="20"/>
  <c r="A207" i="20"/>
  <c r="A208" i="20"/>
  <c r="A209" i="20"/>
  <c r="A210" i="20"/>
  <c r="A211" i="20"/>
  <c r="A212" i="20"/>
  <c r="A213" i="20"/>
  <c r="A214" i="20"/>
  <c r="A215" i="20"/>
  <c r="A216" i="20"/>
  <c r="A217" i="20"/>
  <c r="A218" i="20"/>
  <c r="A219" i="20"/>
  <c r="A220" i="20"/>
  <c r="A221" i="20"/>
  <c r="A222" i="20"/>
  <c r="A223" i="20"/>
  <c r="A224" i="20"/>
  <c r="A225" i="20"/>
  <c r="A226" i="20"/>
  <c r="A227" i="20"/>
  <c r="A228" i="20"/>
  <c r="A229" i="20"/>
  <c r="A230" i="20"/>
  <c r="A231" i="20"/>
  <c r="A232" i="20"/>
  <c r="A233" i="20"/>
  <c r="A234" i="20"/>
  <c r="A235" i="20"/>
  <c r="A236" i="20"/>
  <c r="A237" i="20"/>
  <c r="A238" i="20"/>
  <c r="A239" i="20"/>
  <c r="A240" i="20"/>
  <c r="A241" i="20"/>
  <c r="A242" i="20"/>
  <c r="A243" i="20"/>
  <c r="A244" i="20"/>
  <c r="A245" i="20"/>
  <c r="A246" i="20"/>
  <c r="A247" i="20"/>
  <c r="A248" i="20"/>
  <c r="A249" i="20"/>
  <c r="A250" i="20"/>
  <c r="A251" i="20"/>
  <c r="A252" i="20"/>
  <c r="A253" i="20"/>
  <c r="A254" i="20"/>
  <c r="A255" i="20"/>
  <c r="A256" i="20"/>
  <c r="A257" i="20"/>
  <c r="A258" i="20"/>
  <c r="A259" i="20"/>
  <c r="A260" i="20"/>
  <c r="A261" i="20"/>
  <c r="A262" i="20"/>
  <c r="A263" i="20"/>
  <c r="A264" i="20"/>
  <c r="A265" i="20"/>
  <c r="A266" i="20"/>
  <c r="A267" i="20"/>
  <c r="A268" i="20"/>
  <c r="A269" i="20"/>
  <c r="A270" i="20"/>
  <c r="A271" i="20"/>
  <c r="A272" i="20"/>
  <c r="A273" i="20"/>
  <c r="A274" i="20"/>
  <c r="A275" i="20"/>
  <c r="A276" i="20"/>
  <c r="A277" i="20"/>
  <c r="A278" i="20"/>
  <c r="A279" i="20"/>
  <c r="A280" i="20"/>
  <c r="A281" i="20"/>
  <c r="A282" i="20"/>
  <c r="A283" i="20"/>
  <c r="A284" i="20"/>
  <c r="A285" i="20"/>
  <c r="A286" i="20"/>
  <c r="A287" i="20"/>
  <c r="A288" i="20"/>
  <c r="A289" i="20"/>
  <c r="A290" i="20"/>
  <c r="A291" i="20"/>
  <c r="A292" i="20"/>
  <c r="A293" i="20"/>
  <c r="A294" i="20"/>
  <c r="A295" i="20"/>
  <c r="A296" i="20"/>
  <c r="A297" i="20"/>
  <c r="A298" i="20"/>
  <c r="A299" i="20"/>
  <c r="A300" i="20"/>
  <c r="C4" i="36"/>
  <c r="AE2" i="26" l="1"/>
  <c r="AE4" i="26"/>
  <c r="AE6" i="26"/>
  <c r="AE7" i="26"/>
  <c r="AO38" i="1" l="1"/>
  <c r="AO37" i="1"/>
  <c r="AO89" i="1"/>
  <c r="AO88" i="1"/>
  <c r="AO87" i="1"/>
  <c r="AO46" i="1"/>
  <c r="AO45" i="1"/>
  <c r="AO44" i="1"/>
  <c r="AO43" i="1"/>
  <c r="AO42" i="1"/>
  <c r="AO41" i="1"/>
  <c r="AO40" i="1"/>
  <c r="AO39" i="1"/>
  <c r="AO148" i="1"/>
  <c r="AO99" i="1"/>
  <c r="FF99" i="1" s="1"/>
  <c r="AO98" i="1"/>
  <c r="FF98" i="1" s="1"/>
  <c r="AO147" i="1"/>
  <c r="FF147" i="1" s="1"/>
  <c r="AO144" i="1"/>
  <c r="FF144" i="1" s="1"/>
  <c r="AO145" i="1"/>
  <c r="FF145" i="1" s="1"/>
  <c r="AO143" i="1"/>
  <c r="FF143" i="1" s="1"/>
  <c r="AO146" i="1"/>
  <c r="FF146" i="1" s="1"/>
  <c r="FC148" i="1"/>
  <c r="AO127" i="1"/>
  <c r="FF127" i="1" s="1"/>
  <c r="AO124" i="1"/>
  <c r="FF124" i="1" s="1"/>
  <c r="AO131" i="1"/>
  <c r="FF131" i="1" s="1"/>
  <c r="AO129" i="1"/>
  <c r="FF129" i="1" s="1"/>
  <c r="AO128" i="1"/>
  <c r="FF128" i="1" s="1"/>
  <c r="AO126" i="1"/>
  <c r="FF126" i="1" s="1"/>
  <c r="AO130" i="1"/>
  <c r="FF130" i="1" s="1"/>
  <c r="AO125" i="1"/>
  <c r="FF125" i="1" s="1"/>
  <c r="AO139" i="1"/>
  <c r="FF139" i="1" s="1"/>
  <c r="AO137" i="1"/>
  <c r="FF137" i="1" s="1"/>
  <c r="AO136" i="1"/>
  <c r="FF136" i="1" s="1"/>
  <c r="AO134" i="1"/>
  <c r="FF134" i="1" s="1"/>
  <c r="AO138" i="1"/>
  <c r="FF138" i="1" s="1"/>
  <c r="AO133" i="1"/>
  <c r="FF133" i="1" s="1"/>
  <c r="AO135" i="1"/>
  <c r="FF135" i="1" s="1"/>
  <c r="AO132" i="1"/>
  <c r="FF132" i="1" s="1"/>
  <c r="AO108" i="1"/>
  <c r="FF108" i="1" s="1"/>
  <c r="AO103" i="1"/>
  <c r="FF103" i="1" s="1"/>
  <c r="AO100" i="1"/>
  <c r="FF100" i="1" s="1"/>
  <c r="AO110" i="1"/>
  <c r="FF110" i="1" s="1"/>
  <c r="AO105" i="1"/>
  <c r="FF105" i="1" s="1"/>
  <c r="AO102" i="1"/>
  <c r="FF102" i="1" s="1"/>
  <c r="AO107" i="1"/>
  <c r="FF107" i="1" s="1"/>
  <c r="AO104" i="1"/>
  <c r="FF104" i="1" s="1"/>
  <c r="AO111" i="1"/>
  <c r="FF111" i="1" s="1"/>
  <c r="AO109" i="1"/>
  <c r="FF109" i="1" s="1"/>
  <c r="AO106" i="1"/>
  <c r="FF106" i="1" s="1"/>
  <c r="AO101" i="1"/>
  <c r="FF101" i="1" s="1"/>
  <c r="AO118" i="1"/>
  <c r="FF118" i="1" s="1"/>
  <c r="AO113" i="1"/>
  <c r="FF113" i="1" s="1"/>
  <c r="AO115" i="1"/>
  <c r="FF115" i="1" s="1"/>
  <c r="AO112" i="1"/>
  <c r="FF112" i="1" s="1"/>
  <c r="AO119" i="1"/>
  <c r="FF119" i="1" s="1"/>
  <c r="AO117" i="1"/>
  <c r="FF117" i="1" s="1"/>
  <c r="AO116" i="1"/>
  <c r="FF116" i="1" s="1"/>
  <c r="AO114" i="1"/>
  <c r="FF114" i="1" s="1"/>
  <c r="AO36" i="1"/>
  <c r="AO35" i="1"/>
  <c r="AO34" i="1"/>
  <c r="AO33" i="1"/>
  <c r="AO12" i="1"/>
  <c r="FF12" i="1" s="1"/>
  <c r="AO77" i="1"/>
  <c r="AO60" i="1"/>
  <c r="FF60" i="1" s="1"/>
  <c r="FG60" i="1" s="1"/>
  <c r="AO54" i="1"/>
  <c r="FF54" i="1" s="1"/>
  <c r="FG54" i="1" s="1"/>
  <c r="AO19" i="1"/>
  <c r="FF19" i="1" s="1"/>
  <c r="AO83" i="1"/>
  <c r="AO14" i="1"/>
  <c r="FF14" i="1" s="1"/>
  <c r="AO56" i="1"/>
  <c r="FF56" i="1" s="1"/>
  <c r="FG56" i="1" s="1"/>
  <c r="AO25" i="1"/>
  <c r="FF25" i="1" s="1"/>
  <c r="AO20" i="1"/>
  <c r="FF20" i="1" s="1"/>
  <c r="AO80" i="1"/>
  <c r="AO24" i="1"/>
  <c r="FF24" i="1" s="1"/>
  <c r="AO59" i="1"/>
  <c r="FF59" i="1" s="1"/>
  <c r="FG59" i="1" s="1"/>
  <c r="AO21" i="1"/>
  <c r="FF21" i="1" s="1"/>
  <c r="AO78" i="1"/>
  <c r="AO81" i="1"/>
  <c r="AO62" i="1"/>
  <c r="FF62" i="1" s="1"/>
  <c r="FG62" i="1" s="1"/>
  <c r="AO57" i="1"/>
  <c r="FF57" i="1" s="1"/>
  <c r="FG57" i="1" s="1"/>
  <c r="AO47" i="1"/>
  <c r="FF47" i="1" s="1"/>
  <c r="FG47" i="1" s="1"/>
  <c r="AO17" i="1"/>
  <c r="FF17" i="1" s="1"/>
  <c r="AO52" i="1"/>
  <c r="FF52" i="1" s="1"/>
  <c r="FG52" i="1" s="1"/>
  <c r="AO84" i="1"/>
  <c r="AO49" i="1"/>
  <c r="FF49" i="1" s="1"/>
  <c r="FG49" i="1" s="1"/>
  <c r="AO22" i="1"/>
  <c r="FF22" i="1" s="1"/>
  <c r="AO55" i="1"/>
  <c r="FF55" i="1" s="1"/>
  <c r="FG55" i="1" s="1"/>
  <c r="AO51" i="1"/>
  <c r="FF51" i="1" s="1"/>
  <c r="FG51" i="1" s="1"/>
  <c r="AO48" i="1"/>
  <c r="FF48" i="1" s="1"/>
  <c r="FG48" i="1" s="1"/>
  <c r="AO79" i="1"/>
  <c r="AO11" i="1"/>
  <c r="FF11" i="1" s="1"/>
  <c r="AO76" i="1"/>
  <c r="FF76" i="1" s="1"/>
  <c r="AO58" i="1"/>
  <c r="FF58" i="1" s="1"/>
  <c r="FG58" i="1" s="1"/>
  <c r="AO50" i="1"/>
  <c r="FF50" i="1" s="1"/>
  <c r="FG50" i="1" s="1"/>
  <c r="AO18" i="1"/>
  <c r="FF18" i="1" s="1"/>
  <c r="AO82" i="1"/>
  <c r="AO85" i="1"/>
  <c r="AO53" i="1"/>
  <c r="FF53" i="1" s="1"/>
  <c r="FG53" i="1" s="1"/>
  <c r="AO23" i="1"/>
  <c r="FF23" i="1" s="1"/>
  <c r="AO16" i="1"/>
  <c r="FF16" i="1" s="1"/>
  <c r="AO13" i="1"/>
  <c r="FF13" i="1" s="1"/>
  <c r="AO61" i="1"/>
  <c r="FF61" i="1" s="1"/>
  <c r="FG61" i="1" s="1"/>
  <c r="AO15" i="1"/>
  <c r="FF15" i="1" s="1"/>
  <c r="AO10" i="1"/>
  <c r="FF10" i="1" s="1"/>
  <c r="AO68" i="1"/>
  <c r="AO72" i="1"/>
  <c r="AO6" i="1"/>
  <c r="AO5" i="1"/>
  <c r="AO71" i="1"/>
  <c r="AO75" i="1"/>
  <c r="AO9" i="1"/>
  <c r="AO4" i="1"/>
  <c r="AO70" i="1"/>
  <c r="AO74" i="1"/>
  <c r="AO8" i="1"/>
  <c r="AO3" i="1"/>
  <c r="AO69" i="1"/>
  <c r="AO73" i="1"/>
  <c r="AO7" i="1"/>
  <c r="AO2" i="1"/>
  <c r="AE75" i="26"/>
  <c r="EY39" i="1" l="1"/>
  <c r="FA39" i="1"/>
  <c r="FE39" i="1"/>
  <c r="FC39" i="1"/>
  <c r="EU39" i="1" s="1"/>
  <c r="EO39" i="1" s="1"/>
  <c r="ER39" i="1" s="1"/>
  <c r="EY43" i="1"/>
  <c r="FA43" i="1"/>
  <c r="FE43" i="1"/>
  <c r="FC43" i="1"/>
  <c r="EU43" i="1" s="1"/>
  <c r="EO43" i="1" s="1"/>
  <c r="ER43" i="1" s="1"/>
  <c r="FE87" i="1"/>
  <c r="FH87" i="1"/>
  <c r="EY87" i="1"/>
  <c r="FA87" i="1"/>
  <c r="FC87" i="1"/>
  <c r="EY38" i="1"/>
  <c r="FA38" i="1"/>
  <c r="FE38" i="1"/>
  <c r="FC38" i="1"/>
  <c r="EY42" i="1"/>
  <c r="FA42" i="1"/>
  <c r="FE42" i="1"/>
  <c r="FC42" i="1"/>
  <c r="EY46" i="1"/>
  <c r="FA46" i="1"/>
  <c r="FE46" i="1"/>
  <c r="FC46" i="1"/>
  <c r="FE37" i="1"/>
  <c r="EY37" i="1"/>
  <c r="FA37" i="1"/>
  <c r="FC37" i="1"/>
  <c r="EY41" i="1"/>
  <c r="FA41" i="1"/>
  <c r="FE41" i="1"/>
  <c r="FC41" i="1"/>
  <c r="EY45" i="1"/>
  <c r="FA45" i="1"/>
  <c r="FE45" i="1"/>
  <c r="FC45" i="1"/>
  <c r="FA89" i="1"/>
  <c r="FE89" i="1"/>
  <c r="EY89" i="1"/>
  <c r="FC89" i="1"/>
  <c r="EY40" i="1"/>
  <c r="FA40" i="1"/>
  <c r="FE40" i="1"/>
  <c r="FC40" i="1"/>
  <c r="EY44" i="1"/>
  <c r="FA44" i="1"/>
  <c r="FE44" i="1"/>
  <c r="FC44" i="1"/>
  <c r="FE88" i="1"/>
  <c r="EY88" i="1"/>
  <c r="FA88" i="1"/>
  <c r="FC88" i="1"/>
  <c r="FG82" i="1"/>
  <c r="FF82" i="1"/>
  <c r="FG84" i="1"/>
  <c r="FF84" i="1"/>
  <c r="FG88" i="1" s="1"/>
  <c r="FG83" i="1"/>
  <c r="FF83" i="1"/>
  <c r="FG87" i="1" s="1"/>
  <c r="FG77" i="1"/>
  <c r="FF77" i="1"/>
  <c r="FG79" i="1"/>
  <c r="FF79" i="1"/>
  <c r="FG81" i="1"/>
  <c r="FF81" i="1"/>
  <c r="FG85" i="1"/>
  <c r="FF85" i="1"/>
  <c r="FG89" i="1" s="1"/>
  <c r="FG78" i="1"/>
  <c r="FF78" i="1"/>
  <c r="FG80" i="1"/>
  <c r="FF80" i="1"/>
  <c r="BK148" i="1"/>
  <c r="BM148" i="1" s="1"/>
  <c r="BO148" i="1" s="1"/>
  <c r="EP148" i="1" s="1"/>
  <c r="FF148" i="1"/>
  <c r="EY148" i="1"/>
  <c r="FE148" i="1"/>
  <c r="FA148" i="1"/>
  <c r="FH148" i="1"/>
  <c r="BK99" i="1"/>
  <c r="BM99" i="1" s="1"/>
  <c r="BO99" i="1" s="1"/>
  <c r="FC99" i="1"/>
  <c r="FA99" i="1"/>
  <c r="FH99" i="1"/>
  <c r="FE99" i="1"/>
  <c r="EY99" i="1"/>
  <c r="EY98" i="1"/>
  <c r="FE98" i="1"/>
  <c r="BK98" i="1"/>
  <c r="BM98" i="1" s="1"/>
  <c r="BO98" i="1" s="1"/>
  <c r="FC98" i="1"/>
  <c r="FA98" i="1"/>
  <c r="FH98" i="1"/>
  <c r="FA146" i="1"/>
  <c r="BK146" i="1"/>
  <c r="BM146" i="1" s="1"/>
  <c r="BO146" i="1" s="1"/>
  <c r="EY146" i="1"/>
  <c r="FH146" i="1"/>
  <c r="FE146" i="1"/>
  <c r="FC146" i="1"/>
  <c r="FA147" i="1"/>
  <c r="FE147" i="1"/>
  <c r="FH147" i="1"/>
  <c r="BK147" i="1"/>
  <c r="BM147" i="1" s="1"/>
  <c r="BO147" i="1" s="1"/>
  <c r="EY147" i="1"/>
  <c r="FC147" i="1"/>
  <c r="FA144" i="1"/>
  <c r="BK144" i="1"/>
  <c r="BM144" i="1" s="1"/>
  <c r="BO144" i="1" s="1"/>
  <c r="FH144" i="1"/>
  <c r="EY144" i="1"/>
  <c r="FE144" i="1"/>
  <c r="FC144" i="1"/>
  <c r="BX148" i="1"/>
  <c r="BY148" i="1" s="1"/>
  <c r="EQ148" i="1" s="1"/>
  <c r="FA145" i="1"/>
  <c r="FE145" i="1"/>
  <c r="EY145" i="1"/>
  <c r="BK145" i="1"/>
  <c r="BM145" i="1" s="1"/>
  <c r="BO145" i="1" s="1"/>
  <c r="FH145" i="1"/>
  <c r="FC145" i="1"/>
  <c r="FA143" i="1"/>
  <c r="BK143" i="1"/>
  <c r="BM143" i="1" s="1"/>
  <c r="BO143" i="1" s="1"/>
  <c r="FH143" i="1"/>
  <c r="EY143" i="1"/>
  <c r="FE143" i="1"/>
  <c r="FC143" i="1"/>
  <c r="FA138" i="1"/>
  <c r="BK138" i="1"/>
  <c r="BM138" i="1" s="1"/>
  <c r="BO138" i="1" s="1"/>
  <c r="FH138" i="1"/>
  <c r="FE138" i="1"/>
  <c r="EY138" i="1"/>
  <c r="FC138" i="1"/>
  <c r="FA139" i="1"/>
  <c r="BK139" i="1"/>
  <c r="BM139" i="1" s="1"/>
  <c r="BO139" i="1" s="1"/>
  <c r="FH139" i="1"/>
  <c r="FE139" i="1"/>
  <c r="EY139" i="1"/>
  <c r="FC139" i="1"/>
  <c r="FA130" i="1"/>
  <c r="BK130" i="1"/>
  <c r="BM130" i="1" s="1"/>
  <c r="BO130" i="1" s="1"/>
  <c r="FE130" i="1"/>
  <c r="EY130" i="1"/>
  <c r="FH130" i="1"/>
  <c r="FC130" i="1"/>
  <c r="FA127" i="1"/>
  <c r="BK127" i="1"/>
  <c r="BM127" i="1" s="1"/>
  <c r="BO127" i="1" s="1"/>
  <c r="FE127" i="1"/>
  <c r="EY127" i="1"/>
  <c r="FH127" i="1"/>
  <c r="FC127" i="1"/>
  <c r="FA133" i="1"/>
  <c r="BK133" i="1"/>
  <c r="BM133" i="1" s="1"/>
  <c r="BO133" i="1" s="1"/>
  <c r="FH133" i="1"/>
  <c r="FE133" i="1"/>
  <c r="EY133" i="1"/>
  <c r="FC133" i="1"/>
  <c r="FA137" i="1"/>
  <c r="BK137" i="1"/>
  <c r="BM137" i="1" s="1"/>
  <c r="BO137" i="1" s="1"/>
  <c r="FH137" i="1"/>
  <c r="FE137" i="1"/>
  <c r="EY137" i="1"/>
  <c r="FC137" i="1"/>
  <c r="FA125" i="1"/>
  <c r="BK125" i="1"/>
  <c r="BM125" i="1" s="1"/>
  <c r="BO125" i="1" s="1"/>
  <c r="FE125" i="1"/>
  <c r="EY125" i="1"/>
  <c r="FH125" i="1"/>
  <c r="FC125" i="1"/>
  <c r="FA131" i="1"/>
  <c r="BK131" i="1"/>
  <c r="BM131" i="1" s="1"/>
  <c r="BO131" i="1" s="1"/>
  <c r="FE131" i="1"/>
  <c r="EY131" i="1"/>
  <c r="FH131" i="1"/>
  <c r="FC131" i="1"/>
  <c r="FA124" i="1"/>
  <c r="BK124" i="1"/>
  <c r="BM124" i="1" s="1"/>
  <c r="BO124" i="1" s="1"/>
  <c r="FE124" i="1"/>
  <c r="EY124" i="1"/>
  <c r="FH124" i="1"/>
  <c r="FC124" i="1"/>
  <c r="FA135" i="1"/>
  <c r="BK135" i="1"/>
  <c r="BM135" i="1" s="1"/>
  <c r="BO135" i="1" s="1"/>
  <c r="FH135" i="1"/>
  <c r="FE135" i="1"/>
  <c r="EY135" i="1"/>
  <c r="FC135" i="1"/>
  <c r="FA136" i="1"/>
  <c r="BK136" i="1"/>
  <c r="BM136" i="1" s="1"/>
  <c r="BO136" i="1" s="1"/>
  <c r="FH136" i="1"/>
  <c r="FE136" i="1"/>
  <c r="EY136" i="1"/>
  <c r="FC136" i="1"/>
  <c r="FA128" i="1"/>
  <c r="BK128" i="1"/>
  <c r="BM128" i="1" s="1"/>
  <c r="BO128" i="1" s="1"/>
  <c r="FE128" i="1"/>
  <c r="EY128" i="1"/>
  <c r="FH128" i="1"/>
  <c r="FC128" i="1"/>
  <c r="FA129" i="1"/>
  <c r="BK129" i="1"/>
  <c r="BM129" i="1" s="1"/>
  <c r="BO129" i="1" s="1"/>
  <c r="FE129" i="1"/>
  <c r="EY129" i="1"/>
  <c r="FH129" i="1"/>
  <c r="FC129" i="1"/>
  <c r="FA132" i="1"/>
  <c r="BK132" i="1"/>
  <c r="BM132" i="1" s="1"/>
  <c r="BO132" i="1" s="1"/>
  <c r="FE132" i="1"/>
  <c r="EY132" i="1"/>
  <c r="FH132" i="1"/>
  <c r="FC132" i="1"/>
  <c r="FA134" i="1"/>
  <c r="BK134" i="1"/>
  <c r="BM134" i="1" s="1"/>
  <c r="BO134" i="1" s="1"/>
  <c r="FH134" i="1"/>
  <c r="FE134" i="1"/>
  <c r="EY134" i="1"/>
  <c r="FC134" i="1"/>
  <c r="FA126" i="1"/>
  <c r="BK126" i="1"/>
  <c r="BM126" i="1" s="1"/>
  <c r="BO126" i="1" s="1"/>
  <c r="FE126" i="1"/>
  <c r="EY126" i="1"/>
  <c r="FH126" i="1"/>
  <c r="FC126" i="1"/>
  <c r="FA109" i="1"/>
  <c r="BK109" i="1"/>
  <c r="BM109" i="1" s="1"/>
  <c r="BO109" i="1" s="1"/>
  <c r="EY109" i="1"/>
  <c r="FH109" i="1"/>
  <c r="FE109" i="1"/>
  <c r="FC109" i="1"/>
  <c r="FA103" i="1"/>
  <c r="BK103" i="1"/>
  <c r="BM103" i="1" s="1"/>
  <c r="BO103" i="1" s="1"/>
  <c r="EY103" i="1"/>
  <c r="FH103" i="1"/>
  <c r="FE103" i="1"/>
  <c r="FC103" i="1"/>
  <c r="FA119" i="1"/>
  <c r="BK119" i="1"/>
  <c r="BM119" i="1" s="1"/>
  <c r="BO119" i="1" s="1"/>
  <c r="EY119" i="1"/>
  <c r="FE119" i="1"/>
  <c r="FH119" i="1"/>
  <c r="FC119" i="1"/>
  <c r="FA118" i="1"/>
  <c r="BK118" i="1"/>
  <c r="BM118" i="1" s="1"/>
  <c r="BO118" i="1" s="1"/>
  <c r="EY118" i="1"/>
  <c r="FE118" i="1"/>
  <c r="FH118" i="1"/>
  <c r="FC118" i="1"/>
  <c r="FA111" i="1"/>
  <c r="BK111" i="1"/>
  <c r="BM111" i="1" s="1"/>
  <c r="BO111" i="1" s="1"/>
  <c r="FH111" i="1"/>
  <c r="FE111" i="1"/>
  <c r="EY111" i="1"/>
  <c r="FC111" i="1"/>
  <c r="FA105" i="1"/>
  <c r="BK105" i="1"/>
  <c r="BM105" i="1" s="1"/>
  <c r="BO105" i="1" s="1"/>
  <c r="FH105" i="1"/>
  <c r="FE105" i="1"/>
  <c r="EY105" i="1"/>
  <c r="FC105" i="1"/>
  <c r="FA108" i="1"/>
  <c r="BK108" i="1"/>
  <c r="BM108" i="1" s="1"/>
  <c r="BO108" i="1" s="1"/>
  <c r="FH108" i="1"/>
  <c r="EY108" i="1"/>
  <c r="FE108" i="1"/>
  <c r="FC108" i="1"/>
  <c r="FA117" i="1"/>
  <c r="BK117" i="1"/>
  <c r="BM117" i="1" s="1"/>
  <c r="BO117" i="1" s="1"/>
  <c r="EY117" i="1"/>
  <c r="FH117" i="1"/>
  <c r="FE117" i="1"/>
  <c r="FC117" i="1"/>
  <c r="FA116" i="1"/>
  <c r="BK116" i="1"/>
  <c r="BM116" i="1" s="1"/>
  <c r="BO116" i="1" s="1"/>
  <c r="EY116" i="1"/>
  <c r="FH116" i="1"/>
  <c r="FE116" i="1"/>
  <c r="FC116" i="1"/>
  <c r="FA115" i="1"/>
  <c r="BK115" i="1"/>
  <c r="BM115" i="1" s="1"/>
  <c r="BO115" i="1" s="1"/>
  <c r="EY115" i="1"/>
  <c r="FH115" i="1"/>
  <c r="FE115" i="1"/>
  <c r="FC115" i="1"/>
  <c r="FA106" i="1"/>
  <c r="BK106" i="1"/>
  <c r="BM106" i="1" s="1"/>
  <c r="BO106" i="1" s="1"/>
  <c r="FH106" i="1"/>
  <c r="FE106" i="1"/>
  <c r="EY106" i="1"/>
  <c r="FC106" i="1"/>
  <c r="FA107" i="1"/>
  <c r="BK107" i="1"/>
  <c r="BM107" i="1" s="1"/>
  <c r="BO107" i="1" s="1"/>
  <c r="EY107" i="1"/>
  <c r="FH107" i="1"/>
  <c r="FE107" i="1"/>
  <c r="FC107" i="1"/>
  <c r="FA100" i="1"/>
  <c r="BK100" i="1"/>
  <c r="BM100" i="1" s="1"/>
  <c r="BO100" i="1" s="1"/>
  <c r="EY100" i="1"/>
  <c r="FH100" i="1"/>
  <c r="FE100" i="1"/>
  <c r="FC100" i="1"/>
  <c r="FA113" i="1"/>
  <c r="BK113" i="1"/>
  <c r="BM113" i="1" s="1"/>
  <c r="BO113" i="1" s="1"/>
  <c r="EY113" i="1"/>
  <c r="FH113" i="1"/>
  <c r="FE113" i="1"/>
  <c r="FC113" i="1"/>
  <c r="FA102" i="1"/>
  <c r="BK102" i="1"/>
  <c r="BM102" i="1" s="1"/>
  <c r="BO102" i="1" s="1"/>
  <c r="FE102" i="1"/>
  <c r="EY102" i="1"/>
  <c r="FH102" i="1"/>
  <c r="FC102" i="1"/>
  <c r="FA114" i="1"/>
  <c r="BK114" i="1"/>
  <c r="BM114" i="1" s="1"/>
  <c r="BO114" i="1" s="1"/>
  <c r="EY114" i="1"/>
  <c r="FE114" i="1"/>
  <c r="FH114" i="1"/>
  <c r="FC114" i="1"/>
  <c r="FA112" i="1"/>
  <c r="BK112" i="1"/>
  <c r="BM112" i="1" s="1"/>
  <c r="BO112" i="1" s="1"/>
  <c r="FH112" i="1"/>
  <c r="EY112" i="1"/>
  <c r="FE112" i="1"/>
  <c r="FC112" i="1"/>
  <c r="FA101" i="1"/>
  <c r="BK101" i="1"/>
  <c r="BM101" i="1" s="1"/>
  <c r="BO101" i="1" s="1"/>
  <c r="EY101" i="1"/>
  <c r="FE101" i="1"/>
  <c r="FH101" i="1"/>
  <c r="FC101" i="1"/>
  <c r="FA104" i="1"/>
  <c r="BK104" i="1"/>
  <c r="BM104" i="1" s="1"/>
  <c r="BO104" i="1" s="1"/>
  <c r="EY104" i="1"/>
  <c r="FH104" i="1"/>
  <c r="FE104" i="1"/>
  <c r="FC104" i="1"/>
  <c r="FA110" i="1"/>
  <c r="BK110" i="1"/>
  <c r="BM110" i="1" s="1"/>
  <c r="BO110" i="1" s="1"/>
  <c r="FE110" i="1"/>
  <c r="FH110" i="1"/>
  <c r="EY110" i="1"/>
  <c r="FC110" i="1"/>
  <c r="BM61" i="1"/>
  <c r="BO61" i="1" s="1"/>
  <c r="FC61" i="1"/>
  <c r="FH61" i="1"/>
  <c r="FA61" i="1"/>
  <c r="EY61" i="1"/>
  <c r="FE61" i="1"/>
  <c r="FA15" i="1"/>
  <c r="FE15" i="1"/>
  <c r="BK15" i="1"/>
  <c r="BM15" i="1" s="1"/>
  <c r="BO15" i="1" s="1"/>
  <c r="FC15" i="1"/>
  <c r="EY15" i="1"/>
  <c r="FH15" i="1"/>
  <c r="BK23" i="1"/>
  <c r="BM23" i="1" s="1"/>
  <c r="BO23" i="1" s="1"/>
  <c r="FH23" i="1"/>
  <c r="FE23" i="1"/>
  <c r="FA23" i="1"/>
  <c r="EY23" i="1"/>
  <c r="FC23" i="1"/>
  <c r="FH18" i="1"/>
  <c r="FC18" i="1"/>
  <c r="EY18" i="1"/>
  <c r="FA18" i="1"/>
  <c r="FE18" i="1"/>
  <c r="BK18" i="1"/>
  <c r="BM18" i="1" s="1"/>
  <c r="BO18" i="1" s="1"/>
  <c r="FA11" i="1"/>
  <c r="FC11" i="1"/>
  <c r="EY11" i="1"/>
  <c r="FH11" i="1"/>
  <c r="FE11" i="1"/>
  <c r="BK11" i="1"/>
  <c r="BM11" i="1" s="1"/>
  <c r="BO11" i="1" s="1"/>
  <c r="BM55" i="1"/>
  <c r="BO55" i="1" s="1"/>
  <c r="FH55" i="1"/>
  <c r="EY55" i="1"/>
  <c r="FC55" i="1"/>
  <c r="FA55" i="1"/>
  <c r="FE55" i="1"/>
  <c r="BM52" i="1"/>
  <c r="BO52" i="1" s="1"/>
  <c r="FC52" i="1"/>
  <c r="FA52" i="1"/>
  <c r="FE52" i="1"/>
  <c r="EY52" i="1"/>
  <c r="FH52" i="1"/>
  <c r="BM62" i="1"/>
  <c r="BO62" i="1" s="1"/>
  <c r="FC62" i="1"/>
  <c r="FA62" i="1"/>
  <c r="FE62" i="1"/>
  <c r="EY62" i="1"/>
  <c r="FH62" i="1"/>
  <c r="FE59" i="1"/>
  <c r="BM59" i="1"/>
  <c r="BO59" i="1" s="1"/>
  <c r="EY59" i="1"/>
  <c r="FC59" i="1"/>
  <c r="FA59" i="1"/>
  <c r="FH59" i="1"/>
  <c r="FE25" i="1"/>
  <c r="BK25" i="1"/>
  <c r="BM25" i="1" s="1"/>
  <c r="BO25" i="1" s="1"/>
  <c r="FC25" i="1"/>
  <c r="EY25" i="1"/>
  <c r="FA25" i="1"/>
  <c r="FH25" i="1"/>
  <c r="EY19" i="1"/>
  <c r="BK19" i="1"/>
  <c r="BM19" i="1" s="1"/>
  <c r="BO19" i="1" s="1"/>
  <c r="FC19" i="1"/>
  <c r="FA19" i="1"/>
  <c r="FE19" i="1"/>
  <c r="FH19" i="1"/>
  <c r="FE12" i="1"/>
  <c r="BK12" i="1"/>
  <c r="BM12" i="1" s="1"/>
  <c r="BO12" i="1" s="1"/>
  <c r="FC12" i="1"/>
  <c r="EY12" i="1"/>
  <c r="FA12" i="1"/>
  <c r="FH12" i="1"/>
  <c r="EY36" i="1"/>
  <c r="FA36" i="1"/>
  <c r="FE36" i="1"/>
  <c r="FC36" i="1"/>
  <c r="BK10" i="1"/>
  <c r="BM10" i="1" s="1"/>
  <c r="BO10" i="1" s="1"/>
  <c r="EY10" i="1"/>
  <c r="FE10" i="1"/>
  <c r="FA10" i="1"/>
  <c r="FC10" i="1"/>
  <c r="FH10" i="1"/>
  <c r="FA16" i="1"/>
  <c r="FH16" i="1"/>
  <c r="BK16" i="1"/>
  <c r="BM16" i="1" s="1"/>
  <c r="BO16" i="1" s="1"/>
  <c r="FC16" i="1"/>
  <c r="EY16" i="1"/>
  <c r="FE16" i="1"/>
  <c r="FH82" i="1"/>
  <c r="FC82" i="1"/>
  <c r="FA82" i="1"/>
  <c r="FE82" i="1"/>
  <c r="EY82" i="1"/>
  <c r="BK82" i="1"/>
  <c r="BM82" i="1" s="1"/>
  <c r="BO82" i="1" s="1"/>
  <c r="BK76" i="1"/>
  <c r="BM76" i="1" s="1"/>
  <c r="BO76" i="1" s="1"/>
  <c r="FC76" i="1"/>
  <c r="FE76" i="1"/>
  <c r="FA76" i="1"/>
  <c r="FH76" i="1"/>
  <c r="EY76" i="1"/>
  <c r="EY51" i="1"/>
  <c r="FC51" i="1"/>
  <c r="FH51" i="1"/>
  <c r="BM51" i="1"/>
  <c r="BO51" i="1" s="1"/>
  <c r="FA51" i="1"/>
  <c r="FE51" i="1"/>
  <c r="FE84" i="1"/>
  <c r="EY84" i="1"/>
  <c r="FC84" i="1"/>
  <c r="FA84" i="1"/>
  <c r="FH84" i="1"/>
  <c r="BK84" i="1"/>
  <c r="BM84" i="1" s="1"/>
  <c r="BO84" i="1" s="1"/>
  <c r="BM57" i="1"/>
  <c r="BO57" i="1" s="1"/>
  <c r="FH57" i="1"/>
  <c r="FC57" i="1"/>
  <c r="FE57" i="1"/>
  <c r="FA57" i="1"/>
  <c r="EY57" i="1"/>
  <c r="EY21" i="1"/>
  <c r="BK21" i="1"/>
  <c r="BM21" i="1" s="1"/>
  <c r="BO21" i="1" s="1"/>
  <c r="FH21" i="1"/>
  <c r="FC21" i="1"/>
  <c r="FA21" i="1"/>
  <c r="FE21" i="1"/>
  <c r="EY20" i="1"/>
  <c r="BK20" i="1"/>
  <c r="BM20" i="1" s="1"/>
  <c r="BO20" i="1" s="1"/>
  <c r="FA20" i="1"/>
  <c r="FH20" i="1"/>
  <c r="FE20" i="1"/>
  <c r="FC20" i="1"/>
  <c r="FH83" i="1"/>
  <c r="FC83" i="1"/>
  <c r="EY83" i="1"/>
  <c r="BK83" i="1"/>
  <c r="BM83" i="1" s="1"/>
  <c r="BO83" i="1" s="1"/>
  <c r="FA83" i="1"/>
  <c r="FE83" i="1"/>
  <c r="FA77" i="1"/>
  <c r="EY77" i="1"/>
  <c r="FE77" i="1"/>
  <c r="FH77" i="1"/>
  <c r="BK77" i="1"/>
  <c r="BM77" i="1" s="1"/>
  <c r="BO77" i="1" s="1"/>
  <c r="FC77" i="1"/>
  <c r="EY35" i="1"/>
  <c r="FA35" i="1"/>
  <c r="FE35" i="1"/>
  <c r="FC35" i="1"/>
  <c r="EY13" i="1"/>
  <c r="FC13" i="1"/>
  <c r="FE13" i="1"/>
  <c r="BK13" i="1"/>
  <c r="BM13" i="1" s="1"/>
  <c r="BO13" i="1" s="1"/>
  <c r="FA13" i="1"/>
  <c r="FH13" i="1"/>
  <c r="BK85" i="1"/>
  <c r="BM85" i="1" s="1"/>
  <c r="BO85" i="1" s="1"/>
  <c r="FC85" i="1"/>
  <c r="FE85" i="1"/>
  <c r="FH85" i="1"/>
  <c r="EY85" i="1"/>
  <c r="FA85" i="1"/>
  <c r="EY58" i="1"/>
  <c r="FE58" i="1"/>
  <c r="BM58" i="1"/>
  <c r="BO58" i="1" s="1"/>
  <c r="FH58" i="1"/>
  <c r="FA58" i="1"/>
  <c r="FC58" i="1"/>
  <c r="BM48" i="1"/>
  <c r="BO48" i="1" s="1"/>
  <c r="FC48" i="1"/>
  <c r="FE48" i="1"/>
  <c r="EY48" i="1"/>
  <c r="FH48" i="1"/>
  <c r="FA48" i="1"/>
  <c r="EY49" i="1"/>
  <c r="FC49" i="1"/>
  <c r="FA49" i="1"/>
  <c r="BM49" i="1"/>
  <c r="BO49" i="1" s="1"/>
  <c r="FH49" i="1"/>
  <c r="FE49" i="1"/>
  <c r="BM47" i="1"/>
  <c r="BO47" i="1" s="1"/>
  <c r="FC47" i="1"/>
  <c r="FE47" i="1"/>
  <c r="FH47" i="1"/>
  <c r="EY47" i="1"/>
  <c r="FA47" i="1"/>
  <c r="BK78" i="1"/>
  <c r="BM78" i="1" s="1"/>
  <c r="BO78" i="1" s="1"/>
  <c r="FC78" i="1"/>
  <c r="FA78" i="1"/>
  <c r="EY78" i="1"/>
  <c r="FE78" i="1"/>
  <c r="FH78" i="1"/>
  <c r="FE80" i="1"/>
  <c r="FC80" i="1"/>
  <c r="FA80" i="1"/>
  <c r="BK80" i="1"/>
  <c r="BM80" i="1" s="1"/>
  <c r="BO80" i="1" s="1"/>
  <c r="EY80" i="1"/>
  <c r="FH80" i="1"/>
  <c r="FE14" i="1"/>
  <c r="BK14" i="1"/>
  <c r="BM14" i="1" s="1"/>
  <c r="BO14" i="1" s="1"/>
  <c r="FC14" i="1"/>
  <c r="EY14" i="1"/>
  <c r="FH14" i="1"/>
  <c r="FA14" i="1"/>
  <c r="EY60" i="1"/>
  <c r="BM60" i="1"/>
  <c r="BO60" i="1" s="1"/>
  <c r="FC60" i="1"/>
  <c r="FA60" i="1"/>
  <c r="FE60" i="1"/>
  <c r="FH60" i="1"/>
  <c r="EY34" i="1"/>
  <c r="FA34" i="1"/>
  <c r="FE34" i="1"/>
  <c r="FC34" i="1"/>
  <c r="FC53" i="1"/>
  <c r="BM53" i="1"/>
  <c r="BO53" i="1" s="1"/>
  <c r="FH53" i="1"/>
  <c r="EY53" i="1"/>
  <c r="FA53" i="1"/>
  <c r="FE53" i="1"/>
  <c r="FE50" i="1"/>
  <c r="FH50" i="1"/>
  <c r="BM50" i="1"/>
  <c r="BO50" i="1" s="1"/>
  <c r="EY50" i="1"/>
  <c r="FA50" i="1"/>
  <c r="FC50" i="1"/>
  <c r="FE79" i="1"/>
  <c r="FC79" i="1"/>
  <c r="FA79" i="1"/>
  <c r="BK79" i="1"/>
  <c r="BM79" i="1" s="1"/>
  <c r="BO79" i="1" s="1"/>
  <c r="EY79" i="1"/>
  <c r="FH79" i="1"/>
  <c r="BK22" i="1"/>
  <c r="BM22" i="1" s="1"/>
  <c r="BO22" i="1" s="1"/>
  <c r="FH22" i="1"/>
  <c r="FE22" i="1"/>
  <c r="FC22" i="1"/>
  <c r="FA22" i="1"/>
  <c r="EY22" i="1"/>
  <c r="FA17" i="1"/>
  <c r="FH17" i="1"/>
  <c r="FE17" i="1"/>
  <c r="FC17" i="1"/>
  <c r="BK17" i="1"/>
  <c r="BM17" i="1" s="1"/>
  <c r="BO17" i="1" s="1"/>
  <c r="EY17" i="1"/>
  <c r="FE81" i="1"/>
  <c r="FH81" i="1"/>
  <c r="EY81" i="1"/>
  <c r="FC81" i="1"/>
  <c r="FA81" i="1"/>
  <c r="BK81" i="1"/>
  <c r="BM81" i="1" s="1"/>
  <c r="BO81" i="1" s="1"/>
  <c r="BK24" i="1"/>
  <c r="BM24" i="1" s="1"/>
  <c r="BO24" i="1" s="1"/>
  <c r="FC24" i="1"/>
  <c r="FE24" i="1"/>
  <c r="FH24" i="1"/>
  <c r="EY24" i="1"/>
  <c r="FA24" i="1"/>
  <c r="BM56" i="1"/>
  <c r="BO56" i="1" s="1"/>
  <c r="FA56" i="1"/>
  <c r="FH56" i="1"/>
  <c r="EY56" i="1"/>
  <c r="FE56" i="1"/>
  <c r="FC56" i="1"/>
  <c r="FC54" i="1"/>
  <c r="FE54" i="1"/>
  <c r="EY54" i="1"/>
  <c r="FH54" i="1"/>
  <c r="BM54" i="1"/>
  <c r="BO54" i="1" s="1"/>
  <c r="FA54" i="1"/>
  <c r="EY33" i="1"/>
  <c r="FA33" i="1"/>
  <c r="FE33" i="1"/>
  <c r="FC33" i="1"/>
  <c r="EY69" i="1"/>
  <c r="FA69" i="1"/>
  <c r="FE69" i="1"/>
  <c r="FC69" i="1"/>
  <c r="EY70" i="1"/>
  <c r="FA70" i="1"/>
  <c r="FE70" i="1"/>
  <c r="FC70" i="1"/>
  <c r="EY71" i="1"/>
  <c r="FA71" i="1"/>
  <c r="FE71" i="1"/>
  <c r="FC71" i="1"/>
  <c r="EY68" i="1"/>
  <c r="FA68" i="1"/>
  <c r="FE68" i="1"/>
  <c r="FC68" i="1"/>
  <c r="EY2" i="1"/>
  <c r="FA2" i="1"/>
  <c r="FE2" i="1"/>
  <c r="FC2" i="1"/>
  <c r="EY73" i="1"/>
  <c r="FA73" i="1"/>
  <c r="FE73" i="1"/>
  <c r="FC73" i="1"/>
  <c r="EY74" i="1"/>
  <c r="FA74" i="1"/>
  <c r="FE74" i="1"/>
  <c r="FC74" i="1"/>
  <c r="EY75" i="1"/>
  <c r="FA75" i="1"/>
  <c r="FE75" i="1"/>
  <c r="FC75" i="1"/>
  <c r="EY72" i="1"/>
  <c r="FA72" i="1"/>
  <c r="FE72" i="1"/>
  <c r="FC72" i="1"/>
  <c r="EY7" i="1"/>
  <c r="FA7" i="1"/>
  <c r="FE7" i="1"/>
  <c r="FC7" i="1"/>
  <c r="EY8" i="1"/>
  <c r="FA8" i="1"/>
  <c r="FE8" i="1"/>
  <c r="FC8" i="1"/>
  <c r="EY9" i="1"/>
  <c r="FA9" i="1"/>
  <c r="FE9" i="1"/>
  <c r="FC9" i="1"/>
  <c r="EY6" i="1"/>
  <c r="FA6" i="1"/>
  <c r="FE6" i="1"/>
  <c r="FC6" i="1"/>
  <c r="EY3" i="1"/>
  <c r="FA3" i="1"/>
  <c r="FE3" i="1"/>
  <c r="FC3" i="1"/>
  <c r="EY4" i="1"/>
  <c r="FA4" i="1"/>
  <c r="FE4" i="1"/>
  <c r="FC4" i="1"/>
  <c r="EY5" i="1"/>
  <c r="FA5" i="1"/>
  <c r="FE5" i="1"/>
  <c r="FC5" i="1"/>
  <c r="AE8" i="26"/>
  <c r="AE9" i="26"/>
  <c r="AE10" i="26"/>
  <c r="AE11" i="26"/>
  <c r="AE12" i="26"/>
  <c r="AE13" i="26"/>
  <c r="AE14" i="26"/>
  <c r="AE15" i="26"/>
  <c r="AE17" i="26"/>
  <c r="AE18" i="26"/>
  <c r="AE20" i="26"/>
  <c r="AE21" i="26"/>
  <c r="AE22" i="26"/>
  <c r="AE23" i="26"/>
  <c r="AE25" i="26"/>
  <c r="AE26" i="26"/>
  <c r="AE27" i="26"/>
  <c r="AE28" i="26"/>
  <c r="AE29" i="26"/>
  <c r="AE30" i="26"/>
  <c r="AE31" i="26"/>
  <c r="AE32" i="26"/>
  <c r="AE33" i="26"/>
  <c r="AE34" i="26"/>
  <c r="AE35" i="26"/>
  <c r="AE36" i="26"/>
  <c r="AE37" i="26"/>
  <c r="AE38" i="26"/>
  <c r="AE39" i="26"/>
  <c r="AE40" i="26"/>
  <c r="AE41" i="26"/>
  <c r="AE42" i="26"/>
  <c r="AE43" i="26"/>
  <c r="AE44" i="26"/>
  <c r="AE45" i="26"/>
  <c r="AE46" i="26"/>
  <c r="AE47" i="26"/>
  <c r="AE50" i="26"/>
  <c r="AE51" i="26"/>
  <c r="AE53" i="26"/>
  <c r="AE55" i="26"/>
  <c r="AE57" i="26"/>
  <c r="AE58" i="26"/>
  <c r="AE59" i="26"/>
  <c r="AE63" i="26"/>
  <c r="AE65" i="26"/>
  <c r="AE66" i="26"/>
  <c r="AE67" i="26"/>
  <c r="AE68" i="26"/>
  <c r="AE69" i="26"/>
  <c r="AE70" i="26"/>
  <c r="AE71" i="26"/>
  <c r="AE72" i="26"/>
  <c r="AE73" i="26"/>
  <c r="AE74" i="26"/>
  <c r="AE76" i="26"/>
  <c r="AE77" i="26"/>
  <c r="AE78" i="26"/>
  <c r="AE79" i="26"/>
  <c r="AE80" i="26"/>
  <c r="AE81" i="26"/>
  <c r="AE82" i="26"/>
  <c r="AE83" i="26"/>
  <c r="AE84" i="26"/>
  <c r="AE85" i="26"/>
  <c r="AE86" i="26"/>
  <c r="AE87" i="26"/>
  <c r="AE88" i="26"/>
  <c r="AE89" i="26"/>
  <c r="AE90" i="26"/>
  <c r="AE91" i="26"/>
  <c r="AE92" i="26"/>
  <c r="AE93" i="26"/>
  <c r="AE94" i="26"/>
  <c r="AE95" i="26"/>
  <c r="AE97" i="26"/>
  <c r="AE98" i="26"/>
  <c r="AE99" i="26"/>
  <c r="AE100" i="26"/>
  <c r="AE101" i="26"/>
  <c r="AE102" i="26"/>
  <c r="AE103" i="26"/>
  <c r="AE104" i="26"/>
  <c r="AE105" i="26"/>
  <c r="AE106" i="26"/>
  <c r="AE107" i="26"/>
  <c r="AE108" i="26"/>
  <c r="AE109" i="26"/>
  <c r="AE110" i="26"/>
  <c r="AE111" i="26"/>
  <c r="AE112" i="26"/>
  <c r="AE113" i="26"/>
  <c r="AE114" i="26"/>
  <c r="AE115" i="26"/>
  <c r="AE116" i="26"/>
  <c r="AE117" i="26"/>
  <c r="AE118" i="26"/>
  <c r="AE119" i="26"/>
  <c r="AE120" i="26"/>
  <c r="AE121" i="26"/>
  <c r="AE122" i="26"/>
  <c r="AE123" i="26"/>
  <c r="AE124" i="26"/>
  <c r="AE125" i="26"/>
  <c r="AE126" i="26"/>
  <c r="AE127" i="26"/>
  <c r="AE128" i="26"/>
  <c r="AE129" i="26"/>
  <c r="AE135" i="26"/>
  <c r="AE136" i="26"/>
  <c r="EU87" i="1" l="1"/>
  <c r="EO87" i="1" s="1"/>
  <c r="ER87" i="1" s="1"/>
  <c r="EU88" i="1"/>
  <c r="EO88" i="1" s="1"/>
  <c r="ER88" i="1" s="1"/>
  <c r="ES88" i="1" s="1"/>
  <c r="EU44" i="1"/>
  <c r="EO44" i="1" s="1"/>
  <c r="ER44" i="1" s="1"/>
  <c r="ES44" i="1" s="1"/>
  <c r="EU40" i="1"/>
  <c r="EO40" i="1" s="1"/>
  <c r="ER40" i="1" s="1"/>
  <c r="ES40" i="1" s="1"/>
  <c r="EU45" i="1"/>
  <c r="EO45" i="1" s="1"/>
  <c r="ER45" i="1" s="1"/>
  <c r="EU41" i="1"/>
  <c r="EO41" i="1" s="1"/>
  <c r="ER41" i="1" s="1"/>
  <c r="ET41" i="1" s="1"/>
  <c r="EU37" i="1"/>
  <c r="EO37" i="1" s="1"/>
  <c r="ER37" i="1" s="1"/>
  <c r="ES37" i="1" s="1"/>
  <c r="ET44" i="1"/>
  <c r="ES45" i="1"/>
  <c r="ET45" i="1"/>
  <c r="ES41" i="1"/>
  <c r="ET37" i="1"/>
  <c r="EU46" i="1"/>
  <c r="EO46" i="1" s="1"/>
  <c r="ER46" i="1" s="1"/>
  <c r="EU42" i="1"/>
  <c r="EO42" i="1" s="1"/>
  <c r="ER42" i="1" s="1"/>
  <c r="EU38" i="1"/>
  <c r="EO38" i="1" s="1"/>
  <c r="ER38" i="1" s="1"/>
  <c r="AO93" i="1"/>
  <c r="AO92" i="1"/>
  <c r="AO90" i="1"/>
  <c r="EU89" i="1"/>
  <c r="EO89" i="1" s="1"/>
  <c r="ER89" i="1" s="1"/>
  <c r="ET89" i="1" s="1"/>
  <c r="ES43" i="1"/>
  <c r="ET43" i="1"/>
  <c r="ES39" i="1"/>
  <c r="ET39" i="1"/>
  <c r="ES87" i="1"/>
  <c r="ET87" i="1"/>
  <c r="EU98" i="1"/>
  <c r="EO98" i="1" s="1"/>
  <c r="EU148" i="1"/>
  <c r="EO148" i="1" s="1"/>
  <c r="ER148" i="1" s="1"/>
  <c r="ET148" i="1" s="1"/>
  <c r="EU99" i="1"/>
  <c r="EO99" i="1" s="1"/>
  <c r="BX98" i="1"/>
  <c r="BY98" i="1" s="1"/>
  <c r="EQ98" i="1" s="1"/>
  <c r="EP98" i="1"/>
  <c r="EP99" i="1"/>
  <c r="BX99" i="1"/>
  <c r="BY99" i="1" s="1"/>
  <c r="EQ99" i="1" s="1"/>
  <c r="EU106" i="1"/>
  <c r="EO106" i="1" s="1"/>
  <c r="EU111" i="1"/>
  <c r="EO111" i="1" s="1"/>
  <c r="EU134" i="1"/>
  <c r="EO134" i="1" s="1"/>
  <c r="EU135" i="1"/>
  <c r="EO135" i="1" s="1"/>
  <c r="EU137" i="1"/>
  <c r="EO137" i="1" s="1"/>
  <c r="EU147" i="1"/>
  <c r="EO147" i="1" s="1"/>
  <c r="EU145" i="1"/>
  <c r="EO145" i="1" s="1"/>
  <c r="EU144" i="1"/>
  <c r="EO144" i="1" s="1"/>
  <c r="EU146" i="1"/>
  <c r="EO146" i="1" s="1"/>
  <c r="EP143" i="1"/>
  <c r="BX143" i="1"/>
  <c r="BY143" i="1" s="1"/>
  <c r="EQ143" i="1" s="1"/>
  <c r="EU143" i="1"/>
  <c r="EO143" i="1" s="1"/>
  <c r="EP144" i="1"/>
  <c r="BX144" i="1"/>
  <c r="BY144" i="1" s="1"/>
  <c r="EQ144" i="1" s="1"/>
  <c r="BX147" i="1"/>
  <c r="BY147" i="1" s="1"/>
  <c r="EQ147" i="1" s="1"/>
  <c r="EP147" i="1"/>
  <c r="EP146" i="1"/>
  <c r="BX146" i="1"/>
  <c r="BY146" i="1" s="1"/>
  <c r="EQ146" i="1" s="1"/>
  <c r="AO150" i="1"/>
  <c r="AO140" i="1"/>
  <c r="AO149" i="1"/>
  <c r="AO142" i="1"/>
  <c r="AO97" i="1"/>
  <c r="AO141" i="1"/>
  <c r="EU138" i="1"/>
  <c r="EO138" i="1" s="1"/>
  <c r="EP145" i="1"/>
  <c r="BX145" i="1"/>
  <c r="BY145" i="1" s="1"/>
  <c r="EQ145" i="1" s="1"/>
  <c r="EU128" i="1"/>
  <c r="EO128" i="1" s="1"/>
  <c r="EU131" i="1"/>
  <c r="EO131" i="1" s="1"/>
  <c r="EU127" i="1"/>
  <c r="EO127" i="1" s="1"/>
  <c r="EU130" i="1"/>
  <c r="EO130" i="1" s="1"/>
  <c r="EU126" i="1"/>
  <c r="EO126" i="1" s="1"/>
  <c r="EU132" i="1"/>
  <c r="EO132" i="1" s="1"/>
  <c r="EU129" i="1"/>
  <c r="EO129" i="1" s="1"/>
  <c r="EU124" i="1"/>
  <c r="EO124" i="1" s="1"/>
  <c r="EU125" i="1"/>
  <c r="EO125" i="1" s="1"/>
  <c r="AO123" i="1"/>
  <c r="AO121" i="1"/>
  <c r="AO122" i="1"/>
  <c r="AO120" i="1"/>
  <c r="EP134" i="1"/>
  <c r="BX134" i="1"/>
  <c r="BY134" i="1" s="1"/>
  <c r="EQ134" i="1" s="1"/>
  <c r="EP128" i="1"/>
  <c r="BX128" i="1"/>
  <c r="BY128" i="1" s="1"/>
  <c r="EQ128" i="1" s="1"/>
  <c r="EP135" i="1"/>
  <c r="BX135" i="1"/>
  <c r="BY135" i="1" s="1"/>
  <c r="EQ135" i="1" s="1"/>
  <c r="EP131" i="1"/>
  <c r="BX131" i="1"/>
  <c r="BY131" i="1" s="1"/>
  <c r="EQ131" i="1" s="1"/>
  <c r="EP137" i="1"/>
  <c r="BX137" i="1"/>
  <c r="BY137" i="1" s="1"/>
  <c r="EQ137" i="1" s="1"/>
  <c r="EP127" i="1"/>
  <c r="BX127" i="1"/>
  <c r="BY127" i="1" s="1"/>
  <c r="EQ127" i="1" s="1"/>
  <c r="EP130" i="1"/>
  <c r="BX130" i="1"/>
  <c r="BY130" i="1" s="1"/>
  <c r="EQ130" i="1" s="1"/>
  <c r="EP138" i="1"/>
  <c r="BX138" i="1"/>
  <c r="BY138" i="1" s="1"/>
  <c r="EQ138" i="1" s="1"/>
  <c r="EP126" i="1"/>
  <c r="BX126" i="1"/>
  <c r="BY126" i="1" s="1"/>
  <c r="EQ126" i="1" s="1"/>
  <c r="EP132" i="1"/>
  <c r="BX132" i="1"/>
  <c r="BY132" i="1" s="1"/>
  <c r="EQ132" i="1" s="1"/>
  <c r="EP129" i="1"/>
  <c r="BX129" i="1"/>
  <c r="BY129" i="1" s="1"/>
  <c r="EQ129" i="1" s="1"/>
  <c r="EP136" i="1"/>
  <c r="BX136" i="1"/>
  <c r="BY136" i="1" s="1"/>
  <c r="EQ136" i="1" s="1"/>
  <c r="EP124" i="1"/>
  <c r="BX124" i="1"/>
  <c r="BY124" i="1" s="1"/>
  <c r="EQ124" i="1" s="1"/>
  <c r="EP125" i="1"/>
  <c r="BX125" i="1"/>
  <c r="BY125" i="1" s="1"/>
  <c r="EQ125" i="1" s="1"/>
  <c r="EP133" i="1"/>
  <c r="BX133" i="1"/>
  <c r="BY133" i="1" s="1"/>
  <c r="EQ133" i="1" s="1"/>
  <c r="EP139" i="1"/>
  <c r="BX139" i="1"/>
  <c r="BY139" i="1" s="1"/>
  <c r="EQ139" i="1" s="1"/>
  <c r="EU136" i="1"/>
  <c r="EO136" i="1" s="1"/>
  <c r="EU133" i="1"/>
  <c r="EO133" i="1" s="1"/>
  <c r="EU139" i="1"/>
  <c r="EO139" i="1" s="1"/>
  <c r="BX104" i="1"/>
  <c r="BY104" i="1" s="1"/>
  <c r="EQ104" i="1" s="1"/>
  <c r="EP104" i="1"/>
  <c r="EP112" i="1"/>
  <c r="BX112" i="1"/>
  <c r="BY112" i="1" s="1"/>
  <c r="EQ112" i="1" s="1"/>
  <c r="EP102" i="1"/>
  <c r="BX102" i="1"/>
  <c r="BY102" i="1" s="1"/>
  <c r="EQ102" i="1" s="1"/>
  <c r="EP100" i="1"/>
  <c r="BX100" i="1"/>
  <c r="BY100" i="1" s="1"/>
  <c r="EQ100" i="1" s="1"/>
  <c r="BX106" i="1"/>
  <c r="BY106" i="1" s="1"/>
  <c r="EQ106" i="1" s="1"/>
  <c r="EP106" i="1"/>
  <c r="EP116" i="1"/>
  <c r="BX116" i="1"/>
  <c r="BY116" i="1" s="1"/>
  <c r="EQ116" i="1" s="1"/>
  <c r="BX108" i="1"/>
  <c r="BY108" i="1" s="1"/>
  <c r="EQ108" i="1" s="1"/>
  <c r="EP108" i="1"/>
  <c r="EP111" i="1"/>
  <c r="BX111" i="1"/>
  <c r="BY111" i="1" s="1"/>
  <c r="EQ111" i="1" s="1"/>
  <c r="BX119" i="1"/>
  <c r="BY119" i="1" s="1"/>
  <c r="EQ119" i="1" s="1"/>
  <c r="EP119" i="1"/>
  <c r="EP109" i="1"/>
  <c r="BX109" i="1"/>
  <c r="BY109" i="1" s="1"/>
  <c r="EQ109" i="1" s="1"/>
  <c r="EU104" i="1"/>
  <c r="EO104" i="1" s="1"/>
  <c r="EU112" i="1"/>
  <c r="EO112" i="1" s="1"/>
  <c r="EU102" i="1"/>
  <c r="EO102" i="1" s="1"/>
  <c r="EU100" i="1"/>
  <c r="EO100" i="1" s="1"/>
  <c r="EU116" i="1"/>
  <c r="EO116" i="1" s="1"/>
  <c r="EU108" i="1"/>
  <c r="EO108" i="1" s="1"/>
  <c r="EU119" i="1"/>
  <c r="EO119" i="1" s="1"/>
  <c r="EU109" i="1"/>
  <c r="EO109" i="1" s="1"/>
  <c r="BX110" i="1"/>
  <c r="BY110" i="1" s="1"/>
  <c r="EQ110" i="1" s="1"/>
  <c r="EP110" i="1"/>
  <c r="EP101" i="1"/>
  <c r="BX101" i="1"/>
  <c r="BY101" i="1" s="1"/>
  <c r="EQ101" i="1" s="1"/>
  <c r="EP114" i="1"/>
  <c r="BX114" i="1"/>
  <c r="BY114" i="1" s="1"/>
  <c r="EQ114" i="1" s="1"/>
  <c r="EP113" i="1"/>
  <c r="BX113" i="1"/>
  <c r="BY113" i="1" s="1"/>
  <c r="EQ113" i="1" s="1"/>
  <c r="EP107" i="1"/>
  <c r="BX107" i="1"/>
  <c r="BY107" i="1" s="1"/>
  <c r="EQ107" i="1" s="1"/>
  <c r="BX115" i="1"/>
  <c r="BY115" i="1" s="1"/>
  <c r="EQ115" i="1" s="1"/>
  <c r="EP115" i="1"/>
  <c r="BX117" i="1"/>
  <c r="BY117" i="1" s="1"/>
  <c r="EQ117" i="1" s="1"/>
  <c r="EP117" i="1"/>
  <c r="EP105" i="1"/>
  <c r="BX105" i="1"/>
  <c r="BY105" i="1" s="1"/>
  <c r="EQ105" i="1" s="1"/>
  <c r="BX118" i="1"/>
  <c r="BY118" i="1" s="1"/>
  <c r="EQ118" i="1" s="1"/>
  <c r="EP118" i="1"/>
  <c r="BX103" i="1"/>
  <c r="BY103" i="1" s="1"/>
  <c r="EQ103" i="1" s="1"/>
  <c r="EP103" i="1"/>
  <c r="EU110" i="1"/>
  <c r="EO110" i="1" s="1"/>
  <c r="EU101" i="1"/>
  <c r="EO101" i="1" s="1"/>
  <c r="EU114" i="1"/>
  <c r="EO114" i="1" s="1"/>
  <c r="EU113" i="1"/>
  <c r="EO113" i="1" s="1"/>
  <c r="EU107" i="1"/>
  <c r="EO107" i="1" s="1"/>
  <c r="EU115" i="1"/>
  <c r="EO115" i="1" s="1"/>
  <c r="EU117" i="1"/>
  <c r="EO117" i="1" s="1"/>
  <c r="EU105" i="1"/>
  <c r="EO105" i="1" s="1"/>
  <c r="EU118" i="1"/>
  <c r="EO118" i="1" s="1"/>
  <c r="EU103" i="1"/>
  <c r="EO103" i="1" s="1"/>
  <c r="EU3" i="1"/>
  <c r="EO3" i="1" s="1"/>
  <c r="ER3" i="1" s="1"/>
  <c r="ES3" i="1" s="1"/>
  <c r="EU9" i="1"/>
  <c r="EO9" i="1" s="1"/>
  <c r="ER9" i="1" s="1"/>
  <c r="ET9" i="1" s="1"/>
  <c r="EU7" i="1"/>
  <c r="EO7" i="1" s="1"/>
  <c r="ER7" i="1" s="1"/>
  <c r="ET7" i="1" s="1"/>
  <c r="EU75" i="1"/>
  <c r="EO75" i="1" s="1"/>
  <c r="ER75" i="1" s="1"/>
  <c r="ET75" i="1" s="1"/>
  <c r="EU73" i="1"/>
  <c r="EO73" i="1" s="1"/>
  <c r="ER73" i="1" s="1"/>
  <c r="ET73" i="1" s="1"/>
  <c r="EU2" i="1"/>
  <c r="EO2" i="1" s="1"/>
  <c r="EU33" i="1"/>
  <c r="EO33" i="1" s="1"/>
  <c r="ER33" i="1" s="1"/>
  <c r="ET33" i="1" s="1"/>
  <c r="EU14" i="1"/>
  <c r="EO14" i="1" s="1"/>
  <c r="EU84" i="1"/>
  <c r="EO84" i="1" s="1"/>
  <c r="EU4" i="1"/>
  <c r="EO4" i="1" s="1"/>
  <c r="ER4" i="1" s="1"/>
  <c r="ET4" i="1" s="1"/>
  <c r="EU47" i="1"/>
  <c r="EO47" i="1" s="1"/>
  <c r="EU5" i="1"/>
  <c r="EO5" i="1" s="1"/>
  <c r="ER5" i="1" s="1"/>
  <c r="ET5" i="1" s="1"/>
  <c r="EU6" i="1"/>
  <c r="EO6" i="1" s="1"/>
  <c r="ER6" i="1" s="1"/>
  <c r="ES6" i="1" s="1"/>
  <c r="EU8" i="1"/>
  <c r="EO8" i="1" s="1"/>
  <c r="ER8" i="1" s="1"/>
  <c r="ET8" i="1" s="1"/>
  <c r="EU72" i="1"/>
  <c r="EO72" i="1" s="1"/>
  <c r="ER72" i="1" s="1"/>
  <c r="ES72" i="1" s="1"/>
  <c r="EU74" i="1"/>
  <c r="EO74" i="1" s="1"/>
  <c r="ER74" i="1" s="1"/>
  <c r="ES74" i="1" s="1"/>
  <c r="EU68" i="1"/>
  <c r="EO68" i="1" s="1"/>
  <c r="ER68" i="1" s="1"/>
  <c r="ET68" i="1" s="1"/>
  <c r="EU36" i="1"/>
  <c r="EO36" i="1" s="1"/>
  <c r="ER36" i="1" s="1"/>
  <c r="ES36" i="1" s="1"/>
  <c r="EU85" i="1"/>
  <c r="EO85" i="1" s="1"/>
  <c r="EU77" i="1"/>
  <c r="EO77" i="1" s="1"/>
  <c r="EU16" i="1"/>
  <c r="EO16" i="1" s="1"/>
  <c r="EU55" i="1"/>
  <c r="EO55" i="1" s="1"/>
  <c r="EU23" i="1"/>
  <c r="EO23" i="1" s="1"/>
  <c r="EU15" i="1"/>
  <c r="EO15" i="1" s="1"/>
  <c r="EU48" i="1"/>
  <c r="EO48" i="1" s="1"/>
  <c r="EU35" i="1"/>
  <c r="EO35" i="1" s="1"/>
  <c r="ER35" i="1" s="1"/>
  <c r="ES35" i="1" s="1"/>
  <c r="EU20" i="1"/>
  <c r="EO20" i="1" s="1"/>
  <c r="EU21" i="1"/>
  <c r="EO21" i="1" s="1"/>
  <c r="EU82" i="1"/>
  <c r="EO82" i="1" s="1"/>
  <c r="EU11" i="1"/>
  <c r="EO11" i="1" s="1"/>
  <c r="EU56" i="1"/>
  <c r="EO56" i="1" s="1"/>
  <c r="EU17" i="1"/>
  <c r="EO17" i="1" s="1"/>
  <c r="EU50" i="1"/>
  <c r="EO50" i="1" s="1"/>
  <c r="EU34" i="1"/>
  <c r="EO34" i="1" s="1"/>
  <c r="ER34" i="1" s="1"/>
  <c r="ES34" i="1" s="1"/>
  <c r="EU18" i="1"/>
  <c r="EO18" i="1" s="1"/>
  <c r="BX56" i="1"/>
  <c r="BY56" i="1" s="1"/>
  <c r="EQ56" i="1" s="1"/>
  <c r="EP56" i="1"/>
  <c r="EP22" i="1"/>
  <c r="BX22" i="1"/>
  <c r="BY22" i="1" s="1"/>
  <c r="EQ22" i="1" s="1"/>
  <c r="BX47" i="1"/>
  <c r="BY47" i="1" s="1"/>
  <c r="EQ47" i="1" s="1"/>
  <c r="EP47" i="1"/>
  <c r="BX48" i="1"/>
  <c r="BY48" i="1" s="1"/>
  <c r="EQ48" i="1" s="1"/>
  <c r="EP48" i="1"/>
  <c r="BX58" i="1"/>
  <c r="BY58" i="1" s="1"/>
  <c r="EQ58" i="1" s="1"/>
  <c r="EP58" i="1"/>
  <c r="BX85" i="1"/>
  <c r="BY85" i="1" s="1"/>
  <c r="EQ85" i="1" s="1"/>
  <c r="EP85" i="1"/>
  <c r="EP77" i="1"/>
  <c r="BX77" i="1"/>
  <c r="BY77" i="1" s="1"/>
  <c r="EQ77" i="1" s="1"/>
  <c r="BX57" i="1"/>
  <c r="BY57" i="1" s="1"/>
  <c r="EQ57" i="1" s="1"/>
  <c r="EP57" i="1"/>
  <c r="BX16" i="1"/>
  <c r="BY16" i="1" s="1"/>
  <c r="EQ16" i="1" s="1"/>
  <c r="EP16" i="1"/>
  <c r="EP10" i="1"/>
  <c r="BX10" i="1"/>
  <c r="BY10" i="1" s="1"/>
  <c r="EQ10" i="1" s="1"/>
  <c r="BX52" i="1"/>
  <c r="BY52" i="1" s="1"/>
  <c r="EQ52" i="1" s="1"/>
  <c r="EP52" i="1"/>
  <c r="BX23" i="1"/>
  <c r="BY23" i="1" s="1"/>
  <c r="EQ23" i="1" s="1"/>
  <c r="EP23" i="1"/>
  <c r="EP15" i="1"/>
  <c r="BX15" i="1"/>
  <c r="BY15" i="1" s="1"/>
  <c r="EQ15" i="1" s="1"/>
  <c r="BX61" i="1"/>
  <c r="BY61" i="1" s="1"/>
  <c r="EQ61" i="1" s="1"/>
  <c r="EP61" i="1"/>
  <c r="EU10" i="1"/>
  <c r="EO10" i="1" s="1"/>
  <c r="EU12" i="1"/>
  <c r="EO12" i="1" s="1"/>
  <c r="EU25" i="1"/>
  <c r="EO25" i="1" s="1"/>
  <c r="EP79" i="1"/>
  <c r="BX79" i="1"/>
  <c r="BY79" i="1" s="1"/>
  <c r="EQ79" i="1" s="1"/>
  <c r="EP13" i="1"/>
  <c r="BX13" i="1"/>
  <c r="BY13" i="1" s="1"/>
  <c r="EQ13" i="1" s="1"/>
  <c r="EP83" i="1"/>
  <c r="BX83" i="1"/>
  <c r="BY83" i="1" s="1"/>
  <c r="EQ83" i="1" s="1"/>
  <c r="EP20" i="1"/>
  <c r="BX20" i="1"/>
  <c r="BY20" i="1" s="1"/>
  <c r="EQ20" i="1" s="1"/>
  <c r="EP82" i="1"/>
  <c r="BX82" i="1"/>
  <c r="BY82" i="1" s="1"/>
  <c r="EQ82" i="1" s="1"/>
  <c r="BX19" i="1"/>
  <c r="BY19" i="1" s="1"/>
  <c r="EQ19" i="1" s="1"/>
  <c r="EP19" i="1"/>
  <c r="EP59" i="1"/>
  <c r="BX59" i="1"/>
  <c r="BY59" i="1" s="1"/>
  <c r="EQ59" i="1" s="1"/>
  <c r="BX11" i="1"/>
  <c r="BY11" i="1" s="1"/>
  <c r="EQ11" i="1" s="1"/>
  <c r="EP11" i="1"/>
  <c r="EU51" i="1"/>
  <c r="EO51" i="1" s="1"/>
  <c r="EU52" i="1"/>
  <c r="EO52" i="1" s="1"/>
  <c r="EU61" i="1"/>
  <c r="EO61" i="1" s="1"/>
  <c r="BX81" i="1"/>
  <c r="BY81" i="1" s="1"/>
  <c r="EQ81" i="1" s="1"/>
  <c r="EP81" i="1"/>
  <c r="BX60" i="1"/>
  <c r="BY60" i="1" s="1"/>
  <c r="EQ60" i="1" s="1"/>
  <c r="EP60" i="1"/>
  <c r="BX49" i="1"/>
  <c r="BY49" i="1" s="1"/>
  <c r="EQ49" i="1" s="1"/>
  <c r="EP49" i="1"/>
  <c r="EP54" i="1"/>
  <c r="BX54" i="1"/>
  <c r="BY54" i="1" s="1"/>
  <c r="EQ54" i="1" s="1"/>
  <c r="EP24" i="1"/>
  <c r="BX24" i="1"/>
  <c r="BY24" i="1" s="1"/>
  <c r="EQ24" i="1" s="1"/>
  <c r="EP17" i="1"/>
  <c r="BX17" i="1"/>
  <c r="BY17" i="1" s="1"/>
  <c r="EQ17" i="1" s="1"/>
  <c r="BX50" i="1"/>
  <c r="BY50" i="1" s="1"/>
  <c r="EQ50" i="1" s="1"/>
  <c r="EP50" i="1"/>
  <c r="BX78" i="1"/>
  <c r="BY78" i="1" s="1"/>
  <c r="EQ78" i="1" s="1"/>
  <c r="EP78" i="1"/>
  <c r="BX76" i="1"/>
  <c r="BY76" i="1" s="1"/>
  <c r="EQ76" i="1" s="1"/>
  <c r="EP76" i="1"/>
  <c r="EP62" i="1"/>
  <c r="BX62" i="1"/>
  <c r="BY62" i="1" s="1"/>
  <c r="EQ62" i="1" s="1"/>
  <c r="BX55" i="1"/>
  <c r="BY55" i="1" s="1"/>
  <c r="EQ55" i="1" s="1"/>
  <c r="EP55" i="1"/>
  <c r="EU80" i="1"/>
  <c r="EO80" i="1" s="1"/>
  <c r="EU54" i="1"/>
  <c r="EO54" i="1" s="1"/>
  <c r="EU53" i="1"/>
  <c r="EO53" i="1" s="1"/>
  <c r="EU60" i="1"/>
  <c r="EO60" i="1" s="1"/>
  <c r="EU57" i="1"/>
  <c r="EO57" i="1" s="1"/>
  <c r="EU19" i="1"/>
  <c r="EO19" i="1" s="1"/>
  <c r="BX53" i="1"/>
  <c r="BY53" i="1" s="1"/>
  <c r="EQ53" i="1" s="1"/>
  <c r="EP53" i="1"/>
  <c r="BX14" i="1"/>
  <c r="BY14" i="1" s="1"/>
  <c r="EQ14" i="1" s="1"/>
  <c r="EP14" i="1"/>
  <c r="BX80" i="1"/>
  <c r="BY80" i="1" s="1"/>
  <c r="EQ80" i="1" s="1"/>
  <c r="EP80" i="1"/>
  <c r="BX21" i="1"/>
  <c r="BY21" i="1" s="1"/>
  <c r="EQ21" i="1" s="1"/>
  <c r="EP21" i="1"/>
  <c r="EP84" i="1"/>
  <c r="BX84" i="1"/>
  <c r="BY84" i="1" s="1"/>
  <c r="EQ84" i="1" s="1"/>
  <c r="EP51" i="1"/>
  <c r="BX51" i="1"/>
  <c r="BY51" i="1" s="1"/>
  <c r="EQ51" i="1" s="1"/>
  <c r="EP12" i="1"/>
  <c r="BX12" i="1"/>
  <c r="BY12" i="1" s="1"/>
  <c r="EQ12" i="1" s="1"/>
  <c r="EP25" i="1"/>
  <c r="BX25" i="1"/>
  <c r="BY25" i="1" s="1"/>
  <c r="EQ25" i="1" s="1"/>
  <c r="BX18" i="1"/>
  <c r="BY18" i="1" s="1"/>
  <c r="EQ18" i="1" s="1"/>
  <c r="EP18" i="1"/>
  <c r="EU24" i="1"/>
  <c r="EO24" i="1" s="1"/>
  <c r="EU81" i="1"/>
  <c r="EO81" i="1" s="1"/>
  <c r="EU22" i="1"/>
  <c r="EO22" i="1" s="1"/>
  <c r="EU79" i="1"/>
  <c r="EO79" i="1" s="1"/>
  <c r="EU78" i="1"/>
  <c r="EO78" i="1" s="1"/>
  <c r="EU49" i="1"/>
  <c r="EO49" i="1" s="1"/>
  <c r="EU58" i="1"/>
  <c r="EO58" i="1" s="1"/>
  <c r="EU13" i="1"/>
  <c r="EO13" i="1" s="1"/>
  <c r="EU83" i="1"/>
  <c r="EO83" i="1" s="1"/>
  <c r="EU76" i="1"/>
  <c r="EO76" i="1" s="1"/>
  <c r="EU59" i="1"/>
  <c r="EO59" i="1" s="1"/>
  <c r="EU62" i="1"/>
  <c r="EO62" i="1" s="1"/>
  <c r="ES75" i="1"/>
  <c r="EU71" i="1"/>
  <c r="EO71" i="1" s="1"/>
  <c r="ER71" i="1" s="1"/>
  <c r="EU70" i="1"/>
  <c r="EO70" i="1" s="1"/>
  <c r="ER70" i="1" s="1"/>
  <c r="EU69" i="1"/>
  <c r="EO69" i="1" s="1"/>
  <c r="ER69" i="1" s="1"/>
  <c r="AO96" i="1"/>
  <c r="FF96" i="1" s="1"/>
  <c r="AO91" i="1"/>
  <c r="FF91" i="1" s="1"/>
  <c r="FG91" i="1" s="1"/>
  <c r="AO95" i="1"/>
  <c r="FF95" i="1" s="1"/>
  <c r="AO86" i="1"/>
  <c r="FF86" i="1" s="1"/>
  <c r="FG90" i="1" s="1"/>
  <c r="AO94" i="1"/>
  <c r="FF94" i="1" s="1"/>
  <c r="AO63" i="1"/>
  <c r="AO67" i="1"/>
  <c r="AO66" i="1"/>
  <c r="AO32" i="1"/>
  <c r="FF32" i="1" s="1"/>
  <c r="AO65" i="1"/>
  <c r="AO31" i="1"/>
  <c r="FF31" i="1" s="1"/>
  <c r="AO64" i="1"/>
  <c r="AO30" i="1"/>
  <c r="AO29" i="1"/>
  <c r="AO28" i="1"/>
  <c r="AO27" i="1"/>
  <c r="AO26" i="1"/>
  <c r="D1" i="24"/>
  <c r="ET40" i="1" l="1"/>
  <c r="ET88" i="1"/>
  <c r="ES89" i="1"/>
  <c r="ES38" i="1"/>
  <c r="ET38" i="1"/>
  <c r="FF93" i="1"/>
  <c r="FE93" i="1"/>
  <c r="FA93" i="1"/>
  <c r="EY93" i="1"/>
  <c r="FC93" i="1"/>
  <c r="FE92" i="1"/>
  <c r="EY92" i="1"/>
  <c r="FA92" i="1"/>
  <c r="FC92" i="1"/>
  <c r="ES46" i="1"/>
  <c r="ET46" i="1"/>
  <c r="FF90" i="1"/>
  <c r="FE90" i="1"/>
  <c r="EY90" i="1"/>
  <c r="FA90" i="1"/>
  <c r="FC90" i="1"/>
  <c r="ES42" i="1"/>
  <c r="ET42" i="1"/>
  <c r="FF63" i="1"/>
  <c r="FF65" i="1"/>
  <c r="FF67" i="1"/>
  <c r="FF64" i="1"/>
  <c r="FF66" i="1"/>
  <c r="ER98" i="1"/>
  <c r="ES98" i="1" s="1"/>
  <c r="ER99" i="1"/>
  <c r="ET99" i="1" s="1"/>
  <c r="ER147" i="1"/>
  <c r="ET147" i="1" s="1"/>
  <c r="ES148" i="1"/>
  <c r="ER144" i="1"/>
  <c r="ES144" i="1" s="1"/>
  <c r="ER146" i="1"/>
  <c r="ES146" i="1" s="1"/>
  <c r="ER145" i="1"/>
  <c r="ES145" i="1" s="1"/>
  <c r="FA149" i="1"/>
  <c r="EY149" i="1"/>
  <c r="FF149" i="1"/>
  <c r="BK149" i="1"/>
  <c r="BM149" i="1" s="1"/>
  <c r="BO149" i="1" s="1"/>
  <c r="FH149" i="1"/>
  <c r="FE149" i="1"/>
  <c r="FC149" i="1"/>
  <c r="ER143" i="1"/>
  <c r="FA142" i="1"/>
  <c r="EY142" i="1"/>
  <c r="FF142" i="1"/>
  <c r="BK142" i="1"/>
  <c r="BM142" i="1" s="1"/>
  <c r="BO142" i="1" s="1"/>
  <c r="FE142" i="1"/>
  <c r="FC142" i="1"/>
  <c r="FA97" i="1"/>
  <c r="FF97" i="1"/>
  <c r="BK97" i="1"/>
  <c r="BM97" i="1" s="1"/>
  <c r="BO97" i="1" s="1"/>
  <c r="EY97" i="1"/>
  <c r="FE97" i="1"/>
  <c r="FH97" i="1"/>
  <c r="FC97" i="1"/>
  <c r="FA150" i="1"/>
  <c r="EY150" i="1"/>
  <c r="FE150" i="1"/>
  <c r="FF150" i="1"/>
  <c r="BK150" i="1"/>
  <c r="BM150" i="1" s="1"/>
  <c r="BO150" i="1" s="1"/>
  <c r="FH150" i="1"/>
  <c r="FC150" i="1"/>
  <c r="FA141" i="1"/>
  <c r="FF141" i="1"/>
  <c r="BK141" i="1"/>
  <c r="BM141" i="1" s="1"/>
  <c r="BO141" i="1" s="1"/>
  <c r="EY141" i="1"/>
  <c r="FH141" i="1"/>
  <c r="FE141" i="1"/>
  <c r="FC141" i="1"/>
  <c r="FA140" i="1"/>
  <c r="FH140" i="1"/>
  <c r="FF140" i="1"/>
  <c r="FE140" i="1"/>
  <c r="BK140" i="1"/>
  <c r="BM140" i="1" s="1"/>
  <c r="BO140" i="1" s="1"/>
  <c r="EY140" i="1"/>
  <c r="FC140" i="1"/>
  <c r="ER137" i="1"/>
  <c r="ET137" i="1" s="1"/>
  <c r="ER126" i="1"/>
  <c r="ET126" i="1" s="1"/>
  <c r="ER136" i="1"/>
  <c r="ET136" i="1" s="1"/>
  <c r="ER124" i="1"/>
  <c r="ES124" i="1" s="1"/>
  <c r="ER132" i="1"/>
  <c r="ET132" i="1" s="1"/>
  <c r="ER139" i="1"/>
  <c r="ES139" i="1" s="1"/>
  <c r="ER128" i="1"/>
  <c r="ET128" i="1" s="1"/>
  <c r="ER134" i="1"/>
  <c r="ET134" i="1" s="1"/>
  <c r="ER138" i="1"/>
  <c r="ET138" i="1" s="1"/>
  <c r="ER135" i="1"/>
  <c r="ET135" i="1" s="1"/>
  <c r="ER131" i="1"/>
  <c r="ES131" i="1" s="1"/>
  <c r="ER130" i="1"/>
  <c r="ES130" i="1" s="1"/>
  <c r="ER127" i="1"/>
  <c r="ET127" i="1" s="1"/>
  <c r="ER133" i="1"/>
  <c r="ER129" i="1"/>
  <c r="FA122" i="1"/>
  <c r="BK122" i="1"/>
  <c r="BM122" i="1" s="1"/>
  <c r="BO122" i="1" s="1"/>
  <c r="FF122" i="1"/>
  <c r="FE122" i="1"/>
  <c r="EY122" i="1"/>
  <c r="FC122" i="1"/>
  <c r="FA123" i="1"/>
  <c r="FF123" i="1"/>
  <c r="BK123" i="1"/>
  <c r="BM123" i="1" s="1"/>
  <c r="BO123" i="1" s="1"/>
  <c r="FE123" i="1"/>
  <c r="EY123" i="1"/>
  <c r="FC123" i="1"/>
  <c r="ER125" i="1"/>
  <c r="FA120" i="1"/>
  <c r="BK120" i="1"/>
  <c r="BM120" i="1" s="1"/>
  <c r="BO120" i="1" s="1"/>
  <c r="FF120" i="1"/>
  <c r="EY120" i="1"/>
  <c r="FH120" i="1"/>
  <c r="FE120" i="1"/>
  <c r="FC120" i="1"/>
  <c r="FA121" i="1"/>
  <c r="FF121" i="1"/>
  <c r="BK121" i="1"/>
  <c r="BM121" i="1" s="1"/>
  <c r="BO121" i="1" s="1"/>
  <c r="FH121" i="1"/>
  <c r="EY121" i="1"/>
  <c r="FE121" i="1"/>
  <c r="FC121" i="1"/>
  <c r="ER112" i="1"/>
  <c r="ES112" i="1" s="1"/>
  <c r="ES7" i="1"/>
  <c r="ER106" i="1"/>
  <c r="ES106" i="1" s="1"/>
  <c r="ES33" i="1"/>
  <c r="ER111" i="1"/>
  <c r="ET111" i="1" s="1"/>
  <c r="ER110" i="1"/>
  <c r="ES110" i="1" s="1"/>
  <c r="ET72" i="1"/>
  <c r="ER114" i="1"/>
  <c r="ET114" i="1" s="1"/>
  <c r="ER119" i="1"/>
  <c r="ES119" i="1" s="1"/>
  <c r="ER105" i="1"/>
  <c r="ER113" i="1"/>
  <c r="ER118" i="1"/>
  <c r="ER117" i="1"/>
  <c r="ER108" i="1"/>
  <c r="ER102" i="1"/>
  <c r="ER104" i="1"/>
  <c r="ER103" i="1"/>
  <c r="ER115" i="1"/>
  <c r="ER101" i="1"/>
  <c r="ER107" i="1"/>
  <c r="ER109" i="1"/>
  <c r="ER116" i="1"/>
  <c r="ER100" i="1"/>
  <c r="ET6" i="1"/>
  <c r="ES68" i="1"/>
  <c r="ET3" i="1"/>
  <c r="ES73" i="1"/>
  <c r="ER16" i="1"/>
  <c r="ET16" i="1" s="1"/>
  <c r="ET74" i="1"/>
  <c r="ES5" i="1"/>
  <c r="ES8" i="1"/>
  <c r="ER13" i="1"/>
  <c r="ES13" i="1" s="1"/>
  <c r="ES4" i="1"/>
  <c r="ER77" i="1"/>
  <c r="ET77" i="1" s="1"/>
  <c r="ER47" i="1"/>
  <c r="ES47" i="1" s="1"/>
  <c r="ER85" i="1"/>
  <c r="ES85" i="1" s="1"/>
  <c r="ER48" i="1"/>
  <c r="ET48" i="1" s="1"/>
  <c r="ER56" i="1"/>
  <c r="ET56" i="1" s="1"/>
  <c r="ER20" i="1"/>
  <c r="ES20" i="1" s="1"/>
  <c r="ER22" i="1"/>
  <c r="ET22" i="1" s="1"/>
  <c r="ET34" i="1"/>
  <c r="ES9" i="1"/>
  <c r="ET36" i="1"/>
  <c r="ER57" i="1"/>
  <c r="ES57" i="1" s="1"/>
  <c r="ER49" i="1"/>
  <c r="ES49" i="1" s="1"/>
  <c r="ER81" i="1"/>
  <c r="ET81" i="1" s="1"/>
  <c r="ER61" i="1"/>
  <c r="ES61" i="1" s="1"/>
  <c r="ER15" i="1"/>
  <c r="ES15" i="1" s="1"/>
  <c r="ER79" i="1"/>
  <c r="ES79" i="1" s="1"/>
  <c r="ER24" i="1"/>
  <c r="ES24" i="1" s="1"/>
  <c r="ER82" i="1"/>
  <c r="ES82" i="1" s="1"/>
  <c r="ER83" i="1"/>
  <c r="ES83" i="1" s="1"/>
  <c r="ER78" i="1"/>
  <c r="ES78" i="1" s="1"/>
  <c r="ET35" i="1"/>
  <c r="ER59" i="1"/>
  <c r="ET59" i="1" s="1"/>
  <c r="ER11" i="1"/>
  <c r="ES11" i="1" s="1"/>
  <c r="ER2" i="1"/>
  <c r="ER23" i="1"/>
  <c r="ES23" i="1" s="1"/>
  <c r="ER19" i="1"/>
  <c r="ET19" i="1" s="1"/>
  <c r="ER58" i="1"/>
  <c r="ES58" i="1" s="1"/>
  <c r="ER62" i="1"/>
  <c r="ET62" i="1" s="1"/>
  <c r="ER52" i="1"/>
  <c r="ES52" i="1" s="1"/>
  <c r="ER55" i="1"/>
  <c r="ES55" i="1" s="1"/>
  <c r="ER76" i="1"/>
  <c r="ET76" i="1" s="1"/>
  <c r="ER60" i="1"/>
  <c r="ES60" i="1" s="1"/>
  <c r="ER18" i="1"/>
  <c r="ES18" i="1" s="1"/>
  <c r="ER21" i="1"/>
  <c r="ES21" i="1" s="1"/>
  <c r="ER14" i="1"/>
  <c r="ES14" i="1" s="1"/>
  <c r="ER17" i="1"/>
  <c r="ES17" i="1" s="1"/>
  <c r="ER50" i="1"/>
  <c r="ET50" i="1" s="1"/>
  <c r="ER84" i="1"/>
  <c r="ET84" i="1" s="1"/>
  <c r="ER10" i="1"/>
  <c r="ES10" i="1" s="1"/>
  <c r="ER54" i="1"/>
  <c r="ET54" i="1" s="1"/>
  <c r="ER51" i="1"/>
  <c r="ER25" i="1"/>
  <c r="ER80" i="1"/>
  <c r="ER53" i="1"/>
  <c r="ER12" i="1"/>
  <c r="ES69" i="1"/>
  <c r="ET69" i="1"/>
  <c r="ES71" i="1"/>
  <c r="ET71" i="1"/>
  <c r="ES70" i="1"/>
  <c r="ET70" i="1"/>
  <c r="FA30" i="1"/>
  <c r="FE30" i="1"/>
  <c r="EY30" i="1"/>
  <c r="FC30" i="1"/>
  <c r="FA32" i="1"/>
  <c r="FE32" i="1"/>
  <c r="EY32" i="1"/>
  <c r="BK32" i="1"/>
  <c r="BM32" i="1" s="1"/>
  <c r="BO32" i="1" s="1"/>
  <c r="FC32" i="1"/>
  <c r="FH94" i="1"/>
  <c r="BK94" i="1"/>
  <c r="BM94" i="1" s="1"/>
  <c r="BO94" i="1" s="1"/>
  <c r="EY94" i="1"/>
  <c r="FA94" i="1"/>
  <c r="FE94" i="1"/>
  <c r="FC94" i="1"/>
  <c r="EY96" i="1"/>
  <c r="FA96" i="1"/>
  <c r="FH96" i="1"/>
  <c r="FE96" i="1"/>
  <c r="BK96" i="1"/>
  <c r="BM96" i="1" s="1"/>
  <c r="BO96" i="1" s="1"/>
  <c r="FC96" i="1"/>
  <c r="FA27" i="1"/>
  <c r="EY27" i="1"/>
  <c r="FE27" i="1"/>
  <c r="FC27" i="1"/>
  <c r="EY29" i="1"/>
  <c r="FC29" i="1"/>
  <c r="FA29" i="1"/>
  <c r="FE29" i="1"/>
  <c r="EY65" i="1"/>
  <c r="FA65" i="1"/>
  <c r="FE65" i="1"/>
  <c r="FC65" i="1"/>
  <c r="FA63" i="1"/>
  <c r="FE63" i="1"/>
  <c r="EY63" i="1"/>
  <c r="FC63" i="1"/>
  <c r="EY91" i="1"/>
  <c r="FA91" i="1"/>
  <c r="FE91" i="1"/>
  <c r="BK91" i="1"/>
  <c r="BM91" i="1" s="1"/>
  <c r="BO91" i="1" s="1"/>
  <c r="FH91" i="1"/>
  <c r="FC91" i="1"/>
  <c r="EY26" i="1"/>
  <c r="FA26" i="1"/>
  <c r="FE26" i="1"/>
  <c r="FC26" i="1"/>
  <c r="EY28" i="1"/>
  <c r="FE28" i="1"/>
  <c r="FA28" i="1"/>
  <c r="FC28" i="1"/>
  <c r="EY31" i="1"/>
  <c r="FA31" i="1"/>
  <c r="BK31" i="1"/>
  <c r="BM31" i="1" s="1"/>
  <c r="FE31" i="1"/>
  <c r="FC31" i="1"/>
  <c r="FA67" i="1"/>
  <c r="EY67" i="1"/>
  <c r="FE67" i="1"/>
  <c r="FC67" i="1"/>
  <c r="FH95" i="1"/>
  <c r="BK95" i="1"/>
  <c r="BM95" i="1" s="1"/>
  <c r="BO95" i="1" s="1"/>
  <c r="EY95" i="1"/>
  <c r="FA95" i="1"/>
  <c r="FE95" i="1"/>
  <c r="FC95" i="1"/>
  <c r="EY64" i="1"/>
  <c r="FA64" i="1"/>
  <c r="FE64" i="1"/>
  <c r="FC64" i="1"/>
  <c r="EY66" i="1"/>
  <c r="FA66" i="1"/>
  <c r="FE66" i="1"/>
  <c r="FC66" i="1"/>
  <c r="EY86" i="1"/>
  <c r="FA86" i="1"/>
  <c r="FE86" i="1"/>
  <c r="BK86" i="1"/>
  <c r="BM86" i="1" s="1"/>
  <c r="BO86" i="1" s="1"/>
  <c r="FH86" i="1"/>
  <c r="FC86" i="1"/>
  <c r="E4" i="29"/>
  <c r="A4" i="29"/>
  <c r="A3" i="29"/>
  <c r="G8" i="15"/>
  <c r="G7" i="15"/>
  <c r="G6" i="15"/>
  <c r="G5" i="15"/>
  <c r="J298" i="34"/>
  <c r="J122" i="17"/>
  <c r="T54" i="17" s="1"/>
  <c r="J121" i="17"/>
  <c r="O54" i="17" s="1"/>
  <c r="J120" i="17"/>
  <c r="J119" i="17"/>
  <c r="J118" i="17"/>
  <c r="J117" i="17"/>
  <c r="J116" i="17"/>
  <c r="J115" i="17"/>
  <c r="J114" i="17"/>
  <c r="J113" i="17"/>
  <c r="J112" i="17"/>
  <c r="J111" i="17"/>
  <c r="J110" i="17"/>
  <c r="J109" i="17"/>
  <c r="J108" i="17"/>
  <c r="J107" i="17"/>
  <c r="J106" i="17"/>
  <c r="J105" i="17"/>
  <c r="J104" i="17"/>
  <c r="J103" i="17"/>
  <c r="J102" i="17"/>
  <c r="X53" i="17" s="1"/>
  <c r="J101" i="17"/>
  <c r="S53" i="17" s="1"/>
  <c r="J100" i="17"/>
  <c r="O53" i="17" s="1"/>
  <c r="J99" i="17"/>
  <c r="J98" i="17"/>
  <c r="J97" i="17"/>
  <c r="J96" i="17"/>
  <c r="X52" i="17" s="1"/>
  <c r="J95" i="17"/>
  <c r="V52" i="17" s="1"/>
  <c r="J94" i="17"/>
  <c r="O52" i="17" s="1"/>
  <c r="J93" i="17"/>
  <c r="J92" i="17"/>
  <c r="J91" i="17"/>
  <c r="J90" i="17"/>
  <c r="X51" i="17" s="1"/>
  <c r="J89" i="17"/>
  <c r="U51" i="17" s="1"/>
  <c r="J88" i="17"/>
  <c r="P51" i="17" s="1"/>
  <c r="J87" i="17"/>
  <c r="X50" i="17" s="1"/>
  <c r="J86" i="17"/>
  <c r="Q50" i="17" s="1"/>
  <c r="J85" i="17"/>
  <c r="P50" i="17" s="1"/>
  <c r="J84" i="17"/>
  <c r="W49" i="17" s="1"/>
  <c r="J83" i="17"/>
  <c r="Q49" i="17" s="1"/>
  <c r="J82" i="17"/>
  <c r="O49" i="17" s="1"/>
  <c r="J81" i="17"/>
  <c r="J80" i="17"/>
  <c r="J79" i="17"/>
  <c r="J78" i="17"/>
  <c r="J77" i="17"/>
  <c r="J76" i="17"/>
  <c r="J75" i="17"/>
  <c r="W48" i="17" s="1"/>
  <c r="J74" i="17"/>
  <c r="R48" i="17" s="1"/>
  <c r="H74" i="17"/>
  <c r="AF48" i="17" s="1"/>
  <c r="J73" i="17"/>
  <c r="P48" i="17" s="1"/>
  <c r="H73" i="17"/>
  <c r="AA48" i="17" s="1"/>
  <c r="J72" i="17"/>
  <c r="V47" i="17" s="1"/>
  <c r="J71" i="17"/>
  <c r="O47" i="17" s="1"/>
  <c r="AJ54" i="17"/>
  <c r="AI54" i="17"/>
  <c r="AH54" i="17"/>
  <c r="AG54" i="17"/>
  <c r="AF54" i="17"/>
  <c r="AE54" i="17"/>
  <c r="AD54" i="17"/>
  <c r="AC54" i="17"/>
  <c r="AB54" i="17"/>
  <c r="AA54" i="17"/>
  <c r="X54" i="17"/>
  <c r="M54" i="17"/>
  <c r="J69" i="17"/>
  <c r="AJ53" i="17"/>
  <c r="AI53" i="17"/>
  <c r="AH53" i="17"/>
  <c r="AG53" i="17"/>
  <c r="AF53" i="17"/>
  <c r="AE53" i="17"/>
  <c r="AD53" i="17"/>
  <c r="AC53" i="17"/>
  <c r="AB53" i="17"/>
  <c r="AA53" i="17"/>
  <c r="M53" i="17"/>
  <c r="J68" i="17"/>
  <c r="S45" i="17" s="1"/>
  <c r="AJ52" i="17"/>
  <c r="AI52" i="17"/>
  <c r="AH52" i="17"/>
  <c r="AG52" i="17"/>
  <c r="AF52" i="17"/>
  <c r="AE52" i="17"/>
  <c r="AD52" i="17"/>
  <c r="AC52" i="17"/>
  <c r="AB52" i="17"/>
  <c r="AA52" i="17"/>
  <c r="M52" i="17"/>
  <c r="AJ51" i="17"/>
  <c r="AI51" i="17"/>
  <c r="AH51" i="17"/>
  <c r="AG51" i="17"/>
  <c r="AF51" i="17"/>
  <c r="AE51" i="17"/>
  <c r="AD51" i="17"/>
  <c r="AC51" i="17"/>
  <c r="AB51" i="17"/>
  <c r="AA51" i="17"/>
  <c r="M51" i="17"/>
  <c r="J63" i="17"/>
  <c r="AJ50" i="17"/>
  <c r="AI50" i="17"/>
  <c r="AH50" i="17"/>
  <c r="AG50" i="17"/>
  <c r="AF50" i="17"/>
  <c r="AE50" i="17"/>
  <c r="AD50" i="17"/>
  <c r="AC50" i="17"/>
  <c r="AB50" i="17"/>
  <c r="AA50" i="17"/>
  <c r="M50" i="17"/>
  <c r="AJ49" i="17"/>
  <c r="AI49" i="17"/>
  <c r="AH49" i="17"/>
  <c r="AG49" i="17"/>
  <c r="AF49" i="17"/>
  <c r="AE49" i="17"/>
  <c r="AD49" i="17"/>
  <c r="AC49" i="17"/>
  <c r="AB49" i="17"/>
  <c r="AA49" i="17"/>
  <c r="M49" i="17"/>
  <c r="J61" i="17"/>
  <c r="AJ48" i="17"/>
  <c r="AI48" i="17"/>
  <c r="M48" i="17"/>
  <c r="J60" i="17"/>
  <c r="AJ47" i="17"/>
  <c r="AI47" i="17"/>
  <c r="AH47" i="17"/>
  <c r="AG47" i="17"/>
  <c r="AF47" i="17"/>
  <c r="AE47" i="17"/>
  <c r="AD47" i="17"/>
  <c r="AC47" i="17"/>
  <c r="AB47" i="17"/>
  <c r="AA47" i="17"/>
  <c r="M47" i="17"/>
  <c r="M46" i="17"/>
  <c r="J55" i="17"/>
  <c r="AJ45" i="17"/>
  <c r="AI45" i="17"/>
  <c r="AH45" i="17"/>
  <c r="AG45" i="17"/>
  <c r="AF45" i="17"/>
  <c r="AE45" i="17"/>
  <c r="AD45" i="17"/>
  <c r="AC45" i="17"/>
  <c r="AB45" i="17"/>
  <c r="AA45" i="17"/>
  <c r="M45" i="17"/>
  <c r="J43" i="17"/>
  <c r="M35" i="17"/>
  <c r="J39" i="17"/>
  <c r="M42" i="17"/>
  <c r="DY97" i="1" s="1"/>
  <c r="J34" i="17"/>
  <c r="M41" i="17"/>
  <c r="J33" i="17"/>
  <c r="Q27" i="17" s="1"/>
  <c r="M40" i="17"/>
  <c r="J31" i="17"/>
  <c r="W25" i="17" s="1"/>
  <c r="M39" i="17"/>
  <c r="J29" i="17"/>
  <c r="S23" i="17" s="1"/>
  <c r="M32" i="17"/>
  <c r="J26" i="17"/>
  <c r="S20" i="17" s="1"/>
  <c r="M30" i="17"/>
  <c r="J25" i="17"/>
  <c r="X19" i="17" s="1"/>
  <c r="M27" i="17"/>
  <c r="J24" i="17"/>
  <c r="R18" i="17" s="1"/>
  <c r="M25" i="17"/>
  <c r="J23" i="17"/>
  <c r="P18" i="17" s="1"/>
  <c r="AJ23" i="17"/>
  <c r="AI23" i="17"/>
  <c r="AH23" i="17"/>
  <c r="AG23" i="17"/>
  <c r="AF23" i="17"/>
  <c r="AE23" i="17"/>
  <c r="AD23" i="17"/>
  <c r="AC23" i="17"/>
  <c r="AB23" i="17"/>
  <c r="AA23" i="17"/>
  <c r="M23" i="17"/>
  <c r="J22" i="17"/>
  <c r="X17" i="17" s="1"/>
  <c r="AJ20" i="17"/>
  <c r="AI20" i="17"/>
  <c r="AH20" i="17"/>
  <c r="AG20" i="17"/>
  <c r="AF20" i="17"/>
  <c r="AE20" i="17"/>
  <c r="AD20" i="17"/>
  <c r="AC20" i="17"/>
  <c r="AB20" i="17"/>
  <c r="AA20" i="17"/>
  <c r="M20" i="17"/>
  <c r="J21" i="17"/>
  <c r="Q16" i="17" s="1"/>
  <c r="AJ19" i="17"/>
  <c r="AI19" i="17"/>
  <c r="AH19" i="17"/>
  <c r="AG19" i="17"/>
  <c r="AF19" i="17"/>
  <c r="AE19" i="17"/>
  <c r="AD19" i="17"/>
  <c r="AC19" i="17"/>
  <c r="AB19" i="17"/>
  <c r="AA19" i="17"/>
  <c r="M19" i="17"/>
  <c r="J20" i="17"/>
  <c r="T15" i="17" s="1"/>
  <c r="AJ18" i="17"/>
  <c r="AI18" i="17"/>
  <c r="AH18" i="17"/>
  <c r="AG18" i="17"/>
  <c r="AF18" i="17"/>
  <c r="AE18" i="17"/>
  <c r="AD18" i="17"/>
  <c r="AC18" i="17"/>
  <c r="AB18" i="17"/>
  <c r="AA18" i="17"/>
  <c r="M18" i="17"/>
  <c r="J19" i="17"/>
  <c r="S14" i="17" s="1"/>
  <c r="AJ17" i="17"/>
  <c r="AI17" i="17"/>
  <c r="AH17" i="17"/>
  <c r="AG17" i="17"/>
  <c r="AF17" i="17"/>
  <c r="AE17" i="17"/>
  <c r="AD17" i="17"/>
  <c r="AC17" i="17"/>
  <c r="AB17" i="17"/>
  <c r="AA17" i="17"/>
  <c r="M17" i="17"/>
  <c r="J18" i="17"/>
  <c r="T13" i="17" s="1"/>
  <c r="AJ16" i="17"/>
  <c r="AI16" i="17"/>
  <c r="AH16" i="17"/>
  <c r="AG16" i="17"/>
  <c r="AF16" i="17"/>
  <c r="AE16" i="17"/>
  <c r="AD16" i="17"/>
  <c r="AC16" i="17"/>
  <c r="AB16" i="17"/>
  <c r="AA16" i="17"/>
  <c r="M16" i="17"/>
  <c r="J17" i="17"/>
  <c r="T10" i="17" s="1"/>
  <c r="AJ15" i="17"/>
  <c r="AI15" i="17"/>
  <c r="AH15" i="17"/>
  <c r="AG15" i="17"/>
  <c r="AF15" i="17"/>
  <c r="AE15" i="17"/>
  <c r="AD15" i="17"/>
  <c r="AC15" i="17"/>
  <c r="AB15" i="17"/>
  <c r="AA15" i="17"/>
  <c r="M15" i="17"/>
  <c r="H16" i="17"/>
  <c r="AA10" i="17" s="1"/>
  <c r="G16" i="17"/>
  <c r="AJ14" i="17"/>
  <c r="AI14" i="17"/>
  <c r="AH14" i="17"/>
  <c r="AG14" i="17"/>
  <c r="AF14" i="17"/>
  <c r="AE14" i="17"/>
  <c r="AD14" i="17"/>
  <c r="AC14" i="17"/>
  <c r="AB14" i="17"/>
  <c r="AA14" i="17"/>
  <c r="M14" i="17"/>
  <c r="J15" i="17"/>
  <c r="W12" i="17" s="1"/>
  <c r="AJ13" i="17"/>
  <c r="AI13" i="17"/>
  <c r="AH13" i="17"/>
  <c r="AG13" i="17"/>
  <c r="AF13" i="17"/>
  <c r="AE13" i="17"/>
  <c r="AD13" i="17"/>
  <c r="AC13" i="17"/>
  <c r="AB13" i="17"/>
  <c r="AA13" i="17"/>
  <c r="M13" i="17"/>
  <c r="J14" i="17"/>
  <c r="U11" i="17" s="1"/>
  <c r="AJ12" i="17"/>
  <c r="AI12" i="17"/>
  <c r="AH12" i="17"/>
  <c r="AG12" i="17"/>
  <c r="AF12" i="17"/>
  <c r="AE12" i="17"/>
  <c r="AD12" i="17"/>
  <c r="AC12" i="17"/>
  <c r="AB12" i="17"/>
  <c r="AA12" i="17"/>
  <c r="M12" i="17"/>
  <c r="J13" i="17"/>
  <c r="P11" i="17" s="1"/>
  <c r="AJ11" i="17"/>
  <c r="AI11" i="17"/>
  <c r="AH11" i="17"/>
  <c r="AG11" i="17"/>
  <c r="AF11" i="17"/>
  <c r="AE11" i="17"/>
  <c r="AD11" i="17"/>
  <c r="AC11" i="17"/>
  <c r="AB11" i="17"/>
  <c r="AA11" i="17"/>
  <c r="M11" i="17"/>
  <c r="J12" i="17"/>
  <c r="S8" i="17" s="1"/>
  <c r="AJ10" i="17"/>
  <c r="AI10" i="17"/>
  <c r="AH10" i="17"/>
  <c r="AG10" i="17"/>
  <c r="AF10" i="17"/>
  <c r="AE10" i="17"/>
  <c r="AD10" i="17"/>
  <c r="AC10" i="17"/>
  <c r="M10" i="17"/>
  <c r="J11" i="17"/>
  <c r="P8" i="17" s="1"/>
  <c r="AJ9" i="17"/>
  <c r="AI9" i="17"/>
  <c r="AH9" i="17"/>
  <c r="AG9" i="17"/>
  <c r="AF9" i="17"/>
  <c r="AE9" i="17"/>
  <c r="AD9" i="17"/>
  <c r="AC9" i="17"/>
  <c r="AB9" i="17"/>
  <c r="AA9" i="17"/>
  <c r="M9" i="17"/>
  <c r="J10" i="17"/>
  <c r="U9" i="17" s="1"/>
  <c r="AJ8" i="17"/>
  <c r="AI8" i="17"/>
  <c r="AH8" i="17"/>
  <c r="AG8" i="17"/>
  <c r="AF8" i="17"/>
  <c r="AE8" i="17"/>
  <c r="AD8" i="17"/>
  <c r="AC8" i="17"/>
  <c r="AB8" i="17"/>
  <c r="AA8" i="17"/>
  <c r="M8" i="17"/>
  <c r="J9" i="17"/>
  <c r="R6" i="17" s="1"/>
  <c r="AJ7" i="17"/>
  <c r="AI7" i="17"/>
  <c r="AH7" i="17"/>
  <c r="AG7" i="17"/>
  <c r="AF7" i="17"/>
  <c r="AE7" i="17"/>
  <c r="AD7" i="17"/>
  <c r="AC7" i="17"/>
  <c r="AB7" i="17"/>
  <c r="AA7" i="17"/>
  <c r="M7" i="17"/>
  <c r="J8" i="17"/>
  <c r="Q7" i="17" s="1"/>
  <c r="AJ6" i="17"/>
  <c r="AI6" i="17"/>
  <c r="AH6" i="17"/>
  <c r="AG6" i="17"/>
  <c r="AF6" i="17"/>
  <c r="AE6" i="17"/>
  <c r="AD6" i="17"/>
  <c r="AC6" i="17"/>
  <c r="AB6" i="17"/>
  <c r="AA6" i="17"/>
  <c r="J7" i="17"/>
  <c r="P7" i="17" s="1"/>
  <c r="AJ5" i="17"/>
  <c r="AI5" i="17"/>
  <c r="AH5" i="17"/>
  <c r="AG5" i="17"/>
  <c r="AF5" i="17"/>
  <c r="AE5" i="17"/>
  <c r="AD5" i="17"/>
  <c r="AC5" i="17"/>
  <c r="AB5" i="17"/>
  <c r="AA5" i="17"/>
  <c r="M5" i="17"/>
  <c r="J6" i="17"/>
  <c r="U5" i="17" s="1"/>
  <c r="AJ3" i="17"/>
  <c r="AI3" i="17"/>
  <c r="AH3" i="17"/>
  <c r="AG3" i="17"/>
  <c r="AF3" i="17"/>
  <c r="AE3" i="17"/>
  <c r="AD3" i="17"/>
  <c r="AC3" i="17"/>
  <c r="AB3" i="17"/>
  <c r="AA3" i="17"/>
  <c r="M3" i="17"/>
  <c r="J3" i="17"/>
  <c r="S3" i="17" s="1"/>
  <c r="V1" i="24"/>
  <c r="CX46" i="21"/>
  <c r="CX21" i="21"/>
  <c r="CX17" i="21"/>
  <c r="BZ50" i="21"/>
  <c r="CZ8" i="21"/>
  <c r="CR50" i="21"/>
  <c r="CZ7" i="21"/>
  <c r="BZ54" i="21"/>
  <c r="CR53" i="21"/>
  <c r="CX55" i="21"/>
  <c r="CX6" i="21"/>
  <c r="CX15" i="21"/>
  <c r="CX11" i="21"/>
  <c r="CX20" i="21"/>
  <c r="CX16" i="21"/>
  <c r="CF14" i="21"/>
  <c r="CX8" i="21"/>
  <c r="CZ10" i="21"/>
  <c r="CZ48" i="21"/>
  <c r="CZ50" i="21"/>
  <c r="CZ17" i="21"/>
  <c r="CZ15" i="21"/>
  <c r="CR15" i="21"/>
  <c r="CR52" i="21"/>
  <c r="CH52" i="21"/>
  <c r="CR9" i="21"/>
  <c r="CR7" i="21"/>
  <c r="CZ53" i="21"/>
  <c r="CZ11" i="21"/>
  <c r="CR13" i="21"/>
  <c r="CX52" i="21"/>
  <c r="CF55" i="21"/>
  <c r="CX19" i="21"/>
  <c r="CZ13" i="21"/>
  <c r="CZ14" i="21"/>
  <c r="CR12" i="21"/>
  <c r="CR48" i="21"/>
  <c r="BZ53" i="21"/>
  <c r="CR54" i="21"/>
  <c r="CZ9" i="21"/>
  <c r="CX51" i="21"/>
  <c r="CX50" i="21"/>
  <c r="CX13" i="21"/>
  <c r="CX24" i="21"/>
  <c r="CX18" i="21"/>
  <c r="CX53" i="21"/>
  <c r="CX10" i="21"/>
  <c r="B57" i="24"/>
  <c r="CZ54" i="21"/>
  <c r="CZ16" i="21"/>
  <c r="CZ12" i="21"/>
  <c r="CR19" i="21"/>
  <c r="CR11" i="21"/>
  <c r="CZ6" i="21"/>
  <c r="CR20" i="21"/>
  <c r="CH10" i="21"/>
  <c r="BZ48" i="21"/>
  <c r="CR17" i="21"/>
  <c r="CR10" i="21"/>
  <c r="CR24" i="21"/>
  <c r="CR46" i="21"/>
  <c r="CR8" i="21"/>
  <c r="CH12" i="21"/>
  <c r="CR14" i="21"/>
  <c r="CR55" i="21"/>
  <c r="CR49" i="21"/>
  <c r="CX54" i="21"/>
  <c r="CR51" i="21"/>
  <c r="CZ21" i="21"/>
  <c r="CZ19" i="21"/>
  <c r="CF11" i="21"/>
  <c r="CX7" i="21"/>
  <c r="BZ55" i="21"/>
  <c r="CX49" i="21"/>
  <c r="CZ55" i="21"/>
  <c r="CZ52" i="21"/>
  <c r="CZ51" i="21"/>
  <c r="CX48" i="21"/>
  <c r="CZ46" i="21"/>
  <c r="CR21" i="21"/>
  <c r="CR18" i="21"/>
  <c r="CR16" i="21"/>
  <c r="CX14" i="21"/>
  <c r="CX12" i="21"/>
  <c r="CH6" i="21"/>
  <c r="CZ24" i="21"/>
  <c r="CZ20" i="21"/>
  <c r="CF16" i="21"/>
  <c r="CZ18" i="21"/>
  <c r="CX9" i="21"/>
  <c r="CR6" i="21"/>
  <c r="EU93" i="1" l="1"/>
  <c r="EO93" i="1" s="1"/>
  <c r="ER93" i="1" s="1"/>
  <c r="AF6" i="24"/>
  <c r="AF7" i="24"/>
  <c r="AF8" i="24"/>
  <c r="AF9" i="24"/>
  <c r="N10" i="24"/>
  <c r="N13" i="24"/>
  <c r="N15" i="24"/>
  <c r="AF52" i="24"/>
  <c r="AF53" i="24"/>
  <c r="AF15" i="24"/>
  <c r="AF16" i="24"/>
  <c r="AF17" i="24"/>
  <c r="AF18" i="24"/>
  <c r="AF19" i="24"/>
  <c r="AF20" i="24"/>
  <c r="AF23" i="24"/>
  <c r="N54" i="24"/>
  <c r="AF10" i="24"/>
  <c r="AF11" i="24"/>
  <c r="AF12" i="24"/>
  <c r="AF13" i="24"/>
  <c r="AF14" i="24"/>
  <c r="AF47" i="24"/>
  <c r="AF49" i="24"/>
  <c r="AF48" i="24"/>
  <c r="AF5" i="24"/>
  <c r="AF45" i="24"/>
  <c r="AF50" i="24"/>
  <c r="AF51" i="24"/>
  <c r="AF54" i="24"/>
  <c r="EH99" i="1"/>
  <c r="EH38" i="1"/>
  <c r="EH37" i="1"/>
  <c r="EH90" i="1"/>
  <c r="EH89" i="1"/>
  <c r="EH88" i="1"/>
  <c r="EH87" i="1"/>
  <c r="EH91" i="1"/>
  <c r="EH86" i="1"/>
  <c r="EI98" i="1"/>
  <c r="EI46" i="1"/>
  <c r="EI45" i="1"/>
  <c r="EI44" i="1"/>
  <c r="EI43" i="1"/>
  <c r="EK46" i="1"/>
  <c r="EK45" i="1"/>
  <c r="EK44" i="1"/>
  <c r="EK43" i="1"/>
  <c r="EU90" i="1"/>
  <c r="EO90" i="1" s="1"/>
  <c r="ER90" i="1" s="1"/>
  <c r="ET90" i="1" s="1"/>
  <c r="CZ42" i="1"/>
  <c r="CZ41" i="1"/>
  <c r="CZ40" i="1"/>
  <c r="CZ39" i="1"/>
  <c r="ES93" i="1"/>
  <c r="ET93" i="1"/>
  <c r="EU92" i="1"/>
  <c r="EO92" i="1" s="1"/>
  <c r="ER92" i="1" s="1"/>
  <c r="BX66" i="1"/>
  <c r="BY66" i="1" s="1"/>
  <c r="EQ66" i="1" s="1"/>
  <c r="EP66" i="1"/>
  <c r="EP67" i="1"/>
  <c r="BX67" i="1"/>
  <c r="BY67" i="1" s="1"/>
  <c r="EQ67" i="1" s="1"/>
  <c r="EP63" i="1"/>
  <c r="BX63" i="1"/>
  <c r="BY63" i="1" s="1"/>
  <c r="EQ63" i="1" s="1"/>
  <c r="EP65" i="1"/>
  <c r="BX65" i="1"/>
  <c r="BY65" i="1" s="1"/>
  <c r="EQ65" i="1" s="1"/>
  <c r="EP64" i="1"/>
  <c r="BX64" i="1"/>
  <c r="BY64" i="1" s="1"/>
  <c r="EQ64" i="1" s="1"/>
  <c r="ET98" i="1"/>
  <c r="ES137" i="1"/>
  <c r="ET131" i="1"/>
  <c r="ES136" i="1"/>
  <c r="ES99" i="1"/>
  <c r="ES147" i="1"/>
  <c r="AH6" i="24"/>
  <c r="AH8" i="24"/>
  <c r="AH52" i="24"/>
  <c r="AH53" i="24"/>
  <c r="AH10" i="24"/>
  <c r="AH12" i="24"/>
  <c r="P5" i="24"/>
  <c r="AH7" i="24"/>
  <c r="P9" i="24"/>
  <c r="AH9" i="24"/>
  <c r="AH15" i="24"/>
  <c r="AH16" i="24"/>
  <c r="AH17" i="24"/>
  <c r="AH18" i="24"/>
  <c r="AH19" i="24"/>
  <c r="AH20" i="24"/>
  <c r="AH23" i="24"/>
  <c r="AH11" i="24"/>
  <c r="P11" i="24"/>
  <c r="AH13" i="24"/>
  <c r="AH47" i="24"/>
  <c r="AH49" i="24"/>
  <c r="AH14" i="24"/>
  <c r="AH5" i="24"/>
  <c r="AH45" i="24"/>
  <c r="AH50" i="24"/>
  <c r="AH51" i="24"/>
  <c r="AH54" i="24"/>
  <c r="P51" i="24"/>
  <c r="CX147" i="1"/>
  <c r="CX146" i="1"/>
  <c r="CX145" i="1"/>
  <c r="CX144" i="1"/>
  <c r="CU147" i="1"/>
  <c r="CU146" i="1"/>
  <c r="CU145" i="1"/>
  <c r="CU144" i="1"/>
  <c r="ET144" i="1"/>
  <c r="ET146" i="1"/>
  <c r="ET145" i="1"/>
  <c r="EU141" i="1"/>
  <c r="EO141" i="1" s="1"/>
  <c r="EU97" i="1"/>
  <c r="EO97" i="1" s="1"/>
  <c r="BX97" i="1"/>
  <c r="BY97" i="1" s="1"/>
  <c r="EQ97" i="1" s="1"/>
  <c r="EP97" i="1"/>
  <c r="CU131" i="1"/>
  <c r="CU130" i="1"/>
  <c r="CU129" i="1"/>
  <c r="CU128" i="1"/>
  <c r="CU127" i="1"/>
  <c r="CU126" i="1"/>
  <c r="CU125" i="1"/>
  <c r="CU124" i="1"/>
  <c r="EU149" i="1"/>
  <c r="EO149" i="1" s="1"/>
  <c r="EP142" i="1"/>
  <c r="BX142" i="1"/>
  <c r="BY142" i="1" s="1"/>
  <c r="EQ142" i="1" s="1"/>
  <c r="ET143" i="1"/>
  <c r="ES143" i="1"/>
  <c r="BX149" i="1"/>
  <c r="BY149" i="1" s="1"/>
  <c r="EQ149" i="1" s="1"/>
  <c r="EP149" i="1"/>
  <c r="EU140" i="1"/>
  <c r="EO140" i="1" s="1"/>
  <c r="EU150" i="1"/>
  <c r="EO150" i="1" s="1"/>
  <c r="EP141" i="1"/>
  <c r="BX141" i="1"/>
  <c r="BY141" i="1" s="1"/>
  <c r="EQ141" i="1" s="1"/>
  <c r="CX131" i="1"/>
  <c r="CX130" i="1"/>
  <c r="CX129" i="1"/>
  <c r="CX128" i="1"/>
  <c r="CX127" i="1"/>
  <c r="CX126" i="1"/>
  <c r="DV139" i="1"/>
  <c r="DV138" i="1"/>
  <c r="DV137" i="1"/>
  <c r="DV136" i="1"/>
  <c r="DV135" i="1"/>
  <c r="DV134" i="1"/>
  <c r="DV133" i="1"/>
  <c r="DV132" i="1"/>
  <c r="EP140" i="1"/>
  <c r="BX140" i="1"/>
  <c r="BY140" i="1" s="1"/>
  <c r="EQ140" i="1" s="1"/>
  <c r="EP150" i="1"/>
  <c r="BX150" i="1"/>
  <c r="BY150" i="1" s="1"/>
  <c r="EQ150" i="1" s="1"/>
  <c r="EU142" i="1"/>
  <c r="EO142" i="1" s="1"/>
  <c r="EU120" i="1"/>
  <c r="EO120" i="1" s="1"/>
  <c r="ES138" i="1"/>
  <c r="ET124" i="1"/>
  <c r="ES134" i="1"/>
  <c r="ES132" i="1"/>
  <c r="ES126" i="1"/>
  <c r="ES135" i="1"/>
  <c r="ET139" i="1"/>
  <c r="ES127" i="1"/>
  <c r="EU123" i="1"/>
  <c r="EO123" i="1" s="1"/>
  <c r="ET130" i="1"/>
  <c r="ES128" i="1"/>
  <c r="EP121" i="1"/>
  <c r="BX121" i="1"/>
  <c r="BY121" i="1" s="1"/>
  <c r="EQ121" i="1" s="1"/>
  <c r="BX120" i="1"/>
  <c r="BY120" i="1" s="1"/>
  <c r="EQ120" i="1" s="1"/>
  <c r="EP120" i="1"/>
  <c r="EP122" i="1"/>
  <c r="BX122" i="1"/>
  <c r="BY122" i="1" s="1"/>
  <c r="EQ122" i="1" s="1"/>
  <c r="EU121" i="1"/>
  <c r="EO121" i="1" s="1"/>
  <c r="EU122" i="1"/>
  <c r="EO122" i="1" s="1"/>
  <c r="ES125" i="1"/>
  <c r="ET125" i="1"/>
  <c r="ES133" i="1"/>
  <c r="ET133" i="1"/>
  <c r="ET129" i="1"/>
  <c r="ES129" i="1"/>
  <c r="EP123" i="1"/>
  <c r="BX123" i="1"/>
  <c r="BY123" i="1" s="1"/>
  <c r="EQ123" i="1" s="1"/>
  <c r="ET112" i="1"/>
  <c r="ET106" i="1"/>
  <c r="ES114" i="1"/>
  <c r="ET119" i="1"/>
  <c r="ET110" i="1"/>
  <c r="ES111" i="1"/>
  <c r="ET115" i="1"/>
  <c r="ES115" i="1"/>
  <c r="CX111" i="1"/>
  <c r="CX109" i="1"/>
  <c r="CX106" i="1"/>
  <c r="CX108" i="1"/>
  <c r="CX103" i="1"/>
  <c r="CX110" i="1"/>
  <c r="CX105" i="1"/>
  <c r="CX102" i="1"/>
  <c r="CX107" i="1"/>
  <c r="CX104" i="1"/>
  <c r="DV116" i="1"/>
  <c r="DV114" i="1"/>
  <c r="DV118" i="1"/>
  <c r="DV113" i="1"/>
  <c r="DV115" i="1"/>
  <c r="DV112" i="1"/>
  <c r="DV119" i="1"/>
  <c r="DV117" i="1"/>
  <c r="ES100" i="1"/>
  <c r="ET100" i="1"/>
  <c r="ET101" i="1"/>
  <c r="ES101" i="1"/>
  <c r="ES117" i="1"/>
  <c r="ET117" i="1"/>
  <c r="ET113" i="1"/>
  <c r="ES113" i="1"/>
  <c r="ES116" i="1"/>
  <c r="ET116" i="1"/>
  <c r="ES118" i="1"/>
  <c r="ET118" i="1"/>
  <c r="ES105" i="1"/>
  <c r="ET105" i="1"/>
  <c r="CU108" i="1"/>
  <c r="CU103" i="1"/>
  <c r="CU100" i="1"/>
  <c r="CU110" i="1"/>
  <c r="CU105" i="1"/>
  <c r="CU102" i="1"/>
  <c r="CU107" i="1"/>
  <c r="CU104" i="1"/>
  <c r="CU111" i="1"/>
  <c r="CU109" i="1"/>
  <c r="CU106" i="1"/>
  <c r="CU101" i="1"/>
  <c r="ET107" i="1"/>
  <c r="ES107" i="1"/>
  <c r="ES104" i="1"/>
  <c r="ET104" i="1"/>
  <c r="ES108" i="1"/>
  <c r="ET108" i="1"/>
  <c r="ET109" i="1"/>
  <c r="ES109" i="1"/>
  <c r="ET103" i="1"/>
  <c r="ES103" i="1"/>
  <c r="ES102" i="1"/>
  <c r="ET102" i="1"/>
  <c r="ET83" i="1"/>
  <c r="ET85" i="1"/>
  <c r="ET58" i="1"/>
  <c r="ET82" i="1"/>
  <c r="ET47" i="1"/>
  <c r="ES22" i="1"/>
  <c r="ET57" i="1"/>
  <c r="ES16" i="1"/>
  <c r="ET13" i="1"/>
  <c r="ET15" i="1"/>
  <c r="ET11" i="1"/>
  <c r="ES19" i="1"/>
  <c r="ET61" i="1"/>
  <c r="ES59" i="1"/>
  <c r="ET20" i="1"/>
  <c r="ES48" i="1"/>
  <c r="ES77" i="1"/>
  <c r="ES56" i="1"/>
  <c r="ET79" i="1"/>
  <c r="ET55" i="1"/>
  <c r="ET49" i="1"/>
  <c r="ES81" i="1"/>
  <c r="ET78" i="1"/>
  <c r="ET60" i="1"/>
  <c r="ES50" i="1"/>
  <c r="ET24" i="1"/>
  <c r="ET52" i="1"/>
  <c r="ET23" i="1"/>
  <c r="ET18" i="1"/>
  <c r="ES54" i="1"/>
  <c r="ET2" i="1"/>
  <c r="ES2" i="1"/>
  <c r="ES62" i="1"/>
  <c r="ET21" i="1"/>
  <c r="ES76" i="1"/>
  <c r="ET17" i="1"/>
  <c r="ES84" i="1"/>
  <c r="ET14" i="1"/>
  <c r="EU91" i="1"/>
  <c r="EO91" i="1" s="1"/>
  <c r="ET10" i="1"/>
  <c r="CZ71" i="1"/>
  <c r="CZ3" i="1"/>
  <c r="CZ70" i="1"/>
  <c r="CZ2" i="1"/>
  <c r="CZ69" i="1"/>
  <c r="CZ5" i="1"/>
  <c r="CZ68" i="1"/>
  <c r="CZ4" i="1"/>
  <c r="ES80" i="1"/>
  <c r="ET80" i="1"/>
  <c r="EH36" i="1"/>
  <c r="EH35" i="1"/>
  <c r="EH34" i="1"/>
  <c r="EH33" i="1"/>
  <c r="ET53" i="1"/>
  <c r="ES53" i="1"/>
  <c r="EI75" i="1"/>
  <c r="EI6" i="1"/>
  <c r="EI74" i="1"/>
  <c r="EI9" i="1"/>
  <c r="EI73" i="1"/>
  <c r="EI8" i="1"/>
  <c r="EI72" i="1"/>
  <c r="EI7" i="1"/>
  <c r="EK75" i="1"/>
  <c r="EK6" i="1"/>
  <c r="EK74" i="1"/>
  <c r="EK9" i="1"/>
  <c r="EK73" i="1"/>
  <c r="EK8" i="1"/>
  <c r="EK72" i="1"/>
  <c r="EK7" i="1"/>
  <c r="ET12" i="1"/>
  <c r="ES12" i="1"/>
  <c r="ET51" i="1"/>
  <c r="ES51" i="1"/>
  <c r="ES25" i="1"/>
  <c r="ET25" i="1"/>
  <c r="EU28" i="1"/>
  <c r="EO28" i="1" s="1"/>
  <c r="ER28" i="1" s="1"/>
  <c r="ES28" i="1" s="1"/>
  <c r="EU29" i="1"/>
  <c r="EO29" i="1" s="1"/>
  <c r="ER29" i="1" s="1"/>
  <c r="ET29" i="1" s="1"/>
  <c r="EU94" i="1"/>
  <c r="EO94" i="1" s="1"/>
  <c r="CP55" i="21"/>
  <c r="X54" i="24" s="1"/>
  <c r="CP48" i="21"/>
  <c r="X47" i="24" s="1"/>
  <c r="CP50" i="21"/>
  <c r="X49" i="24" s="1"/>
  <c r="CP53" i="21"/>
  <c r="X52" i="24" s="1"/>
  <c r="CP54" i="21"/>
  <c r="X53" i="24" s="1"/>
  <c r="EU32" i="1"/>
  <c r="EO32" i="1" s="1"/>
  <c r="EU30" i="1"/>
  <c r="EO30" i="1" s="1"/>
  <c r="ER30" i="1" s="1"/>
  <c r="ES30" i="1" s="1"/>
  <c r="DY96" i="1"/>
  <c r="DY95" i="1"/>
  <c r="DY67" i="1"/>
  <c r="DY66" i="1"/>
  <c r="DY30" i="1"/>
  <c r="DY29" i="1"/>
  <c r="BX91" i="1"/>
  <c r="BY91" i="1" s="1"/>
  <c r="EQ91" i="1" s="1"/>
  <c r="EP91" i="1"/>
  <c r="EU63" i="1"/>
  <c r="EO63" i="1" s="1"/>
  <c r="EU65" i="1"/>
  <c r="EO65" i="1" s="1"/>
  <c r="EU27" i="1"/>
  <c r="EO27" i="1" s="1"/>
  <c r="ER27" i="1" s="1"/>
  <c r="EU96" i="1"/>
  <c r="EO96" i="1" s="1"/>
  <c r="EP86" i="1"/>
  <c r="BX86" i="1"/>
  <c r="BY86" i="1" s="1"/>
  <c r="EQ86" i="1" s="1"/>
  <c r="BX95" i="1"/>
  <c r="BY95" i="1" s="1"/>
  <c r="EQ95" i="1" s="1"/>
  <c r="EP95" i="1"/>
  <c r="BO31" i="1"/>
  <c r="BM151" i="1"/>
  <c r="EU66" i="1"/>
  <c r="EO66" i="1" s="1"/>
  <c r="EU64" i="1"/>
  <c r="EO64" i="1" s="1"/>
  <c r="EU95" i="1"/>
  <c r="EO95" i="1" s="1"/>
  <c r="EU26" i="1"/>
  <c r="EO26" i="1" s="1"/>
  <c r="BX94" i="1"/>
  <c r="BY94" i="1" s="1"/>
  <c r="EQ94" i="1" s="1"/>
  <c r="EP94" i="1"/>
  <c r="EP96" i="1"/>
  <c r="BX96" i="1"/>
  <c r="BY96" i="1" s="1"/>
  <c r="EQ96" i="1" s="1"/>
  <c r="EP32" i="1"/>
  <c r="BX32" i="1"/>
  <c r="BY32" i="1" s="1"/>
  <c r="EQ32" i="1" s="1"/>
  <c r="EU86" i="1"/>
  <c r="EO86" i="1" s="1"/>
  <c r="EU67" i="1"/>
  <c r="EO67" i="1" s="1"/>
  <c r="EU31" i="1"/>
  <c r="EO31" i="1" s="1"/>
  <c r="EH83" i="1"/>
  <c r="EH82" i="1"/>
  <c r="EH56" i="1"/>
  <c r="EH51" i="1"/>
  <c r="EH25" i="1"/>
  <c r="EH23" i="1"/>
  <c r="EH21" i="1"/>
  <c r="EH85" i="1"/>
  <c r="EH84" i="1"/>
  <c r="EH59" i="1"/>
  <c r="EH53" i="1"/>
  <c r="EH22" i="1"/>
  <c r="EH20" i="1"/>
  <c r="EH16" i="1"/>
  <c r="EH62" i="1"/>
  <c r="EH61" i="1"/>
  <c r="EH60" i="1"/>
  <c r="EH58" i="1"/>
  <c r="EH54" i="1"/>
  <c r="EH19" i="1"/>
  <c r="EH17" i="1"/>
  <c r="EH15" i="1"/>
  <c r="EH81" i="1"/>
  <c r="EH80" i="1"/>
  <c r="EH57" i="1"/>
  <c r="EH55" i="1"/>
  <c r="EH52" i="1"/>
  <c r="EH24" i="1"/>
  <c r="EH18" i="1"/>
  <c r="EH14" i="1"/>
  <c r="EI49" i="1"/>
  <c r="EI13" i="1"/>
  <c r="EI12" i="1"/>
  <c r="EI79" i="1"/>
  <c r="EI78" i="1"/>
  <c r="EI77" i="1"/>
  <c r="EI76" i="1"/>
  <c r="EI50" i="1"/>
  <c r="EI11" i="1"/>
  <c r="EI47" i="1"/>
  <c r="EI48" i="1"/>
  <c r="EI10" i="1"/>
  <c r="EK47" i="1"/>
  <c r="EK48" i="1"/>
  <c r="EK49" i="1"/>
  <c r="EK13" i="1"/>
  <c r="EK12" i="1"/>
  <c r="EK79" i="1"/>
  <c r="EK78" i="1"/>
  <c r="EK77" i="1"/>
  <c r="EK76" i="1"/>
  <c r="EK50" i="1"/>
  <c r="EK11" i="1"/>
  <c r="EK10" i="1"/>
  <c r="Z17" i="24"/>
  <c r="Z19" i="24"/>
  <c r="Z20" i="24"/>
  <c r="Z23" i="24"/>
  <c r="Z6" i="24"/>
  <c r="Z7" i="24"/>
  <c r="Z8" i="24"/>
  <c r="Z9" i="24"/>
  <c r="Z11" i="24"/>
  <c r="Z12" i="24"/>
  <c r="Z13" i="24"/>
  <c r="Z14" i="24"/>
  <c r="Z47" i="24"/>
  <c r="Z49" i="24"/>
  <c r="Z52" i="24"/>
  <c r="Z53" i="24"/>
  <c r="H49" i="24"/>
  <c r="H52" i="24"/>
  <c r="H53" i="24"/>
  <c r="Z5" i="24"/>
  <c r="Z10" i="24"/>
  <c r="Z15" i="24"/>
  <c r="Z16" i="24"/>
  <c r="Z18" i="24"/>
  <c r="Z45" i="24"/>
  <c r="Z50" i="24"/>
  <c r="Z51" i="24"/>
  <c r="Z54" i="24"/>
  <c r="H47" i="24"/>
  <c r="Z48" i="24"/>
  <c r="H54" i="24"/>
  <c r="X48" i="17"/>
  <c r="X49" i="17"/>
  <c r="R47" i="17"/>
  <c r="P53" i="17"/>
  <c r="V49" i="17"/>
  <c r="T49" i="17"/>
  <c r="U49" i="17"/>
  <c r="S49" i="17"/>
  <c r="R49" i="17"/>
  <c r="Q47" i="17"/>
  <c r="W51" i="17"/>
  <c r="X42" i="17"/>
  <c r="P42" i="17"/>
  <c r="Q42" i="17"/>
  <c r="R42" i="17"/>
  <c r="S42" i="17"/>
  <c r="T42" i="17"/>
  <c r="V42" i="17"/>
  <c r="U42" i="17"/>
  <c r="O42" i="17"/>
  <c r="W42" i="17"/>
  <c r="O41" i="17"/>
  <c r="P41" i="17"/>
  <c r="V40" i="17"/>
  <c r="W40" i="17"/>
  <c r="X40" i="17"/>
  <c r="Q40" i="17"/>
  <c r="R40" i="17"/>
  <c r="S40" i="17"/>
  <c r="T40" i="17"/>
  <c r="U40" i="17"/>
  <c r="O38" i="17"/>
  <c r="P38" i="17"/>
  <c r="P32" i="17"/>
  <c r="O32" i="17"/>
  <c r="P30" i="17"/>
  <c r="O30" i="17"/>
  <c r="R20" i="17"/>
  <c r="S48" i="17"/>
  <c r="U45" i="17"/>
  <c r="S47" i="17"/>
  <c r="W47" i="17"/>
  <c r="V53" i="17"/>
  <c r="P52" i="17"/>
  <c r="W53" i="17"/>
  <c r="T45" i="17"/>
  <c r="V45" i="17"/>
  <c r="O45" i="17"/>
  <c r="W45" i="17"/>
  <c r="P45" i="17"/>
  <c r="X45" i="17"/>
  <c r="Q45" i="17"/>
  <c r="R45" i="17"/>
  <c r="R53" i="17"/>
  <c r="V54" i="17"/>
  <c r="P47" i="17"/>
  <c r="T53" i="17"/>
  <c r="W54" i="17"/>
  <c r="U48" i="17"/>
  <c r="V48" i="17"/>
  <c r="P49" i="17"/>
  <c r="S10" i="17"/>
  <c r="O16" i="17"/>
  <c r="R16" i="17"/>
  <c r="V23" i="17"/>
  <c r="Q19" i="17"/>
  <c r="X47" i="17"/>
  <c r="T48" i="17"/>
  <c r="U10" i="17"/>
  <c r="T47" i="17"/>
  <c r="W10" i="17"/>
  <c r="U47" i="17"/>
  <c r="Q48" i="17"/>
  <c r="T14" i="17"/>
  <c r="W11" i="17"/>
  <c r="U15" i="17"/>
  <c r="U13" i="17"/>
  <c r="X8" i="17"/>
  <c r="O17" i="17"/>
  <c r="R27" i="17"/>
  <c r="R17" i="17"/>
  <c r="T27" i="17"/>
  <c r="S17" i="17"/>
  <c r="T17" i="17"/>
  <c r="W17" i="17"/>
  <c r="T16" i="17"/>
  <c r="W16" i="17"/>
  <c r="T20" i="17"/>
  <c r="V20" i="17"/>
  <c r="X9" i="17"/>
  <c r="Q17" i="17"/>
  <c r="U23" i="17"/>
  <c r="X23" i="17"/>
  <c r="R8" i="17"/>
  <c r="O48" i="17"/>
  <c r="T8" i="17"/>
  <c r="O11" i="17"/>
  <c r="U17" i="17"/>
  <c r="P23" i="17"/>
  <c r="V17" i="17"/>
  <c r="Q23" i="17"/>
  <c r="R23" i="17"/>
  <c r="P17" i="17"/>
  <c r="T23" i="17"/>
  <c r="P25" i="17"/>
  <c r="S16" i="17"/>
  <c r="S18" i="17"/>
  <c r="R19" i="17"/>
  <c r="S19" i="17"/>
  <c r="U16" i="17"/>
  <c r="T19" i="17"/>
  <c r="V16" i="17"/>
  <c r="U19" i="17"/>
  <c r="V19" i="17"/>
  <c r="P16" i="17"/>
  <c r="X16" i="17"/>
  <c r="O19" i="17"/>
  <c r="W19" i="17"/>
  <c r="P19" i="17"/>
  <c r="X25" i="17"/>
  <c r="V5" i="17"/>
  <c r="V8" i="17"/>
  <c r="V10" i="17"/>
  <c r="V13" i="17"/>
  <c r="V14" i="17"/>
  <c r="U20" i="17"/>
  <c r="O23" i="17"/>
  <c r="W23" i="17"/>
  <c r="Q25" i="17"/>
  <c r="S27" i="17"/>
  <c r="U53" i="17"/>
  <c r="W13" i="17"/>
  <c r="R25" i="17"/>
  <c r="X10" i="17"/>
  <c r="P13" i="17"/>
  <c r="X13" i="17"/>
  <c r="O20" i="17"/>
  <c r="W20" i="17"/>
  <c r="S25" i="17"/>
  <c r="U27" i="17"/>
  <c r="O50" i="17"/>
  <c r="V3" i="17"/>
  <c r="X3" i="17"/>
  <c r="Q10" i="17"/>
  <c r="Q13" i="17"/>
  <c r="P20" i="17"/>
  <c r="X20" i="17"/>
  <c r="T25" i="17"/>
  <c r="V27" i="17"/>
  <c r="T3" i="17"/>
  <c r="O13" i="17"/>
  <c r="O8" i="17"/>
  <c r="R10" i="17"/>
  <c r="S12" i="17"/>
  <c r="R13" i="17"/>
  <c r="Q20" i="17"/>
  <c r="U25" i="17"/>
  <c r="O27" i="17"/>
  <c r="W27" i="17"/>
  <c r="Q53" i="17"/>
  <c r="V25" i="17"/>
  <c r="P27" i="17"/>
  <c r="X27" i="17"/>
  <c r="S13" i="17"/>
  <c r="Q11" i="17"/>
  <c r="O25" i="17"/>
  <c r="U14" i="17"/>
  <c r="V15" i="17"/>
  <c r="T18" i="17"/>
  <c r="Q52" i="17"/>
  <c r="O15" i="17"/>
  <c r="W15" i="17"/>
  <c r="U18" i="17"/>
  <c r="R52" i="17"/>
  <c r="V6" i="17"/>
  <c r="T7" i="17"/>
  <c r="O14" i="17"/>
  <c r="W14" i="17"/>
  <c r="P15" i="17"/>
  <c r="X15" i="17"/>
  <c r="V18" i="17"/>
  <c r="S52" i="17"/>
  <c r="S6" i="17"/>
  <c r="O6" i="17"/>
  <c r="W6" i="17"/>
  <c r="V7" i="17"/>
  <c r="P9" i="17"/>
  <c r="P14" i="17"/>
  <c r="X14" i="17"/>
  <c r="Q15" i="17"/>
  <c r="O18" i="17"/>
  <c r="W18" i="17"/>
  <c r="W50" i="17"/>
  <c r="T52" i="17"/>
  <c r="T6" i="17"/>
  <c r="P6" i="17"/>
  <c r="X6" i="17"/>
  <c r="X7" i="17"/>
  <c r="R9" i="17"/>
  <c r="AB10" i="17"/>
  <c r="Q14" i="17"/>
  <c r="R15" i="17"/>
  <c r="X18" i="17"/>
  <c r="U52" i="17"/>
  <c r="R7" i="17"/>
  <c r="Q6" i="17"/>
  <c r="T9" i="17"/>
  <c r="R14" i="17"/>
  <c r="S15" i="17"/>
  <c r="Q18" i="17"/>
  <c r="U6" i="17"/>
  <c r="P3" i="17"/>
  <c r="R3" i="17"/>
  <c r="Q5" i="17"/>
  <c r="V9" i="17"/>
  <c r="Q12" i="17"/>
  <c r="O51" i="17"/>
  <c r="V51" i="17"/>
  <c r="U54" i="17"/>
  <c r="Q51" i="17"/>
  <c r="P54" i="17"/>
  <c r="R51" i="17"/>
  <c r="Q54" i="17"/>
  <c r="S51" i="17"/>
  <c r="R54" i="17"/>
  <c r="T51" i="17"/>
  <c r="W52" i="17"/>
  <c r="S54" i="17"/>
  <c r="U50" i="17"/>
  <c r="V50" i="17"/>
  <c r="S50" i="17"/>
  <c r="R50" i="17"/>
  <c r="T50" i="17"/>
  <c r="U3" i="17"/>
  <c r="O5" i="17"/>
  <c r="S7" i="17"/>
  <c r="U8" i="17"/>
  <c r="O9" i="17"/>
  <c r="W9" i="17"/>
  <c r="V11" i="17"/>
  <c r="P12" i="17"/>
  <c r="X12" i="17"/>
  <c r="J62" i="17"/>
  <c r="P46" i="17"/>
  <c r="O46" i="17"/>
  <c r="O3" i="17"/>
  <c r="W3" i="17"/>
  <c r="S5" i="17"/>
  <c r="U7" i="17"/>
  <c r="W8" i="17"/>
  <c r="Q9" i="17"/>
  <c r="X11" i="17"/>
  <c r="R12" i="17"/>
  <c r="Q3" i="17"/>
  <c r="W5" i="17"/>
  <c r="W7" i="17"/>
  <c r="Q8" i="17"/>
  <c r="S9" i="17"/>
  <c r="R11" i="17"/>
  <c r="T12" i="17"/>
  <c r="S11" i="17"/>
  <c r="U12" i="17"/>
  <c r="T11" i="17"/>
  <c r="V12" i="17"/>
  <c r="O12" i="17"/>
  <c r="P5" i="17"/>
  <c r="X5" i="17"/>
  <c r="R5" i="17"/>
  <c r="O7" i="17"/>
  <c r="T5" i="17"/>
  <c r="AC48" i="17"/>
  <c r="AD48" i="17"/>
  <c r="AG48" i="17"/>
  <c r="AH48" i="17"/>
  <c r="AB48" i="17"/>
  <c r="J16" i="17"/>
  <c r="P10" i="17" s="1"/>
  <c r="AE48" i="17"/>
  <c r="CN4" i="21"/>
  <c r="CF18" i="21"/>
  <c r="CF26" i="21"/>
  <c r="CH53" i="21"/>
  <c r="CF8" i="21"/>
  <c r="CF54" i="21"/>
  <c r="CH46" i="21"/>
  <c r="CZ49" i="21"/>
  <c r="CH4" i="21"/>
  <c r="BZ15" i="21"/>
  <c r="CH51" i="21"/>
  <c r="CH18" i="21"/>
  <c r="CF19" i="21"/>
  <c r="CX4" i="21"/>
  <c r="CH8" i="21"/>
  <c r="BZ40" i="21"/>
  <c r="CH28" i="21"/>
  <c r="CH14" i="21"/>
  <c r="BZ12" i="21"/>
  <c r="CF49" i="21"/>
  <c r="CF46" i="21"/>
  <c r="CF51" i="21"/>
  <c r="CH21" i="21"/>
  <c r="BZ7" i="21"/>
  <c r="CH15" i="21"/>
  <c r="BZ28" i="21"/>
  <c r="CH16" i="21"/>
  <c r="CH26" i="21"/>
  <c r="CH9" i="21"/>
  <c r="CF21" i="21"/>
  <c r="BZ9" i="21"/>
  <c r="CH20" i="21"/>
  <c r="CZ4" i="21"/>
  <c r="CF28" i="21"/>
  <c r="BZ46" i="21"/>
  <c r="BZ43" i="21"/>
  <c r="CR4" i="21"/>
  <c r="CH19" i="21"/>
  <c r="CF20" i="21"/>
  <c r="CF17" i="21"/>
  <c r="BZ52" i="21"/>
  <c r="BZ8" i="21"/>
  <c r="CH54" i="21"/>
  <c r="BZ21" i="21"/>
  <c r="CF9" i="21"/>
  <c r="CF13" i="21"/>
  <c r="CF42" i="21"/>
  <c r="CF52" i="21"/>
  <c r="BZ51" i="21"/>
  <c r="CH48" i="21"/>
  <c r="CH24" i="21"/>
  <c r="CF24" i="21"/>
  <c r="CF6" i="21"/>
  <c r="CH13" i="21"/>
  <c r="CH42" i="21"/>
  <c r="BZ13" i="21"/>
  <c r="BZ41" i="21"/>
  <c r="BZ20" i="21"/>
  <c r="CF53" i="21"/>
  <c r="BZ33" i="21"/>
  <c r="CH49" i="21"/>
  <c r="BZ49" i="21"/>
  <c r="BZ16" i="21"/>
  <c r="CF10" i="21"/>
  <c r="CH7" i="21"/>
  <c r="CF12" i="21"/>
  <c r="CF43" i="21"/>
  <c r="BZ31" i="21"/>
  <c r="CH11" i="21"/>
  <c r="BZ47" i="21"/>
  <c r="BZ26" i="21"/>
  <c r="BZ4" i="21"/>
  <c r="CH43" i="21"/>
  <c r="BZ18" i="21"/>
  <c r="BZ14" i="21"/>
  <c r="BZ19" i="21"/>
  <c r="BZ6" i="21"/>
  <c r="CF50" i="21"/>
  <c r="CF48" i="21"/>
  <c r="CF15" i="21"/>
  <c r="CH17" i="21"/>
  <c r="CF4" i="21"/>
  <c r="BZ10" i="21"/>
  <c r="CH50" i="21"/>
  <c r="BZ17" i="21"/>
  <c r="BZ24" i="21"/>
  <c r="CF7" i="21"/>
  <c r="CH55" i="21"/>
  <c r="ES90" i="1" l="1"/>
  <c r="N9" i="24"/>
  <c r="N6" i="24"/>
  <c r="N50" i="24"/>
  <c r="N18" i="24"/>
  <c r="N53" i="24"/>
  <c r="N42" i="24"/>
  <c r="N5" i="24"/>
  <c r="N51" i="24"/>
  <c r="N52" i="24"/>
  <c r="N3" i="24"/>
  <c r="N16" i="24"/>
  <c r="N27" i="24"/>
  <c r="N14" i="24"/>
  <c r="N47" i="24"/>
  <c r="N45" i="24"/>
  <c r="N41" i="24"/>
  <c r="N49" i="24"/>
  <c r="N11" i="24"/>
  <c r="N19" i="24"/>
  <c r="N12" i="24"/>
  <c r="N7" i="24"/>
  <c r="N25" i="24"/>
  <c r="N23" i="24"/>
  <c r="N8" i="24"/>
  <c r="N20" i="24"/>
  <c r="N17" i="24"/>
  <c r="N48" i="24"/>
  <c r="AF3" i="24"/>
  <c r="ET92" i="1"/>
  <c r="ES92" i="1"/>
  <c r="ER67" i="1"/>
  <c r="ET67" i="1" s="1"/>
  <c r="ER65" i="1"/>
  <c r="ET65" i="1" s="1"/>
  <c r="ER66" i="1"/>
  <c r="ES66" i="1" s="1"/>
  <c r="ER64" i="1"/>
  <c r="ET64" i="1" s="1"/>
  <c r="ER63" i="1"/>
  <c r="ET63" i="1" s="1"/>
  <c r="P12" i="24"/>
  <c r="P54" i="24"/>
  <c r="P6" i="24"/>
  <c r="P14" i="24"/>
  <c r="P53" i="24"/>
  <c r="P48" i="24"/>
  <c r="P41" i="24"/>
  <c r="P42" i="24"/>
  <c r="P49" i="24"/>
  <c r="P20" i="24"/>
  <c r="P52" i="24"/>
  <c r="P27" i="24"/>
  <c r="P23" i="24"/>
  <c r="P15" i="24"/>
  <c r="P47" i="24"/>
  <c r="P45" i="24"/>
  <c r="AH48" i="24"/>
  <c r="P7" i="24"/>
  <c r="P8" i="24"/>
  <c r="P50" i="24"/>
  <c r="P18" i="24"/>
  <c r="P25" i="24"/>
  <c r="P19" i="24"/>
  <c r="P13" i="24"/>
  <c r="P10" i="24"/>
  <c r="P3" i="24"/>
  <c r="P16" i="24"/>
  <c r="P17" i="24"/>
  <c r="DV151" i="1"/>
  <c r="CX151" i="1"/>
  <c r="CZ151" i="1"/>
  <c r="AH3" i="24"/>
  <c r="ER97" i="1"/>
  <c r="ET97" i="1" s="1"/>
  <c r="EH151" i="1"/>
  <c r="EO151" i="1"/>
  <c r="EK151" i="1"/>
  <c r="EI151" i="1"/>
  <c r="ER141" i="1"/>
  <c r="ES141" i="1" s="1"/>
  <c r="ER142" i="1"/>
  <c r="ER140" i="1"/>
  <c r="ER150" i="1"/>
  <c r="ER149" i="1"/>
  <c r="ER122" i="1"/>
  <c r="ES122" i="1" s="1"/>
  <c r="ER120" i="1"/>
  <c r="ET120" i="1" s="1"/>
  <c r="ER123" i="1"/>
  <c r="ET123" i="1" s="1"/>
  <c r="ER121" i="1"/>
  <c r="ET121" i="1" s="1"/>
  <c r="CU151" i="1"/>
  <c r="ET28" i="1"/>
  <c r="DY151" i="1"/>
  <c r="ES29" i="1"/>
  <c r="CP51" i="21"/>
  <c r="X50" i="24" s="1"/>
  <c r="CP10" i="21"/>
  <c r="X9" i="24" s="1"/>
  <c r="CP46" i="21"/>
  <c r="X45" i="24" s="1"/>
  <c r="CP19" i="21"/>
  <c r="X18" i="24" s="1"/>
  <c r="CP21" i="21"/>
  <c r="X20" i="24" s="1"/>
  <c r="CP20" i="21"/>
  <c r="X19" i="24" s="1"/>
  <c r="CP41" i="21"/>
  <c r="X40" i="24" s="1"/>
  <c r="CP52" i="21"/>
  <c r="X51" i="24" s="1"/>
  <c r="CP31" i="21"/>
  <c r="X30" i="24" s="1"/>
  <c r="CP26" i="21"/>
  <c r="X25" i="24" s="1"/>
  <c r="CP47" i="21"/>
  <c r="X46" i="24" s="1"/>
  <c r="CP8" i="21"/>
  <c r="X7" i="24" s="1"/>
  <c r="CP28" i="21"/>
  <c r="X27" i="24" s="1"/>
  <c r="CP4" i="21"/>
  <c r="X3" i="24" s="1"/>
  <c r="CP9" i="21"/>
  <c r="X8" i="24" s="1"/>
  <c r="CP49" i="21"/>
  <c r="X48" i="24" s="1"/>
  <c r="CP43" i="21"/>
  <c r="X42" i="24" s="1"/>
  <c r="CP7" i="21"/>
  <c r="X6" i="24" s="1"/>
  <c r="CP40" i="21"/>
  <c r="X39" i="24" s="1"/>
  <c r="CP24" i="21"/>
  <c r="X23" i="24" s="1"/>
  <c r="CP17" i="21"/>
  <c r="X16" i="24" s="1"/>
  <c r="CP16" i="21"/>
  <c r="X15" i="24" s="1"/>
  <c r="CP13" i="21"/>
  <c r="X12" i="24" s="1"/>
  <c r="CP15" i="21"/>
  <c r="X14" i="24" s="1"/>
  <c r="CP18" i="21"/>
  <c r="X17" i="24" s="1"/>
  <c r="CP12" i="21"/>
  <c r="X11" i="24" s="1"/>
  <c r="CP33" i="21"/>
  <c r="X32" i="24" s="1"/>
  <c r="CP6" i="21"/>
  <c r="X5" i="24" s="1"/>
  <c r="CP14" i="21"/>
  <c r="X13" i="24" s="1"/>
  <c r="ET30" i="1"/>
  <c r="ER32" i="1"/>
  <c r="ET32" i="1" s="1"/>
  <c r="ER94" i="1"/>
  <c r="ET94" i="1" s="1"/>
  <c r="EP31" i="1"/>
  <c r="EP151" i="1" s="1"/>
  <c r="BX31" i="1"/>
  <c r="BO151" i="1"/>
  <c r="ER26" i="1"/>
  <c r="ES27" i="1"/>
  <c r="ET27" i="1"/>
  <c r="ER86" i="1"/>
  <c r="ER91" i="1"/>
  <c r="ER95" i="1"/>
  <c r="ER96" i="1"/>
  <c r="H7" i="24"/>
  <c r="H12" i="24"/>
  <c r="H46" i="24"/>
  <c r="H5" i="24"/>
  <c r="H51" i="24"/>
  <c r="H18" i="24"/>
  <c r="H14" i="24"/>
  <c r="H15" i="24"/>
  <c r="H13" i="24"/>
  <c r="H50" i="24"/>
  <c r="H20" i="24"/>
  <c r="H23" i="24"/>
  <c r="H19" i="24"/>
  <c r="H11" i="24"/>
  <c r="H48" i="24"/>
  <c r="H17" i="24"/>
  <c r="H16" i="24"/>
  <c r="H30" i="24"/>
  <c r="H32" i="24"/>
  <c r="H3" i="24"/>
  <c r="H9" i="24"/>
  <c r="H6" i="24"/>
  <c r="H25" i="24"/>
  <c r="H27" i="24"/>
  <c r="H8" i="24"/>
  <c r="H45" i="24"/>
  <c r="H39" i="24"/>
  <c r="H40" i="24"/>
  <c r="H42" i="24"/>
  <c r="Z3" i="24"/>
  <c r="G43" i="24"/>
  <c r="G37" i="24"/>
  <c r="G21" i="24"/>
  <c r="G44" i="24"/>
  <c r="G22" i="24"/>
  <c r="G38" i="24"/>
  <c r="G28" i="24"/>
  <c r="O10" i="17"/>
  <c r="V3" i="24"/>
  <c r="BZ11" i="21"/>
  <c r="ES67" i="1" l="1"/>
  <c r="ES65" i="1"/>
  <c r="ES63" i="1"/>
  <c r="ES64" i="1"/>
  <c r="ET66" i="1"/>
  <c r="ES97" i="1"/>
  <c r="ET141" i="1"/>
  <c r="ES142" i="1"/>
  <c r="ET142" i="1"/>
  <c r="ET140" i="1"/>
  <c r="ES140" i="1"/>
  <c r="ET150" i="1"/>
  <c r="ES150" i="1"/>
  <c r="ES149" i="1"/>
  <c r="ET149" i="1"/>
  <c r="ES123" i="1"/>
  <c r="ET122" i="1"/>
  <c r="ES120" i="1"/>
  <c r="ES121" i="1"/>
  <c r="CP11" i="21"/>
  <c r="X10" i="24" s="1"/>
  <c r="ES94" i="1"/>
  <c r="ES32" i="1"/>
  <c r="ES91" i="1"/>
  <c r="ET91" i="1"/>
  <c r="ES95" i="1"/>
  <c r="ET95" i="1"/>
  <c r="ES96" i="1"/>
  <c r="ET96" i="1"/>
  <c r="BY31" i="1"/>
  <c r="BX151" i="1"/>
  <c r="ES86" i="1"/>
  <c r="ET86" i="1"/>
  <c r="ET26" i="1"/>
  <c r="ES26" i="1"/>
  <c r="H10" i="24"/>
  <c r="D3" i="24"/>
  <c r="EQ31" i="1" l="1"/>
  <c r="BY151" i="1"/>
  <c r="CL5" i="21"/>
  <c r="CL27" i="21"/>
  <c r="DD29" i="21"/>
  <c r="CL32" i="21"/>
  <c r="CL30" i="21"/>
  <c r="DD5" i="21"/>
  <c r="DD25" i="21"/>
  <c r="EQ151" i="1" l="1"/>
  <c r="ER31" i="1"/>
  <c r="ER151" i="1" s="1"/>
  <c r="T29" i="24"/>
  <c r="T26" i="24"/>
  <c r="T33" i="24"/>
  <c r="T31" i="24"/>
  <c r="T4" i="24"/>
  <c r="DD31" i="21"/>
  <c r="ES31" i="1" l="1"/>
  <c r="ES151" i="1" s="1"/>
  <c r="ET31" i="1"/>
  <c r="ET151" i="1" s="1"/>
  <c r="DD30" i="21"/>
  <c r="CA11" i="21" l="1"/>
  <c r="CQ20" i="21"/>
  <c r="CU27" i="21"/>
  <c r="CD4" i="21"/>
  <c r="CU42" i="21"/>
  <c r="DB42" i="21"/>
  <c r="CQ50" i="21"/>
  <c r="CI15" i="21"/>
  <c r="CS45" i="21"/>
  <c r="DC15" i="21"/>
  <c r="CC15" i="21"/>
  <c r="BY40" i="21"/>
  <c r="CG55" i="21"/>
  <c r="CC42" i="21"/>
  <c r="CS51" i="21"/>
  <c r="CY10" i="21"/>
  <c r="CS19" i="21"/>
  <c r="CI41" i="21"/>
  <c r="CW42" i="21"/>
  <c r="CI19" i="21"/>
  <c r="CW41" i="21"/>
  <c r="CK18" i="21"/>
  <c r="CG17" i="21"/>
  <c r="CT6" i="21"/>
  <c r="DC18" i="21"/>
  <c r="CV4" i="21"/>
  <c r="CV50" i="21"/>
  <c r="CQ6" i="21"/>
  <c r="CV44" i="21"/>
  <c r="CY52" i="21"/>
  <c r="CI44" i="21"/>
  <c r="CG13" i="21"/>
  <c r="CT8" i="21"/>
  <c r="CT24" i="21"/>
  <c r="DB45" i="21"/>
  <c r="CS11" i="21"/>
  <c r="CT11" i="21"/>
  <c r="CE20" i="21"/>
  <c r="DB21" i="21"/>
  <c r="CT41" i="21"/>
  <c r="DC20" i="21"/>
  <c r="CJ11" i="21"/>
  <c r="CB24" i="21"/>
  <c r="DA11" i="21"/>
  <c r="CU50" i="21"/>
  <c r="CK12" i="21"/>
  <c r="BY7" i="21"/>
  <c r="CB41" i="21"/>
  <c r="CW4" i="21"/>
  <c r="CB50" i="21"/>
  <c r="CY21" i="21"/>
  <c r="CB46" i="21"/>
  <c r="CA47" i="21"/>
  <c r="CT14" i="21"/>
  <c r="CT49" i="21"/>
  <c r="BY54" i="21"/>
  <c r="DB26" i="21"/>
  <c r="CQ14" i="21"/>
  <c r="CD48" i="21"/>
  <c r="CB47" i="21"/>
  <c r="DB20" i="21"/>
  <c r="CW13" i="21"/>
  <c r="CJ23" i="21"/>
  <c r="CK41" i="21"/>
  <c r="CJ21" i="21"/>
  <c r="CC13" i="21"/>
  <c r="CG51" i="21"/>
  <c r="CU20" i="21"/>
  <c r="CU45" i="21"/>
  <c r="CA21" i="21"/>
  <c r="CD44" i="21"/>
  <c r="CQ42" i="21"/>
  <c r="CY28" i="21"/>
  <c r="CI6" i="21"/>
  <c r="CA14" i="21"/>
  <c r="CY9" i="21"/>
  <c r="DB8" i="21"/>
  <c r="CQ4" i="21"/>
  <c r="CE54" i="21"/>
  <c r="CV22" i="21"/>
  <c r="CA54" i="21"/>
  <c r="CD28" i="21"/>
  <c r="CT12" i="21"/>
  <c r="CG53" i="21"/>
  <c r="DA14" i="21"/>
  <c r="CI47" i="21"/>
  <c r="BY20" i="21"/>
  <c r="CU49" i="21"/>
  <c r="DC4" i="21"/>
  <c r="CT48" i="21"/>
  <c r="CW24" i="21"/>
  <c r="CB13" i="21"/>
  <c r="DC47" i="21"/>
  <c r="CI55" i="21"/>
  <c r="DB9" i="21"/>
  <c r="CI14" i="21"/>
  <c r="CA20" i="21"/>
  <c r="CG10" i="21"/>
  <c r="DB17" i="21"/>
  <c r="DA54" i="21"/>
  <c r="CV24" i="21"/>
  <c r="CE55" i="21"/>
  <c r="DB22" i="21"/>
  <c r="CA52" i="21"/>
  <c r="CY12" i="21"/>
  <c r="CV16" i="21"/>
  <c r="CJ10" i="21"/>
  <c r="CE28" i="21"/>
  <c r="CQ41" i="21"/>
  <c r="DB6" i="21"/>
  <c r="CC20" i="21"/>
  <c r="BY50" i="21"/>
  <c r="CK44" i="21"/>
  <c r="CW12" i="21"/>
  <c r="CE21" i="21"/>
  <c r="DB14" i="21"/>
  <c r="CC11" i="21"/>
  <c r="CI28" i="21"/>
  <c r="DC16" i="21"/>
  <c r="DC41" i="21"/>
  <c r="CT27" i="21"/>
  <c r="CU10" i="21"/>
  <c r="CT17" i="21"/>
  <c r="CG12" i="21"/>
  <c r="CY44" i="21"/>
  <c r="CY15" i="21"/>
  <c r="DC8" i="21"/>
  <c r="CW10" i="21"/>
  <c r="CC8" i="21"/>
  <c r="CS22" i="21"/>
  <c r="CW28" i="21"/>
  <c r="CG8" i="21"/>
  <c r="CD19" i="21"/>
  <c r="DC42" i="21"/>
  <c r="CA46" i="21"/>
  <c r="CU15" i="21"/>
  <c r="CB48" i="21"/>
  <c r="CB51" i="21"/>
  <c r="CW22" i="21"/>
  <c r="BY33" i="21"/>
  <c r="CU16" i="21"/>
  <c r="CY18" i="21"/>
  <c r="CI9" i="21"/>
  <c r="CI53" i="21"/>
  <c r="CA15" i="21"/>
  <c r="CQ16" i="21"/>
  <c r="CQ12" i="21"/>
  <c r="CU48" i="21"/>
  <c r="CS13" i="21"/>
  <c r="CC43" i="21"/>
  <c r="CE24" i="21"/>
  <c r="CJ20" i="21"/>
  <c r="CA39" i="21"/>
  <c r="CV11" i="21"/>
  <c r="CB4" i="21"/>
  <c r="CT7" i="21"/>
  <c r="CE6" i="21"/>
  <c r="CG16" i="21"/>
  <c r="CJ24" i="21"/>
  <c r="CY42" i="21"/>
  <c r="CG46" i="21"/>
  <c r="CK50" i="21"/>
  <c r="CJ26" i="21"/>
  <c r="CU24" i="21"/>
  <c r="DA45" i="21"/>
  <c r="CI46" i="21"/>
  <c r="CB23" i="21"/>
  <c r="CQ54" i="21"/>
  <c r="CG4" i="21"/>
  <c r="CY47" i="21"/>
  <c r="CI8" i="21"/>
  <c r="BY8" i="21"/>
  <c r="CS54" i="21"/>
  <c r="CG26" i="21"/>
  <c r="CI43" i="21"/>
  <c r="CC22" i="21"/>
  <c r="CT10" i="21"/>
  <c r="CT51" i="21"/>
  <c r="CE13" i="21"/>
  <c r="BY47" i="21"/>
  <c r="CD6" i="21"/>
  <c r="DA12" i="21"/>
  <c r="CD41" i="21"/>
  <c r="CC4" i="21"/>
  <c r="CG48" i="21"/>
  <c r="CV8" i="21"/>
  <c r="CU54" i="21"/>
  <c r="CW44" i="21"/>
  <c r="CI54" i="21"/>
  <c r="CB6" i="21"/>
  <c r="CE18" i="21"/>
  <c r="DB27" i="21"/>
  <c r="CC23" i="21"/>
  <c r="CJ7" i="21"/>
  <c r="CE47" i="21"/>
  <c r="CI17" i="21"/>
  <c r="CE53" i="21"/>
  <c r="CG6" i="21"/>
  <c r="CY7" i="21"/>
  <c r="CU28" i="21"/>
  <c r="DC43" i="21"/>
  <c r="CY27" i="21"/>
  <c r="CY6" i="21"/>
  <c r="CB18" i="21"/>
  <c r="CE52" i="21"/>
  <c r="CC21" i="21"/>
  <c r="CK9" i="21"/>
  <c r="DA52" i="21"/>
  <c r="CQ49" i="21"/>
  <c r="CG7" i="21"/>
  <c r="CG18" i="21"/>
  <c r="CW9" i="21"/>
  <c r="CJ42" i="21"/>
  <c r="CJ53" i="21"/>
  <c r="CA55" i="21"/>
  <c r="CI10" i="21"/>
  <c r="CS47" i="21"/>
  <c r="CY23" i="21"/>
  <c r="CW20" i="21"/>
  <c r="CY4" i="21"/>
  <c r="CD24" i="21"/>
  <c r="CB8" i="21"/>
  <c r="CV41" i="21"/>
  <c r="CV15" i="21"/>
  <c r="CT47" i="21"/>
  <c r="CK49" i="21"/>
  <c r="CB44" i="21"/>
  <c r="CV12" i="21"/>
  <c r="BY21" i="21"/>
  <c r="CY19" i="21"/>
  <c r="CQ7" i="21"/>
  <c r="CA41" i="21"/>
  <c r="CG47" i="21"/>
  <c r="CV7" i="21"/>
  <c r="CG9" i="21"/>
  <c r="CE15" i="21"/>
  <c r="CD13" i="21"/>
  <c r="CQ44" i="21"/>
  <c r="CE49" i="21"/>
  <c r="CV54" i="21"/>
  <c r="CB40" i="21"/>
  <c r="CK55" i="21"/>
  <c r="CB54" i="21"/>
  <c r="CJ13" i="21"/>
  <c r="CW18" i="21"/>
  <c r="CI26" i="21"/>
  <c r="CA44" i="21"/>
  <c r="CC48" i="21"/>
  <c r="BY14" i="21"/>
  <c r="CJ22" i="21"/>
  <c r="CK4" i="21"/>
  <c r="CC54" i="21"/>
  <c r="CI12" i="21"/>
  <c r="CV27" i="21"/>
  <c r="CE10" i="21"/>
  <c r="CY13" i="21"/>
  <c r="CC16" i="21"/>
  <c r="DC9" i="21"/>
  <c r="CV53" i="21"/>
  <c r="DC17" i="21"/>
  <c r="DA28" i="21"/>
  <c r="CD11" i="21"/>
  <c r="CS52" i="21"/>
  <c r="CW26" i="21"/>
  <c r="BY55" i="21"/>
  <c r="CY54" i="21"/>
  <c r="CJ50" i="21"/>
  <c r="CA22" i="21"/>
  <c r="CY26" i="21"/>
  <c r="BY51" i="21"/>
  <c r="DB55" i="21"/>
  <c r="CB42" i="21"/>
  <c r="CD21" i="21"/>
  <c r="CS10" i="21"/>
  <c r="CC6" i="21"/>
  <c r="BY4" i="21"/>
  <c r="DB12" i="21"/>
  <c r="CQ18" i="21"/>
  <c r="CK17" i="21"/>
  <c r="CE8" i="21"/>
  <c r="CY11" i="21"/>
  <c r="CD20" i="21"/>
  <c r="CB55" i="21"/>
  <c r="DA10" i="21"/>
  <c r="CC53" i="21"/>
  <c r="CU52" i="21"/>
  <c r="CC19" i="21"/>
  <c r="CY45" i="21"/>
  <c r="CJ47" i="21"/>
  <c r="CQ10" i="21"/>
  <c r="CW27" i="21"/>
  <c r="DC6" i="21"/>
  <c r="CG11" i="21"/>
  <c r="CW23" i="21"/>
  <c r="CQ22" i="21"/>
  <c r="CT20" i="21"/>
  <c r="CJ4" i="21"/>
  <c r="CD55" i="21"/>
  <c r="CG15" i="21"/>
  <c r="CK28" i="21"/>
  <c r="CW47" i="21"/>
  <c r="DB7" i="21"/>
  <c r="CK19" i="21"/>
  <c r="DA15" i="21"/>
  <c r="DC14" i="21"/>
  <c r="DC44" i="21"/>
  <c r="CY24" i="21"/>
  <c r="DA6" i="21"/>
  <c r="CJ52" i="21"/>
  <c r="CD14" i="21"/>
  <c r="CB15" i="21"/>
  <c r="DB11" i="21"/>
  <c r="CT53" i="21"/>
  <c r="DC26" i="21"/>
  <c r="CC14" i="21"/>
  <c r="CS53" i="21"/>
  <c r="DB46" i="21"/>
  <c r="CG24" i="21"/>
  <c r="CS16" i="21"/>
  <c r="CY48" i="21"/>
  <c r="CG54" i="21"/>
  <c r="CQ53" i="21"/>
  <c r="CW46" i="21"/>
  <c r="DA50" i="21"/>
  <c r="CB14" i="21"/>
  <c r="CE46" i="21"/>
  <c r="CW43" i="21"/>
  <c r="CK52" i="21"/>
  <c r="CE16" i="21"/>
  <c r="CE22" i="21"/>
  <c r="CC47" i="21"/>
  <c r="CU12" i="21"/>
  <c r="DA9" i="21"/>
  <c r="BY46" i="21"/>
  <c r="CK53" i="21"/>
  <c r="DC52" i="21"/>
  <c r="BY31" i="21"/>
  <c r="CD54" i="21"/>
  <c r="CT52" i="21"/>
  <c r="DC48" i="21"/>
  <c r="CW53" i="21"/>
  <c r="CT45" i="21"/>
  <c r="CA24" i="21"/>
  <c r="CK23" i="21"/>
  <c r="CU46" i="21"/>
  <c r="CI40" i="21"/>
  <c r="CT16" i="21"/>
  <c r="CC17" i="21"/>
  <c r="CW15" i="21"/>
  <c r="CE48" i="21"/>
  <c r="DB28" i="21"/>
  <c r="DC54" i="21"/>
  <c r="CS44" i="21"/>
  <c r="CK26" i="21"/>
  <c r="CU17" i="21"/>
  <c r="CD8" i="21"/>
  <c r="CG19" i="21"/>
  <c r="CS23" i="21"/>
  <c r="CQ47" i="21"/>
  <c r="CK21" i="21"/>
  <c r="CJ43" i="21"/>
  <c r="CB11" i="21"/>
  <c r="CY20" i="21"/>
  <c r="CA31" i="21"/>
  <c r="CS12" i="21"/>
  <c r="CS15" i="21"/>
  <c r="CS26" i="21"/>
  <c r="DB15" i="21"/>
  <c r="CU47" i="21"/>
  <c r="CU18" i="21"/>
  <c r="CS42" i="21"/>
  <c r="CJ15" i="21"/>
  <c r="CC52" i="21"/>
  <c r="CV28" i="21"/>
  <c r="CG20" i="21"/>
  <c r="CQ24" i="21"/>
  <c r="CW51" i="21"/>
  <c r="CY22" i="21"/>
  <c r="CK8" i="21"/>
  <c r="CS28" i="21"/>
  <c r="CS46" i="21"/>
  <c r="CG50" i="21"/>
  <c r="CC10" i="21"/>
  <c r="DC7" i="21"/>
  <c r="CC55" i="21"/>
  <c r="CC46" i="21"/>
  <c r="CG22" i="21"/>
  <c r="CG44" i="21"/>
  <c r="CJ12" i="21"/>
  <c r="DC55" i="21"/>
  <c r="CS55" i="21"/>
  <c r="DB13" i="21"/>
  <c r="BY12" i="21"/>
  <c r="CV21" i="21"/>
  <c r="CA17" i="21"/>
  <c r="DA22" i="21"/>
  <c r="CS20" i="21"/>
  <c r="CI7" i="21"/>
  <c r="CT13" i="21"/>
  <c r="DB18" i="21"/>
  <c r="DC49" i="21"/>
  <c r="CQ15" i="21"/>
  <c r="CE44" i="21"/>
  <c r="CA49" i="21"/>
  <c r="CW11" i="21"/>
  <c r="CU41" i="21"/>
  <c r="CC51" i="21"/>
  <c r="CC18" i="21"/>
  <c r="CS7" i="21"/>
  <c r="CD52" i="21"/>
  <c r="CA45" i="21"/>
  <c r="CV17" i="21"/>
  <c r="CA28" i="21"/>
  <c r="DA55" i="21"/>
  <c r="BY24" i="21"/>
  <c r="DC12" i="21"/>
  <c r="BY43" i="21"/>
  <c r="CW14" i="21"/>
  <c r="CD26" i="21"/>
  <c r="CQ45" i="21"/>
  <c r="CW7" i="21"/>
  <c r="DA13" i="21"/>
  <c r="CJ48" i="21"/>
  <c r="CV47" i="21"/>
  <c r="CU53" i="21"/>
  <c r="CT15" i="21"/>
  <c r="CE41" i="21"/>
  <c r="CI22" i="21"/>
  <c r="CT46" i="21"/>
  <c r="CV19" i="21"/>
  <c r="CJ28" i="21"/>
  <c r="CE17" i="21"/>
  <c r="CE51" i="21"/>
  <c r="CB28" i="21"/>
  <c r="DC23" i="21"/>
  <c r="CU9" i="21"/>
  <c r="CE11" i="21"/>
  <c r="DA16" i="21"/>
  <c r="CQ19" i="21"/>
  <c r="CV6" i="21"/>
  <c r="CQ55" i="21"/>
  <c r="BY15" i="21"/>
  <c r="CS43" i="21"/>
  <c r="CT23" i="21"/>
  <c r="CQ27" i="21"/>
  <c r="CE26" i="21"/>
  <c r="CV20" i="21"/>
  <c r="CA50" i="21"/>
  <c r="CA43" i="21"/>
  <c r="CK10" i="21"/>
  <c r="CE43" i="21"/>
  <c r="CC9" i="21"/>
  <c r="CB26" i="21"/>
  <c r="DA8" i="21"/>
  <c r="CA13" i="21"/>
  <c r="DB23" i="21"/>
  <c r="CI16" i="21"/>
  <c r="CI23" i="21"/>
  <c r="CC40" i="21"/>
  <c r="CK15" i="21"/>
  <c r="CG52" i="21"/>
  <c r="CV14" i="21"/>
  <c r="BY11" i="21"/>
  <c r="CS6" i="21"/>
  <c r="CS18" i="21"/>
  <c r="CQ43" i="21"/>
  <c r="CE23" i="21"/>
  <c r="CD18" i="21"/>
  <c r="CK24" i="21"/>
  <c r="CS8" i="21"/>
  <c r="CS21" i="21"/>
  <c r="CA26" i="21"/>
  <c r="CQ17" i="21"/>
  <c r="CI24" i="21"/>
  <c r="CB21" i="21"/>
  <c r="CW21" i="21"/>
  <c r="CW52" i="21"/>
  <c r="DA51" i="21"/>
  <c r="CA9" i="21"/>
  <c r="DC19" i="21"/>
  <c r="CA29" i="21"/>
  <c r="CW19" i="21"/>
  <c r="CB7" i="21"/>
  <c r="DB48" i="21"/>
  <c r="CK46" i="21"/>
  <c r="CK51" i="21"/>
  <c r="CK13" i="21"/>
  <c r="CY55" i="21"/>
  <c r="DB44" i="21"/>
  <c r="CQ28" i="21"/>
  <c r="DB49" i="21"/>
  <c r="CS27" i="21"/>
  <c r="CQ51" i="21"/>
  <c r="CK11" i="21"/>
  <c r="CA19" i="21"/>
  <c r="CB10" i="21"/>
  <c r="CU11" i="21"/>
  <c r="CW17" i="21"/>
  <c r="CJ44" i="21"/>
  <c r="CU7" i="21"/>
  <c r="CQ13" i="21"/>
  <c r="CJ18" i="21"/>
  <c r="CE7" i="21"/>
  <c r="BY48" i="21"/>
  <c r="CD40" i="21"/>
  <c r="DB54" i="21"/>
  <c r="CA38" i="21"/>
  <c r="CE50" i="21"/>
  <c r="CG43" i="21"/>
  <c r="CK47" i="21"/>
  <c r="CA40" i="21"/>
  <c r="DC28" i="21"/>
  <c r="CY41" i="21"/>
  <c r="CJ19" i="21"/>
  <c r="CV55" i="21"/>
  <c r="CU21" i="21"/>
  <c r="CJ9" i="21"/>
  <c r="CA6" i="21"/>
  <c r="DB4" i="21"/>
  <c r="DC21" i="21"/>
  <c r="CA48" i="21"/>
  <c r="CT54" i="21"/>
  <c r="CD47" i="21"/>
  <c r="CJ54" i="21"/>
  <c r="CT22" i="21"/>
  <c r="BY6" i="21"/>
  <c r="CY17" i="21"/>
  <c r="CV43" i="21"/>
  <c r="CC44" i="21"/>
  <c r="CW6" i="21"/>
  <c r="CC26" i="21"/>
  <c r="DC53" i="21"/>
  <c r="CC24" i="21"/>
  <c r="CQ8" i="21"/>
  <c r="CE9" i="21"/>
  <c r="BY19" i="21"/>
  <c r="DA42" i="21"/>
  <c r="CY51" i="21"/>
  <c r="CB20" i="21"/>
  <c r="BY41" i="21"/>
  <c r="CD51" i="21"/>
  <c r="CG21" i="21"/>
  <c r="CG23" i="21"/>
  <c r="DA4" i="21"/>
  <c r="CB52" i="21"/>
  <c r="CI11" i="21"/>
  <c r="DB16" i="21"/>
  <c r="DA7" i="21"/>
  <c r="CD46" i="21"/>
  <c r="CW49" i="21"/>
  <c r="CS9" i="21"/>
  <c r="CE14" i="21"/>
  <c r="CA7" i="21"/>
  <c r="CD9" i="21"/>
  <c r="CU6" i="21"/>
  <c r="CC49" i="21"/>
  <c r="CB9" i="21"/>
  <c r="CI48" i="21"/>
  <c r="CS48" i="21"/>
  <c r="CA53" i="21"/>
  <c r="BY13" i="21"/>
  <c r="CS4" i="21"/>
  <c r="CS24" i="21"/>
  <c r="DB50" i="21"/>
  <c r="CI52" i="21"/>
  <c r="CI42" i="21"/>
  <c r="BY52" i="21"/>
  <c r="CV45" i="21"/>
  <c r="CJ17" i="21"/>
  <c r="CD10" i="21"/>
  <c r="CK42" i="21"/>
  <c r="CB12" i="21"/>
  <c r="CS49" i="21"/>
  <c r="CT26" i="21"/>
  <c r="CJ8" i="21"/>
  <c r="CQ9" i="21"/>
  <c r="CV49" i="21"/>
  <c r="BY16" i="21"/>
  <c r="CG41" i="21"/>
  <c r="CT42" i="21"/>
  <c r="CJ40" i="21"/>
  <c r="DA26" i="21"/>
  <c r="BY53" i="21"/>
  <c r="CD23" i="21"/>
  <c r="CK54" i="21"/>
  <c r="DC27" i="21"/>
  <c r="CI50" i="21"/>
  <c r="CT55" i="21"/>
  <c r="DC22" i="21"/>
  <c r="CU44" i="21"/>
  <c r="CD12" i="21"/>
  <c r="CC50" i="21"/>
  <c r="CU23" i="21"/>
  <c r="CV26" i="21"/>
  <c r="CA51" i="21"/>
  <c r="DC11" i="21"/>
  <c r="CG28" i="21"/>
  <c r="CK22" i="21"/>
  <c r="CG49" i="21"/>
  <c r="CB22" i="21"/>
  <c r="DB10" i="21"/>
  <c r="CS14" i="21"/>
  <c r="CA4" i="21"/>
  <c r="CU19" i="21"/>
  <c r="CQ26" i="21"/>
  <c r="CY46" i="21"/>
  <c r="CE40" i="21"/>
  <c r="CV9" i="21"/>
  <c r="CD42" i="21"/>
  <c r="DA19" i="21"/>
  <c r="CI18" i="21"/>
  <c r="DA41" i="21"/>
  <c r="CU14" i="21"/>
  <c r="DA48" i="21"/>
  <c r="CK40" i="21"/>
  <c r="DB41" i="21"/>
  <c r="CD43" i="21"/>
  <c r="DA24" i="21"/>
  <c r="CK48" i="21"/>
  <c r="CB19" i="21"/>
  <c r="CB16" i="21"/>
  <c r="BY28" i="21"/>
  <c r="CT21" i="21"/>
  <c r="DA18" i="21"/>
  <c r="DB53" i="21"/>
  <c r="CA33" i="21"/>
  <c r="CV18" i="21"/>
  <c r="CB53" i="21"/>
  <c r="CV46" i="21"/>
  <c r="CJ14" i="21"/>
  <c r="CQ11" i="21"/>
  <c r="CJ16" i="21"/>
  <c r="CJ41" i="21"/>
  <c r="CD53" i="21"/>
  <c r="DB51" i="21"/>
  <c r="CK16" i="21"/>
  <c r="DB24" i="21"/>
  <c r="CT4" i="21"/>
  <c r="CC7" i="21"/>
  <c r="CI13" i="21"/>
  <c r="CY43" i="21"/>
  <c r="CJ46" i="21"/>
  <c r="DC45" i="21"/>
  <c r="CK14" i="21"/>
  <c r="CT43" i="21"/>
  <c r="CB49" i="21"/>
  <c r="CQ23" i="21"/>
  <c r="DA17" i="21"/>
  <c r="CG14" i="21"/>
  <c r="CU4" i="21"/>
  <c r="BY18" i="21"/>
  <c r="BY10" i="21"/>
  <c r="CD50" i="21"/>
  <c r="DB47" i="21"/>
  <c r="DA49" i="21"/>
  <c r="CK6" i="21"/>
  <c r="CG42" i="21"/>
  <c r="DB43" i="21"/>
  <c r="CT50" i="21"/>
  <c r="CW8" i="21"/>
  <c r="CE42" i="21"/>
  <c r="CD22" i="21"/>
  <c r="CU43" i="21"/>
  <c r="CD7" i="21"/>
  <c r="DA53" i="21"/>
  <c r="BY49" i="21"/>
  <c r="CA12" i="21"/>
  <c r="CC12" i="21"/>
  <c r="DC46" i="21"/>
  <c r="CV51" i="21"/>
  <c r="BY26" i="21"/>
  <c r="DB19" i="21"/>
  <c r="DC10" i="21"/>
  <c r="CA10" i="21"/>
  <c r="CQ52" i="21"/>
  <c r="CB43" i="21"/>
  <c r="CK20" i="21"/>
  <c r="CA16" i="21"/>
  <c r="CQ46" i="21"/>
  <c r="CI21" i="21"/>
  <c r="CJ49" i="21"/>
  <c r="CT44" i="21"/>
  <c r="CU26" i="21"/>
  <c r="DA44" i="21"/>
  <c r="CD49" i="21"/>
  <c r="CU8" i="21"/>
  <c r="CY8" i="21"/>
  <c r="CQ21" i="21"/>
  <c r="DA21" i="21"/>
  <c r="CV13" i="21"/>
  <c r="CY53" i="21"/>
  <c r="CD15" i="21"/>
  <c r="CS17" i="21"/>
  <c r="DC51" i="21"/>
  <c r="CE4" i="21"/>
  <c r="CS50" i="21"/>
  <c r="CQ48" i="21"/>
  <c r="CK7" i="21"/>
  <c r="DB52" i="21"/>
  <c r="DA43" i="21"/>
  <c r="CU13" i="21"/>
  <c r="CT18" i="21"/>
  <c r="CW50" i="21"/>
  <c r="CY50" i="21"/>
  <c r="BY17" i="21"/>
  <c r="CC28" i="21"/>
  <c r="CV52" i="21"/>
  <c r="CV48" i="21"/>
  <c r="CW55" i="21"/>
  <c r="CE19" i="21"/>
  <c r="CI51" i="21"/>
  <c r="CY16" i="21"/>
  <c r="CD16" i="21"/>
  <c r="DC13" i="21"/>
  <c r="CT19" i="21"/>
  <c r="DC50" i="21"/>
  <c r="DA47" i="21"/>
  <c r="BY9" i="21"/>
  <c r="CA23" i="21"/>
  <c r="CJ6" i="21"/>
  <c r="CV23" i="21"/>
  <c r="CJ51" i="21"/>
  <c r="CI20" i="21"/>
  <c r="DA23" i="21"/>
  <c r="CU55" i="21"/>
  <c r="CC41" i="21"/>
  <c r="CV10" i="21"/>
  <c r="CK43" i="21"/>
  <c r="CW48" i="21"/>
  <c r="CU22" i="21"/>
  <c r="DC24" i="21"/>
  <c r="CW16" i="21"/>
  <c r="CB17" i="21"/>
  <c r="CJ55" i="21"/>
  <c r="CA8" i="21"/>
  <c r="CV42" i="21"/>
  <c r="CW54" i="21"/>
  <c r="CU51" i="21"/>
  <c r="CT28" i="21"/>
  <c r="CS41" i="21"/>
  <c r="DA27" i="21"/>
  <c r="CI4" i="21"/>
  <c r="CA18" i="21"/>
  <c r="CT9" i="21"/>
  <c r="CY49" i="21"/>
  <c r="CW45" i="21"/>
  <c r="CY14" i="21"/>
  <c r="DA46" i="21"/>
  <c r="CE12" i="21"/>
  <c r="CG40" i="21"/>
  <c r="CD17" i="21"/>
  <c r="CI49" i="21"/>
  <c r="DA20" i="21"/>
  <c r="AI19" i="24" l="1"/>
  <c r="Q48" i="24"/>
  <c r="L16" i="24"/>
  <c r="O39" i="24"/>
  <c r="M11" i="24"/>
  <c r="AI45" i="24"/>
  <c r="AG13" i="24"/>
  <c r="AE44" i="24"/>
  <c r="AG48" i="24"/>
  <c r="AB8" i="24"/>
  <c r="I17" i="24"/>
  <c r="CI56" i="21"/>
  <c r="Q3" i="24"/>
  <c r="AI26" i="24"/>
  <c r="AA40" i="24"/>
  <c r="AB27" i="24"/>
  <c r="AC50" i="24"/>
  <c r="AE53" i="24"/>
  <c r="AD41" i="24"/>
  <c r="I7" i="24"/>
  <c r="R54" i="24"/>
  <c r="J16" i="24"/>
  <c r="AE15" i="24"/>
  <c r="AK23" i="24"/>
  <c r="AC21" i="24"/>
  <c r="AE47" i="24"/>
  <c r="S42" i="24"/>
  <c r="AD9" i="24"/>
  <c r="K40" i="24"/>
  <c r="AC54" i="24"/>
  <c r="AI22" i="24"/>
  <c r="Q19" i="24"/>
  <c r="R50" i="24"/>
  <c r="AD22" i="24"/>
  <c r="R5" i="24"/>
  <c r="CL23" i="21"/>
  <c r="I22" i="24"/>
  <c r="G8" i="24"/>
  <c r="CO9" i="21"/>
  <c r="W8" i="24" s="1"/>
  <c r="CL9" i="21"/>
  <c r="AI46" i="24"/>
  <c r="AK49" i="24"/>
  <c r="AB18" i="24"/>
  <c r="AK12" i="24"/>
  <c r="L15" i="24"/>
  <c r="AG15" i="24"/>
  <c r="Q50" i="24"/>
  <c r="M18" i="24"/>
  <c r="AE54" i="24"/>
  <c r="AD47" i="24"/>
  <c r="AD51" i="24"/>
  <c r="K27" i="24"/>
  <c r="CO17" i="21"/>
  <c r="W16" i="24" s="1"/>
  <c r="G16" i="24"/>
  <c r="CL17" i="21"/>
  <c r="AG49" i="24"/>
  <c r="AE49" i="24"/>
  <c r="AB17" i="24"/>
  <c r="AC12" i="24"/>
  <c r="AI42" i="24"/>
  <c r="AJ51" i="24"/>
  <c r="S6" i="24"/>
  <c r="DD48" i="21"/>
  <c r="Y47" i="24"/>
  <c r="AA49" i="24"/>
  <c r="M3" i="24"/>
  <c r="CE56" i="21"/>
  <c r="AK50" i="24"/>
  <c r="AA16" i="24"/>
  <c r="L14" i="24"/>
  <c r="AG52" i="24"/>
  <c r="AD12" i="24"/>
  <c r="AI20" i="24"/>
  <c r="DD21" i="21"/>
  <c r="Y20" i="24"/>
  <c r="AG7" i="24"/>
  <c r="AC7" i="24"/>
  <c r="L48" i="24"/>
  <c r="AI43" i="24"/>
  <c r="AC25" i="24"/>
  <c r="AB43" i="24"/>
  <c r="R48" i="24"/>
  <c r="Q20" i="24"/>
  <c r="Y45" i="24"/>
  <c r="DD46" i="21"/>
  <c r="I15" i="24"/>
  <c r="S19" i="24"/>
  <c r="J42" i="24"/>
  <c r="DD52" i="21"/>
  <c r="Y51" i="24"/>
  <c r="I9" i="24"/>
  <c r="AK9" i="24"/>
  <c r="AJ18" i="24"/>
  <c r="CL26" i="21"/>
  <c r="CO26" i="21"/>
  <c r="W25" i="24" s="1"/>
  <c r="G25" i="24"/>
  <c r="AD50" i="24"/>
  <c r="AK45" i="24"/>
  <c r="K11" i="24"/>
  <c r="I11" i="24"/>
  <c r="G48" i="24"/>
  <c r="CL49" i="21"/>
  <c r="CO49" i="21"/>
  <c r="W48" i="24" s="1"/>
  <c r="AI52" i="24"/>
  <c r="L6" i="24"/>
  <c r="AC42" i="24"/>
  <c r="L21" i="24"/>
  <c r="M41" i="24"/>
  <c r="AE7" i="24"/>
  <c r="AB49" i="24"/>
  <c r="AJ42" i="24"/>
  <c r="O41" i="24"/>
  <c r="S5" i="24"/>
  <c r="AI48" i="24"/>
  <c r="AJ46" i="24"/>
  <c r="L49" i="24"/>
  <c r="CO10" i="21"/>
  <c r="W9" i="24" s="1"/>
  <c r="G9" i="24"/>
  <c r="CL10" i="21"/>
  <c r="CO18" i="21"/>
  <c r="W17" i="24" s="1"/>
  <c r="CL18" i="21"/>
  <c r="G17" i="24"/>
  <c r="CU56" i="21"/>
  <c r="AC3" i="24"/>
  <c r="O13" i="24"/>
  <c r="AI16" i="24"/>
  <c r="Y22" i="24"/>
  <c r="DD23" i="21"/>
  <c r="J48" i="24"/>
  <c r="AB42" i="24"/>
  <c r="S13" i="24"/>
  <c r="AK44" i="24"/>
  <c r="R45" i="24"/>
  <c r="AG42" i="24"/>
  <c r="Q12" i="24"/>
  <c r="K6" i="24"/>
  <c r="CT56" i="21"/>
  <c r="AB3" i="24"/>
  <c r="AJ23" i="24"/>
  <c r="S15" i="24"/>
  <c r="AJ50" i="24"/>
  <c r="L52" i="24"/>
  <c r="R40" i="24"/>
  <c r="R15" i="24"/>
  <c r="DD11" i="21"/>
  <c r="Y10" i="24"/>
  <c r="R13" i="24"/>
  <c r="AD45" i="24"/>
  <c r="J52" i="24"/>
  <c r="AD17" i="24"/>
  <c r="I32" i="24"/>
  <c r="AJ52" i="24"/>
  <c r="AI17" i="24"/>
  <c r="AB20" i="24"/>
  <c r="CO28" i="21"/>
  <c r="W27" i="24" s="1"/>
  <c r="G27" i="24"/>
  <c r="CL28" i="21"/>
  <c r="J15" i="24"/>
  <c r="J18" i="24"/>
  <c r="S47" i="24"/>
  <c r="AI23" i="24"/>
  <c r="L42" i="24"/>
  <c r="AJ40" i="24"/>
  <c r="S39" i="24"/>
  <c r="AI47" i="24"/>
  <c r="AC13" i="24"/>
  <c r="AI40" i="24"/>
  <c r="Q17" i="24"/>
  <c r="AI18" i="24"/>
  <c r="L41" i="24"/>
  <c r="AD8" i="24"/>
  <c r="M39" i="24"/>
  <c r="AG45" i="24"/>
  <c r="Y25" i="24"/>
  <c r="DD26" i="21"/>
  <c r="AC18" i="24"/>
  <c r="I3" i="24"/>
  <c r="CA56" i="21"/>
  <c r="AA13" i="24"/>
  <c r="AJ9" i="24"/>
  <c r="J21" i="24"/>
  <c r="O48" i="24"/>
  <c r="S21" i="24"/>
  <c r="O27" i="24"/>
  <c r="AK10" i="24"/>
  <c r="I50" i="24"/>
  <c r="AD25" i="24"/>
  <c r="AC22" i="24"/>
  <c r="K49" i="24"/>
  <c r="L11" i="24"/>
  <c r="AC43" i="24"/>
  <c r="AK21" i="24"/>
  <c r="AB54" i="24"/>
  <c r="Q49" i="24"/>
  <c r="AK26" i="24"/>
  <c r="S53" i="24"/>
  <c r="L22" i="24"/>
  <c r="CO53" i="21"/>
  <c r="W52" i="24" s="1"/>
  <c r="G52" i="24"/>
  <c r="CL53" i="21"/>
  <c r="AI25" i="24"/>
  <c r="R39" i="24"/>
  <c r="AB41" i="24"/>
  <c r="O40" i="24"/>
  <c r="CO16" i="21"/>
  <c r="W15" i="24" s="1"/>
  <c r="CL16" i="21"/>
  <c r="G15" i="24"/>
  <c r="AD48" i="24"/>
  <c r="DD9" i="21"/>
  <c r="Y8" i="24"/>
  <c r="R7" i="24"/>
  <c r="AB25" i="24"/>
  <c r="AA48" i="24"/>
  <c r="J11" i="24"/>
  <c r="S41" i="24"/>
  <c r="L9" i="24"/>
  <c r="R16" i="24"/>
  <c r="AD44" i="24"/>
  <c r="CO52" i="21"/>
  <c r="W51" i="24" s="1"/>
  <c r="CL52" i="21"/>
  <c r="G51" i="24"/>
  <c r="Q41" i="24"/>
  <c r="Q51" i="24"/>
  <c r="AJ49" i="24"/>
  <c r="AA23" i="24"/>
  <c r="CS56" i="21"/>
  <c r="AA3" i="24"/>
  <c r="CO13" i="21"/>
  <c r="W12" i="24" s="1"/>
  <c r="CL13" i="21"/>
  <c r="G12" i="24"/>
  <c r="I52" i="24"/>
  <c r="AA47" i="24"/>
  <c r="Q47" i="24"/>
  <c r="J8" i="24"/>
  <c r="K48" i="24"/>
  <c r="AC5" i="24"/>
  <c r="L8" i="24"/>
  <c r="I6" i="24"/>
  <c r="M13" i="24"/>
  <c r="AA8" i="24"/>
  <c r="AE48" i="24"/>
  <c r="L45" i="24"/>
  <c r="AI6" i="24"/>
  <c r="AJ15" i="24"/>
  <c r="Q10" i="24"/>
  <c r="J51" i="24"/>
  <c r="DA56" i="21"/>
  <c r="AI3" i="24"/>
  <c r="O22" i="24"/>
  <c r="O20" i="24"/>
  <c r="L50" i="24"/>
  <c r="CL41" i="21"/>
  <c r="G40" i="24"/>
  <c r="CO41" i="21"/>
  <c r="W40" i="24" s="1"/>
  <c r="J19" i="24"/>
  <c r="AG50" i="24"/>
  <c r="AI41" i="24"/>
  <c r="CL19" i="21"/>
  <c r="CO19" i="21"/>
  <c r="W18" i="24" s="1"/>
  <c r="G18" i="24"/>
  <c r="M8" i="24"/>
  <c r="DD8" i="21"/>
  <c r="Y7" i="24"/>
  <c r="K23" i="24"/>
  <c r="AK52" i="24"/>
  <c r="K25" i="24"/>
  <c r="AE5" i="24"/>
  <c r="K43" i="24"/>
  <c r="AD42" i="24"/>
  <c r="AG16" i="24"/>
  <c r="CO6" i="21"/>
  <c r="W5" i="24" s="1"/>
  <c r="CL6" i="21"/>
  <c r="G5" i="24"/>
  <c r="AB21" i="24"/>
  <c r="R53" i="24"/>
  <c r="L46" i="24"/>
  <c r="AB53" i="24"/>
  <c r="I47" i="24"/>
  <c r="AK20" i="24"/>
  <c r="DB56" i="21"/>
  <c r="AJ3" i="24"/>
  <c r="I5" i="24"/>
  <c r="R8" i="24"/>
  <c r="AC20" i="24"/>
  <c r="AD54" i="24"/>
  <c r="R18" i="24"/>
  <c r="AG40" i="24"/>
  <c r="AK27" i="24"/>
  <c r="I39" i="24"/>
  <c r="S46" i="24"/>
  <c r="O42" i="24"/>
  <c r="M49" i="24"/>
  <c r="CL38" i="21"/>
  <c r="I37" i="24"/>
  <c r="T37" i="24" s="1"/>
  <c r="AJ53" i="24"/>
  <c r="L39" i="24"/>
  <c r="CO48" i="21"/>
  <c r="W47" i="24" s="1"/>
  <c r="G47" i="24"/>
  <c r="CL48" i="21"/>
  <c r="M6" i="24"/>
  <c r="R17" i="24"/>
  <c r="Y12" i="24"/>
  <c r="DD13" i="21"/>
  <c r="AC6" i="24"/>
  <c r="R43" i="24"/>
  <c r="AE16" i="24"/>
  <c r="AC10" i="24"/>
  <c r="J9" i="24"/>
  <c r="I18" i="24"/>
  <c r="S10" i="24"/>
  <c r="Y50" i="24"/>
  <c r="DD51" i="21"/>
  <c r="AA26" i="24"/>
  <c r="AJ48" i="24"/>
  <c r="Y27" i="24"/>
  <c r="DD28" i="21"/>
  <c r="AJ43" i="24"/>
  <c r="AG54" i="24"/>
  <c r="S12" i="24"/>
  <c r="S50" i="24"/>
  <c r="S45" i="24"/>
  <c r="AJ47" i="24"/>
  <c r="J6" i="24"/>
  <c r="AE18" i="24"/>
  <c r="CL29" i="21"/>
  <c r="I28" i="24"/>
  <c r="T28" i="24" s="1"/>
  <c r="AK18" i="24"/>
  <c r="I8" i="24"/>
  <c r="AI50" i="24"/>
  <c r="AE51" i="24"/>
  <c r="AE20" i="24"/>
  <c r="J20" i="24"/>
  <c r="Q23" i="24"/>
  <c r="Y16" i="24"/>
  <c r="DD17" i="21"/>
  <c r="I25" i="24"/>
  <c r="AA20" i="24"/>
  <c r="AA7" i="24"/>
  <c r="S23" i="24"/>
  <c r="L17" i="24"/>
  <c r="M22" i="24"/>
  <c r="Y42" i="24"/>
  <c r="DD43" i="21"/>
  <c r="AA17" i="24"/>
  <c r="AA5" i="24"/>
  <c r="CL11" i="21"/>
  <c r="CO11" i="21"/>
  <c r="W10" i="24" s="1"/>
  <c r="G10" i="24"/>
  <c r="AD13" i="24"/>
  <c r="O51" i="24"/>
  <c r="S14" i="24"/>
  <c r="K39" i="24"/>
  <c r="Q22" i="24"/>
  <c r="Q15" i="24"/>
  <c r="AJ22" i="24"/>
  <c r="I12" i="24"/>
  <c r="AI7" i="24"/>
  <c r="J25" i="24"/>
  <c r="K8" i="24"/>
  <c r="M42" i="24"/>
  <c r="S9" i="24"/>
  <c r="I42" i="24"/>
  <c r="I49" i="24"/>
  <c r="AD19" i="24"/>
  <c r="M25" i="24"/>
  <c r="Y26" i="24"/>
  <c r="DD27" i="21"/>
  <c r="AB22" i="24"/>
  <c r="AA42" i="24"/>
  <c r="CO15" i="21"/>
  <c r="W14" i="24" s="1"/>
  <c r="CL15" i="21"/>
  <c r="G14" i="24"/>
  <c r="Y54" i="24"/>
  <c r="DD55" i="21"/>
  <c r="AD5" i="24"/>
  <c r="Y18" i="24"/>
  <c r="DD19" i="21"/>
  <c r="AI15" i="24"/>
  <c r="M10" i="24"/>
  <c r="AC8" i="24"/>
  <c r="AK22" i="24"/>
  <c r="J27" i="24"/>
  <c r="M50" i="24"/>
  <c r="M16" i="24"/>
  <c r="R27" i="24"/>
  <c r="AD18" i="24"/>
  <c r="AB45" i="24"/>
  <c r="Q21" i="24"/>
  <c r="M40" i="24"/>
  <c r="AB14" i="24"/>
  <c r="AC52" i="24"/>
  <c r="AD46" i="24"/>
  <c r="R47" i="24"/>
  <c r="AI12" i="24"/>
  <c r="AE6" i="24"/>
  <c r="Y44" i="24"/>
  <c r="DD45" i="21"/>
  <c r="L25" i="24"/>
  <c r="AE13" i="24"/>
  <c r="G42" i="24"/>
  <c r="T42" i="24" s="1"/>
  <c r="CO43" i="21"/>
  <c r="W42" i="24" s="1"/>
  <c r="CL43" i="21"/>
  <c r="AK11" i="24"/>
  <c r="CL24" i="21"/>
  <c r="G23" i="24"/>
  <c r="CO24" i="21"/>
  <c r="W23" i="24" s="1"/>
  <c r="AI54" i="24"/>
  <c r="I27" i="24"/>
  <c r="AD16" i="24"/>
  <c r="I44" i="24"/>
  <c r="T44" i="24" s="1"/>
  <c r="CL45" i="21"/>
  <c r="L51" i="24"/>
  <c r="AA6" i="24"/>
  <c r="K17" i="24"/>
  <c r="K50" i="24"/>
  <c r="AC40" i="24"/>
  <c r="AE10" i="24"/>
  <c r="I48" i="24"/>
  <c r="M43" i="24"/>
  <c r="DD15" i="21"/>
  <c r="Y14" i="24"/>
  <c r="AK48" i="24"/>
  <c r="AJ17" i="24"/>
  <c r="AB12" i="24"/>
  <c r="Q6" i="24"/>
  <c r="AA19" i="24"/>
  <c r="AI21" i="24"/>
  <c r="I16" i="24"/>
  <c r="AD20" i="24"/>
  <c r="CO12" i="21"/>
  <c r="W11" i="24" s="1"/>
  <c r="G11" i="24"/>
  <c r="CL12" i="21"/>
  <c r="AJ12" i="24"/>
  <c r="AA54" i="24"/>
  <c r="AK54" i="24"/>
  <c r="R11" i="24"/>
  <c r="O43" i="24"/>
  <c r="O21" i="24"/>
  <c r="K45" i="24"/>
  <c r="K54" i="24"/>
  <c r="AK6" i="24"/>
  <c r="K9" i="24"/>
  <c r="O49" i="24"/>
  <c r="AA45" i="24"/>
  <c r="AA27" i="24"/>
  <c r="S7" i="24"/>
  <c r="AG21" i="24"/>
  <c r="AE50" i="24"/>
  <c r="DD24" i="21"/>
  <c r="Y23" i="24"/>
  <c r="O19" i="24"/>
  <c r="AD27" i="24"/>
  <c r="K51" i="24"/>
  <c r="R14" i="24"/>
  <c r="AA41" i="24"/>
  <c r="AC17" i="24"/>
  <c r="AC46" i="24"/>
  <c r="AJ14" i="24"/>
  <c r="AA25" i="24"/>
  <c r="AA14" i="24"/>
  <c r="AA11" i="24"/>
  <c r="I30" i="24"/>
  <c r="AG19" i="24"/>
  <c r="J10" i="24"/>
  <c r="R42" i="24"/>
  <c r="S20" i="24"/>
  <c r="Y46" i="24"/>
  <c r="DD47" i="21"/>
  <c r="AA22" i="24"/>
  <c r="O18" i="24"/>
  <c r="L7" i="24"/>
  <c r="AC16" i="24"/>
  <c r="S25" i="24"/>
  <c r="AA43" i="24"/>
  <c r="AK53" i="24"/>
  <c r="AJ27" i="24"/>
  <c r="M47" i="24"/>
  <c r="AE14" i="24"/>
  <c r="K16" i="24"/>
  <c r="AB15" i="24"/>
  <c r="Q39" i="24"/>
  <c r="AC45" i="24"/>
  <c r="S22" i="24"/>
  <c r="I23" i="24"/>
  <c r="AB44" i="24"/>
  <c r="AE52" i="24"/>
  <c r="AK47" i="24"/>
  <c r="AB51" i="24"/>
  <c r="L53" i="24"/>
  <c r="CL31" i="21"/>
  <c r="CO31" i="21"/>
  <c r="W30" i="24" s="1"/>
  <c r="G30" i="24"/>
  <c r="T30" i="24" s="1"/>
  <c r="AK51" i="24"/>
  <c r="S52" i="24"/>
  <c r="G45" i="24"/>
  <c r="CL46" i="21"/>
  <c r="CO46" i="21"/>
  <c r="W45" i="24" s="1"/>
  <c r="AI8" i="24"/>
  <c r="AC11" i="24"/>
  <c r="K46" i="24"/>
  <c r="M21" i="24"/>
  <c r="M15" i="24"/>
  <c r="S51" i="24"/>
  <c r="AE42" i="24"/>
  <c r="M45" i="24"/>
  <c r="J13" i="24"/>
  <c r="AI49" i="24"/>
  <c r="AE45" i="24"/>
  <c r="DD53" i="21"/>
  <c r="Y52" i="24"/>
  <c r="O53" i="24"/>
  <c r="AG47" i="24"/>
  <c r="AA15" i="24"/>
  <c r="O23" i="24"/>
  <c r="AJ45" i="24"/>
  <c r="AA52" i="24"/>
  <c r="K13" i="24"/>
  <c r="AK25" i="24"/>
  <c r="AB52" i="24"/>
  <c r="AJ10" i="24"/>
  <c r="J14" i="24"/>
  <c r="L13" i="24"/>
  <c r="R51" i="24"/>
  <c r="AI5" i="24"/>
  <c r="AG23" i="24"/>
  <c r="AK43" i="24"/>
  <c r="AK13" i="24"/>
  <c r="AI14" i="24"/>
  <c r="S18" i="24"/>
  <c r="AJ6" i="24"/>
  <c r="AE46" i="24"/>
  <c r="S27" i="24"/>
  <c r="O14" i="24"/>
  <c r="L54" i="24"/>
  <c r="CJ56" i="21"/>
  <c r="R3" i="24"/>
  <c r="AB19" i="24"/>
  <c r="Y21" i="24"/>
  <c r="DD22" i="21"/>
  <c r="AE22" i="24"/>
  <c r="O10" i="24"/>
  <c r="AK5" i="24"/>
  <c r="AE26" i="24"/>
  <c r="Y9" i="24"/>
  <c r="DD10" i="21"/>
  <c r="R46" i="24"/>
  <c r="AG44" i="24"/>
  <c r="K18" i="24"/>
  <c r="AC51" i="24"/>
  <c r="K52" i="24"/>
  <c r="AI9" i="24"/>
  <c r="J54" i="24"/>
  <c r="L19" i="24"/>
  <c r="AG10" i="24"/>
  <c r="M7" i="24"/>
  <c r="S16" i="24"/>
  <c r="DD18" i="21"/>
  <c r="Y17" i="24"/>
  <c r="AJ11" i="24"/>
  <c r="CO4" i="21"/>
  <c r="W3" i="24" s="1"/>
  <c r="G3" i="24"/>
  <c r="BY56" i="21"/>
  <c r="CL4" i="21"/>
  <c r="K5" i="24"/>
  <c r="AA9" i="24"/>
  <c r="L20" i="24"/>
  <c r="J41" i="24"/>
  <c r="CL42" i="21"/>
  <c r="AJ54" i="24"/>
  <c r="CO51" i="21"/>
  <c r="W50" i="24" s="1"/>
  <c r="CL51" i="21"/>
  <c r="G50" i="24"/>
  <c r="T50" i="24" s="1"/>
  <c r="AG25" i="24"/>
  <c r="I21" i="24"/>
  <c r="CL22" i="21"/>
  <c r="R49" i="24"/>
  <c r="AG53" i="24"/>
  <c r="CO55" i="21"/>
  <c r="W54" i="24" s="1"/>
  <c r="CL55" i="21"/>
  <c r="G54" i="24"/>
  <c r="AE25" i="24"/>
  <c r="AA51" i="24"/>
  <c r="L10" i="24"/>
  <c r="AI27" i="24"/>
  <c r="AK16" i="24"/>
  <c r="AD52" i="24"/>
  <c r="AK8" i="24"/>
  <c r="K15" i="24"/>
  <c r="AG12" i="24"/>
  <c r="M9" i="24"/>
  <c r="AD26" i="24"/>
  <c r="Q11" i="24"/>
  <c r="K53" i="24"/>
  <c r="S3" i="24"/>
  <c r="CK56" i="21"/>
  <c r="R21" i="24"/>
  <c r="CO14" i="21"/>
  <c r="W13" i="24" s="1"/>
  <c r="CL14" i="21"/>
  <c r="G13" i="24"/>
  <c r="K47" i="24"/>
  <c r="CL44" i="21"/>
  <c r="I43" i="24"/>
  <c r="Q25" i="24"/>
  <c r="AE17" i="24"/>
  <c r="R12" i="24"/>
  <c r="J53" i="24"/>
  <c r="S54" i="24"/>
  <c r="J39" i="24"/>
  <c r="AD53" i="24"/>
  <c r="M48" i="24"/>
  <c r="Y43" i="24"/>
  <c r="DD44" i="21"/>
  <c r="L12" i="24"/>
  <c r="M14" i="24"/>
  <c r="O8" i="24"/>
  <c r="AD6" i="24"/>
  <c r="O46" i="24"/>
  <c r="I40" i="24"/>
  <c r="Y6" i="24"/>
  <c r="DD7" i="21"/>
  <c r="AG18" i="24"/>
  <c r="CO21" i="21"/>
  <c r="W20" i="24" s="1"/>
  <c r="G20" i="24"/>
  <c r="CL21" i="21"/>
  <c r="AD11" i="24"/>
  <c r="J43" i="24"/>
  <c r="S48" i="24"/>
  <c r="AB46" i="24"/>
  <c r="AD14" i="24"/>
  <c r="AD40" i="24"/>
  <c r="J7" i="24"/>
  <c r="L23" i="24"/>
  <c r="CY56" i="21"/>
  <c r="AG3" i="24"/>
  <c r="AE19" i="24"/>
  <c r="AG22" i="24"/>
  <c r="AA46" i="24"/>
  <c r="Q9" i="24"/>
  <c r="I54" i="24"/>
  <c r="R52" i="24"/>
  <c r="R41" i="24"/>
  <c r="AE8" i="24"/>
  <c r="O17" i="24"/>
  <c r="O6" i="24"/>
  <c r="Y48" i="24"/>
  <c r="DD49" i="21"/>
  <c r="AI51" i="24"/>
  <c r="S8" i="24"/>
  <c r="K20" i="24"/>
  <c r="M51" i="24"/>
  <c r="J17" i="24"/>
  <c r="AG5" i="24"/>
  <c r="AG26" i="24"/>
  <c r="AK42" i="24"/>
  <c r="AC27" i="24"/>
  <c r="AG6" i="24"/>
  <c r="O5" i="24"/>
  <c r="M52" i="24"/>
  <c r="Q16" i="24"/>
  <c r="M46" i="24"/>
  <c r="R6" i="24"/>
  <c r="K22" i="24"/>
  <c r="AJ26" i="24"/>
  <c r="M17" i="24"/>
  <c r="J5" i="24"/>
  <c r="Q53" i="24"/>
  <c r="AE43" i="24"/>
  <c r="AC53" i="24"/>
  <c r="AD7" i="24"/>
  <c r="O47" i="24"/>
  <c r="CC56" i="21"/>
  <c r="K3" i="24"/>
  <c r="L40" i="24"/>
  <c r="AI11" i="24"/>
  <c r="L5" i="24"/>
  <c r="CO47" i="21"/>
  <c r="W46" i="24" s="1"/>
  <c r="G46" i="24"/>
  <c r="CL47" i="21"/>
  <c r="M12" i="24"/>
  <c r="AB50" i="24"/>
  <c r="AB9" i="24"/>
  <c r="K21" i="24"/>
  <c r="Q42" i="24"/>
  <c r="O25" i="24"/>
  <c r="AA53" i="24"/>
  <c r="G7" i="24"/>
  <c r="CO8" i="21"/>
  <c r="W7" i="24" s="1"/>
  <c r="CL8" i="21"/>
  <c r="Q7" i="24"/>
  <c r="AG46" i="24"/>
  <c r="CG56" i="21"/>
  <c r="O3" i="24"/>
  <c r="Y53" i="24"/>
  <c r="DD54" i="21"/>
  <c r="J22" i="24"/>
  <c r="Q45" i="24"/>
  <c r="AI44" i="24"/>
  <c r="AC23" i="24"/>
  <c r="R25" i="24"/>
  <c r="S49" i="24"/>
  <c r="O45" i="24"/>
  <c r="AG41" i="24"/>
  <c r="R23" i="24"/>
  <c r="O15" i="24"/>
  <c r="M5" i="24"/>
  <c r="AB6" i="24"/>
  <c r="J3" i="24"/>
  <c r="CB56" i="21"/>
  <c r="AD10" i="24"/>
  <c r="CL39" i="21"/>
  <c r="I38" i="24"/>
  <c r="T38" i="24" s="1"/>
  <c r="R19" i="24"/>
  <c r="M23" i="24"/>
  <c r="K42" i="24"/>
  <c r="AA12" i="24"/>
  <c r="AC47" i="24"/>
  <c r="Y11" i="24"/>
  <c r="DD12" i="21"/>
  <c r="DD16" i="21"/>
  <c r="Y15" i="24"/>
  <c r="AL15" i="24" s="1"/>
  <c r="I14" i="24"/>
  <c r="Q52" i="24"/>
  <c r="Q8" i="24"/>
  <c r="AG17" i="24"/>
  <c r="AC15" i="24"/>
  <c r="CO33" i="21"/>
  <c r="W32" i="24" s="1"/>
  <c r="G32" i="24"/>
  <c r="T32" i="24" s="1"/>
  <c r="CL33" i="21"/>
  <c r="AE21" i="24"/>
  <c r="J50" i="24"/>
  <c r="J47" i="24"/>
  <c r="AC14" i="24"/>
  <c r="I45" i="24"/>
  <c r="AK41" i="24"/>
  <c r="L18" i="24"/>
  <c r="O7" i="24"/>
  <c r="AE27" i="24"/>
  <c r="AA21" i="24"/>
  <c r="K7" i="24"/>
  <c r="AE9" i="24"/>
  <c r="AK7" i="24"/>
  <c r="AG14" i="24"/>
  <c r="AG43" i="24"/>
  <c r="O11" i="24"/>
  <c r="AB16" i="24"/>
  <c r="AC9" i="24"/>
  <c r="AB26" i="24"/>
  <c r="AK40" i="24"/>
  <c r="AK15" i="24"/>
  <c r="Q27" i="24"/>
  <c r="K10" i="24"/>
  <c r="AJ13" i="24"/>
  <c r="M20" i="24"/>
  <c r="AE11" i="24"/>
  <c r="S43" i="24"/>
  <c r="CO50" i="21"/>
  <c r="W49" i="24" s="1"/>
  <c r="G49" i="24"/>
  <c r="CL50" i="21"/>
  <c r="K19" i="24"/>
  <c r="AJ5" i="24"/>
  <c r="DD41" i="21"/>
  <c r="Y40" i="24"/>
  <c r="M27" i="24"/>
  <c r="R9" i="24"/>
  <c r="AD15" i="24"/>
  <c r="AG11" i="24"/>
  <c r="I51" i="24"/>
  <c r="AJ21" i="24"/>
  <c r="M54" i="24"/>
  <c r="AD23" i="24"/>
  <c r="AI53" i="24"/>
  <c r="AJ16" i="24"/>
  <c r="O9" i="24"/>
  <c r="I19" i="24"/>
  <c r="Q13" i="24"/>
  <c r="AJ8" i="24"/>
  <c r="Q54" i="24"/>
  <c r="AK46" i="24"/>
  <c r="J12" i="24"/>
  <c r="AE23" i="24"/>
  <c r="AB47" i="24"/>
  <c r="DC56" i="21"/>
  <c r="AK3" i="24"/>
  <c r="AC48" i="24"/>
  <c r="CO20" i="21"/>
  <c r="W19" i="24" s="1"/>
  <c r="CL20" i="21"/>
  <c r="G19" i="24"/>
  <c r="Q46" i="24"/>
  <c r="AI13" i="24"/>
  <c r="O52" i="24"/>
  <c r="AB11" i="24"/>
  <c r="L27" i="24"/>
  <c r="I53" i="24"/>
  <c r="AD21" i="24"/>
  <c r="M53" i="24"/>
  <c r="CQ56" i="21"/>
  <c r="DD4" i="21"/>
  <c r="Y3" i="24"/>
  <c r="AJ7" i="24"/>
  <c r="AG8" i="24"/>
  <c r="I13" i="24"/>
  <c r="Q5" i="24"/>
  <c r="AG27" i="24"/>
  <c r="DD42" i="21"/>
  <c r="Y41" i="24"/>
  <c r="L43" i="24"/>
  <c r="I20" i="24"/>
  <c r="AC44" i="24"/>
  <c r="AC19" i="24"/>
  <c r="O50" i="24"/>
  <c r="K12" i="24"/>
  <c r="R20" i="24"/>
  <c r="S40" i="24"/>
  <c r="R22" i="24"/>
  <c r="AE12" i="24"/>
  <c r="AJ19" i="24"/>
  <c r="J46" i="24"/>
  <c r="L47" i="24"/>
  <c r="Y13" i="24"/>
  <c r="DD14" i="21"/>
  <c r="AJ25" i="24"/>
  <c r="CO54" i="21"/>
  <c r="W53" i="24" s="1"/>
  <c r="CL54" i="21"/>
  <c r="G53" i="24"/>
  <c r="T53" i="24" s="1"/>
  <c r="AB48" i="24"/>
  <c r="AB13" i="24"/>
  <c r="I46" i="24"/>
  <c r="J45" i="24"/>
  <c r="AG20" i="24"/>
  <c r="J49" i="24"/>
  <c r="AE3" i="24"/>
  <c r="CW56" i="21"/>
  <c r="J40" i="24"/>
  <c r="CO7" i="21"/>
  <c r="W6" i="24" s="1"/>
  <c r="G6" i="24"/>
  <c r="CL7" i="21"/>
  <c r="S11" i="24"/>
  <c r="AC49" i="24"/>
  <c r="AI10" i="24"/>
  <c r="J23" i="24"/>
  <c r="R10" i="24"/>
  <c r="AK19" i="24"/>
  <c r="AB40" i="24"/>
  <c r="AJ20" i="24"/>
  <c r="M19" i="24"/>
  <c r="AB10" i="24"/>
  <c r="AA10" i="24"/>
  <c r="AJ44" i="24"/>
  <c r="AB23" i="24"/>
  <c r="AB7" i="24"/>
  <c r="O12" i="24"/>
  <c r="Q43" i="24"/>
  <c r="AG51" i="24"/>
  <c r="AD43" i="24"/>
  <c r="DD6" i="21"/>
  <c r="Y5" i="24"/>
  <c r="AL5" i="24" s="1"/>
  <c r="AD49" i="24"/>
  <c r="CV56" i="21"/>
  <c r="AD3" i="24"/>
  <c r="AK17" i="24"/>
  <c r="AB5" i="24"/>
  <c r="O16" i="24"/>
  <c r="S17" i="24"/>
  <c r="AE40" i="24"/>
  <c r="Q18" i="24"/>
  <c r="AE41" i="24"/>
  <c r="Q40" i="24"/>
  <c r="AA18" i="24"/>
  <c r="AG9" i="24"/>
  <c r="AA50" i="24"/>
  <c r="K41" i="24"/>
  <c r="O54" i="24"/>
  <c r="CO40" i="21"/>
  <c r="W39" i="24" s="1"/>
  <c r="CL40" i="21"/>
  <c r="G39" i="24"/>
  <c r="K14" i="24"/>
  <c r="AK14" i="24"/>
  <c r="AA44" i="24"/>
  <c r="Q14" i="24"/>
  <c r="DD50" i="21"/>
  <c r="Y49" i="24"/>
  <c r="AJ41" i="24"/>
  <c r="AC41" i="24"/>
  <c r="CD56" i="21"/>
  <c r="L3" i="24"/>
  <c r="AC26" i="24"/>
  <c r="DD20" i="21"/>
  <c r="Y19" i="24"/>
  <c r="AL19" i="24" s="1"/>
  <c r="I10" i="24"/>
  <c r="R55" i="24" l="1"/>
  <c r="AL44" i="24"/>
  <c r="AL18" i="24"/>
  <c r="T14" i="24"/>
  <c r="T10" i="24"/>
  <c r="AI55" i="24"/>
  <c r="T39" i="24"/>
  <c r="AD55" i="24"/>
  <c r="AE55" i="24"/>
  <c r="AK55" i="24"/>
  <c r="T20" i="24"/>
  <c r="AL6" i="24"/>
  <c r="AL43" i="24"/>
  <c r="T13" i="24"/>
  <c r="T11" i="24"/>
  <c r="T15" i="24"/>
  <c r="AL20" i="24"/>
  <c r="Y55" i="24"/>
  <c r="AL3" i="24"/>
  <c r="AL40" i="24"/>
  <c r="T7" i="24"/>
  <c r="AG55" i="24"/>
  <c r="T43" i="24"/>
  <c r="S55" i="24"/>
  <c r="T21" i="24"/>
  <c r="AL17" i="24"/>
  <c r="AL21" i="24"/>
  <c r="AL52" i="24"/>
  <c r="AL23" i="24"/>
  <c r="AL26" i="24"/>
  <c r="AL42" i="24"/>
  <c r="AL16" i="24"/>
  <c r="AL12" i="24"/>
  <c r="T47" i="24"/>
  <c r="T12" i="24"/>
  <c r="AL8" i="24"/>
  <c r="AL25" i="24"/>
  <c r="AL10" i="24"/>
  <c r="AB55" i="24"/>
  <c r="T17" i="24"/>
  <c r="T9" i="24"/>
  <c r="AL51" i="24"/>
  <c r="M55" i="24"/>
  <c r="T16" i="24"/>
  <c r="T8" i="24"/>
  <c r="O55" i="24"/>
  <c r="K55" i="24"/>
  <c r="T54" i="24"/>
  <c r="AL9" i="24"/>
  <c r="T18" i="24"/>
  <c r="T27" i="24"/>
  <c r="AC55" i="24"/>
  <c r="T25" i="24"/>
  <c r="AL45" i="24"/>
  <c r="AL47" i="24"/>
  <c r="T6" i="24"/>
  <c r="AL13" i="24"/>
  <c r="T19" i="24"/>
  <c r="J55" i="24"/>
  <c r="T41" i="24"/>
  <c r="CL56" i="21"/>
  <c r="T45" i="24"/>
  <c r="AL46" i="24"/>
  <c r="AL27" i="24"/>
  <c r="AL50" i="24"/>
  <c r="AL7" i="24"/>
  <c r="AA55" i="24"/>
  <c r="T52" i="24"/>
  <c r="AL22" i="24"/>
  <c r="L55" i="24"/>
  <c r="AL49" i="24"/>
  <c r="AL41" i="24"/>
  <c r="DD56" i="21"/>
  <c r="T49" i="24"/>
  <c r="AL11" i="24"/>
  <c r="AL53" i="24"/>
  <c r="T46" i="24"/>
  <c r="AL48" i="24"/>
  <c r="G55" i="24"/>
  <c r="T3" i="24"/>
  <c r="AL14" i="24"/>
  <c r="T23" i="24"/>
  <c r="AL54" i="24"/>
  <c r="AJ55" i="24"/>
  <c r="T5" i="24"/>
  <c r="T40" i="24"/>
  <c r="T51" i="24"/>
  <c r="I55" i="24"/>
  <c r="T48" i="24"/>
  <c r="T22" i="24"/>
  <c r="Q55" i="24"/>
  <c r="T55" i="24" l="1"/>
  <c r="AL55" i="24"/>
</calcChain>
</file>

<file path=xl/comments1.xml><?xml version="1.0" encoding="utf-8"?>
<comments xmlns="http://schemas.openxmlformats.org/spreadsheetml/2006/main">
  <authors>
    <author>Scott R. Leitstein</author>
    <author>sl55853</author>
  </authors>
  <commentList>
    <comment ref="A1" authorId="0">
      <text>
        <r>
          <rPr>
            <b/>
            <sz val="9"/>
            <color indexed="81"/>
            <rFont val="Tahoma"/>
            <family val="2"/>
          </rPr>
          <t>PCR: Project Change Request:</t>
        </r>
        <r>
          <rPr>
            <sz val="9"/>
            <color indexed="81"/>
            <rFont val="Tahoma"/>
            <family val="2"/>
          </rPr>
          <t xml:space="preserve"> Used to track changes from the 'Original' PCR to new PCRs as the project progress.  May also be used to distinguish between phases of the project.
</t>
        </r>
      </text>
    </comment>
    <comment ref="E1" authorId="0">
      <text>
        <r>
          <rPr>
            <b/>
            <sz val="9"/>
            <color indexed="81"/>
            <rFont val="Tahoma"/>
            <family val="2"/>
          </rPr>
          <t xml:space="preserve">Server config completed: </t>
        </r>
        <r>
          <rPr>
            <sz val="9"/>
            <color indexed="81"/>
            <rFont val="Tahoma"/>
            <family val="2"/>
          </rPr>
          <t xml:space="preserve">Double-click to enter checkmark which indicates the server's CPU and RAM have been installed and properly configured.
</t>
        </r>
        <r>
          <rPr>
            <b/>
            <sz val="9"/>
            <color indexed="81"/>
            <rFont val="Tahoma"/>
            <family val="2"/>
          </rPr>
          <t>Note:</t>
        </r>
        <r>
          <rPr>
            <sz val="9"/>
            <color indexed="81"/>
            <rFont val="Tahoma"/>
            <family val="2"/>
          </rPr>
          <t xml:space="preserve"> Double-click toggles checkmark.</t>
        </r>
      </text>
    </comment>
    <comment ref="F1" authorId="0">
      <text>
        <r>
          <rPr>
            <b/>
            <sz val="9"/>
            <color indexed="81"/>
            <rFont val="Tahoma"/>
            <family val="2"/>
          </rPr>
          <t xml:space="preserve">Storage config completed: </t>
        </r>
        <r>
          <rPr>
            <sz val="9"/>
            <color indexed="81"/>
            <rFont val="Tahoma"/>
            <family val="2"/>
          </rPr>
          <t xml:space="preserve">Double-click to enter checkmark which indicates the server's storage (SAN &amp; NAS) requirements  have been completed and properly configured.
</t>
        </r>
        <r>
          <rPr>
            <b/>
            <sz val="9"/>
            <color indexed="81"/>
            <rFont val="Tahoma"/>
            <family val="2"/>
          </rPr>
          <t>Note:</t>
        </r>
        <r>
          <rPr>
            <sz val="9"/>
            <color indexed="81"/>
            <rFont val="Tahoma"/>
            <family val="2"/>
          </rPr>
          <t xml:space="preserve"> Double-click toggles checkmark.</t>
        </r>
      </text>
    </comment>
    <comment ref="L1" authorId="0">
      <text>
        <r>
          <rPr>
            <b/>
            <sz val="9"/>
            <color indexed="81"/>
            <rFont val="Tahoma"/>
            <family val="2"/>
          </rPr>
          <t xml:space="preserve">Verified By: </t>
        </r>
        <r>
          <rPr>
            <sz val="9"/>
            <color indexed="81"/>
            <rFont val="Tahoma"/>
            <family val="2"/>
          </rPr>
          <t xml:space="preserve">Provide name of who verified the completed server's configuration.
</t>
        </r>
      </text>
    </comment>
    <comment ref="N1" authorId="0">
      <text>
        <r>
          <rPr>
            <b/>
            <sz val="9"/>
            <color indexed="81"/>
            <rFont val="Tahoma"/>
            <family val="2"/>
          </rPr>
          <t>DC (Data Center):</t>
        </r>
        <r>
          <rPr>
            <sz val="9"/>
            <color indexed="81"/>
            <rFont val="Tahoma"/>
            <family val="2"/>
          </rPr>
          <t xml:space="preserve"> Select the DC for which the server is to be located.
</t>
        </r>
      </text>
    </comment>
    <comment ref="O1" authorId="0">
      <text>
        <r>
          <rPr>
            <b/>
            <sz val="9"/>
            <color indexed="81"/>
            <rFont val="Tahoma"/>
            <family val="2"/>
          </rPr>
          <t xml:space="preserve">Region: </t>
        </r>
        <r>
          <rPr>
            <sz val="9"/>
            <color indexed="81"/>
            <rFont val="Tahoma"/>
            <family val="2"/>
          </rPr>
          <t xml:space="preserve">Select Region for which the server is located.
</t>
        </r>
      </text>
    </comment>
    <comment ref="P1" authorId="0">
      <text>
        <r>
          <rPr>
            <b/>
            <sz val="9"/>
            <color indexed="81"/>
            <rFont val="Tahoma"/>
            <family val="2"/>
          </rPr>
          <t xml:space="preserve">Country: </t>
        </r>
        <r>
          <rPr>
            <sz val="9"/>
            <color indexed="81"/>
            <rFont val="Tahoma"/>
            <family val="2"/>
          </rPr>
          <t>Select Country for which the server is assigned/located.</t>
        </r>
      </text>
    </comment>
    <comment ref="Q1" authorId="0">
      <text>
        <r>
          <rPr>
            <b/>
            <sz val="9"/>
            <color indexed="81"/>
            <rFont val="Tahoma"/>
            <family val="2"/>
          </rPr>
          <t>Env Label:</t>
        </r>
        <r>
          <rPr>
            <sz val="9"/>
            <color indexed="81"/>
            <rFont val="Tahoma"/>
            <family val="2"/>
          </rPr>
          <t xml:space="preserve"> Use this column to create unique environments labels. 
For example: To indicate combined envs (e.g. PERF/UAT) or to indicate multiple std envs (e.g. PROD1, PROD2, etc.)
</t>
        </r>
        <r>
          <rPr>
            <b/>
            <sz val="9"/>
            <color indexed="81"/>
            <rFont val="Tahoma"/>
            <family val="2"/>
          </rPr>
          <t>Note:</t>
        </r>
        <r>
          <rPr>
            <sz val="9"/>
            <color indexed="81"/>
            <rFont val="Tahoma"/>
            <family val="2"/>
          </rPr>
          <t xml:space="preserve"> Cost calculations will be based on the Std Env column 'Env' designation.
</t>
        </r>
      </text>
    </comment>
    <comment ref="R1" authorId="0">
      <text>
        <r>
          <rPr>
            <b/>
            <sz val="9"/>
            <color indexed="81"/>
            <rFont val="Tahoma"/>
            <family val="2"/>
          </rPr>
          <t>Env (Environment):</t>
        </r>
        <r>
          <rPr>
            <sz val="9"/>
            <color indexed="81"/>
            <rFont val="Tahoma"/>
            <family val="2"/>
          </rPr>
          <t xml:space="preserve"> Select the '</t>
        </r>
        <r>
          <rPr>
            <b/>
            <sz val="9"/>
            <color indexed="81"/>
            <rFont val="Tahoma"/>
            <family val="2"/>
          </rPr>
          <t>Standard</t>
        </r>
        <r>
          <rPr>
            <sz val="9"/>
            <color indexed="81"/>
            <rFont val="Tahoma"/>
            <family val="2"/>
          </rPr>
          <t>' environment type for which the server is assigned.</t>
        </r>
      </text>
    </comment>
    <comment ref="S1" authorId="0">
      <text>
        <r>
          <rPr>
            <b/>
            <sz val="9"/>
            <color indexed="81"/>
            <rFont val="Tahoma"/>
            <family val="2"/>
          </rPr>
          <t>Server TCRS:</t>
        </r>
        <r>
          <rPr>
            <sz val="9"/>
            <color indexed="81"/>
            <rFont val="Tahoma"/>
            <family val="2"/>
          </rPr>
          <t xml:space="preserve"> The TCRS # associated with the server.</t>
        </r>
      </text>
    </comment>
    <comment ref="U1" authorId="0">
      <text>
        <r>
          <rPr>
            <b/>
            <sz val="9"/>
            <color indexed="81"/>
            <rFont val="Tahoma"/>
            <family val="2"/>
          </rPr>
          <t>Product Owner:</t>
        </r>
        <r>
          <rPr>
            <sz val="9"/>
            <color indexed="81"/>
            <rFont val="Tahoma"/>
            <family val="2"/>
          </rPr>
          <t xml:space="preserve"> Provide the Owner of the line item.</t>
        </r>
        <r>
          <rPr>
            <sz val="9"/>
            <color indexed="81"/>
            <rFont val="Tahoma"/>
            <family val="2"/>
          </rPr>
          <t xml:space="preserve">
</t>
        </r>
      </text>
    </comment>
    <comment ref="V1" authorId="0">
      <text>
        <r>
          <rPr>
            <b/>
            <sz val="9"/>
            <color indexed="81"/>
            <rFont val="Tahoma"/>
            <family val="2"/>
          </rPr>
          <t xml:space="preserve">Description: </t>
        </r>
        <r>
          <rPr>
            <sz val="9"/>
            <color indexed="81"/>
            <rFont val="Tahoma"/>
            <family val="2"/>
          </rPr>
          <t xml:space="preserve">Provide detailed description of the line item.  For example, a high-level primary function or purpose for the line item.
</t>
        </r>
      </text>
    </comment>
    <comment ref="W1" authorId="0">
      <text>
        <r>
          <rPr>
            <b/>
            <sz val="9"/>
            <color indexed="81"/>
            <rFont val="Tahoma"/>
            <family val="2"/>
          </rPr>
          <t xml:space="preserve">Software List: </t>
        </r>
        <r>
          <rPr>
            <sz val="9"/>
            <color indexed="81"/>
            <rFont val="Tahoma"/>
            <family val="2"/>
          </rPr>
          <t xml:space="preserve">Select all of the software products to be installed on the server.
</t>
        </r>
        <r>
          <rPr>
            <b/>
            <sz val="9"/>
            <color indexed="81"/>
            <rFont val="Tahoma"/>
            <family val="2"/>
          </rPr>
          <t>Note</t>
        </r>
        <r>
          <rPr>
            <b/>
            <vertAlign val="superscript"/>
            <sz val="9"/>
            <color indexed="81"/>
            <rFont val="Tahoma"/>
            <family val="2"/>
          </rPr>
          <t>1</t>
        </r>
        <r>
          <rPr>
            <b/>
            <sz val="9"/>
            <color indexed="81"/>
            <rFont val="Tahoma"/>
            <family val="2"/>
          </rPr>
          <t>:</t>
        </r>
        <r>
          <rPr>
            <sz val="9"/>
            <color indexed="81"/>
            <rFont val="Tahoma"/>
            <family val="2"/>
          </rPr>
          <t xml:space="preserve"> This column will accept multiple entries and will automatically generate a comma-delimited list.
</t>
        </r>
        <r>
          <rPr>
            <b/>
            <sz val="9"/>
            <color indexed="81"/>
            <rFont val="Tahoma"/>
            <family val="2"/>
          </rPr>
          <t>Note</t>
        </r>
        <r>
          <rPr>
            <b/>
            <vertAlign val="superscript"/>
            <sz val="9"/>
            <color indexed="81"/>
            <rFont val="Tahoma"/>
            <family val="2"/>
          </rPr>
          <t>2</t>
        </r>
        <r>
          <rPr>
            <b/>
            <sz val="9"/>
            <color indexed="81"/>
            <rFont val="Tahoma"/>
            <family val="2"/>
          </rPr>
          <t xml:space="preserve">: </t>
        </r>
        <r>
          <rPr>
            <sz val="9"/>
            <color indexed="81"/>
            <rFont val="Tahoma"/>
            <family val="2"/>
          </rPr>
          <t>To remove any item, simply reselect that item.</t>
        </r>
      </text>
    </comment>
    <comment ref="X1" authorId="0">
      <text>
        <r>
          <rPr>
            <sz val="11"/>
            <color theme="1"/>
            <rFont val="Calibri"/>
            <family val="2"/>
            <scheme val="minor"/>
          </rPr>
          <t>Select the type of server (e.g. AP, DB, or WW)</t>
        </r>
      </text>
    </comment>
    <comment ref="Y1" authorId="0">
      <text>
        <r>
          <rPr>
            <b/>
            <sz val="9"/>
            <color indexed="81"/>
            <rFont val="Tahoma"/>
            <family val="2"/>
          </rPr>
          <t>Product (Acronym):</t>
        </r>
        <r>
          <rPr>
            <sz val="9"/>
            <color indexed="81"/>
            <rFont val="Tahoma"/>
            <family val="2"/>
          </rPr>
          <t xml:space="preserve"> Provide Product name or acronym (e.g. ESB, FinCAD, COPS, etc.)
</t>
        </r>
      </text>
    </comment>
    <comment ref="Z1" authorId="1">
      <text>
        <r>
          <rPr>
            <b/>
            <sz val="8"/>
            <color indexed="81"/>
            <rFont val="Tahoma"/>
            <family val="2"/>
          </rPr>
          <t xml:space="preserve">Usage: </t>
        </r>
        <r>
          <rPr>
            <sz val="8"/>
            <color indexed="81"/>
            <rFont val="Tahoma"/>
            <family val="2"/>
          </rPr>
          <t>Used by Capacity Analysis and Planning Team for reporting</t>
        </r>
      </text>
    </comment>
    <comment ref="AA1" authorId="0">
      <text>
        <r>
          <rPr>
            <b/>
            <sz val="9"/>
            <color indexed="81"/>
            <rFont val="Tahoma"/>
            <family val="2"/>
          </rPr>
          <t xml:space="preserve">CSI App ID: </t>
        </r>
        <r>
          <rPr>
            <sz val="9"/>
            <color indexed="81"/>
            <rFont val="Tahoma"/>
            <family val="2"/>
          </rPr>
          <t>The CSI App ID that the line item is registered</t>
        </r>
        <r>
          <rPr>
            <sz val="9"/>
            <color indexed="81"/>
            <rFont val="Tahoma"/>
            <family val="2"/>
          </rPr>
          <t xml:space="preserve">
</t>
        </r>
      </text>
    </comment>
    <comment ref="AB1" authorId="0">
      <text>
        <r>
          <rPr>
            <b/>
            <sz val="9"/>
            <color indexed="81"/>
            <rFont val="Tahoma"/>
            <family val="2"/>
          </rPr>
          <t xml:space="preserve">Existing Server: </t>
        </r>
        <r>
          <rPr>
            <sz val="9"/>
            <color indexed="81"/>
            <rFont val="Tahoma"/>
            <family val="2"/>
          </rPr>
          <t xml:space="preserve">Enter 'Yes - Outside this BoM' if the server exists outside this BoM, otherwise select 'Yes - inside this BoM' if this item is upgrading a server already created/accounted for within this BoM.
</t>
        </r>
        <r>
          <rPr>
            <b/>
            <sz val="9"/>
            <color indexed="81"/>
            <rFont val="Tahoma"/>
            <family val="2"/>
          </rPr>
          <t>Note:</t>
        </r>
        <r>
          <rPr>
            <sz val="9"/>
            <color indexed="81"/>
            <rFont val="Tahoma"/>
            <family val="2"/>
          </rPr>
          <t xml:space="preserve"> You may only create one (1) 'Yes - Inside this BoM' entry, otherwise an internal calculations may result.</t>
        </r>
      </text>
    </comment>
    <comment ref="AC1" authorId="0">
      <text>
        <r>
          <rPr>
            <b/>
            <sz val="9"/>
            <color indexed="81"/>
            <rFont val="Tahoma"/>
            <family val="2"/>
          </rPr>
          <t xml:space="preserve">Existing CPUs: </t>
        </r>
        <r>
          <rPr>
            <sz val="9"/>
            <color indexed="81"/>
            <rFont val="Tahoma"/>
            <family val="2"/>
          </rPr>
          <t xml:space="preserve">Provide the # of CPUs not accounted for in this BoM.
</t>
        </r>
      </text>
    </comment>
    <comment ref="AE1" authorId="0">
      <text>
        <r>
          <rPr>
            <b/>
            <sz val="9"/>
            <color indexed="81"/>
            <rFont val="Tahoma"/>
            <family val="2"/>
          </rPr>
          <t xml:space="preserve">Existing CPUs: </t>
        </r>
        <r>
          <rPr>
            <sz val="9"/>
            <color indexed="81"/>
            <rFont val="Tahoma"/>
            <family val="2"/>
          </rPr>
          <t xml:space="preserve">If an existing server, provide current amount of RAM (GB).
</t>
        </r>
      </text>
    </comment>
    <comment ref="AF1" authorId="0">
      <text>
        <r>
          <rPr>
            <b/>
            <sz val="9"/>
            <color indexed="81"/>
            <rFont val="Tahoma"/>
            <family val="2"/>
          </rPr>
          <t xml:space="preserve">Use existing server config...: </t>
        </r>
        <r>
          <rPr>
            <sz val="9"/>
            <color indexed="81"/>
            <rFont val="Tahoma"/>
            <family val="2"/>
          </rPr>
          <t xml:space="preserve">If SW has already been purchased for this server, then clear this option.  If you're purchasing the SW licenses for the first time then include the server configuration.  This BoM assumes new SW purchases for all exsiting servers.
</t>
        </r>
        <r>
          <rPr>
            <b/>
            <sz val="9"/>
            <color indexed="81"/>
            <rFont val="Tahoma"/>
            <family val="2"/>
          </rPr>
          <t>Note:</t>
        </r>
        <r>
          <rPr>
            <sz val="9"/>
            <color indexed="81"/>
            <rFont val="Tahoma"/>
            <family val="2"/>
          </rPr>
          <t xml:space="preserve"> To toggle selection, simply double-click cell.
</t>
        </r>
      </text>
    </comment>
    <comment ref="AG1" authorId="0">
      <text>
        <r>
          <rPr>
            <b/>
            <sz val="9"/>
            <color indexed="81"/>
            <rFont val="Tahoma"/>
            <family val="2"/>
          </rPr>
          <t xml:space="preserve">Original Alias: </t>
        </r>
        <r>
          <rPr>
            <sz val="9"/>
            <color indexed="81"/>
            <rFont val="Tahoma"/>
            <family val="2"/>
          </rPr>
          <t xml:space="preserve">Use this to keep track of the original alias.  This will allow tracking of server changes if the Alias should change.
</t>
        </r>
      </text>
    </comment>
    <comment ref="AI1" authorId="0">
      <text>
        <r>
          <rPr>
            <b/>
            <sz val="9"/>
            <color indexed="81"/>
            <rFont val="Tahoma"/>
            <family val="2"/>
          </rPr>
          <t xml:space="preserve">Alias: </t>
        </r>
        <r>
          <rPr>
            <sz val="9"/>
            <color indexed="81"/>
            <rFont val="Tahoma"/>
            <family val="2"/>
          </rPr>
          <t xml:space="preserve">The common name for the device
</t>
        </r>
        <r>
          <rPr>
            <b/>
            <sz val="9"/>
            <color indexed="81"/>
            <rFont val="Tahoma"/>
            <family val="2"/>
          </rPr>
          <t xml:space="preserve">Note: </t>
        </r>
        <r>
          <rPr>
            <sz val="9"/>
            <color indexed="81"/>
            <rFont val="Tahoma"/>
            <family val="2"/>
          </rPr>
          <t xml:space="preserve">This can be the same as the hostname.
</t>
        </r>
        <r>
          <rPr>
            <b/>
            <sz val="9"/>
            <color indexed="81"/>
            <rFont val="Tahoma"/>
            <family val="2"/>
          </rPr>
          <t xml:space="preserve">Note: </t>
        </r>
        <r>
          <rPr>
            <sz val="9"/>
            <color indexed="81"/>
            <rFont val="Tahoma"/>
            <family val="2"/>
          </rPr>
          <t>Highlighted cells indicate duplicate entries.</t>
        </r>
      </text>
    </comment>
    <comment ref="AK1" authorId="0">
      <text>
        <r>
          <rPr>
            <b/>
            <sz val="9"/>
            <color indexed="81"/>
            <rFont val="Tahoma"/>
            <family val="2"/>
          </rPr>
          <t xml:space="preserve">Hostname: </t>
        </r>
        <r>
          <rPr>
            <sz val="9"/>
            <color indexed="81"/>
            <rFont val="Tahoma"/>
            <family val="2"/>
          </rPr>
          <t xml:space="preserve">The actual device name.
</t>
        </r>
      </text>
    </comment>
    <comment ref="AL1" authorId="0">
      <text>
        <r>
          <rPr>
            <b/>
            <sz val="9"/>
            <color indexed="81"/>
            <rFont val="Tahoma"/>
            <family val="2"/>
          </rPr>
          <t xml:space="preserve">Domain: </t>
        </r>
        <r>
          <rPr>
            <sz val="9"/>
            <color indexed="81"/>
            <rFont val="Tahoma"/>
            <family val="2"/>
          </rPr>
          <t xml:space="preserve">The device's fully qualified domain name
</t>
        </r>
      </text>
    </comment>
    <comment ref="AM1" authorId="0">
      <text>
        <r>
          <rPr>
            <b/>
            <sz val="9"/>
            <color indexed="81"/>
            <rFont val="Tahoma"/>
            <family val="2"/>
          </rPr>
          <t xml:space="preserve">Server Model: </t>
        </r>
        <r>
          <rPr>
            <sz val="9"/>
            <color indexed="81"/>
            <rFont val="Tahoma"/>
            <family val="2"/>
          </rPr>
          <t xml:space="preserve">Select the server model from the pull-down menu
</t>
        </r>
      </text>
    </comment>
    <comment ref="AN1" authorId="0">
      <text>
        <r>
          <rPr>
            <b/>
            <sz val="9"/>
            <color indexed="81"/>
            <rFont val="Tahoma"/>
            <family val="2"/>
          </rPr>
          <t>Server Tier: This column is used for internal calculations.  Do NOT touch!</t>
        </r>
      </text>
    </comment>
    <comment ref="AP1" authorId="0">
      <text>
        <r>
          <rPr>
            <b/>
            <sz val="9"/>
            <color indexed="81"/>
            <rFont val="Tahoma"/>
            <family val="2"/>
          </rPr>
          <t>Virtual Platform Storage Type:</t>
        </r>
        <r>
          <rPr>
            <sz val="9"/>
            <color indexed="81"/>
            <rFont val="Tahoma"/>
            <family val="2"/>
          </rPr>
          <t xml:space="preserve"> pSeries default storage platform is SAN, all VMware environments default is NAS except for VMware LVM which is SAN.
</t>
        </r>
      </text>
    </comment>
    <comment ref="AQ1" authorId="0">
      <text>
        <r>
          <rPr>
            <b/>
            <sz val="9"/>
            <color indexed="81"/>
            <rFont val="Tahoma"/>
            <family val="2"/>
          </rPr>
          <t xml:space="preserve">O/S: </t>
        </r>
        <r>
          <rPr>
            <sz val="9"/>
            <color indexed="81"/>
            <rFont val="Tahoma"/>
            <family val="2"/>
          </rPr>
          <t xml:space="preserve">Select O/S from pull-down menu.
</t>
        </r>
        <r>
          <rPr>
            <b/>
            <sz val="9"/>
            <color indexed="81"/>
            <rFont val="Tahoma"/>
            <family val="2"/>
          </rPr>
          <t xml:space="preserve">Note: </t>
        </r>
        <r>
          <rPr>
            <sz val="9"/>
            <color indexed="81"/>
            <rFont val="Tahoma"/>
            <family val="2"/>
          </rPr>
          <t xml:space="preserve">the version of OS selected will not affect the cost of the line item.
</t>
        </r>
      </text>
    </comment>
    <comment ref="AR1" authorId="0">
      <text>
        <r>
          <rPr>
            <b/>
            <sz val="9"/>
            <color indexed="81"/>
            <rFont val="Tahoma"/>
            <family val="2"/>
          </rPr>
          <t xml:space="preserve">CPU: </t>
        </r>
        <r>
          <rPr>
            <sz val="9"/>
            <color indexed="81"/>
            <rFont val="Tahoma"/>
            <family val="2"/>
          </rPr>
          <t>The number of CPUs for the device.</t>
        </r>
      </text>
    </comment>
    <comment ref="AT1" authorId="0">
      <text>
        <r>
          <rPr>
            <b/>
            <sz val="9"/>
            <color indexed="81"/>
            <rFont val="Tahoma"/>
            <family val="2"/>
          </rPr>
          <t>Licensed Cores:</t>
        </r>
        <r>
          <rPr>
            <sz val="9"/>
            <color indexed="81"/>
            <rFont val="Tahoma"/>
            <family val="2"/>
          </rPr>
          <t xml:space="preserve"> This represents the number of licensed cores that products will used for software licensing purposes.
</t>
        </r>
        <r>
          <rPr>
            <b/>
            <sz val="9"/>
            <color indexed="81"/>
            <rFont val="Tahoma"/>
            <family val="2"/>
          </rPr>
          <t xml:space="preserve">Note: </t>
        </r>
        <r>
          <rPr>
            <sz val="9"/>
            <color indexed="81"/>
            <rFont val="Tahoma"/>
            <family val="2"/>
          </rPr>
          <t xml:space="preserve">For </t>
        </r>
        <r>
          <rPr>
            <b/>
            <sz val="9"/>
            <color indexed="81"/>
            <rFont val="Tahoma"/>
            <family val="2"/>
          </rPr>
          <t>TIBCO</t>
        </r>
        <r>
          <rPr>
            <sz val="9"/>
            <color indexed="81"/>
            <rFont val="Tahoma"/>
            <family val="2"/>
          </rPr>
          <t xml:space="preserve">, a processor is = .75 the # of cores, however, this is already calculated in the license cost you do </t>
        </r>
        <r>
          <rPr>
            <b/>
            <sz val="9"/>
            <color indexed="81"/>
            <rFont val="Tahoma"/>
            <family val="2"/>
          </rPr>
          <t>not</t>
        </r>
        <r>
          <rPr>
            <sz val="9"/>
            <color indexed="81"/>
            <rFont val="Tahoma"/>
            <family val="2"/>
          </rPr>
          <t xml:space="preserve"> need to adjust. The license model and costing already accounts for any software that uses a core factor (i.e. 1 core = .75 processors).  This column should represent the actual # of licensed units required (typically 1:1 with Cores) with the exception of VMWare.
</t>
        </r>
        <r>
          <rPr>
            <b/>
            <sz val="9"/>
            <color indexed="81"/>
            <rFont val="Tahoma"/>
            <family val="2"/>
          </rPr>
          <t xml:space="preserve">Note: </t>
        </r>
        <r>
          <rPr>
            <sz val="9"/>
            <color indexed="81"/>
            <rFont val="Tahoma"/>
            <family val="2"/>
          </rPr>
          <t xml:space="preserve">For </t>
        </r>
        <r>
          <rPr>
            <b/>
            <sz val="9"/>
            <color indexed="81"/>
            <rFont val="Tahoma"/>
            <family val="2"/>
          </rPr>
          <t>VMware</t>
        </r>
        <r>
          <rPr>
            <sz val="9"/>
            <color indexed="81"/>
            <rFont val="Tahoma"/>
            <family val="2"/>
          </rPr>
          <t xml:space="preserve"> the value should reflect 1/2 of the allocated vCPUs in the Cores column.
</t>
        </r>
        <r>
          <rPr>
            <b/>
            <sz val="9"/>
            <color indexed="81"/>
            <rFont val="Tahoma"/>
            <family val="2"/>
          </rPr>
          <t xml:space="preserve">
</t>
        </r>
        <r>
          <rPr>
            <sz val="9"/>
            <color indexed="81"/>
            <rFont val="Tahoma"/>
            <family val="2"/>
          </rPr>
          <t xml:space="preserve">
</t>
        </r>
      </text>
    </comment>
    <comment ref="AV1" authorId="0">
      <text>
        <r>
          <rPr>
            <b/>
            <sz val="9"/>
            <color indexed="81"/>
            <rFont val="Tahoma"/>
            <family val="2"/>
          </rPr>
          <t xml:space="preserve">Memory: </t>
        </r>
        <r>
          <rPr>
            <sz val="9"/>
            <color indexed="81"/>
            <rFont val="Tahoma"/>
            <family val="2"/>
          </rPr>
          <t xml:space="preserve">The amount of memory to be allocated for the server.
</t>
        </r>
        <r>
          <rPr>
            <b/>
            <sz val="9"/>
            <color indexed="81"/>
            <rFont val="Tahoma"/>
            <family val="2"/>
          </rPr>
          <t>Highlighted Cells:</t>
        </r>
        <r>
          <rPr>
            <sz val="9"/>
            <color indexed="81"/>
            <rFont val="Tahoma"/>
            <family val="2"/>
          </rPr>
          <t xml:space="preserve"> Indicate memory less than Recommended RAM</t>
        </r>
      </text>
    </comment>
    <comment ref="AW1" authorId="0">
      <text>
        <r>
          <rPr>
            <b/>
            <sz val="9"/>
            <color indexed="81"/>
            <rFont val="Tahoma"/>
            <family val="2"/>
          </rPr>
          <t>Is Clustered:</t>
        </r>
        <r>
          <rPr>
            <sz val="9"/>
            <color indexed="81"/>
            <rFont val="Tahoma"/>
            <family val="2"/>
          </rPr>
          <t xml:space="preserve"> Used to identify physical cluster sets.  Each cluster should have a unique ID to simplify quantifying the number of clusters and scope-of-work.</t>
        </r>
      </text>
    </comment>
    <comment ref="AX1" authorId="0">
      <text>
        <r>
          <rPr>
            <b/>
            <sz val="9"/>
            <color indexed="81"/>
            <rFont val="Tahoma"/>
            <family val="2"/>
          </rPr>
          <t>Cluster Type:</t>
        </r>
        <r>
          <rPr>
            <sz val="9"/>
            <color indexed="81"/>
            <rFont val="Tahoma"/>
            <family val="2"/>
          </rPr>
          <t xml:space="preserve">
If a cluster, must have entry in the 'Is Clustered? (ID#)' column, then select one of the following:
NLB = Network (local) Load Balancer
WLB = Cross-site Load Balancer
VCS = Veritas Cluster
HAC = HACMP
RAC = Oracle ASM/CRS</t>
        </r>
      </text>
    </comment>
    <comment ref="AY1" authorId="0">
      <text>
        <r>
          <rPr>
            <b/>
            <sz val="9"/>
            <color indexed="81"/>
            <rFont val="Tahoma"/>
            <family val="2"/>
          </rPr>
          <t xml:space="preserve">Cluster Type: </t>
        </r>
        <r>
          <rPr>
            <sz val="9"/>
            <color indexed="81"/>
            <rFont val="Tahoma"/>
            <family val="2"/>
          </rPr>
          <t xml:space="preserve">Hot or Standby - If a cluster note please indicate if node should be considered hot or standby.
</t>
        </r>
      </text>
    </comment>
    <comment ref="AZ1" authorId="0">
      <text>
        <r>
          <rPr>
            <b/>
            <sz val="9"/>
            <color indexed="81"/>
            <rFont val="Tahoma"/>
            <family val="2"/>
          </rPr>
          <t xml:space="preserve">Affinity: </t>
        </r>
        <r>
          <rPr>
            <sz val="9"/>
            <color indexed="81"/>
            <rFont val="Tahoma"/>
            <family val="2"/>
          </rPr>
          <t xml:space="preserve">Used to specify affinity rules to ensure that no two nodes in an HA pair are on the same chassis or ESX hosts as an example.
This also applies to LPARs in a logical cluster relationship that must be placed on different frames.
</t>
        </r>
      </text>
    </comment>
    <comment ref="BA1" authorId="0">
      <text>
        <r>
          <rPr>
            <b/>
            <sz val="9"/>
            <color indexed="81"/>
            <rFont val="Tahoma"/>
            <family val="2"/>
          </rPr>
          <t>Frame/Chassis #:</t>
        </r>
        <r>
          <rPr>
            <sz val="9"/>
            <color indexed="81"/>
            <rFont val="Tahoma"/>
            <family val="2"/>
          </rPr>
          <t xml:space="preserve"> Used to indicate which Frame/Chassis the device should be installed.  This is used to prevent paired devices from being in the same frame.
</t>
        </r>
      </text>
    </comment>
    <comment ref="BK1" authorId="0">
      <text>
        <r>
          <rPr>
            <b/>
            <sz val="9"/>
            <color indexed="81"/>
            <rFont val="Tahoma"/>
            <family val="2"/>
          </rPr>
          <t xml:space="preserve">Recommended SAN (GB): </t>
        </r>
        <r>
          <rPr>
            <sz val="9"/>
            <color indexed="81"/>
            <rFont val="Tahoma"/>
            <family val="2"/>
          </rPr>
          <t xml:space="preserve">Assumes 2 LUNs for O/S and additional LUN(s) at 75% of RAM with a minimum of 1 LUN.
</t>
        </r>
      </text>
    </comment>
    <comment ref="BR1" authorId="0">
      <text>
        <r>
          <rPr>
            <b/>
            <sz val="9"/>
            <color indexed="81"/>
            <rFont val="Tahoma"/>
            <family val="2"/>
          </rPr>
          <t xml:space="preserve">Require SRDF?: </t>
        </r>
        <r>
          <rPr>
            <sz val="9"/>
            <color indexed="81"/>
            <rFont val="Tahoma"/>
            <family val="2"/>
          </rPr>
          <t xml:space="preserve">Does this server require SRDF?
</t>
        </r>
      </text>
    </comment>
    <comment ref="BS1" authorId="0">
      <text>
        <r>
          <rPr>
            <b/>
            <sz val="9"/>
            <color indexed="81"/>
            <rFont val="Tahoma"/>
            <family val="2"/>
          </rPr>
          <t xml:space="preserve">CALCULATED --&gt;
Recommended NAS (GB): </t>
        </r>
        <r>
          <rPr>
            <sz val="9"/>
            <color indexed="81"/>
            <rFont val="Tahoma"/>
            <family val="2"/>
          </rPr>
          <t xml:space="preserve">The recommended about of NAS for this server.
</t>
        </r>
        <r>
          <rPr>
            <b/>
            <sz val="9"/>
            <color indexed="81"/>
            <rFont val="Tahoma"/>
            <family val="2"/>
          </rPr>
          <t xml:space="preserve">Note: </t>
        </r>
        <r>
          <rPr>
            <sz val="9"/>
            <color indexed="81"/>
            <rFont val="Tahoma"/>
            <family val="2"/>
          </rPr>
          <t xml:space="preserve">This only shows appears for Vmware servers by default.
</t>
        </r>
      </text>
    </comment>
    <comment ref="BT1" authorId="0">
      <text>
        <r>
          <rPr>
            <b/>
            <sz val="9"/>
            <color indexed="81"/>
            <rFont val="Tahoma"/>
            <family val="2"/>
          </rPr>
          <t xml:space="preserve">Additional NAS (GB): </t>
        </r>
        <r>
          <rPr>
            <sz val="9"/>
            <color indexed="81"/>
            <rFont val="Tahoma"/>
            <family val="2"/>
          </rPr>
          <t xml:space="preserve">The amount of additional NAS required to be added to the recommended NAS (GB) value.
</t>
        </r>
      </text>
    </comment>
    <comment ref="BU1" authorId="0">
      <text>
        <r>
          <rPr>
            <b/>
            <sz val="9"/>
            <color indexed="81"/>
            <rFont val="Tahoma"/>
            <family val="2"/>
          </rPr>
          <t xml:space="preserve">CALCULATED --&gt; NAS (GB) Dedicated: </t>
        </r>
        <r>
          <rPr>
            <sz val="9"/>
            <color indexed="81"/>
            <rFont val="Tahoma"/>
            <family val="2"/>
          </rPr>
          <t xml:space="preserve">The total dedicated NAS share for the server.
</t>
        </r>
      </text>
    </comment>
    <comment ref="BV1" authorId="0">
      <text>
        <r>
          <rPr>
            <b/>
            <sz val="9"/>
            <color indexed="81"/>
            <rFont val="Tahoma"/>
            <family val="2"/>
          </rPr>
          <t>NAS (GB) Shared:</t>
        </r>
        <r>
          <rPr>
            <sz val="9"/>
            <color indexed="81"/>
            <rFont val="Tahoma"/>
            <family val="2"/>
          </rPr>
          <t xml:space="preserve"> The proportional share of total group storage for this server (e.g. Group NAS total is 80GB across 4 servers, the individual server's share would be 20GB each.)
</t>
        </r>
      </text>
    </comment>
    <comment ref="BW1" authorId="0">
      <text>
        <r>
          <rPr>
            <b/>
            <sz val="9"/>
            <color indexed="81"/>
            <rFont val="Tahoma"/>
            <family val="2"/>
          </rPr>
          <t xml:space="preserve">NAS Shared Group: </t>
        </r>
        <r>
          <rPr>
            <sz val="9"/>
            <color indexed="81"/>
            <rFont val="Tahoma"/>
            <family val="2"/>
          </rPr>
          <t xml:space="preserve">The NAS Shared Group Name for which grouped servers will share NAS storage.
</t>
        </r>
      </text>
    </comment>
    <comment ref="BX1" authorId="0">
      <text>
        <r>
          <rPr>
            <b/>
            <sz val="9"/>
            <color indexed="81"/>
            <rFont val="Tahoma"/>
            <family val="2"/>
          </rPr>
          <t xml:space="preserve">NetBackup Full: </t>
        </r>
        <r>
          <rPr>
            <sz val="9"/>
            <color indexed="81"/>
            <rFont val="Tahoma"/>
            <family val="2"/>
          </rPr>
          <t>The projected FULL backup requirements in GB.</t>
        </r>
      </text>
    </comment>
    <comment ref="BY1" authorId="0">
      <text>
        <r>
          <rPr>
            <b/>
            <sz val="9"/>
            <color indexed="81"/>
            <rFont val="Tahoma"/>
            <family val="2"/>
          </rPr>
          <t xml:space="preserve">NetBackup Incr: </t>
        </r>
        <r>
          <rPr>
            <sz val="9"/>
            <color indexed="81"/>
            <rFont val="Tahoma"/>
            <family val="2"/>
          </rPr>
          <t xml:space="preserve">The projected incremental backup requirements in GB.
</t>
        </r>
      </text>
    </comment>
    <comment ref="BZ1" authorId="0">
      <text>
        <r>
          <rPr>
            <b/>
            <sz val="9"/>
            <color indexed="81"/>
            <rFont val="Tahoma"/>
            <family val="2"/>
          </rPr>
          <t xml:space="preserve">HSM Required?: </t>
        </r>
        <r>
          <rPr>
            <sz val="9"/>
            <color indexed="81"/>
            <rFont val="Tahoma"/>
            <family val="2"/>
          </rPr>
          <t xml:space="preserve">If HSM is required, double-click to add checkmark.
</t>
        </r>
        <r>
          <rPr>
            <b/>
            <sz val="9"/>
            <color indexed="81"/>
            <rFont val="Tahoma"/>
            <family val="2"/>
          </rPr>
          <t>Note:</t>
        </r>
        <r>
          <rPr>
            <sz val="9"/>
            <color indexed="81"/>
            <rFont val="Tahoma"/>
            <family val="2"/>
          </rPr>
          <t xml:space="preserve"> Double-clicks will toggle checkmark entry.
</t>
        </r>
      </text>
    </comment>
    <comment ref="CA1" authorId="0">
      <text>
        <r>
          <rPr>
            <b/>
            <sz val="9"/>
            <color indexed="81"/>
            <rFont val="Tahoma"/>
            <family val="2"/>
          </rPr>
          <t xml:space="preserve">DMZ Required?: </t>
        </r>
        <r>
          <rPr>
            <sz val="9"/>
            <color indexed="81"/>
            <rFont val="Tahoma"/>
            <family val="2"/>
          </rPr>
          <t xml:space="preserve">If DMZ is required, double-click to add checkmark.
</t>
        </r>
        <r>
          <rPr>
            <b/>
            <sz val="9"/>
            <color indexed="81"/>
            <rFont val="Tahoma"/>
            <family val="2"/>
          </rPr>
          <t xml:space="preserve">Note: </t>
        </r>
        <r>
          <rPr>
            <sz val="9"/>
            <color indexed="81"/>
            <rFont val="Tahoma"/>
            <family val="2"/>
          </rPr>
          <t xml:space="preserve">Double-clicks will toggle checkmark entry.
</t>
        </r>
      </text>
    </comment>
    <comment ref="CB1" authorId="0">
      <text>
        <r>
          <rPr>
            <b/>
            <sz val="9"/>
            <color indexed="81"/>
            <rFont val="Tahoma"/>
            <family val="2"/>
          </rPr>
          <t>Network Conn I:</t>
        </r>
        <r>
          <rPr>
            <sz val="9"/>
            <color indexed="81"/>
            <rFont val="Tahoma"/>
            <family val="2"/>
          </rPr>
          <t xml:space="preserve"> Select the type of network connection for the first network port.
</t>
        </r>
      </text>
    </comment>
    <comment ref="CC1" authorId="0">
      <text>
        <r>
          <rPr>
            <b/>
            <sz val="9"/>
            <color indexed="81"/>
            <rFont val="Tahoma"/>
            <family val="2"/>
          </rPr>
          <t># of connections I:</t>
        </r>
        <r>
          <rPr>
            <sz val="9"/>
            <color indexed="81"/>
            <rFont val="Tahoma"/>
            <family val="2"/>
          </rPr>
          <t xml:space="preserve"> The number of connections required for the first port.
</t>
        </r>
        <r>
          <rPr>
            <b/>
            <sz val="9"/>
            <color indexed="81"/>
            <rFont val="Tahoma"/>
            <family val="2"/>
          </rPr>
          <t xml:space="preserve">Note: </t>
        </r>
        <r>
          <rPr>
            <sz val="9"/>
            <color indexed="81"/>
            <rFont val="Tahoma"/>
            <family val="2"/>
          </rPr>
          <t xml:space="preserve">this is usually on a different network subnet than Connection II.
</t>
        </r>
      </text>
    </comment>
    <comment ref="CD1" authorId="0">
      <text>
        <r>
          <rPr>
            <b/>
            <sz val="9"/>
            <color indexed="81"/>
            <rFont val="Tahoma"/>
            <family val="2"/>
          </rPr>
          <t xml:space="preserve">Network Conn II: </t>
        </r>
        <r>
          <rPr>
            <sz val="9"/>
            <color indexed="81"/>
            <rFont val="Tahoma"/>
            <family val="2"/>
          </rPr>
          <t xml:space="preserve">Select the type of network connection for the second network port.
</t>
        </r>
      </text>
    </comment>
    <comment ref="CE1" authorId="0">
      <text>
        <r>
          <rPr>
            <b/>
            <sz val="9"/>
            <color indexed="81"/>
            <rFont val="Tahoma"/>
            <family val="2"/>
          </rPr>
          <t># of connections II:</t>
        </r>
        <r>
          <rPr>
            <sz val="9"/>
            <color indexed="81"/>
            <rFont val="Tahoma"/>
            <family val="2"/>
          </rPr>
          <t xml:space="preserve"> The number of connections required for the second port.</t>
        </r>
        <r>
          <rPr>
            <b/>
            <sz val="9"/>
            <color indexed="81"/>
            <rFont val="Tahoma"/>
            <family val="2"/>
          </rPr>
          <t xml:space="preserve">
Note: </t>
        </r>
        <r>
          <rPr>
            <sz val="9"/>
            <color indexed="81"/>
            <rFont val="Tahoma"/>
            <family val="2"/>
          </rPr>
          <t>this is usually on a different network subnet than Connection I.</t>
        </r>
        <r>
          <rPr>
            <b/>
            <sz val="9"/>
            <color indexed="81"/>
            <rFont val="Tahoma"/>
            <family val="2"/>
          </rPr>
          <t xml:space="preserve">
</t>
        </r>
        <r>
          <rPr>
            <sz val="9"/>
            <color indexed="81"/>
            <rFont val="Tahoma"/>
            <family val="2"/>
          </rPr>
          <t xml:space="preserve">
</t>
        </r>
      </text>
    </comment>
    <comment ref="CF1" authorId="0">
      <text>
        <r>
          <rPr>
            <b/>
            <sz val="9"/>
            <color indexed="81"/>
            <rFont val="Tahoma"/>
            <family val="2"/>
          </rPr>
          <t>Primary IP:</t>
        </r>
        <r>
          <rPr>
            <sz val="9"/>
            <color indexed="81"/>
            <rFont val="Tahoma"/>
            <family val="2"/>
          </rPr>
          <t xml:space="preserve"> The server's primary IP address (i.e. xxx.xxx.xxx.xxx)</t>
        </r>
      </text>
    </comment>
    <comment ref="CG1" authorId="0">
      <text>
        <r>
          <rPr>
            <b/>
            <sz val="9"/>
            <color indexed="81"/>
            <rFont val="Tahoma"/>
            <family val="2"/>
          </rPr>
          <t>Secondary IP:</t>
        </r>
        <r>
          <rPr>
            <sz val="9"/>
            <color indexed="81"/>
            <rFont val="Tahoma"/>
            <family val="2"/>
          </rPr>
          <t xml:space="preserve"> The server's secondary IP address (i.e. xxx.xxx.xxx.xxx)</t>
        </r>
      </text>
    </comment>
    <comment ref="CJ1" authorId="0">
      <text>
        <r>
          <rPr>
            <b/>
            <sz val="9"/>
            <color indexed="81"/>
            <rFont val="Tahoma"/>
            <family val="2"/>
          </rPr>
          <t xml:space="preserve">Notes: </t>
        </r>
        <r>
          <rPr>
            <sz val="9"/>
            <color indexed="81"/>
            <rFont val="Tahoma"/>
            <family val="2"/>
          </rPr>
          <t xml:space="preserve">Any additional notes or comments for the server can be placed here.
</t>
        </r>
      </text>
    </comment>
    <comment ref="CL1" authorId="0">
      <text>
        <r>
          <rPr>
            <b/>
            <sz val="9"/>
            <color indexed="81"/>
            <rFont val="Tahoma"/>
            <family val="2"/>
          </rPr>
          <t>Per Core</t>
        </r>
        <r>
          <rPr>
            <sz val="9"/>
            <color indexed="81"/>
            <rFont val="Tahoma"/>
            <family val="2"/>
          </rPr>
          <t xml:space="preserve">
</t>
        </r>
      </text>
    </comment>
    <comment ref="CM1" authorId="0">
      <text>
        <r>
          <rPr>
            <b/>
            <sz val="9"/>
            <color indexed="81"/>
            <rFont val="Tahoma"/>
            <family val="2"/>
          </rPr>
          <t>Per Server</t>
        </r>
        <r>
          <rPr>
            <sz val="9"/>
            <color indexed="81"/>
            <rFont val="Tahoma"/>
            <family val="2"/>
          </rPr>
          <t xml:space="preserve">
</t>
        </r>
      </text>
    </comment>
    <comment ref="CN1" authorId="0">
      <text>
        <r>
          <rPr>
            <b/>
            <sz val="9"/>
            <color indexed="81"/>
            <rFont val="Tahoma"/>
            <family val="2"/>
          </rPr>
          <t>Per Server</t>
        </r>
        <r>
          <rPr>
            <sz val="9"/>
            <color indexed="81"/>
            <rFont val="Tahoma"/>
            <family val="2"/>
          </rPr>
          <t xml:space="preserve">
</t>
        </r>
      </text>
    </comment>
    <comment ref="CO1" authorId="0">
      <text>
        <r>
          <rPr>
            <b/>
            <sz val="9"/>
            <color indexed="81"/>
            <rFont val="Tahoma"/>
            <family val="2"/>
          </rPr>
          <t>Per Core</t>
        </r>
        <r>
          <rPr>
            <sz val="9"/>
            <color indexed="81"/>
            <rFont val="Tahoma"/>
            <family val="2"/>
          </rPr>
          <t xml:space="preserve">
</t>
        </r>
      </text>
    </comment>
    <comment ref="CP1" authorId="0">
      <text>
        <r>
          <rPr>
            <b/>
            <sz val="9"/>
            <color indexed="81"/>
            <rFont val="Tahoma"/>
            <family val="2"/>
          </rPr>
          <t>Per Core</t>
        </r>
        <r>
          <rPr>
            <sz val="9"/>
            <color indexed="81"/>
            <rFont val="Tahoma"/>
            <family val="2"/>
          </rPr>
          <t xml:space="preserve">
</t>
        </r>
      </text>
    </comment>
    <comment ref="CQ1" authorId="0">
      <text>
        <r>
          <rPr>
            <b/>
            <sz val="9"/>
            <color indexed="81"/>
            <rFont val="Tahoma"/>
            <family val="2"/>
          </rPr>
          <t>Per Core</t>
        </r>
        <r>
          <rPr>
            <sz val="9"/>
            <color indexed="81"/>
            <rFont val="Tahoma"/>
            <family val="2"/>
          </rPr>
          <t xml:space="preserve">
</t>
        </r>
      </text>
    </comment>
    <comment ref="CR1" authorId="0">
      <text>
        <r>
          <rPr>
            <b/>
            <sz val="9"/>
            <color indexed="81"/>
            <rFont val="Tahoma"/>
            <family val="2"/>
          </rPr>
          <t>Per Core</t>
        </r>
        <r>
          <rPr>
            <sz val="9"/>
            <color indexed="81"/>
            <rFont val="Tahoma"/>
            <family val="2"/>
          </rPr>
          <t xml:space="preserve">
</t>
        </r>
      </text>
    </comment>
    <comment ref="CS1" authorId="0">
      <text>
        <r>
          <rPr>
            <b/>
            <sz val="9"/>
            <color indexed="81"/>
            <rFont val="Tahoma"/>
            <family val="2"/>
          </rPr>
          <t>Per Core</t>
        </r>
        <r>
          <rPr>
            <sz val="9"/>
            <color indexed="81"/>
            <rFont val="Tahoma"/>
            <family val="2"/>
          </rPr>
          <t xml:space="preserve">
</t>
        </r>
      </text>
    </comment>
    <comment ref="CT1" authorId="0">
      <text>
        <r>
          <rPr>
            <b/>
            <sz val="9"/>
            <color indexed="81"/>
            <rFont val="Tahoma"/>
            <family val="2"/>
          </rPr>
          <t>Per Core</t>
        </r>
        <r>
          <rPr>
            <sz val="9"/>
            <color indexed="81"/>
            <rFont val="Tahoma"/>
            <family val="2"/>
          </rPr>
          <t xml:space="preserve">
</t>
        </r>
      </text>
    </comment>
    <comment ref="CU1" authorId="0">
      <text>
        <r>
          <rPr>
            <b/>
            <sz val="9"/>
            <color indexed="81"/>
            <rFont val="Tahoma"/>
            <family val="2"/>
          </rPr>
          <t>Per Core</t>
        </r>
        <r>
          <rPr>
            <sz val="9"/>
            <color indexed="81"/>
            <rFont val="Tahoma"/>
            <family val="2"/>
          </rPr>
          <t xml:space="preserve">
</t>
        </r>
      </text>
    </comment>
    <comment ref="CV1" authorId="0">
      <text>
        <r>
          <rPr>
            <b/>
            <sz val="9"/>
            <color indexed="81"/>
            <rFont val="Tahoma"/>
            <family val="2"/>
          </rPr>
          <t>Per Core</t>
        </r>
        <r>
          <rPr>
            <sz val="9"/>
            <color indexed="81"/>
            <rFont val="Tahoma"/>
            <family val="2"/>
          </rPr>
          <t xml:space="preserve">
</t>
        </r>
      </text>
    </comment>
    <comment ref="CW1" authorId="0">
      <text>
        <r>
          <rPr>
            <b/>
            <sz val="9"/>
            <color indexed="81"/>
            <rFont val="Tahoma"/>
            <family val="2"/>
          </rPr>
          <t>Per Core</t>
        </r>
        <r>
          <rPr>
            <sz val="9"/>
            <color indexed="81"/>
            <rFont val="Tahoma"/>
            <family val="2"/>
          </rPr>
          <t xml:space="preserve">
</t>
        </r>
      </text>
    </comment>
    <comment ref="CX1" authorId="0">
      <text>
        <r>
          <rPr>
            <b/>
            <sz val="9"/>
            <color indexed="81"/>
            <rFont val="Tahoma"/>
            <family val="2"/>
          </rPr>
          <t>Per Core</t>
        </r>
        <r>
          <rPr>
            <sz val="9"/>
            <color indexed="81"/>
            <rFont val="Tahoma"/>
            <family val="2"/>
          </rPr>
          <t xml:space="preserve">
</t>
        </r>
      </text>
    </comment>
    <comment ref="CY1" authorId="0">
      <text>
        <r>
          <rPr>
            <b/>
            <sz val="9"/>
            <color indexed="81"/>
            <rFont val="Tahoma"/>
            <family val="2"/>
          </rPr>
          <t>Per Core</t>
        </r>
        <r>
          <rPr>
            <sz val="9"/>
            <color indexed="81"/>
            <rFont val="Tahoma"/>
            <family val="2"/>
          </rPr>
          <t xml:space="preserve">
</t>
        </r>
      </text>
    </comment>
    <comment ref="CZ1" authorId="0">
      <text>
        <r>
          <rPr>
            <b/>
            <sz val="9"/>
            <color indexed="81"/>
            <rFont val="Tahoma"/>
            <family val="2"/>
          </rPr>
          <t>Per Core</t>
        </r>
        <r>
          <rPr>
            <sz val="9"/>
            <color indexed="81"/>
            <rFont val="Tahoma"/>
            <family val="2"/>
          </rPr>
          <t xml:space="preserve">
</t>
        </r>
      </text>
    </comment>
    <comment ref="DA1" authorId="0">
      <text>
        <r>
          <rPr>
            <b/>
            <sz val="9"/>
            <color indexed="81"/>
            <rFont val="Tahoma"/>
            <family val="2"/>
          </rPr>
          <t>Per Core</t>
        </r>
        <r>
          <rPr>
            <sz val="9"/>
            <color indexed="81"/>
            <rFont val="Tahoma"/>
            <family val="2"/>
          </rPr>
          <t xml:space="preserve">
</t>
        </r>
      </text>
    </comment>
    <comment ref="DB1" authorId="0">
      <text>
        <r>
          <rPr>
            <b/>
            <sz val="9"/>
            <color indexed="81"/>
            <rFont val="Tahoma"/>
            <family val="2"/>
          </rPr>
          <t>Per Core</t>
        </r>
        <r>
          <rPr>
            <sz val="9"/>
            <color indexed="81"/>
            <rFont val="Tahoma"/>
            <family val="2"/>
          </rPr>
          <t xml:space="preserve">
</t>
        </r>
      </text>
    </comment>
    <comment ref="DC1" authorId="0">
      <text>
        <r>
          <rPr>
            <b/>
            <sz val="9"/>
            <color indexed="81"/>
            <rFont val="Tahoma"/>
            <family val="2"/>
          </rPr>
          <t>Per Core</t>
        </r>
        <r>
          <rPr>
            <sz val="9"/>
            <color indexed="81"/>
            <rFont val="Tahoma"/>
            <family val="2"/>
          </rPr>
          <t xml:space="preserve">
</t>
        </r>
      </text>
    </comment>
    <comment ref="DF1" authorId="0">
      <text>
        <r>
          <rPr>
            <b/>
            <sz val="9"/>
            <color indexed="81"/>
            <rFont val="Tahoma"/>
            <family val="2"/>
          </rPr>
          <t>Per CPU</t>
        </r>
        <r>
          <rPr>
            <sz val="9"/>
            <color indexed="81"/>
            <rFont val="Tahoma"/>
            <family val="2"/>
          </rPr>
          <t xml:space="preserve">
</t>
        </r>
      </text>
    </comment>
    <comment ref="DG1" authorId="0">
      <text>
        <r>
          <rPr>
            <b/>
            <sz val="9"/>
            <color indexed="81"/>
            <rFont val="Tahoma"/>
            <family val="2"/>
          </rPr>
          <t>Per CPU</t>
        </r>
        <r>
          <rPr>
            <sz val="9"/>
            <color indexed="81"/>
            <rFont val="Tahoma"/>
            <family val="2"/>
          </rPr>
          <t xml:space="preserve">
</t>
        </r>
      </text>
    </comment>
    <comment ref="DH1" authorId="0">
      <text>
        <r>
          <rPr>
            <b/>
            <sz val="9"/>
            <color indexed="81"/>
            <rFont val="Tahoma"/>
            <family val="2"/>
          </rPr>
          <t>Per Server</t>
        </r>
        <r>
          <rPr>
            <sz val="9"/>
            <color indexed="81"/>
            <rFont val="Tahoma"/>
            <family val="2"/>
          </rPr>
          <t xml:space="preserve">
</t>
        </r>
      </text>
    </comment>
    <comment ref="DI1" authorId="0">
      <text>
        <r>
          <rPr>
            <b/>
            <sz val="9"/>
            <color indexed="81"/>
            <rFont val="Tahoma"/>
            <family val="2"/>
          </rPr>
          <t>Per CPU</t>
        </r>
        <r>
          <rPr>
            <sz val="9"/>
            <color indexed="81"/>
            <rFont val="Tahoma"/>
            <family val="2"/>
          </rPr>
          <t xml:space="preserve">
</t>
        </r>
      </text>
    </comment>
    <comment ref="DJ1" authorId="0">
      <text>
        <r>
          <rPr>
            <b/>
            <sz val="9"/>
            <color indexed="81"/>
            <rFont val="Tahoma"/>
            <family val="2"/>
          </rPr>
          <t>Per Server</t>
        </r>
        <r>
          <rPr>
            <sz val="9"/>
            <color indexed="81"/>
            <rFont val="Tahoma"/>
            <family val="2"/>
          </rPr>
          <t xml:space="preserve">
</t>
        </r>
      </text>
    </comment>
    <comment ref="EB1" authorId="0">
      <text>
        <r>
          <rPr>
            <b/>
            <sz val="9"/>
            <color indexed="81"/>
            <rFont val="Tahoma"/>
            <family val="2"/>
          </rPr>
          <t>Per Core</t>
        </r>
        <r>
          <rPr>
            <sz val="9"/>
            <color indexed="81"/>
            <rFont val="Tahoma"/>
            <family val="2"/>
          </rPr>
          <t xml:space="preserve">
</t>
        </r>
      </text>
    </comment>
    <comment ref="EC1" authorId="0">
      <text>
        <r>
          <rPr>
            <b/>
            <sz val="9"/>
            <color indexed="81"/>
            <rFont val="Tahoma"/>
            <family val="2"/>
          </rPr>
          <t>Per CPU</t>
        </r>
        <r>
          <rPr>
            <sz val="9"/>
            <color indexed="81"/>
            <rFont val="Tahoma"/>
            <family val="2"/>
          </rPr>
          <t xml:space="preserve">
</t>
        </r>
      </text>
    </comment>
    <comment ref="ED1" authorId="0">
      <text>
        <r>
          <rPr>
            <b/>
            <sz val="9"/>
            <color indexed="81"/>
            <rFont val="Tahoma"/>
            <family val="2"/>
          </rPr>
          <t>Per Server</t>
        </r>
        <r>
          <rPr>
            <sz val="9"/>
            <color indexed="81"/>
            <rFont val="Tahoma"/>
            <family val="2"/>
          </rPr>
          <t xml:space="preserve">
</t>
        </r>
      </text>
    </comment>
    <comment ref="EE1" authorId="0">
      <text>
        <r>
          <rPr>
            <b/>
            <sz val="9"/>
            <color indexed="81"/>
            <rFont val="Tahoma"/>
            <family val="2"/>
          </rPr>
          <t>Per Core</t>
        </r>
        <r>
          <rPr>
            <sz val="9"/>
            <color indexed="81"/>
            <rFont val="Tahoma"/>
            <family val="2"/>
          </rPr>
          <t xml:space="preserve">
</t>
        </r>
      </text>
    </comment>
    <comment ref="EF1" authorId="0">
      <text>
        <r>
          <rPr>
            <b/>
            <sz val="9"/>
            <color indexed="81"/>
            <rFont val="Tahoma"/>
            <family val="2"/>
          </rPr>
          <t>Per Core</t>
        </r>
        <r>
          <rPr>
            <sz val="9"/>
            <color indexed="81"/>
            <rFont val="Tahoma"/>
            <family val="2"/>
          </rPr>
          <t xml:space="preserve">
</t>
        </r>
      </text>
    </comment>
    <comment ref="EG1" authorId="0">
      <text>
        <r>
          <rPr>
            <b/>
            <sz val="9"/>
            <color indexed="81"/>
            <rFont val="Tahoma"/>
            <family val="2"/>
          </rPr>
          <t>Per Core</t>
        </r>
        <r>
          <rPr>
            <sz val="9"/>
            <color indexed="81"/>
            <rFont val="Tahoma"/>
            <family val="2"/>
          </rPr>
          <t xml:space="preserve">
</t>
        </r>
      </text>
    </comment>
    <comment ref="EH1" authorId="0">
      <text>
        <r>
          <rPr>
            <b/>
            <sz val="9"/>
            <color indexed="81"/>
            <rFont val="Tahoma"/>
            <family val="2"/>
          </rPr>
          <t>Per Core</t>
        </r>
        <r>
          <rPr>
            <sz val="9"/>
            <color indexed="81"/>
            <rFont val="Tahoma"/>
            <family val="2"/>
          </rPr>
          <t xml:space="preserve">
</t>
        </r>
      </text>
    </comment>
    <comment ref="EI1" authorId="0">
      <text>
        <r>
          <rPr>
            <b/>
            <sz val="9"/>
            <color indexed="81"/>
            <rFont val="Tahoma"/>
            <family val="2"/>
          </rPr>
          <t>Per Core</t>
        </r>
        <r>
          <rPr>
            <sz val="9"/>
            <color indexed="81"/>
            <rFont val="Tahoma"/>
            <family val="2"/>
          </rPr>
          <t xml:space="preserve">
</t>
        </r>
      </text>
    </comment>
    <comment ref="EJ1" authorId="0">
      <text>
        <r>
          <rPr>
            <b/>
            <sz val="9"/>
            <color indexed="81"/>
            <rFont val="Tahoma"/>
            <family val="2"/>
          </rPr>
          <t>Per Core</t>
        </r>
        <r>
          <rPr>
            <sz val="9"/>
            <color indexed="81"/>
            <rFont val="Tahoma"/>
            <family val="2"/>
          </rPr>
          <t xml:space="preserve">
</t>
        </r>
      </text>
    </comment>
    <comment ref="EK1" authorId="0">
      <text>
        <r>
          <rPr>
            <b/>
            <sz val="9"/>
            <color indexed="81"/>
            <rFont val="Tahoma"/>
            <family val="2"/>
          </rPr>
          <t>Per CPU</t>
        </r>
        <r>
          <rPr>
            <sz val="9"/>
            <color indexed="81"/>
            <rFont val="Tahoma"/>
            <family val="2"/>
          </rPr>
          <t xml:space="preserve">
</t>
        </r>
      </text>
    </comment>
    <comment ref="EM1" authorId="1">
      <text>
        <r>
          <rPr>
            <b/>
            <sz val="8"/>
            <color indexed="81"/>
            <rFont val="Tahoma"/>
            <family val="2"/>
          </rPr>
          <t>sl55853:</t>
        </r>
        <r>
          <rPr>
            <sz val="8"/>
            <color indexed="81"/>
            <rFont val="Tahoma"/>
            <family val="2"/>
          </rPr>
          <t xml:space="preserve">
Initial SW costs includes purchase and maintenance if not included in initial purchase (e.g. ab initio).</t>
        </r>
      </text>
    </comment>
    <comment ref="ET1" authorId="1">
      <text>
        <r>
          <rPr>
            <b/>
            <sz val="8"/>
            <color indexed="81"/>
            <rFont val="Tahoma"/>
            <family val="2"/>
          </rPr>
          <t>sl55853:</t>
        </r>
        <r>
          <rPr>
            <sz val="8"/>
            <color indexed="81"/>
            <rFont val="Tahoma"/>
            <family val="2"/>
          </rPr>
          <t xml:space="preserve">
Based on current rates, rates may change.</t>
        </r>
      </text>
    </comment>
    <comment ref="FC1" authorId="0">
      <text>
        <r>
          <rPr>
            <b/>
            <sz val="9"/>
            <color indexed="81"/>
            <rFont val="Tahoma"/>
            <family val="2"/>
          </rPr>
          <t xml:space="preserve">Server Cost Breakdown: </t>
        </r>
        <r>
          <rPr>
            <sz val="9"/>
            <color indexed="81"/>
            <rFont val="Tahoma"/>
            <family val="2"/>
          </rPr>
          <t xml:space="preserve">The calculated cost for the physical server/device.
</t>
        </r>
      </text>
    </comment>
    <comment ref="FG1" authorId="0">
      <text>
        <r>
          <rPr>
            <b/>
            <sz val="9"/>
            <color indexed="81"/>
            <rFont val="Tahoma"/>
            <family val="2"/>
          </rPr>
          <t xml:space="preserve">Memory Cost: </t>
        </r>
        <r>
          <rPr>
            <sz val="9"/>
            <color indexed="81"/>
            <rFont val="Tahoma"/>
            <family val="2"/>
          </rPr>
          <t xml:space="preserve">The calculated cost for Memory
</t>
        </r>
      </text>
    </comment>
    <comment ref="FH1" authorId="0">
      <text>
        <r>
          <rPr>
            <b/>
            <sz val="9"/>
            <color indexed="81"/>
            <rFont val="Tahoma"/>
            <family val="2"/>
          </rPr>
          <t xml:space="preserve">Support Cost: </t>
        </r>
        <r>
          <rPr>
            <sz val="9"/>
            <color indexed="81"/>
            <rFont val="Tahoma"/>
            <family val="2"/>
          </rPr>
          <t xml:space="preserve">The calculated Support Cost for new servers only.
</t>
        </r>
        <r>
          <rPr>
            <b/>
            <sz val="9"/>
            <color indexed="81"/>
            <rFont val="Tahoma"/>
            <family val="2"/>
          </rPr>
          <t>Note:</t>
        </r>
        <r>
          <rPr>
            <sz val="9"/>
            <color indexed="81"/>
            <rFont val="Tahoma"/>
            <family val="2"/>
          </rPr>
          <t xml:space="preserve"> Assumes Support Costs are already covered for existing servers.
</t>
        </r>
      </text>
    </comment>
    <comment ref="FI1" authorId="0">
      <text>
        <r>
          <rPr>
            <b/>
            <sz val="9"/>
            <color indexed="81"/>
            <rFont val="Tahoma"/>
            <family val="2"/>
          </rPr>
          <t xml:space="preserve">Network Cost: </t>
        </r>
        <r>
          <rPr>
            <sz val="9"/>
            <color indexed="81"/>
            <rFont val="Tahoma"/>
            <family val="2"/>
          </rPr>
          <t xml:space="preserve">The calculated Network Cost
</t>
        </r>
      </text>
    </comment>
    <comment ref="AI151" authorId="1">
      <text>
        <r>
          <rPr>
            <sz val="8"/>
            <color indexed="81"/>
            <rFont val="Tahoma"/>
            <family val="2"/>
          </rPr>
          <t>Unique 'Alias'  server count</t>
        </r>
      </text>
    </comment>
  </commentList>
</comments>
</file>

<file path=xl/comments2.xml><?xml version="1.0" encoding="utf-8"?>
<comments xmlns="http://schemas.openxmlformats.org/spreadsheetml/2006/main">
  <authors>
    <author>sl55853</author>
    <author>Antonio Jarufe</author>
    <author>Scott R. Leitstein</author>
  </authors>
  <commentList>
    <comment ref="G19" authorId="0">
      <text>
        <r>
          <rPr>
            <b/>
            <sz val="8"/>
            <color indexed="81"/>
            <rFont val="Tahoma"/>
            <family val="2"/>
          </rPr>
          <t>sl55853:</t>
        </r>
        <r>
          <rPr>
            <sz val="8"/>
            <color indexed="81"/>
            <rFont val="Tahoma"/>
            <family val="2"/>
          </rPr>
          <t xml:space="preserve">
Price increase per D. Wendt's quote (6/21/12)
$41.55/PVU to $43.95/PVU
</t>
        </r>
      </text>
    </comment>
    <comment ref="H19" authorId="0">
      <text>
        <r>
          <rPr>
            <b/>
            <sz val="8"/>
            <color indexed="81"/>
            <rFont val="Tahoma"/>
            <family val="2"/>
          </rPr>
          <t>sl55853:</t>
        </r>
        <r>
          <rPr>
            <sz val="8"/>
            <color indexed="81"/>
            <rFont val="Tahoma"/>
            <family val="2"/>
          </rPr>
          <t xml:space="preserve">
Price increase per D. Wendt's quote (6/21/12)
$13.83/PVU to $17.55/PVU</t>
        </r>
      </text>
    </comment>
    <comment ref="Z23" authorId="1">
      <text>
        <r>
          <rPr>
            <sz val="9"/>
            <color indexed="81"/>
            <rFont val="Tahoma"/>
            <family val="2"/>
          </rPr>
          <t>KANA Connect - Licensing Detail TBD</t>
        </r>
      </text>
    </comment>
    <comment ref="D30" authorId="2">
      <text>
        <r>
          <rPr>
            <b/>
            <sz val="9"/>
            <color indexed="81"/>
            <rFont val="Tahoma"/>
            <family val="2"/>
          </rPr>
          <t xml:space="preserve">sl55853:
</t>
        </r>
        <r>
          <rPr>
            <sz val="9"/>
            <color indexed="81"/>
            <rFont val="Tahoma"/>
            <family val="2"/>
          </rPr>
          <t>810-03307-CITI Microsoft SQL Server Enterprise Edition Processor $ 27,028.72</t>
        </r>
      </text>
    </comment>
    <comment ref="D31" authorId="0">
      <text>
        <r>
          <rPr>
            <b/>
            <sz val="8"/>
            <color indexed="81"/>
            <rFont val="Tahoma"/>
            <family val="2"/>
          </rPr>
          <t>sl55853:</t>
        </r>
        <r>
          <rPr>
            <sz val="8"/>
            <color indexed="81"/>
            <rFont val="Tahoma"/>
            <family val="2"/>
          </rPr>
          <t xml:space="preserve">
810-04760-CITI  Microsoft SQL Server Enterprise Edition Server $ 9,712.72</t>
        </r>
      </text>
    </comment>
    <comment ref="D32" authorId="2">
      <text>
        <r>
          <rPr>
            <b/>
            <sz val="9"/>
            <color indexed="81"/>
            <rFont val="Tahoma"/>
            <family val="2"/>
          </rPr>
          <t xml:space="preserve">sl55853:
</t>
        </r>
        <r>
          <rPr>
            <sz val="9"/>
            <color indexed="81"/>
            <rFont val="Tahoma"/>
            <family val="2"/>
          </rPr>
          <t>228-03148-CITI Microsoft SQL Server Standard Edition Processor $  6,485.20</t>
        </r>
      </text>
    </comment>
    <comment ref="D33" authorId="0">
      <text>
        <r>
          <rPr>
            <b/>
            <sz val="8"/>
            <color indexed="81"/>
            <rFont val="Tahoma"/>
            <family val="2"/>
          </rPr>
          <t>sl55853:</t>
        </r>
        <r>
          <rPr>
            <sz val="8"/>
            <color indexed="81"/>
            <rFont val="Tahoma"/>
            <family val="2"/>
          </rPr>
          <t xml:space="preserve">
228-04433-CITI Microsoft SQL Server Standard Edition Server $1,013.52</t>
        </r>
      </text>
    </comment>
    <comment ref="G71" authorId="0">
      <text>
        <r>
          <rPr>
            <b/>
            <sz val="8"/>
            <color indexed="81"/>
            <rFont val="Tahoma"/>
            <family val="2"/>
          </rPr>
          <t>sl55853:</t>
        </r>
        <r>
          <rPr>
            <sz val="8"/>
            <color indexed="81"/>
            <rFont val="Tahoma"/>
            <family val="2"/>
          </rPr>
          <t xml:space="preserve">
Updated Apr 11,2013 per  info provided by Dwendt
Old value: $2,800</t>
        </r>
      </text>
    </comment>
    <comment ref="H71" authorId="0">
      <text>
        <r>
          <rPr>
            <b/>
            <sz val="8"/>
            <color indexed="81"/>
            <rFont val="Tahoma"/>
            <family val="2"/>
          </rPr>
          <t>sl55853:</t>
        </r>
        <r>
          <rPr>
            <sz val="8"/>
            <color indexed="81"/>
            <rFont val="Tahoma"/>
            <family val="2"/>
          </rPr>
          <t xml:space="preserve">
Updated Apr 11,2013 per  info provided by Dwendt
Old value: $600</t>
        </r>
      </text>
    </comment>
    <comment ref="G72" authorId="0">
      <text>
        <r>
          <rPr>
            <b/>
            <sz val="8"/>
            <color indexed="81"/>
            <rFont val="Tahoma"/>
            <family val="2"/>
          </rPr>
          <t>sl55853:</t>
        </r>
        <r>
          <rPr>
            <sz val="8"/>
            <color indexed="81"/>
            <rFont val="Tahoma"/>
            <family val="2"/>
          </rPr>
          <t xml:space="preserve">
Updated Apr 11,2013 per  info provided by Dwendt
Old value: $1,000</t>
        </r>
      </text>
    </comment>
    <comment ref="H72" authorId="0">
      <text>
        <r>
          <rPr>
            <b/>
            <sz val="8"/>
            <color indexed="81"/>
            <rFont val="Tahoma"/>
            <family val="2"/>
          </rPr>
          <t>sl55853:</t>
        </r>
        <r>
          <rPr>
            <sz val="8"/>
            <color indexed="81"/>
            <rFont val="Tahoma"/>
            <family val="2"/>
          </rPr>
          <t xml:space="preserve">
Updated Apr 11,2013 per  info provided by Dwendt
Old value: $336</t>
        </r>
      </text>
    </comment>
    <comment ref="G121" authorId="2">
      <text>
        <r>
          <rPr>
            <b/>
            <sz val="9"/>
            <color indexed="81"/>
            <rFont val="Tahoma"/>
            <family val="2"/>
          </rPr>
          <t xml:space="preserve">Price history:
</t>
        </r>
        <r>
          <rPr>
            <sz val="9"/>
            <color indexed="81"/>
            <rFont val="Tahoma"/>
            <family val="2"/>
          </rPr>
          <t>$928.50
$1408.50 - Nov-2012</t>
        </r>
        <r>
          <rPr>
            <sz val="9"/>
            <color indexed="81"/>
            <rFont val="Tahoma"/>
            <family val="2"/>
          </rPr>
          <t xml:space="preserve">
</t>
        </r>
      </text>
    </comment>
    <comment ref="H121" authorId="2">
      <text>
        <r>
          <rPr>
            <b/>
            <sz val="9"/>
            <color indexed="81"/>
            <rFont val="Tahoma"/>
            <family val="2"/>
          </rPr>
          <t>Price history:</t>
        </r>
        <r>
          <rPr>
            <sz val="9"/>
            <color indexed="81"/>
            <rFont val="Tahoma"/>
            <family val="2"/>
          </rPr>
          <t xml:space="preserve">
$167.13
$253.53 - Nov-2012
</t>
        </r>
      </text>
    </comment>
    <comment ref="G122" authorId="2">
      <text>
        <r>
          <rPr>
            <b/>
            <sz val="9"/>
            <color indexed="81"/>
            <rFont val="Tahoma"/>
            <family val="2"/>
          </rPr>
          <t xml:space="preserve">Price history:
</t>
        </r>
        <r>
          <rPr>
            <sz val="9"/>
            <color indexed="81"/>
            <rFont val="Tahoma"/>
            <family val="2"/>
          </rPr>
          <t>$928.50
$1408.50 - Nov-2012</t>
        </r>
        <r>
          <rPr>
            <sz val="9"/>
            <color indexed="81"/>
            <rFont val="Tahoma"/>
            <family val="2"/>
          </rPr>
          <t xml:space="preserve">
</t>
        </r>
      </text>
    </comment>
    <comment ref="H122" authorId="2">
      <text>
        <r>
          <rPr>
            <b/>
            <sz val="9"/>
            <color indexed="81"/>
            <rFont val="Tahoma"/>
            <family val="2"/>
          </rPr>
          <t>Price history:</t>
        </r>
        <r>
          <rPr>
            <sz val="9"/>
            <color indexed="81"/>
            <rFont val="Tahoma"/>
            <family val="2"/>
          </rPr>
          <t xml:space="preserve">
$167.13
$253.53 - Nov-2012
</t>
        </r>
      </text>
    </comment>
  </commentList>
</comments>
</file>

<file path=xl/comments3.xml><?xml version="1.0" encoding="utf-8"?>
<comments xmlns="http://schemas.openxmlformats.org/spreadsheetml/2006/main">
  <authors>
    <author>Scott R. Leitstein</author>
  </authors>
  <commentList>
    <comment ref="I496" authorId="0">
      <text>
        <r>
          <rPr>
            <b/>
            <sz val="9"/>
            <color indexed="81"/>
            <rFont val="Tahoma"/>
            <family val="2"/>
          </rPr>
          <t>Scott R. Leitstein:</t>
        </r>
        <r>
          <rPr>
            <sz val="9"/>
            <color indexed="81"/>
            <rFont val="Tahoma"/>
            <family val="2"/>
          </rPr>
          <t xml:space="preserve">
Obsolete</t>
        </r>
      </text>
    </comment>
    <comment ref="I498" authorId="0">
      <text>
        <r>
          <rPr>
            <b/>
            <sz val="9"/>
            <color indexed="81"/>
            <rFont val="Tahoma"/>
            <family val="2"/>
          </rPr>
          <t>Scott R. Leitstein:</t>
        </r>
        <r>
          <rPr>
            <sz val="9"/>
            <color indexed="81"/>
            <rFont val="Tahoma"/>
            <family val="2"/>
          </rPr>
          <t xml:space="preserve">
Obsolete</t>
        </r>
      </text>
    </comment>
    <comment ref="I514" authorId="0">
      <text>
        <r>
          <rPr>
            <b/>
            <sz val="9"/>
            <color indexed="81"/>
            <rFont val="Tahoma"/>
            <family val="2"/>
          </rPr>
          <t>Scott R. Leitstein:</t>
        </r>
        <r>
          <rPr>
            <sz val="9"/>
            <color indexed="81"/>
            <rFont val="Tahoma"/>
            <family val="2"/>
          </rPr>
          <t xml:space="preserve">
Obsolete</t>
        </r>
      </text>
    </comment>
    <comment ref="I519" authorId="0">
      <text>
        <r>
          <rPr>
            <b/>
            <sz val="9"/>
            <color indexed="81"/>
            <rFont val="Tahoma"/>
            <family val="2"/>
          </rPr>
          <t>Scott R. Leitstein:</t>
        </r>
        <r>
          <rPr>
            <sz val="9"/>
            <color indexed="81"/>
            <rFont val="Tahoma"/>
            <family val="2"/>
          </rPr>
          <t xml:space="preserve">
Obsolete
</t>
        </r>
      </text>
    </comment>
  </commentList>
</comments>
</file>

<file path=xl/comments4.xml><?xml version="1.0" encoding="utf-8"?>
<comments xmlns="http://schemas.openxmlformats.org/spreadsheetml/2006/main">
  <authors>
    <author>Scott R. Leitstein</author>
    <author>Author</author>
  </authors>
  <commentList>
    <comment ref="B969" authorId="0">
      <text>
        <r>
          <rPr>
            <b/>
            <sz val="9"/>
            <color indexed="81"/>
            <rFont val="Tahoma"/>
            <family val="2"/>
          </rPr>
          <t>Scott R. Leitstein:</t>
        </r>
        <r>
          <rPr>
            <sz val="9"/>
            <color indexed="81"/>
            <rFont val="Tahoma"/>
            <family val="2"/>
          </rPr>
          <t xml:space="preserve">
Formerly: 
DC Server Memory - x86</t>
        </r>
      </text>
    </comment>
    <comment ref="C969" authorId="0">
      <text>
        <r>
          <rPr>
            <b/>
            <sz val="9"/>
            <color indexed="81"/>
            <rFont val="Tahoma"/>
            <family val="2"/>
          </rPr>
          <t>Scott R. Leitstein:</t>
        </r>
        <r>
          <rPr>
            <sz val="9"/>
            <color indexed="81"/>
            <rFont val="Tahoma"/>
            <family val="2"/>
          </rPr>
          <t xml:space="preserve">
Formerly
DC Server Memory - x86</t>
        </r>
      </text>
    </comment>
    <comment ref="I969" authorId="0">
      <text>
        <r>
          <rPr>
            <b/>
            <sz val="9"/>
            <color indexed="81"/>
            <rFont val="Tahoma"/>
            <family val="2"/>
          </rPr>
          <t>Scott R. Leitstein:</t>
        </r>
        <r>
          <rPr>
            <sz val="9"/>
            <color indexed="81"/>
            <rFont val="Tahoma"/>
            <family val="2"/>
          </rPr>
          <t xml:space="preserve">
Did &gt;12GB Rule change here?  I suspect most likely.</t>
        </r>
      </text>
    </comment>
    <comment ref="B979" authorId="0">
      <text>
        <r>
          <rPr>
            <b/>
            <sz val="9"/>
            <color indexed="81"/>
            <rFont val="Tahoma"/>
            <family val="2"/>
          </rPr>
          <t>Scott R. Leitstein:</t>
        </r>
        <r>
          <rPr>
            <sz val="9"/>
            <color indexed="81"/>
            <rFont val="Tahoma"/>
            <family val="2"/>
          </rPr>
          <t xml:space="preserve">
Formerly: DC Server Memory - Sun Solaris (High Tiers)</t>
        </r>
      </text>
    </comment>
    <comment ref="C979" authorId="0">
      <text>
        <r>
          <rPr>
            <b/>
            <sz val="9"/>
            <color indexed="81"/>
            <rFont val="Tahoma"/>
            <family val="2"/>
          </rPr>
          <t>Scott R. Leitstein:</t>
        </r>
        <r>
          <rPr>
            <sz val="9"/>
            <color indexed="81"/>
            <rFont val="Tahoma"/>
            <family val="2"/>
          </rPr>
          <t xml:space="preserve">
Formerly: DC Server Memory - Sun Solaris (High Tiers)</t>
        </r>
      </text>
    </comment>
    <comment ref="B980" authorId="0">
      <text>
        <r>
          <rPr>
            <b/>
            <sz val="9"/>
            <color indexed="81"/>
            <rFont val="Tahoma"/>
            <family val="2"/>
          </rPr>
          <t>Scott R. Leitstein:</t>
        </r>
        <r>
          <rPr>
            <sz val="9"/>
            <color indexed="81"/>
            <rFont val="Tahoma"/>
            <family val="2"/>
          </rPr>
          <t xml:space="preserve">
Formerly: DC Server Memory - IBM P-Series</t>
        </r>
      </text>
    </comment>
    <comment ref="C980" authorId="0">
      <text>
        <r>
          <rPr>
            <b/>
            <sz val="9"/>
            <color indexed="81"/>
            <rFont val="Tahoma"/>
            <family val="2"/>
          </rPr>
          <t>Scott R. Leitstein:</t>
        </r>
        <r>
          <rPr>
            <sz val="9"/>
            <color indexed="81"/>
            <rFont val="Tahoma"/>
            <family val="2"/>
          </rPr>
          <t xml:space="preserve">
Formerly: DC Server Memory - IBM P-Series</t>
        </r>
      </text>
    </comment>
    <comment ref="I980" authorId="0">
      <text>
        <r>
          <rPr>
            <b/>
            <sz val="9"/>
            <color indexed="81"/>
            <rFont val="Tahoma"/>
            <family val="2"/>
          </rPr>
          <t>Scott R. Leitstein:</t>
        </r>
        <r>
          <rPr>
            <sz val="9"/>
            <color indexed="81"/>
            <rFont val="Tahoma"/>
            <family val="2"/>
          </rPr>
          <t xml:space="preserve">
Did &gt;16GB rule change here?</t>
        </r>
      </text>
    </comment>
    <comment ref="C981" authorId="0">
      <text>
        <r>
          <rPr>
            <b/>
            <sz val="9"/>
            <color indexed="81"/>
            <rFont val="Tahoma"/>
            <family val="2"/>
          </rPr>
          <t>Scott R. Leitstein:</t>
        </r>
        <r>
          <rPr>
            <sz val="9"/>
            <color indexed="81"/>
            <rFont val="Tahoma"/>
            <family val="2"/>
          </rPr>
          <t xml:space="preserve">
Formerly: DC Server Memory - Sun Solaris (Low Tiers)</t>
        </r>
      </text>
    </comment>
    <comment ref="C982" authorId="0">
      <text>
        <r>
          <rPr>
            <b/>
            <sz val="9"/>
            <color indexed="81"/>
            <rFont val="Tahoma"/>
            <family val="2"/>
          </rPr>
          <t>Scott R. Leitstein:</t>
        </r>
        <r>
          <rPr>
            <sz val="9"/>
            <color indexed="81"/>
            <rFont val="Tahoma"/>
            <family val="2"/>
          </rPr>
          <t xml:space="preserve">
Formerly: DC Server Memory - Sun Solaris (High Tiers)</t>
        </r>
      </text>
    </comment>
    <comment ref="C983" authorId="0">
      <text>
        <r>
          <rPr>
            <b/>
            <sz val="9"/>
            <color indexed="81"/>
            <rFont val="Tahoma"/>
            <family val="2"/>
          </rPr>
          <t>Scott R. Leitstein:</t>
        </r>
        <r>
          <rPr>
            <sz val="9"/>
            <color indexed="81"/>
            <rFont val="Tahoma"/>
            <family val="2"/>
          </rPr>
          <t xml:space="preserve">
Formerly: DC Server Memory - IBM P-Series</t>
        </r>
      </text>
    </comment>
    <comment ref="C984" authorId="0">
      <text>
        <r>
          <rPr>
            <b/>
            <sz val="9"/>
            <color indexed="81"/>
            <rFont val="Tahoma"/>
            <family val="2"/>
          </rPr>
          <t>Scott R. Leitstein:</t>
        </r>
        <r>
          <rPr>
            <sz val="9"/>
            <color indexed="81"/>
            <rFont val="Tahoma"/>
            <family val="2"/>
          </rPr>
          <t xml:space="preserve">
Formerly: DC Server Memory - Sun Solaris (Low Tiers)</t>
        </r>
      </text>
    </comment>
    <comment ref="C985" authorId="0">
      <text>
        <r>
          <rPr>
            <b/>
            <sz val="9"/>
            <color indexed="81"/>
            <rFont val="Tahoma"/>
            <family val="2"/>
          </rPr>
          <t>Scott R. Leitstein:</t>
        </r>
        <r>
          <rPr>
            <sz val="9"/>
            <color indexed="81"/>
            <rFont val="Tahoma"/>
            <family val="2"/>
          </rPr>
          <t xml:space="preserve">
Formerly: DC Server Memory - Sun Solaris (High Tiers)</t>
        </r>
      </text>
    </comment>
    <comment ref="C986" authorId="0">
      <text>
        <r>
          <rPr>
            <b/>
            <sz val="9"/>
            <color indexed="81"/>
            <rFont val="Tahoma"/>
            <family val="2"/>
          </rPr>
          <t>Scott R. Leitstein:</t>
        </r>
        <r>
          <rPr>
            <sz val="9"/>
            <color indexed="81"/>
            <rFont val="Tahoma"/>
            <family val="2"/>
          </rPr>
          <t xml:space="preserve">
Formerly: DC Server Memory - IBM P-Series</t>
        </r>
      </text>
    </comment>
    <comment ref="C987" authorId="0">
      <text>
        <r>
          <rPr>
            <b/>
            <sz val="9"/>
            <color indexed="81"/>
            <rFont val="Tahoma"/>
            <family val="2"/>
          </rPr>
          <t>Scott R. Leitstein:</t>
        </r>
        <r>
          <rPr>
            <sz val="9"/>
            <color indexed="81"/>
            <rFont val="Tahoma"/>
            <family val="2"/>
          </rPr>
          <t xml:space="preserve">
Formerly: DC Server Memory - Sun Solaris (Low Tiers)</t>
        </r>
      </text>
    </comment>
    <comment ref="C988" authorId="0">
      <text>
        <r>
          <rPr>
            <b/>
            <sz val="9"/>
            <color indexed="81"/>
            <rFont val="Tahoma"/>
            <family val="2"/>
          </rPr>
          <t>Scott R. Leitstein:</t>
        </r>
        <r>
          <rPr>
            <sz val="9"/>
            <color indexed="81"/>
            <rFont val="Tahoma"/>
            <family val="2"/>
          </rPr>
          <t xml:space="preserve">
Formerly: DC Server Memory - Sun Solaris (High Tiers)</t>
        </r>
      </text>
    </comment>
    <comment ref="C989" authorId="0">
      <text>
        <r>
          <rPr>
            <b/>
            <sz val="9"/>
            <color indexed="81"/>
            <rFont val="Tahoma"/>
            <family val="2"/>
          </rPr>
          <t>Scott R. Leitstein:</t>
        </r>
        <r>
          <rPr>
            <sz val="9"/>
            <color indexed="81"/>
            <rFont val="Tahoma"/>
            <family val="2"/>
          </rPr>
          <t xml:space="preserve">
Formerly: DC Server Memory - IBM P-Series</t>
        </r>
      </text>
    </comment>
    <comment ref="B990" authorId="0">
      <text>
        <r>
          <rPr>
            <b/>
            <sz val="9"/>
            <color indexed="81"/>
            <rFont val="Tahoma"/>
            <family val="2"/>
          </rPr>
          <t>Scott R. Leitstein:</t>
        </r>
        <r>
          <rPr>
            <sz val="9"/>
            <color indexed="81"/>
            <rFont val="Tahoma"/>
            <family val="2"/>
          </rPr>
          <t xml:space="preserve">
Formerly: DC Server Memory - Sun Solaris (Low Tiers)</t>
        </r>
      </text>
    </comment>
    <comment ref="C990" authorId="0">
      <text>
        <r>
          <rPr>
            <b/>
            <sz val="9"/>
            <color indexed="81"/>
            <rFont val="Tahoma"/>
            <family val="2"/>
          </rPr>
          <t>Scott R. Leitstein:</t>
        </r>
        <r>
          <rPr>
            <sz val="9"/>
            <color indexed="81"/>
            <rFont val="Tahoma"/>
            <family val="2"/>
          </rPr>
          <t xml:space="preserve">
Formerly: DC Server Memory - Sun Solaris (Low Tiers)</t>
        </r>
      </text>
    </comment>
    <comment ref="A1399" authorId="1">
      <text>
        <r>
          <rPr>
            <b/>
            <sz val="8"/>
            <color indexed="81"/>
            <rFont val="Tahoma"/>
            <family val="2"/>
          </rPr>
          <t>Originally mapped to Standard End User Support</t>
        </r>
        <r>
          <rPr>
            <sz val="8"/>
            <color indexed="81"/>
            <rFont val="Tahoma"/>
            <family val="2"/>
          </rPr>
          <t xml:space="preserve">
</t>
        </r>
      </text>
    </comment>
  </commentList>
</comments>
</file>

<file path=xl/comments5.xml><?xml version="1.0" encoding="utf-8"?>
<comments xmlns="http://schemas.openxmlformats.org/spreadsheetml/2006/main">
  <authors>
    <author>Scott R. Leitstein</author>
    <author>sl55853</author>
  </authors>
  <commentList>
    <comment ref="A1" authorId="0">
      <text>
        <r>
          <rPr>
            <b/>
            <sz val="9"/>
            <color indexed="81"/>
            <rFont val="Tahoma"/>
            <family val="2"/>
          </rPr>
          <t>PCR: Project Change Request:</t>
        </r>
        <r>
          <rPr>
            <sz val="9"/>
            <color indexed="81"/>
            <rFont val="Tahoma"/>
            <family val="2"/>
          </rPr>
          <t xml:space="preserve"> Used to track changes from the 'Original' PCR to new PCRs as the project progress.  May also be used to distinguish between phases of the project.
</t>
        </r>
      </text>
    </comment>
    <comment ref="B1" authorId="0">
      <text>
        <r>
          <rPr>
            <b/>
            <sz val="9"/>
            <color indexed="81"/>
            <rFont val="Tahoma"/>
            <family val="2"/>
          </rPr>
          <t xml:space="preserve">Region: </t>
        </r>
        <r>
          <rPr>
            <sz val="9"/>
            <color indexed="81"/>
            <rFont val="Tahoma"/>
            <family val="2"/>
          </rPr>
          <t xml:space="preserve">Select Region for which the line item is located.
</t>
        </r>
      </text>
    </comment>
    <comment ref="C1" authorId="0">
      <text>
        <r>
          <rPr>
            <b/>
            <sz val="9"/>
            <color indexed="81"/>
            <rFont val="Tahoma"/>
            <family val="2"/>
          </rPr>
          <t xml:space="preserve">Country: </t>
        </r>
        <r>
          <rPr>
            <sz val="9"/>
            <color indexed="81"/>
            <rFont val="Tahoma"/>
            <family val="2"/>
          </rPr>
          <t>Select Country for which the line item is assigned/located.</t>
        </r>
      </text>
    </comment>
    <comment ref="D1" authorId="0">
      <text>
        <r>
          <rPr>
            <b/>
            <sz val="9"/>
            <color indexed="81"/>
            <rFont val="Tahoma"/>
            <family val="2"/>
          </rPr>
          <t>DC (Data Center):</t>
        </r>
        <r>
          <rPr>
            <sz val="9"/>
            <color indexed="81"/>
            <rFont val="Tahoma"/>
            <family val="2"/>
          </rPr>
          <t xml:space="preserve"> Select the DC for which the line item is to be located.
</t>
        </r>
      </text>
    </comment>
    <comment ref="E1" authorId="0">
      <text>
        <r>
          <rPr>
            <b/>
            <sz val="9"/>
            <color indexed="81"/>
            <rFont val="Tahoma"/>
            <family val="2"/>
          </rPr>
          <t>Env (Environment):</t>
        </r>
        <r>
          <rPr>
            <sz val="9"/>
            <color indexed="81"/>
            <rFont val="Tahoma"/>
            <family val="2"/>
          </rPr>
          <t xml:space="preserve"> Select the environment for which the line item is assigned.</t>
        </r>
      </text>
    </comment>
    <comment ref="F1" authorId="0">
      <text>
        <r>
          <rPr>
            <b/>
            <sz val="9"/>
            <color indexed="81"/>
            <rFont val="Tahoma"/>
            <family val="2"/>
          </rPr>
          <t>Server TCRS:</t>
        </r>
        <r>
          <rPr>
            <sz val="9"/>
            <color indexed="81"/>
            <rFont val="Tahoma"/>
            <family val="2"/>
          </rPr>
          <t xml:space="preserve"> The TCRS # associated with the line item.</t>
        </r>
      </text>
    </comment>
    <comment ref="G1" authorId="0">
      <text>
        <r>
          <rPr>
            <b/>
            <sz val="9"/>
            <color indexed="81"/>
            <rFont val="Tahoma"/>
            <family val="2"/>
          </rPr>
          <t>Product Owner:</t>
        </r>
        <r>
          <rPr>
            <sz val="9"/>
            <color indexed="81"/>
            <rFont val="Tahoma"/>
            <family val="2"/>
          </rPr>
          <t xml:space="preserve"> Provide the Owner of the line item.</t>
        </r>
        <r>
          <rPr>
            <sz val="9"/>
            <color indexed="81"/>
            <rFont val="Tahoma"/>
            <family val="2"/>
          </rPr>
          <t xml:space="preserve">
</t>
        </r>
      </text>
    </comment>
    <comment ref="H1" authorId="0">
      <text>
        <r>
          <rPr>
            <b/>
            <sz val="9"/>
            <color indexed="81"/>
            <rFont val="Tahoma"/>
            <family val="2"/>
          </rPr>
          <t xml:space="preserve">Affinity: </t>
        </r>
        <r>
          <rPr>
            <sz val="9"/>
            <color indexed="81"/>
            <rFont val="Tahoma"/>
            <family val="2"/>
          </rPr>
          <t xml:space="preserve">Used to specify affinity rules to ensure that no two nodes in an HA pair are on the same chassis or ESX hosts as an example.
This also applies to LPARs in a logical cluster relationship that must be placed on different frames.
</t>
        </r>
      </text>
    </comment>
    <comment ref="I1" authorId="0">
      <text>
        <r>
          <rPr>
            <b/>
            <sz val="9"/>
            <color indexed="81"/>
            <rFont val="Tahoma"/>
            <family val="2"/>
          </rPr>
          <t>Is Clustered:</t>
        </r>
        <r>
          <rPr>
            <sz val="9"/>
            <color indexed="81"/>
            <rFont val="Tahoma"/>
            <family val="2"/>
          </rPr>
          <t xml:space="preserve"> Used to identify physical cluster sets.  Each cluster should have a unique ID to simplify quantifying the number of clusters and scope-of-work.</t>
        </r>
      </text>
    </comment>
    <comment ref="J1" authorId="0">
      <text>
        <r>
          <rPr>
            <b/>
            <sz val="9"/>
            <color indexed="81"/>
            <rFont val="Tahoma"/>
            <family val="2"/>
          </rPr>
          <t>Scott R. Leitstein:</t>
        </r>
        <r>
          <rPr>
            <sz val="9"/>
            <color indexed="81"/>
            <rFont val="Tahoma"/>
            <family val="2"/>
          </rPr>
          <t xml:space="preserve">
</t>
        </r>
      </text>
    </comment>
    <comment ref="K1" authorId="1">
      <text>
        <r>
          <rPr>
            <b/>
            <sz val="8"/>
            <color indexed="81"/>
            <rFont val="Tahoma"/>
            <family val="2"/>
          </rPr>
          <t xml:space="preserve">Usage: </t>
        </r>
        <r>
          <rPr>
            <sz val="8"/>
            <color indexed="81"/>
            <rFont val="Tahoma"/>
            <family val="2"/>
          </rPr>
          <t>Used by Capacity Analysis and Planning Team for reporting</t>
        </r>
      </text>
    </comment>
    <comment ref="L1" authorId="0">
      <text>
        <r>
          <rPr>
            <b/>
            <sz val="9"/>
            <color indexed="81"/>
            <rFont val="Tahoma"/>
            <family val="2"/>
          </rPr>
          <t>Product (Acronym):</t>
        </r>
        <r>
          <rPr>
            <sz val="9"/>
            <color indexed="81"/>
            <rFont val="Tahoma"/>
            <family val="2"/>
          </rPr>
          <t xml:space="preserve"> Provide Product name or acronym (e.g. ESB, FinCAD, COPS, etc.)
</t>
        </r>
      </text>
    </comment>
    <comment ref="M1" authorId="0">
      <text>
        <r>
          <rPr>
            <b/>
            <sz val="9"/>
            <color indexed="81"/>
            <rFont val="Tahoma"/>
            <family val="2"/>
          </rPr>
          <t xml:space="preserve">Description: </t>
        </r>
        <r>
          <rPr>
            <sz val="9"/>
            <color indexed="81"/>
            <rFont val="Tahoma"/>
            <family val="2"/>
          </rPr>
          <t xml:space="preserve">Provide detailed description of the line item.  For example, a high-level primary function or purpose for the line item.
</t>
        </r>
      </text>
    </comment>
    <comment ref="N1" authorId="0">
      <text>
        <r>
          <rPr>
            <b/>
            <sz val="9"/>
            <color indexed="81"/>
            <rFont val="Tahoma"/>
            <family val="2"/>
          </rPr>
          <t xml:space="preserve">Software List: </t>
        </r>
        <r>
          <rPr>
            <sz val="9"/>
            <color indexed="81"/>
            <rFont val="Tahoma"/>
            <family val="2"/>
          </rPr>
          <t xml:space="preserve">Select all of the software products to be installed on the server.
</t>
        </r>
        <r>
          <rPr>
            <b/>
            <sz val="9"/>
            <color indexed="81"/>
            <rFont val="Tahoma"/>
            <family val="2"/>
          </rPr>
          <t>Note</t>
        </r>
        <r>
          <rPr>
            <b/>
            <vertAlign val="superscript"/>
            <sz val="9"/>
            <color indexed="81"/>
            <rFont val="Tahoma"/>
            <family val="2"/>
          </rPr>
          <t>1</t>
        </r>
        <r>
          <rPr>
            <b/>
            <sz val="9"/>
            <color indexed="81"/>
            <rFont val="Tahoma"/>
            <family val="2"/>
          </rPr>
          <t>:</t>
        </r>
        <r>
          <rPr>
            <sz val="9"/>
            <color indexed="81"/>
            <rFont val="Tahoma"/>
            <family val="2"/>
          </rPr>
          <t xml:space="preserve"> This column will accept multiple entries and will automatically generate a comma-delimited list.
</t>
        </r>
        <r>
          <rPr>
            <b/>
            <sz val="9"/>
            <color indexed="81"/>
            <rFont val="Tahoma"/>
            <family val="2"/>
          </rPr>
          <t>Note</t>
        </r>
        <r>
          <rPr>
            <b/>
            <vertAlign val="superscript"/>
            <sz val="9"/>
            <color indexed="81"/>
            <rFont val="Tahoma"/>
            <family val="2"/>
          </rPr>
          <t>2</t>
        </r>
        <r>
          <rPr>
            <b/>
            <sz val="9"/>
            <color indexed="81"/>
            <rFont val="Tahoma"/>
            <family val="2"/>
          </rPr>
          <t xml:space="preserve">: </t>
        </r>
        <r>
          <rPr>
            <sz val="9"/>
            <color indexed="81"/>
            <rFont val="Tahoma"/>
            <family val="2"/>
          </rPr>
          <t>To remove any item, simply reselect that item.</t>
        </r>
      </text>
    </comment>
    <comment ref="O1" authorId="0">
      <text>
        <r>
          <rPr>
            <b/>
            <sz val="9"/>
            <color indexed="81"/>
            <rFont val="Tahoma"/>
            <family val="2"/>
          </rPr>
          <t xml:space="preserve">CSI App ID: </t>
        </r>
        <r>
          <rPr>
            <sz val="9"/>
            <color indexed="81"/>
            <rFont val="Tahoma"/>
            <family val="2"/>
          </rPr>
          <t>The CSI App ID that the line item is registered</t>
        </r>
        <r>
          <rPr>
            <sz val="9"/>
            <color indexed="81"/>
            <rFont val="Tahoma"/>
            <family val="2"/>
          </rPr>
          <t xml:space="preserve">
</t>
        </r>
      </text>
    </comment>
    <comment ref="P1" authorId="0">
      <text>
        <r>
          <rPr>
            <b/>
            <sz val="9"/>
            <color indexed="81"/>
            <rFont val="Tahoma"/>
            <family val="2"/>
          </rPr>
          <t xml:space="preserve">Alias: </t>
        </r>
        <r>
          <rPr>
            <sz val="9"/>
            <color indexed="81"/>
            <rFont val="Tahoma"/>
            <family val="2"/>
          </rPr>
          <t xml:space="preserve">The common name for the device
</t>
        </r>
        <r>
          <rPr>
            <b/>
            <sz val="9"/>
            <color indexed="81"/>
            <rFont val="Tahoma"/>
            <family val="2"/>
          </rPr>
          <t xml:space="preserve">Note: </t>
        </r>
        <r>
          <rPr>
            <sz val="9"/>
            <color indexed="81"/>
            <rFont val="Tahoma"/>
            <family val="2"/>
          </rPr>
          <t xml:space="preserve">This can be the same as the hostname.
</t>
        </r>
      </text>
    </comment>
    <comment ref="Q1" authorId="0">
      <text>
        <r>
          <rPr>
            <b/>
            <sz val="9"/>
            <color indexed="81"/>
            <rFont val="Tahoma"/>
            <family val="2"/>
          </rPr>
          <t xml:space="preserve">Hostname: </t>
        </r>
        <r>
          <rPr>
            <sz val="9"/>
            <color indexed="81"/>
            <rFont val="Tahoma"/>
            <family val="2"/>
          </rPr>
          <t xml:space="preserve">The actual device name.
</t>
        </r>
      </text>
    </comment>
    <comment ref="R1" authorId="0">
      <text>
        <r>
          <rPr>
            <b/>
            <sz val="9"/>
            <color indexed="81"/>
            <rFont val="Tahoma"/>
            <family val="2"/>
          </rPr>
          <t xml:space="preserve">Domain: </t>
        </r>
        <r>
          <rPr>
            <sz val="9"/>
            <color indexed="81"/>
            <rFont val="Tahoma"/>
            <family val="2"/>
          </rPr>
          <t xml:space="preserve">The device's fully qualified domain name
</t>
        </r>
      </text>
    </comment>
    <comment ref="S1" authorId="0">
      <text>
        <r>
          <rPr>
            <b/>
            <sz val="9"/>
            <color indexed="81"/>
            <rFont val="Tahoma"/>
            <family val="2"/>
          </rPr>
          <t xml:space="preserve">Server Model: </t>
        </r>
        <r>
          <rPr>
            <sz val="9"/>
            <color indexed="81"/>
            <rFont val="Tahoma"/>
            <family val="2"/>
          </rPr>
          <t xml:space="preserve">Select the server model from the pull-down menu
</t>
        </r>
      </text>
    </comment>
    <comment ref="U1" authorId="0">
      <text>
        <r>
          <rPr>
            <b/>
            <sz val="9"/>
            <color indexed="81"/>
            <rFont val="Tahoma"/>
            <family val="2"/>
          </rPr>
          <t xml:space="preserve">O/S: </t>
        </r>
        <r>
          <rPr>
            <sz val="9"/>
            <color indexed="81"/>
            <rFont val="Tahoma"/>
            <family val="2"/>
          </rPr>
          <t xml:space="preserve">Select O/S from pull-down menu.
</t>
        </r>
        <r>
          <rPr>
            <b/>
            <sz val="9"/>
            <color indexed="81"/>
            <rFont val="Tahoma"/>
            <family val="2"/>
          </rPr>
          <t xml:space="preserve">Note: </t>
        </r>
        <r>
          <rPr>
            <sz val="9"/>
            <color indexed="81"/>
            <rFont val="Tahoma"/>
            <family val="2"/>
          </rPr>
          <t xml:space="preserve">the version of OS selected will not affect the cost of the line item.
</t>
        </r>
      </text>
    </comment>
    <comment ref="AI1" authorId="0">
      <text>
        <r>
          <rPr>
            <b/>
            <sz val="9"/>
            <color indexed="81"/>
            <rFont val="Tahoma"/>
            <family val="2"/>
          </rPr>
          <t xml:space="preserve">Memory: </t>
        </r>
        <r>
          <rPr>
            <sz val="9"/>
            <color indexed="81"/>
            <rFont val="Tahoma"/>
            <family val="2"/>
          </rPr>
          <t xml:space="preserve">The amount of memory the device should have.
</t>
        </r>
      </text>
    </comment>
  </commentList>
</comments>
</file>

<file path=xl/comments6.xml><?xml version="1.0" encoding="utf-8"?>
<comments xmlns="http://schemas.openxmlformats.org/spreadsheetml/2006/main">
  <authors>
    <author>Scott R. Leitstein</author>
  </authors>
  <commentList>
    <comment ref="D1" authorId="0">
      <text>
        <r>
          <rPr>
            <b/>
            <sz val="9"/>
            <color indexed="81"/>
            <rFont val="Tahoma"/>
            <family val="2"/>
          </rPr>
          <t xml:space="preserve">Env Color: </t>
        </r>
        <r>
          <rPr>
            <sz val="9"/>
            <color indexed="81"/>
            <rFont val="Tahoma"/>
            <family val="2"/>
          </rPr>
          <t xml:space="preserve">This is the color code used to set the background color for rows of this environment type.
</t>
        </r>
      </text>
    </comment>
    <comment ref="E1" authorId="0">
      <text>
        <r>
          <rPr>
            <b/>
            <sz val="9"/>
            <color indexed="81"/>
            <rFont val="Tahoma"/>
            <family val="2"/>
          </rPr>
          <t>Scott R. Leitstein:</t>
        </r>
        <r>
          <rPr>
            <sz val="9"/>
            <color indexed="81"/>
            <rFont val="Tahoma"/>
            <family val="2"/>
          </rPr>
          <t xml:space="preserve">
Based on Std Envs.  This also determines the pricing schedule for the Environment.</t>
        </r>
      </text>
    </comment>
    <comment ref="F1" authorId="0">
      <text>
        <r>
          <rPr>
            <b/>
            <sz val="9"/>
            <color indexed="81"/>
            <rFont val="Tahoma"/>
            <family val="2"/>
          </rPr>
          <t xml:space="preserve">Is Std?: </t>
        </r>
        <r>
          <rPr>
            <sz val="9"/>
            <color indexed="81"/>
            <rFont val="Tahoma"/>
            <family val="2"/>
          </rPr>
          <t xml:space="preserve">Determines if Env should be designated as a standard operating environment.  This usually means that there are different pricing schedules (HW or SW)  for the specific environment.
</t>
        </r>
      </text>
    </comment>
    <comment ref="C19" authorId="0">
      <text>
        <r>
          <rPr>
            <b/>
            <sz val="9"/>
            <color indexed="81"/>
            <rFont val="Tahoma"/>
            <family val="2"/>
          </rPr>
          <t>Scott R. Leitstein:</t>
        </r>
        <r>
          <rPr>
            <sz val="9"/>
            <color indexed="81"/>
            <rFont val="Tahoma"/>
            <family val="2"/>
          </rPr>
          <t xml:space="preserve">
Used for custom sorting and for creating new Environments.</t>
        </r>
      </text>
    </comment>
  </commentList>
</comments>
</file>

<file path=xl/sharedStrings.xml><?xml version="1.0" encoding="utf-8"?>
<sst xmlns="http://schemas.openxmlformats.org/spreadsheetml/2006/main" count="30159" uniqueCount="4151">
  <si>
    <t>Environment</t>
  </si>
  <si>
    <t>Server TCRS</t>
  </si>
  <si>
    <t>Product Owner</t>
  </si>
  <si>
    <t>Description</t>
  </si>
  <si>
    <t>CSI App ID</t>
  </si>
  <si>
    <t>Hostname</t>
  </si>
  <si>
    <t>Domain</t>
  </si>
  <si>
    <t>O/S</t>
  </si>
  <si>
    <t>CPU Speed</t>
  </si>
  <si>
    <t>Frame/Chassis #</t>
  </si>
  <si>
    <t>Slot #</t>
  </si>
  <si>
    <t>Frame S/N</t>
  </si>
  <si>
    <t>CPU</t>
  </si>
  <si>
    <t>Min Virtual Processors</t>
  </si>
  <si>
    <t>Desired Virtual Processors</t>
  </si>
  <si>
    <t>Max Virtual Processors</t>
  </si>
  <si>
    <t>Min Processing Units</t>
  </si>
  <si>
    <t>Desired Processing Units</t>
  </si>
  <si>
    <t>Max Processing Units</t>
  </si>
  <si>
    <t>Primary
IP</t>
  </si>
  <si>
    <t>Secondary
IP</t>
  </si>
  <si>
    <t>NAS (GB) Dedicated</t>
  </si>
  <si>
    <t>DC</t>
  </si>
  <si>
    <t>RND</t>
  </si>
  <si>
    <t>AIX 6.1</t>
  </si>
  <si>
    <t>DIT</t>
  </si>
  <si>
    <t>CERT</t>
  </si>
  <si>
    <t>Total</t>
  </si>
  <si>
    <t>Kana</t>
  </si>
  <si>
    <t>Documentum</t>
  </si>
  <si>
    <t>CMR</t>
  </si>
  <si>
    <t>IVR</t>
  </si>
  <si>
    <t>DB</t>
  </si>
  <si>
    <t>Type</t>
  </si>
  <si>
    <t>WW</t>
  </si>
  <si>
    <t>AP</t>
  </si>
  <si>
    <t>N/A</t>
  </si>
  <si>
    <t>GCT Infrastructure Platforms Architect</t>
  </si>
  <si>
    <t xml:space="preserve">Latest version:  </t>
  </si>
  <si>
    <t>This document requires Microsoft Excel 2007 or higher</t>
  </si>
  <si>
    <t>#</t>
  </si>
  <si>
    <t>Infrastructure Capacity assumptions and notes</t>
  </si>
  <si>
    <t>Affinity</t>
  </si>
  <si>
    <t>Is Clustered? (ID #)</t>
  </si>
  <si>
    <t>TIBCO BW</t>
  </si>
  <si>
    <t>TIBCO EMS</t>
  </si>
  <si>
    <t>TIBCO BE</t>
  </si>
  <si>
    <t>TIBCO iProcess</t>
  </si>
  <si>
    <t>IBM WMQ</t>
  </si>
  <si>
    <t>Sterling NDM</t>
  </si>
  <si>
    <t>SAP BO</t>
  </si>
  <si>
    <t>IBM Datastage</t>
  </si>
  <si>
    <t>Kana (Both)</t>
  </si>
  <si>
    <t>Ab Initio</t>
  </si>
  <si>
    <t>Eclipse</t>
  </si>
  <si>
    <t>CDE</t>
  </si>
  <si>
    <t>All</t>
  </si>
  <si>
    <t>BusinessWorks Lic (bundle)</t>
  </si>
  <si>
    <t>Stress/UAT</t>
  </si>
  <si>
    <t>Dev</t>
  </si>
  <si>
    <t>BusinessWorks Lic (standalone)</t>
  </si>
  <si>
    <t>ActiveMatrix Service Grid Lic</t>
  </si>
  <si>
    <t>ActiveMatrix Policy Manager</t>
  </si>
  <si>
    <t>Service Bus</t>
  </si>
  <si>
    <t>Performance Manager</t>
  </si>
  <si>
    <t>Policy Agent</t>
  </si>
  <si>
    <t>RTView</t>
  </si>
  <si>
    <t>RTView Dev</t>
  </si>
  <si>
    <t>Hawk Server</t>
  </si>
  <si>
    <t>Veritas Cluster/CFS</t>
  </si>
  <si>
    <t>TIBCO AMX BPM</t>
  </si>
  <si>
    <t>Oracle RAC</t>
  </si>
  <si>
    <t>PB Spectrum</t>
  </si>
  <si>
    <t>Cores 
(Licensed Units)</t>
  </si>
  <si>
    <t>Env</t>
  </si>
  <si>
    <t>Product 
(Acronym)</t>
  </si>
  <si>
    <t>RAM 
(GB)</t>
  </si>
  <si>
    <t>NAS 
(GB) Shared</t>
  </si>
  <si>
    <t>Totals</t>
  </si>
  <si>
    <t>PROD</t>
  </si>
  <si>
    <t>IBM WAS x86</t>
  </si>
  <si>
    <t>IBM WPS x86</t>
  </si>
  <si>
    <t>IBM WPS pSeries</t>
  </si>
  <si>
    <t>IBM WAS pSeries</t>
  </si>
  <si>
    <t>Monthly Rate</t>
  </si>
  <si>
    <t>Annual Rate</t>
  </si>
  <si>
    <t>Sub-Product Code</t>
  </si>
  <si>
    <t>Sub Product Name</t>
  </si>
  <si>
    <t>Driver</t>
  </si>
  <si>
    <t>2012 % B/(W) 2011</t>
  </si>
  <si>
    <t>Per Server CPU</t>
  </si>
  <si>
    <t>HW cost includes Depreciation, HW Maintenance, Power, Heat, Premises, AIX OS, Partition Load Manager, Virtual I/O Server, Tivoli Ent. and HMC Console. IBM P570 -- 1.65 MHz.</t>
  </si>
  <si>
    <t>Per Server</t>
  </si>
  <si>
    <t>Charge  for Direct SA support for Distributed Wintel Servers</t>
  </si>
  <si>
    <t>DC Server Memory - IBM P-Series</t>
  </si>
  <si>
    <t>pSeries</t>
  </si>
  <si>
    <t>Charges for Hardware associated to X86 Servers</t>
  </si>
  <si>
    <t>Per VM</t>
  </si>
  <si>
    <t>Per GB</t>
  </si>
  <si>
    <t>Charges for virtual RAM in the virtual environment for  additional RAM memory in excess of 1GB per vCPU</t>
  </si>
  <si>
    <t>Storage Costs
(Monthly)</t>
  </si>
  <si>
    <t>Total Hardware Costs
(Monthly)</t>
  </si>
  <si>
    <t>Grand Total</t>
  </si>
  <si>
    <t>Software Costs
[Year 1]
(Monthly)</t>
  </si>
  <si>
    <t>Server HW Costs
(Monthly)</t>
  </si>
  <si>
    <t>No</t>
  </si>
  <si>
    <t>Yes</t>
  </si>
  <si>
    <t>Non-Prod</t>
  </si>
  <si>
    <t>Year 1 Costs</t>
  </si>
  <si>
    <t>Product</t>
  </si>
  <si>
    <t>Citi Software Pricing Schedule</t>
  </si>
  <si>
    <t>Vendor</t>
  </si>
  <si>
    <t>IBM</t>
  </si>
  <si>
    <t>Prod</t>
  </si>
  <si>
    <t>Include Maint in Year 1?</t>
  </si>
  <si>
    <t>Platform</t>
  </si>
  <si>
    <t>x86</t>
  </si>
  <si>
    <t>Oracle</t>
  </si>
  <si>
    <t>TIBCO</t>
  </si>
  <si>
    <t>EMS</t>
  </si>
  <si>
    <t xml:space="preserve">Business Events </t>
  </si>
  <si>
    <t>iProcess</t>
  </si>
  <si>
    <t>AMX BPM</t>
  </si>
  <si>
    <t>RTView BusinessWorks Mon</t>
  </si>
  <si>
    <t>Nastel</t>
  </si>
  <si>
    <t>ab initio (p7 3.86)</t>
  </si>
  <si>
    <t>Veritas</t>
  </si>
  <si>
    <t>Storage Costs [Monthly]</t>
  </si>
  <si>
    <t>Server HW Cost [Monthly]</t>
  </si>
  <si>
    <t>Grand Totals</t>
  </si>
  <si>
    <t>PCR</t>
  </si>
  <si>
    <t>Env / PCR</t>
  </si>
  <si>
    <t>HW Costs [Monthly]</t>
  </si>
  <si>
    <t>Cost by Environment / PCR</t>
  </si>
  <si>
    <t>Row Labels</t>
  </si>
  <si>
    <t>Cost by PCR / Env</t>
  </si>
  <si>
    <t>Alias</t>
  </si>
  <si>
    <t>IBM Datastage &amp; QualityStage Designer</t>
  </si>
  <si>
    <t>IBM Business Glossary Web Client</t>
  </si>
  <si>
    <t>IBM Business Glossary (per Core)</t>
  </si>
  <si>
    <t>IBM Datastage (per Core)</t>
  </si>
  <si>
    <t>IBM DS Designer</t>
  </si>
  <si>
    <t>IBM Biz Glossary</t>
  </si>
  <si>
    <t>IBM BG Web Client</t>
  </si>
  <si>
    <t>Safenet</t>
  </si>
  <si>
    <t>Other Products</t>
  </si>
  <si>
    <t>PSE PL600</t>
  </si>
  <si>
    <t>Per Appliance</t>
  </si>
  <si>
    <t>SafeNet ProtectServer External contains a FIPS 140-2 Level 3 validated cryptographic module to perform secure cryptographic processing in a high-assurance fashion.  Built for industry standard security applications, the ProtectServer External functions within a tamper-protected environment, providing secure storage for highly sensitive information, cryptographic keys, PINs, and data.</t>
  </si>
  <si>
    <t>PSE PL600 Maintenance</t>
  </si>
  <si>
    <t>Annual support/maintenance (24/7/365)</t>
  </si>
  <si>
    <t>Sum of IBM WAS x86</t>
  </si>
  <si>
    <t>Notes</t>
  </si>
  <si>
    <t>Sum of Software Costs
[Year 1]
(Monthly)</t>
  </si>
  <si>
    <t>Sum of PB Spectrum</t>
  </si>
  <si>
    <t>Sum of Ab Initio</t>
  </si>
  <si>
    <t>Sum of Kana (Both)</t>
  </si>
  <si>
    <t>Sum of SAP BO</t>
  </si>
  <si>
    <t>Sum of TIBCO AMX BPM</t>
  </si>
  <si>
    <t>Sum of TIBCO iProcess</t>
  </si>
  <si>
    <t>Sum of TIBCO BE</t>
  </si>
  <si>
    <t>Sum of TIBCO EMS</t>
  </si>
  <si>
    <t>Sum of TIBCO BW</t>
  </si>
  <si>
    <t>Sum of Sterling NDM</t>
  </si>
  <si>
    <t>Sum of IBM BG Web Client</t>
  </si>
  <si>
    <t>Sum of IBM Biz Glossary</t>
  </si>
  <si>
    <t>Sum of IBM DS Designer</t>
  </si>
  <si>
    <t>Sum of IBM Datastage</t>
  </si>
  <si>
    <t>Sum of IBM WAS pSeries</t>
  </si>
  <si>
    <t>Sum of IBM WPS pSeries</t>
  </si>
  <si>
    <t>Sum of IBM WPS x86</t>
  </si>
  <si>
    <t>PERF</t>
  </si>
  <si>
    <t>SAN (GB)
End-State
DO NOT USE TO BUILD</t>
  </si>
  <si>
    <t>SAN (GB)
REQ. TODAY</t>
  </si>
  <si>
    <t>SAN (GB)
RESERVED
DO NOT USE TO BUILD</t>
  </si>
  <si>
    <t>Product Name</t>
  </si>
  <si>
    <t xml:space="preserve">IBM WAS x86 </t>
  </si>
  <si>
    <t xml:space="preserve">IBM WPS x86 </t>
  </si>
  <si>
    <t xml:space="preserve">IBM WPS pSeries </t>
  </si>
  <si>
    <t xml:space="preserve">IBM WAS pSeries </t>
  </si>
  <si>
    <t xml:space="preserve">IBM Datastage </t>
  </si>
  <si>
    <t xml:space="preserve">IBM DS Designer </t>
  </si>
  <si>
    <t xml:space="preserve">IBM Biz Glossary </t>
  </si>
  <si>
    <t xml:space="preserve">IBM BG Web Client </t>
  </si>
  <si>
    <t xml:space="preserve">Sterling NDM </t>
  </si>
  <si>
    <t xml:space="preserve">TIBCO BW </t>
  </si>
  <si>
    <t xml:space="preserve">TIBCO EMS </t>
  </si>
  <si>
    <t xml:space="preserve">TIBCO BE </t>
  </si>
  <si>
    <t xml:space="preserve">TIBCO iProcess </t>
  </si>
  <si>
    <t xml:space="preserve">TIBCO AMX BPM </t>
  </si>
  <si>
    <t xml:space="preserve">SAP BO </t>
  </si>
  <si>
    <t xml:space="preserve">Kana (Both) </t>
  </si>
  <si>
    <t xml:space="preserve">Ab Initio </t>
  </si>
  <si>
    <t xml:space="preserve">PB Spectrum </t>
  </si>
  <si>
    <t>Microsoft</t>
  </si>
  <si>
    <t>Oracle External</t>
  </si>
  <si>
    <t>Pitney Bowes</t>
  </si>
  <si>
    <t>SAP</t>
  </si>
  <si>
    <t>Business Objects</t>
  </si>
  <si>
    <t>Total Product Costs</t>
  </si>
  <si>
    <t>Total SAN (GB)
End-State</t>
  </si>
  <si>
    <t>Total SAN (GB)
Reserved</t>
  </si>
  <si>
    <t>Storage Requirements by Env</t>
  </si>
  <si>
    <t xml:space="preserve"> </t>
  </si>
  <si>
    <t>Other</t>
  </si>
  <si>
    <t>File Transfer</t>
  </si>
  <si>
    <t>MQ</t>
  </si>
  <si>
    <t>Model Types</t>
  </si>
  <si>
    <t>VMware</t>
  </si>
  <si>
    <t>DEV</t>
  </si>
  <si>
    <t>Envs</t>
  </si>
  <si>
    <t>COB</t>
  </si>
  <si>
    <t>UAT</t>
  </si>
  <si>
    <t>SIT</t>
  </si>
  <si>
    <t>Software License Allocation Totals by Product / Env</t>
  </si>
  <si>
    <t>Constants</t>
  </si>
  <si>
    <t>LUN Size</t>
  </si>
  <si>
    <t>Additional LUNs</t>
  </si>
  <si>
    <t>NetBackup
Full</t>
  </si>
  <si>
    <t>NetBackup
Incr</t>
  </si>
  <si>
    <t>Tape Costs
(Monthly)</t>
  </si>
  <si>
    <t>Value</t>
  </si>
  <si>
    <t>Oracle data multiplier  = data + data * 0.2 for index + data *0.2 for archive +  data * 0.1 for exports + data * 0.5 for backup  and 10% annual growth for 3 years at 70% capacity</t>
  </si>
  <si>
    <t>AIX Oracle storage = 4 LUNS OS + 3 LUNS Binaries</t>
  </si>
  <si>
    <t>AIX Memory Swap multiplier</t>
  </si>
  <si>
    <t>LUN size</t>
  </si>
  <si>
    <t>x86 Linux TIBCO/Web/App binaries SAN storage</t>
  </si>
  <si>
    <t>Ab initio</t>
  </si>
  <si>
    <t>MS SQL EE</t>
  </si>
  <si>
    <t>Types</t>
  </si>
  <si>
    <t>OS</t>
  </si>
  <si>
    <t>Firefly</t>
  </si>
  <si>
    <t>Storage Requirements by PCR</t>
  </si>
  <si>
    <t>Server Info</t>
  </si>
  <si>
    <t>Total CPUs</t>
  </si>
  <si>
    <t xml:space="preserve">Total Cores </t>
  </si>
  <si>
    <t xml:space="preserve">Veritas Cluster/CFS </t>
  </si>
  <si>
    <t>Added Veritas Cluster/CFS to HostBuild and all SW related tabs</t>
  </si>
  <si>
    <t>Sum of Veritas Cluster/CFS</t>
  </si>
  <si>
    <t>MS SQL SE</t>
  </si>
  <si>
    <t>Added MS SQL Std Edition and Alphabetized all representations of the available software in Hostbuild and SW related tabs.</t>
  </si>
  <si>
    <t>Memory Tier</t>
  </si>
  <si>
    <t>High</t>
  </si>
  <si>
    <t>Compaq D530</t>
  </si>
  <si>
    <t>Low</t>
  </si>
  <si>
    <t>Compaq DL360 - Quad Core - G6</t>
  </si>
  <si>
    <t>Compaq DL740</t>
  </si>
  <si>
    <t>Compaq ML370</t>
  </si>
  <si>
    <t>Compaq ML570</t>
  </si>
  <si>
    <t>Compaq Proliant DL360</t>
  </si>
  <si>
    <t>Compaq Proliant DL360 G5</t>
  </si>
  <si>
    <t>Compaq Proliant DL365 - Quad Core - G5</t>
  </si>
  <si>
    <t>Compaq Proliant DL380 - Dual Core - G5</t>
  </si>
  <si>
    <t>Compaq Proliant DL380 - G7</t>
  </si>
  <si>
    <t>Compaq Proliant DL380 - Quad Core - G6</t>
  </si>
  <si>
    <t>Compaq Proliant DL385</t>
  </si>
  <si>
    <t>Compaq Proliant DL385 - Dual Core</t>
  </si>
  <si>
    <t>Compaq Proliant DL385 - G7</t>
  </si>
  <si>
    <t>Compaq Proliant DL580</t>
  </si>
  <si>
    <t>Compaq Proliant DL785 - Quad Core</t>
  </si>
  <si>
    <t>Compaq XW6000</t>
  </si>
  <si>
    <t>Dell GX270</t>
  </si>
  <si>
    <t>Dell PowerEdge 1750</t>
  </si>
  <si>
    <t>Dell PowerEdge 2850</t>
  </si>
  <si>
    <t>Dell PowerEdge 2850 - Dual Core</t>
  </si>
  <si>
    <t>Dell PowerEdge 2950 - Dual Core</t>
  </si>
  <si>
    <t>Dell PowerEdge 2950 - Quad Core</t>
  </si>
  <si>
    <t>Dell PowerEdge 6650</t>
  </si>
  <si>
    <t>Dell PowerEdge 6850</t>
  </si>
  <si>
    <t>Dell PowerEdge R710</t>
  </si>
  <si>
    <t>Dell PowerEdge R805</t>
  </si>
  <si>
    <t>Dell PowerEdge R810</t>
  </si>
  <si>
    <t>Dell PowerEdge R900</t>
  </si>
  <si>
    <t>HP BL XW-25p</t>
  </si>
  <si>
    <t>HP BL20p</t>
  </si>
  <si>
    <t>HP DL580 G5 - Quad Core</t>
  </si>
  <si>
    <t>HP DL580 G7 - Quad Core</t>
  </si>
  <si>
    <t>HP DL585</t>
  </si>
  <si>
    <t>HP DL585 - Dual Core</t>
  </si>
  <si>
    <t>HP ProLiant BL460c - G6</t>
  </si>
  <si>
    <t>HP ProLiant BL465c - G6</t>
  </si>
  <si>
    <t>HP ProLiant BL465c - G7</t>
  </si>
  <si>
    <t>HP ProLiant BL490c - Intel E5540 2.53GHz</t>
  </si>
  <si>
    <t>HP ProLiant BL685c G6</t>
  </si>
  <si>
    <t>HP Proliant DL980 - G7</t>
  </si>
  <si>
    <t>HP RP3410-1</t>
  </si>
  <si>
    <t>HP RP3410-2</t>
  </si>
  <si>
    <t>HP RP3440</t>
  </si>
  <si>
    <t>HP RP4440</t>
  </si>
  <si>
    <t>HP RP7420</t>
  </si>
  <si>
    <t>HP RP7620</t>
  </si>
  <si>
    <t>HP RP8420</t>
  </si>
  <si>
    <t>HP RP8620</t>
  </si>
  <si>
    <t>HP RX6600</t>
  </si>
  <si>
    <t>HP RX8640</t>
  </si>
  <si>
    <t>IBM p520</t>
  </si>
  <si>
    <t>IBM P-Series Tier 1</t>
  </si>
  <si>
    <t>IBM p550</t>
  </si>
  <si>
    <t>IBM p570</t>
  </si>
  <si>
    <t>IBM P-Series Tier 2</t>
  </si>
  <si>
    <t>IBM p570 1.9GHz</t>
  </si>
  <si>
    <t>IBM P-Series Tier 3</t>
  </si>
  <si>
    <t>IBM p590</t>
  </si>
  <si>
    <t>IBM p6 p520</t>
  </si>
  <si>
    <t>IBM p6 p550</t>
  </si>
  <si>
    <t>IBM p6 p560Q</t>
  </si>
  <si>
    <t>IBM p6 p570</t>
  </si>
  <si>
    <t>IBM p6 p595</t>
  </si>
  <si>
    <t>IBM p615</t>
  </si>
  <si>
    <t>IBM p630</t>
  </si>
  <si>
    <t>IBM p650</t>
  </si>
  <si>
    <t>IBM p670</t>
  </si>
  <si>
    <t>IBM p690</t>
  </si>
  <si>
    <t>IBM p7 p780</t>
  </si>
  <si>
    <t>IBM p7 p795</t>
  </si>
  <si>
    <t>IBM x3550 M3</t>
  </si>
  <si>
    <t>IBM x3850 X5</t>
  </si>
  <si>
    <t>IBM xSeries 345</t>
  </si>
  <si>
    <t>IBM xSeries 365</t>
  </si>
  <si>
    <t>IBM xSeries 445</t>
  </si>
  <si>
    <t>Sun Enterprise M5000</t>
  </si>
  <si>
    <t>Sun Microsystems E25K</t>
  </si>
  <si>
    <t>Sun Microsystems E25K 1.8GHz</t>
  </si>
  <si>
    <t>Sun Microsystems E2900</t>
  </si>
  <si>
    <t>Sun Microsystems E4800</t>
  </si>
  <si>
    <t>Sun Microsystems E5000</t>
  </si>
  <si>
    <t>Sun Microsystems E6000</t>
  </si>
  <si>
    <t>Sun Microsystems E6500</t>
  </si>
  <si>
    <t>Sun Microsystems E6900</t>
  </si>
  <si>
    <t>Sun Microsystems F15K</t>
  </si>
  <si>
    <t>Sun Microsystems Fire 6800</t>
  </si>
  <si>
    <t>Sun Microsystems T2000</t>
  </si>
  <si>
    <t>Sun Microsystems T5240</t>
  </si>
  <si>
    <t>Sun Microsystems T5440</t>
  </si>
  <si>
    <t>Sun Microsystems V100</t>
  </si>
  <si>
    <t>Sun Microsystems V120</t>
  </si>
  <si>
    <t>Sun Microsystems V1280</t>
  </si>
  <si>
    <t>Sun Microsystems V210</t>
  </si>
  <si>
    <t>Sun Microsystems V245</t>
  </si>
  <si>
    <t>Sun Microsystems V445</t>
  </si>
  <si>
    <t>Sun Microsystems V480</t>
  </si>
  <si>
    <t>Sun Microsystems V490</t>
  </si>
  <si>
    <t>Sun Microsystems V490 1.8GHz</t>
  </si>
  <si>
    <t>Sun Microsystems V880</t>
  </si>
  <si>
    <t>Sun Microsystems V890</t>
  </si>
  <si>
    <t>Sun Microsystems x4100</t>
  </si>
  <si>
    <t>Sun SunFire T5120</t>
  </si>
  <si>
    <t>Sun SunFire T5220</t>
  </si>
  <si>
    <t>Type of Network Connection</t>
  </si>
  <si>
    <t>Rate</t>
  </si>
  <si>
    <t>Network - Server</t>
  </si>
  <si>
    <t>Server Tier</t>
  </si>
  <si>
    <t>Server Model</t>
  </si>
  <si>
    <t>Total RAM</t>
  </si>
  <si>
    <t>Server Cost Breakdown</t>
  </si>
  <si>
    <t>Added all CTI approved server models</t>
  </si>
  <si>
    <t>Updated Software prices</t>
  </si>
  <si>
    <t>Software List</t>
  </si>
  <si>
    <t>XI52</t>
  </si>
  <si>
    <t>IBM DataPower Integration Appliance XI52</t>
  </si>
  <si>
    <t>The WebSphere DataPower Integration Appliance XI52 is a purpose built hardware platform for delivering rapid data transformations for cloud and mobile applications, secured and scalable business integration, and edge of network security gateway in a single "drop-in box.</t>
  </si>
  <si>
    <t>Oracle GG</t>
  </si>
  <si>
    <t>Type of Network Connection I</t>
  </si>
  <si>
    <t># of Connections I</t>
  </si>
  <si>
    <t>Type of Network Connection II</t>
  </si>
  <si>
    <t># of Connections II</t>
  </si>
  <si>
    <t>NAS Shared Groups</t>
  </si>
  <si>
    <t>Network Cost</t>
  </si>
  <si>
    <t>Support Cost</t>
  </si>
  <si>
    <t/>
  </si>
  <si>
    <t>Count of Server Model</t>
  </si>
  <si>
    <t>1. Added new Software select column in HostBuild, allows for custom licensing rules for each product
2. Added IBM DataPower Integration Appliance XI52 to list of server models
3. Corrected Software name for Oracle GG
4. Corrected Support cost calculations (miscalculated x86 Linux support vs. x86 Windows support cost)
5. Added Network Connections Configurations</t>
  </si>
  <si>
    <t>Annual support/maintenance</t>
  </si>
  <si>
    <t>Version</t>
  </si>
  <si>
    <t>Date</t>
  </si>
  <si>
    <t>Tab</t>
  </si>
  <si>
    <t>Cell Column</t>
  </si>
  <si>
    <t>HostBuild</t>
  </si>
  <si>
    <t>=IFERROR(IF(FIND("Safenet",HostBuild[[#This Row],[Server Model]]),Safenet_PSE_PL600_Maint,0),0)+IFERROR(IF(FIND("XI52",HostBuild[[#This Row],[Server Model]]),IBM_DIA_XI52_Maint,0),0)+HostBuild[[#This Row],[Software Costs
'[After  Year 1']
(Monthly)]]+HostBuild[[#This Row],[Total Hardware Costs
(Monthly)]]</t>
  </si>
  <si>
    <t>Added XI52 Maintenance and corrected formula due to incorrectly placed ')'.</t>
  </si>
  <si>
    <t>FinCAD</t>
  </si>
  <si>
    <t>FinCAD for Developers (3-Yr License)</t>
  </si>
  <si>
    <t>Sum of FinCAD</t>
  </si>
  <si>
    <t xml:space="preserve">FinCAD </t>
  </si>
  <si>
    <t>Throughout</t>
  </si>
  <si>
    <t>Initial Version</t>
  </si>
  <si>
    <t>Multiple</t>
  </si>
  <si>
    <t>$CD - "Total Server Costs
[After Year 1]
(Monthly)"</t>
  </si>
  <si>
    <t>Capital Costs
(One-Time)</t>
  </si>
  <si>
    <t>Capital Costs
(Annual)</t>
  </si>
  <si>
    <t>Usage</t>
  </si>
  <si>
    <t>Total SAN (GB) Reserved</t>
  </si>
  <si>
    <t>Total SAN (GB) End-State</t>
  </si>
  <si>
    <t>Total NAS (GB) Shared</t>
  </si>
  <si>
    <t>Total NAS (GB) Dedicated</t>
  </si>
  <si>
    <r>
      <t xml:space="preserve">1. Added </t>
    </r>
    <r>
      <rPr>
        <b/>
        <sz val="11"/>
        <color theme="1"/>
        <rFont val="Calibri"/>
        <family val="2"/>
        <scheme val="minor"/>
      </rPr>
      <t>FinCAD</t>
    </r>
    <r>
      <rPr>
        <sz val="11"/>
        <color theme="1"/>
        <rFont val="Calibri"/>
        <family val="2"/>
        <scheme val="minor"/>
      </rPr>
      <t xml:space="preserve"> SW in all SW related tabs, lists, and HostBuild
2.Added automated Vertical Banded Columns formatting for SW Licensing section.
3. Added XI52 Maintenance to After Year 1 formula
4. Corrected After Year 1 formula, missing one column
5. Added One-Time Capital Cost Columns 'CF-CG'
6. Added 'Usage' column for Capacity Analysis and Planning Team.
7. Correct IBM Datapower XI52 (month vs. annual cost)
8. Updated 'SW Financials Summary' with new table
9. Updated code for Col "Software List" as columns have shifted</t>
    </r>
  </si>
  <si>
    <t>Priority</t>
  </si>
  <si>
    <t>Item #</t>
  </si>
  <si>
    <t>Comments</t>
  </si>
  <si>
    <t>Status</t>
  </si>
  <si>
    <t>Completed</t>
  </si>
  <si>
    <t>IBM HTTP Server pSeries</t>
  </si>
  <si>
    <t>Oracle Veridata</t>
  </si>
  <si>
    <t>IBM HTTP Server x86</t>
  </si>
  <si>
    <t>IBM HTTP pSeries</t>
  </si>
  <si>
    <t>IBM HTTP x86</t>
  </si>
  <si>
    <t>Weight
(0-256)</t>
  </si>
  <si>
    <t>Sum of IBM HTTP pSeries</t>
  </si>
  <si>
    <t>Sum of IBM HTTP x86</t>
  </si>
  <si>
    <t xml:space="preserve">IBM HTTP pSeries </t>
  </si>
  <si>
    <t xml:space="preserve">IBM HTTP x86 </t>
  </si>
  <si>
    <t>Year One Software Costs
(Annual)</t>
  </si>
  <si>
    <t>Requested by Capacity Management and Planning</t>
  </si>
  <si>
    <t>Account to include upgrades of existing servers "outside" of the BoM</t>
  </si>
  <si>
    <t>Removes one-time costs from cost of servers, will only account for CPU, RAM, Storage, and SW</t>
  </si>
  <si>
    <t>Improve code to automatically update script when column location changes for "Software List".</t>
  </si>
  <si>
    <t>Improve code to hide columns independent of creation/removal of additional columns</t>
  </si>
  <si>
    <t>Add columns Region (e.g. ASPAC, EMEA, LATAM, NAM) and by Country</t>
  </si>
  <si>
    <t>Region</t>
  </si>
  <si>
    <t>Country</t>
  </si>
  <si>
    <t>APAC</t>
  </si>
  <si>
    <t>EMEA</t>
  </si>
  <si>
    <t>LATAM</t>
  </si>
  <si>
    <t>NAM</t>
  </si>
  <si>
    <t>Include version numbers for SW and OS</t>
  </si>
  <si>
    <t>TBD</t>
  </si>
  <si>
    <t>Cops</t>
  </si>
  <si>
    <t>Tcon</t>
  </si>
  <si>
    <t>USR</t>
  </si>
  <si>
    <t>CitiWatch</t>
  </si>
  <si>
    <t>CitiOptions</t>
  </si>
  <si>
    <t>1. Added SW "Oracle Veridata"
2. Added SW "IBM HTTP Server pSeries &amp; x86"
3. Added code to automatically update script when column location changes for "Software List".
4. Updated macro to Hide columns based on Column Title vs. Column # (Worksheet now able to support dynamic addition/removal of extra columns)
5. Added Product List per Nagesh K.
6. Added IBM HTTP pSeries * x86 to "Software List" dropdown</t>
  </si>
  <si>
    <t>Version #</t>
  </si>
  <si>
    <t>Need to improve SAN calculations</t>
  </si>
  <si>
    <t>Swap Usage col with Product (Acronymn) col</t>
  </si>
  <si>
    <t>How to add unknown software</t>
  </si>
  <si>
    <t>Rename "SAN REQ. Today"  SAN needed today</t>
  </si>
  <si>
    <t>Green Dollars calculations? For CTI?</t>
  </si>
  <si>
    <t>PCR / Env</t>
  </si>
  <si>
    <t>SAN (GB)
NEEDED TODAY</t>
  </si>
  <si>
    <t>Provide detailed breakdown of OS, App, Data storage allocation requirements</t>
  </si>
  <si>
    <t>SW (Year 1) [Monthly]</t>
  </si>
  <si>
    <t>Total of SAN Needed Today</t>
  </si>
  <si>
    <t>Total of SAN (GB) Needed Today</t>
  </si>
  <si>
    <t>Total of NAS (GB) Dedicated</t>
  </si>
  <si>
    <t>Existing Server?</t>
  </si>
  <si>
    <t>New Server Model Count</t>
  </si>
  <si>
    <t>Requestor</t>
  </si>
  <si>
    <t>Scott Leitstein</t>
  </si>
  <si>
    <t>Nagesh K.</t>
  </si>
  <si>
    <t>Doug W.</t>
  </si>
  <si>
    <t>GIA Team</t>
  </si>
  <si>
    <t>Ajarufe</t>
  </si>
  <si>
    <t>DWendt</t>
  </si>
  <si>
    <t>Improve VMware storage calculation based on rules</t>
  </si>
  <si>
    <t>VMware Storage Calculation</t>
  </si>
  <si>
    <t>Rule</t>
  </si>
  <si>
    <r>
      <t>1. Moved HostBuild to 2nd Tab location
2. (</t>
    </r>
    <r>
      <rPr>
        <b/>
        <sz val="11"/>
        <color theme="1"/>
        <rFont val="Calibri"/>
        <family val="2"/>
        <scheme val="minor"/>
      </rPr>
      <t>HostBuild</t>
    </r>
    <r>
      <rPr>
        <sz val="11"/>
        <color theme="1"/>
        <rFont val="Calibri"/>
        <family val="2"/>
        <scheme val="minor"/>
      </rPr>
      <t>) Adjusted column formatting
3. (</t>
    </r>
    <r>
      <rPr>
        <b/>
        <sz val="11"/>
        <color theme="1"/>
        <rFont val="Calibri"/>
        <family val="2"/>
        <scheme val="minor"/>
      </rPr>
      <t>HostBuild</t>
    </r>
    <r>
      <rPr>
        <sz val="11"/>
        <color theme="1"/>
        <rFont val="Calibri"/>
        <family val="2"/>
        <scheme val="minor"/>
      </rPr>
      <t>) Added comments to header columns
4. (</t>
    </r>
    <r>
      <rPr>
        <b/>
        <sz val="11"/>
        <color theme="1"/>
        <rFont val="Calibri"/>
        <family val="2"/>
        <scheme val="minor"/>
      </rPr>
      <t>Financials</t>
    </r>
    <r>
      <rPr>
        <sz val="11"/>
        <color theme="1"/>
        <rFont val="Calibri"/>
        <family val="2"/>
        <scheme val="minor"/>
      </rPr>
      <t>) Reformatted pivot tables
5. (</t>
    </r>
    <r>
      <rPr>
        <b/>
        <sz val="11"/>
        <color theme="1"/>
        <rFont val="Calibri"/>
        <family val="2"/>
        <scheme val="minor"/>
      </rPr>
      <t>HostBuild</t>
    </r>
    <r>
      <rPr>
        <sz val="11"/>
        <color theme="1"/>
        <rFont val="Calibri"/>
        <family val="2"/>
        <scheme val="minor"/>
      </rPr>
      <t>) Adjusted support cost to only consider support costs for new servers, not upgraded servers.
6. (</t>
    </r>
    <r>
      <rPr>
        <b/>
        <sz val="11"/>
        <color theme="1"/>
        <rFont val="Calibri"/>
        <family val="2"/>
        <scheme val="minor"/>
      </rPr>
      <t>HostBuild</t>
    </r>
    <r>
      <rPr>
        <sz val="11"/>
        <color theme="1"/>
        <rFont val="Calibri"/>
        <family val="2"/>
        <scheme val="minor"/>
      </rPr>
      <t>) Corrected Support Cost calculation for IBM Series
7. (</t>
    </r>
    <r>
      <rPr>
        <b/>
        <sz val="11"/>
        <color theme="1"/>
        <rFont val="Calibri"/>
        <family val="2"/>
        <scheme val="minor"/>
      </rPr>
      <t>HostBuild</t>
    </r>
    <r>
      <rPr>
        <sz val="11"/>
        <color theme="1"/>
        <rFont val="Calibri"/>
        <family val="2"/>
        <scheme val="minor"/>
      </rPr>
      <t>) Updated VMware storage calculations (FE #13)
8. Create new tab: 'BoM Standards Rules' to detail logic behind the BoM Template calculations</t>
    </r>
  </si>
  <si>
    <t>See BoM Standards Rule for details</t>
  </si>
  <si>
    <t>BoM Version</t>
  </si>
  <si>
    <r>
      <t xml:space="preserve">Annual SW Cost By Product by Environment
[After Year One - Maintenance Costs]
</t>
    </r>
    <r>
      <rPr>
        <i/>
        <sz val="10"/>
        <color theme="1"/>
        <rFont val="Calibri"/>
        <family val="2"/>
        <scheme val="minor"/>
      </rPr>
      <t>(Note: Table manually created, for additional products need to manually update table contents)</t>
    </r>
  </si>
  <si>
    <r>
      <t xml:space="preserve">Annual SW Cost By Product by Environment
</t>
    </r>
    <r>
      <rPr>
        <i/>
        <sz val="10"/>
        <color theme="1"/>
        <rFont val="Calibri"/>
        <family val="2"/>
        <scheme val="minor"/>
      </rPr>
      <t>(Note: Table manually created, for additional products need to manually update table contents)</t>
    </r>
  </si>
  <si>
    <t>ALS</t>
  </si>
  <si>
    <t>CI</t>
  </si>
  <si>
    <t>SLMS</t>
  </si>
  <si>
    <t>Sales Station</t>
  </si>
  <si>
    <t>TRAINING</t>
  </si>
  <si>
    <t>IBM DS Services Director</t>
  </si>
  <si>
    <t>Oracle Spacial</t>
  </si>
  <si>
    <t>IBM InfoSphere Info Svcs Director</t>
  </si>
  <si>
    <t>IBM DS IS Dir</t>
  </si>
  <si>
    <t>Sum of IBM DS IS Dir</t>
  </si>
  <si>
    <t xml:space="preserve">IBM DS IS Dir </t>
  </si>
  <si>
    <t>Total Server After Year 1 Cost [Annual]</t>
  </si>
  <si>
    <t>Total Server Year 1 Costs [Annual]</t>
  </si>
  <si>
    <t>Monthly Totals</t>
  </si>
  <si>
    <t>Recommended SAN (GB)</t>
  </si>
  <si>
    <t>Recommended NAS (GB)</t>
  </si>
  <si>
    <t>Additional NAS (GB)</t>
  </si>
  <si>
    <t>Recommended RAM (GB)</t>
  </si>
  <si>
    <t>1. Added additional products to the product list.
2. Added TRAINING to environment list.
3. Added IBM DS Info Svcs Director, Oracle Spacial, and Oracle Stand-Alone. (Impacted tabs: HostBuild, SW Financials Summary, SW Details, SW Unit costs).
4. Added Total Server Year 1 Annual Costs and Total Server After Year 1 Annual Costs to Financials tables.
5. Added "Recommended RAM (GB)" Column; hidden col by default
6. Added "Recommended SAN (GB)" Column; hidden col by default
7. Added "Recommended NAS (GB)" Column; hidden col by default</t>
  </si>
  <si>
    <t>ESB</t>
  </si>
  <si>
    <t>Add Oracle Standalone SW</t>
  </si>
  <si>
    <t>Oracle Standalone</t>
  </si>
  <si>
    <t>Medium</t>
  </si>
  <si>
    <t>Add costs for SRDF solutions</t>
  </si>
  <si>
    <t>Add column to indicated if server is utilizing SRDF, then incorporate additional storage and network costs.</t>
  </si>
  <si>
    <t>Require SRDF?</t>
  </si>
  <si>
    <t>HostBuild
Financials</t>
  </si>
  <si>
    <t>Total
Capital Costs (One-Time)</t>
  </si>
  <si>
    <t>TIBCO Adapter SDK</t>
  </si>
  <si>
    <t>Sum of TIBCO Adapter SDK</t>
  </si>
  <si>
    <t xml:space="preserve">Oracle Standalone </t>
  </si>
  <si>
    <t xml:space="preserve">TIBCO Adapter SDK </t>
  </si>
  <si>
    <r>
      <t xml:space="preserve">1. Added Require SRDF? Calculates additional storage costs.
2. Added Capital Costs to Financials Tables
3. Added product: </t>
    </r>
    <r>
      <rPr>
        <b/>
        <sz val="11"/>
        <color theme="1"/>
        <rFont val="Calibri"/>
        <family val="2"/>
        <scheme val="minor"/>
      </rPr>
      <t xml:space="preserve">TIBCO Adapter SDK
</t>
    </r>
    <r>
      <rPr>
        <sz val="11"/>
        <color theme="1"/>
        <rFont val="Calibri"/>
        <family val="2"/>
        <scheme val="minor"/>
      </rPr>
      <t>4. Adjusted BoM to reflect TIBCO 75% discount in pricing schedule table instead of embedded formulas</t>
    </r>
  </si>
  <si>
    <t>Create int'l version of BoM to take into account regional costs</t>
  </si>
  <si>
    <t>1. Changed Veritas Cluster software licensing rules from per core to per CPU.
2. Updated VCS/CFS licensing cost per update provided by Antonio Jarufe</t>
  </si>
  <si>
    <t>1. Major scripting enhancements including: Addition of BoM Tools Menu
1a. Added rountine to add new servers to HostBuild Table</t>
  </si>
  <si>
    <t>BoM Tool Menu Startup</t>
  </si>
  <si>
    <t>Bom Template Version</t>
  </si>
  <si>
    <t>ufBoMTools Settings</t>
  </si>
  <si>
    <t>Top</t>
  </si>
  <si>
    <t>Left</t>
  </si>
  <si>
    <t>ufBTMActive</t>
  </si>
  <si>
    <t>wbName</t>
  </si>
  <si>
    <t>App Settings -- DO NOT TOUCH!!!!</t>
  </si>
  <si>
    <t>NOTE: DO NOT DELETE THIS ROW</t>
  </si>
  <si>
    <t>Cores</t>
  </si>
  <si>
    <t>Licensing Rule</t>
  </si>
  <si>
    <t>Licensing Rules</t>
  </si>
  <si>
    <t>Prod Alias</t>
  </si>
  <si>
    <t>TIBCO BW - Std Alone</t>
  </si>
  <si>
    <t>TIBCO AMX Grid</t>
  </si>
  <si>
    <t>TIBCO AMX PM</t>
  </si>
  <si>
    <t>TIBCO ESB</t>
  </si>
  <si>
    <t>TIBCO Perf Mgr</t>
  </si>
  <si>
    <t>TIBCO Policy Agent</t>
  </si>
  <si>
    <t>TIBCO RTView</t>
  </si>
  <si>
    <t>TIBCO RTView Dev</t>
  </si>
  <si>
    <t>TIBCO RTView BW Mon</t>
  </si>
  <si>
    <t>TIBCO Hawk</t>
  </si>
  <si>
    <t>Software Costs
[After Year 1]
(Monthly)</t>
  </si>
  <si>
    <t>Initial Server Cost</t>
  </si>
  <si>
    <t>2.4.6</t>
  </si>
  <si>
    <t>SW Start</t>
  </si>
  <si>
    <t>SW End</t>
  </si>
  <si>
    <t>Additional SAN (GB)</t>
  </si>
  <si>
    <t>1. Fixed Recommended SAN column, was not catching P-Series description from "Server Tier"</t>
  </si>
  <si>
    <t>Total Server Costs
[Year 1]
SW+HW
(Monthly)</t>
  </si>
  <si>
    <t>Total Server Costs
[After Year 1]
SW+HW
(Monthly)</t>
  </si>
  <si>
    <t>Data Center</t>
  </si>
  <si>
    <t>GTDC</t>
  </si>
  <si>
    <t>MWDC</t>
  </si>
  <si>
    <t>SWDC</t>
  </si>
  <si>
    <t>US</t>
  </si>
  <si>
    <t>Product List</t>
  </si>
  <si>
    <t>2.4.8</t>
  </si>
  <si>
    <t>Sterling</t>
  </si>
  <si>
    <t>IBM Tivoli Directory Server</t>
  </si>
  <si>
    <t>IBM Tivoli DS</t>
  </si>
  <si>
    <t>IBM WebSphere Application Server ND</t>
  </si>
  <si>
    <t>IBM WebSphere MQ</t>
  </si>
  <si>
    <t>IBM WebSphere Portal Server</t>
  </si>
  <si>
    <t>IBM WebSphere Business Monitor</t>
  </si>
  <si>
    <t>IBM WBM pSeries</t>
  </si>
  <si>
    <t>IBM WebSphere Process Server</t>
  </si>
  <si>
    <t>IBM WS Process Srvr</t>
  </si>
  <si>
    <t>IBM WMQ x86</t>
  </si>
  <si>
    <t>Sum of Oracle Standalone</t>
  </si>
  <si>
    <t>Sum of IBM Tivoli DS</t>
  </si>
  <si>
    <t>Sum of IBM WBM pSeries</t>
  </si>
  <si>
    <t>Sum of IBM WMQ x86</t>
  </si>
  <si>
    <t>Sum of IBM WS Process Srvr</t>
  </si>
  <si>
    <t xml:space="preserve">IBM Tivoli DS </t>
  </si>
  <si>
    <t xml:space="preserve">IBM WMQ x86 </t>
  </si>
  <si>
    <t xml:space="preserve">IBM WS Process Srvr </t>
  </si>
  <si>
    <t xml:space="preserve">IBM WBM pSeries </t>
  </si>
  <si>
    <t>2.4.7</t>
  </si>
  <si>
    <t>1. Added routine to add custom operating environment and manage the product list used in the HostBuild Tab</t>
  </si>
  <si>
    <t>1. Added ability to import /replace updated Notes worksheet from the source BoM
2. Improved HostBuild Worksheet update performance
3. Added 3 new IBM products, IBM Tivoli DS, IBM WS BMS, and IBM WS Biz Process Server
4. Added code to manage O/S List used in the HostBuild Tab and updated Import routine to include OS List</t>
  </si>
  <si>
    <t>Total Server Costs
[Year 1]
HW+SW
[Monthly]</t>
  </si>
  <si>
    <t>Total Server Costs
[ After Year 1]
HW+SW
[Monthly]</t>
  </si>
  <si>
    <t>1. Updated SAN End-State formula to address blank 'Server Tier' info.
2. Fixed Financials tab Pivot Tables 'Total Server HW+SW' due to change in column names.</t>
  </si>
  <si>
    <t>2.5.1</t>
  </si>
  <si>
    <t>1. Simplified 'Recommended SAN (GB) Column' calculation to calculated for O/S and RAM only.  Architect's will provide additional SAN requirements as needed through 'Additonal SAN (GB)' column.
2. Fixed Recommended SAN column --&gt; must have RAM for Wintel before recommended SAN calcs are provided
3. Recommended columns now appear in "Architect's View"
4. Adjusted 'SAN (GB) NEEDED TODAY' to take into account an negative 'Additional SAN(GB)' (e.g. to remove storage from Recommended SAN (GB) calculations.)</t>
  </si>
  <si>
    <t>Service Order Area</t>
  </si>
  <si>
    <t>Service Order ID</t>
  </si>
  <si>
    <t>Service Order Name</t>
  </si>
  <si>
    <t>Monthly Rate (USD)</t>
  </si>
  <si>
    <t>Monthly Rate (Local Currency)</t>
  </si>
  <si>
    <t>Desktop</t>
  </si>
  <si>
    <t>Device</t>
  </si>
  <si>
    <t>10131000033953</t>
  </si>
  <si>
    <t>Laptop</t>
  </si>
  <si>
    <t>Standard Citi Laptop, with Windows operating system and Office applications. Includes a laptop support surcharge for the additional costs of supporting a laptop over a desktop</t>
  </si>
  <si>
    <t>Algeria</t>
  </si>
  <si>
    <t>10131000023344</t>
  </si>
  <si>
    <t>Bahrain</t>
  </si>
  <si>
    <t>10131000023345</t>
  </si>
  <si>
    <t>Barcelona</t>
  </si>
  <si>
    <t>10131000056980</t>
  </si>
  <si>
    <t>Bulgaria</t>
  </si>
  <si>
    <t>10131000023346</t>
  </si>
  <si>
    <t>Cameroon</t>
  </si>
  <si>
    <t>10131000023347</t>
  </si>
  <si>
    <t>Congo</t>
  </si>
  <si>
    <t>10131000023348</t>
  </si>
  <si>
    <t>Czech</t>
  </si>
  <si>
    <t>10131000023351</t>
  </si>
  <si>
    <t>Egypt</t>
  </si>
  <si>
    <t>10131000023352</t>
  </si>
  <si>
    <t>France</t>
  </si>
  <si>
    <t>10131000023387</t>
  </si>
  <si>
    <t>Germany</t>
  </si>
  <si>
    <t>10131000023388</t>
  </si>
  <si>
    <t>Hungary</t>
  </si>
  <si>
    <t>10131000023354</t>
  </si>
  <si>
    <t>Ireland</t>
  </si>
  <si>
    <t>10131000023389</t>
  </si>
  <si>
    <t>Israel</t>
  </si>
  <si>
    <t>10131000023356</t>
  </si>
  <si>
    <t>Italy</t>
  </si>
  <si>
    <t>10131000023391</t>
  </si>
  <si>
    <t>Jordan</t>
  </si>
  <si>
    <t>10131000023357</t>
  </si>
  <si>
    <t>Kazakhstan</t>
  </si>
  <si>
    <t>10131000023358</t>
  </si>
  <si>
    <t>Kenya</t>
  </si>
  <si>
    <t>10131000023359</t>
  </si>
  <si>
    <t>Kuwait</t>
  </si>
  <si>
    <t>10131000023397</t>
  </si>
  <si>
    <t>Luxembourg</t>
  </si>
  <si>
    <t>10131000023392</t>
  </si>
  <si>
    <t>Morocco</t>
  </si>
  <si>
    <t>10131000023360</t>
  </si>
  <si>
    <t>Netherlands</t>
  </si>
  <si>
    <t>10131000023393</t>
  </si>
  <si>
    <t>Nigeria</t>
  </si>
  <si>
    <t>10131000023361</t>
  </si>
  <si>
    <t>Pakistan</t>
  </si>
  <si>
    <t>10131000023362</t>
  </si>
  <si>
    <t>Poland</t>
  </si>
  <si>
    <t>10131000023364</t>
  </si>
  <si>
    <t>Romania</t>
  </si>
  <si>
    <t>10131000023366</t>
  </si>
  <si>
    <t>Russia</t>
  </si>
  <si>
    <t>10131000023368</t>
  </si>
  <si>
    <t>Senegal</t>
  </si>
  <si>
    <t>10131000023370</t>
  </si>
  <si>
    <t>Slovakia</t>
  </si>
  <si>
    <t>10131000023372</t>
  </si>
  <si>
    <t>South Africa</t>
  </si>
  <si>
    <t>10131000023373</t>
  </si>
  <si>
    <t>Spain</t>
  </si>
  <si>
    <t>10131000023395</t>
  </si>
  <si>
    <t>Spain Cons</t>
  </si>
  <si>
    <t>10131000023405</t>
  </si>
  <si>
    <t>Switzerland</t>
  </si>
  <si>
    <t>10131000023396</t>
  </si>
  <si>
    <t>Tanzania</t>
  </si>
  <si>
    <t>10131000023374</t>
  </si>
  <si>
    <t>Tunisia</t>
  </si>
  <si>
    <t>10131000023375</t>
  </si>
  <si>
    <t>Turkey</t>
  </si>
  <si>
    <t>10131000023377</t>
  </si>
  <si>
    <t>UAE</t>
  </si>
  <si>
    <t>10131000023378</t>
  </si>
  <si>
    <t>Uganda</t>
  </si>
  <si>
    <t>10131000023379</t>
  </si>
  <si>
    <t>Ukraine</t>
  </si>
  <si>
    <t>10131000023380</t>
  </si>
  <si>
    <t>United Kingdom</t>
  </si>
  <si>
    <t>10131000023383</t>
  </si>
  <si>
    <t>Zambia</t>
  </si>
  <si>
    <t>10131000023381</t>
  </si>
  <si>
    <t>ASPAC</t>
  </si>
  <si>
    <t>Australia</t>
  </si>
  <si>
    <t>10131000021712</t>
  </si>
  <si>
    <t>China</t>
  </si>
  <si>
    <t>10131000021713</t>
  </si>
  <si>
    <t>Hong Kong</t>
  </si>
  <si>
    <t>10131000021714</t>
  </si>
  <si>
    <t>India</t>
  </si>
  <si>
    <t>10131000021716</t>
  </si>
  <si>
    <t>Indonesia</t>
  </si>
  <si>
    <t>10131000021715</t>
  </si>
  <si>
    <t>Korea</t>
  </si>
  <si>
    <t>10131000021717</t>
  </si>
  <si>
    <t>Malaysia</t>
  </si>
  <si>
    <t>10131000021718</t>
  </si>
  <si>
    <t>Philippines</t>
  </si>
  <si>
    <t>10131000021719</t>
  </si>
  <si>
    <t>Singapore</t>
  </si>
  <si>
    <t>10131000021720</t>
  </si>
  <si>
    <t>Taiwan</t>
  </si>
  <si>
    <t>10131000021722</t>
  </si>
  <si>
    <t>Thailand</t>
  </si>
  <si>
    <t>10131000021721</t>
  </si>
  <si>
    <t>Vietnam</t>
  </si>
  <si>
    <t>10131000057333</t>
  </si>
  <si>
    <t>JP</t>
  </si>
  <si>
    <t>10131000023340</t>
  </si>
  <si>
    <t>10131000039159</t>
  </si>
  <si>
    <t>Mobile Thin Client Hardware</t>
  </si>
  <si>
    <t>Standard Citi Thin Client Laptop; does not include C: Drive or applications</t>
  </si>
  <si>
    <t>10131000027892</t>
  </si>
  <si>
    <t>Premium Desktop</t>
  </si>
  <si>
    <t>Premium Citi Desktop, with keyboard and mouse, Windows operating system and Office applications</t>
  </si>
  <si>
    <t>10131000016849</t>
  </si>
  <si>
    <t>10131000016843</t>
  </si>
  <si>
    <t>10131000016847</t>
  </si>
  <si>
    <t>10131000016842</t>
  </si>
  <si>
    <t>10131000021678</t>
  </si>
  <si>
    <t>10131000021679</t>
  </si>
  <si>
    <t>10131000021680</t>
  </si>
  <si>
    <t>10131000021683</t>
  </si>
  <si>
    <t>10131000021682</t>
  </si>
  <si>
    <t>10131000021684</t>
  </si>
  <si>
    <t>10131000021685</t>
  </si>
  <si>
    <t>10131000021686</t>
  </si>
  <si>
    <t>10131000021687</t>
  </si>
  <si>
    <t>10131000021689</t>
  </si>
  <si>
    <t>10131000021688</t>
  </si>
  <si>
    <t>10131000057332</t>
  </si>
  <si>
    <t>10131000021784</t>
  </si>
  <si>
    <t>PST Storage</t>
  </si>
  <si>
    <t>Low cost storage</t>
  </si>
  <si>
    <t>10131000021782</t>
  </si>
  <si>
    <t>10131000021783</t>
  </si>
  <si>
    <t>PST Storage_CGM</t>
  </si>
  <si>
    <t>10131000033948</t>
  </si>
  <si>
    <t>Standard Desktop</t>
  </si>
  <si>
    <t>Standard Citi Desktop, with keyboard and mouse, Windows operating system and Office applications</t>
  </si>
  <si>
    <t>10131000016791</t>
  </si>
  <si>
    <t>10131000016792</t>
  </si>
  <si>
    <t>10131000056983</t>
  </si>
  <si>
    <t>10131000016793</t>
  </si>
  <si>
    <t>10131000016794</t>
  </si>
  <si>
    <t>10131000016795</t>
  </si>
  <si>
    <t>Cote D'Ivoir</t>
  </si>
  <si>
    <t>10131000016796</t>
  </si>
  <si>
    <t>10131000016797</t>
  </si>
  <si>
    <t>10131000016798</t>
  </si>
  <si>
    <t>10131000016831</t>
  </si>
  <si>
    <t>Gabon</t>
  </si>
  <si>
    <t>10131000016799</t>
  </si>
  <si>
    <t>10131000016832</t>
  </si>
  <si>
    <t>10131000016800</t>
  </si>
  <si>
    <t>10131000016833</t>
  </si>
  <si>
    <t>10131000016802</t>
  </si>
  <si>
    <t>10131000016834</t>
  </si>
  <si>
    <t>10131000016803</t>
  </si>
  <si>
    <t>10131000016804</t>
  </si>
  <si>
    <t>10131000016805</t>
  </si>
  <si>
    <t>10131000033912</t>
  </si>
  <si>
    <t>Lebanon</t>
  </si>
  <si>
    <t>10131000016806</t>
  </si>
  <si>
    <t>10131000016835</t>
  </si>
  <si>
    <t>10131000016807</t>
  </si>
  <si>
    <t>10131000016836</t>
  </si>
  <si>
    <t>10131000016808</t>
  </si>
  <si>
    <t>10131000016809</t>
  </si>
  <si>
    <t>10131000016811</t>
  </si>
  <si>
    <t>Portugal</t>
  </si>
  <si>
    <t>10131000016837</t>
  </si>
  <si>
    <t>Qatar</t>
  </si>
  <si>
    <t>10131000016839</t>
  </si>
  <si>
    <t>10131000016813</t>
  </si>
  <si>
    <t>10131000016814</t>
  </si>
  <si>
    <t>10131000016816</t>
  </si>
  <si>
    <t>10131000016817</t>
  </si>
  <si>
    <t>10131000016818</t>
  </si>
  <si>
    <t>10131000033833</t>
  </si>
  <si>
    <t>10131000033840</t>
  </si>
  <si>
    <t>10131000016838</t>
  </si>
  <si>
    <t>10131000016819</t>
  </si>
  <si>
    <t>10131000016820</t>
  </si>
  <si>
    <t>10131000016822</t>
  </si>
  <si>
    <t>10131000016823</t>
  </si>
  <si>
    <t>10131000016824</t>
  </si>
  <si>
    <t>10131000016825</t>
  </si>
  <si>
    <t>10131000016827</t>
  </si>
  <si>
    <t>10131000016826</t>
  </si>
  <si>
    <t>10131000021816</t>
  </si>
  <si>
    <t>10131000021817</t>
  </si>
  <si>
    <t>10131000021818</t>
  </si>
  <si>
    <t>10131000021820</t>
  </si>
  <si>
    <t>10131000021819</t>
  </si>
  <si>
    <t>10131000021821</t>
  </si>
  <si>
    <t>10131000021822</t>
  </si>
  <si>
    <t>10131000021823</t>
  </si>
  <si>
    <t>10131000021824</t>
  </si>
  <si>
    <t>10131000021826</t>
  </si>
  <si>
    <t>10131000021825</t>
  </si>
  <si>
    <t>10131000057331</t>
  </si>
  <si>
    <t>10131000033828</t>
  </si>
  <si>
    <t>10131000056381</t>
  </si>
  <si>
    <t>Standard Monitor</t>
  </si>
  <si>
    <t>Citi Standard Monitor (22" and below)</t>
  </si>
  <si>
    <t>10131000002062</t>
  </si>
  <si>
    <t>10131000002292</t>
  </si>
  <si>
    <t>10131000002064</t>
  </si>
  <si>
    <t>10131000002065</t>
  </si>
  <si>
    <t>10131000002300</t>
  </si>
  <si>
    <t>10131000002295</t>
  </si>
  <si>
    <t>10131000002067</t>
  </si>
  <si>
    <t>10131000002178</t>
  </si>
  <si>
    <t>10131000002297</t>
  </si>
  <si>
    <t>10131000021752</t>
  </si>
  <si>
    <t>10131000021753</t>
  </si>
  <si>
    <t>10131000021754</t>
  </si>
  <si>
    <t>10131000021757</t>
  </si>
  <si>
    <t>10131000021756</t>
  </si>
  <si>
    <t>10131000021758</t>
  </si>
  <si>
    <t>10131000021759</t>
  </si>
  <si>
    <t>10131000021760</t>
  </si>
  <si>
    <t>10131000021761</t>
  </si>
  <si>
    <t>10131000021763</t>
  </si>
  <si>
    <t>10131000021762</t>
  </si>
  <si>
    <t>10131000057334</t>
  </si>
  <si>
    <t>10131000016769</t>
  </si>
  <si>
    <t>10131000036263</t>
  </si>
  <si>
    <t>Thin Client Hardware</t>
  </si>
  <si>
    <t>Standard thin Client hardware devide (e.g. WYSE Terminal) or Repurposed PC, with keyboard and mouse and two standard monitors</t>
  </si>
  <si>
    <t>10131000036179</t>
  </si>
  <si>
    <t>10131000021788</t>
  </si>
  <si>
    <t>10131000021789</t>
  </si>
  <si>
    <t>10131000021790</t>
  </si>
  <si>
    <t>10131000021793</t>
  </si>
  <si>
    <t>10131000021792</t>
  </si>
  <si>
    <t>10131000021794</t>
  </si>
  <si>
    <t>10131000021795</t>
  </si>
  <si>
    <t>10131000021796</t>
  </si>
  <si>
    <t>10131000021797</t>
  </si>
  <si>
    <t>10131000021799</t>
  </si>
  <si>
    <t>10131000021798</t>
  </si>
  <si>
    <t>10131000057335</t>
  </si>
  <si>
    <t>10131000027895</t>
  </si>
  <si>
    <t>Workstation</t>
  </si>
  <si>
    <t>High-spec Citi Desktop, with keyboard and mouse, Windows operating system and Office applications</t>
  </si>
  <si>
    <t>Support</t>
  </si>
  <si>
    <t>10131000017807</t>
  </si>
  <si>
    <t>Basic Support</t>
  </si>
  <si>
    <t>Desktop Support. Tier based on the site support staff to user ratios of 400:1 for the business and location</t>
  </si>
  <si>
    <t>10131000057277</t>
  </si>
  <si>
    <t>10131000027901</t>
  </si>
  <si>
    <t>Dedicated Support</t>
  </si>
  <si>
    <t>Dedicated desktop support</t>
  </si>
  <si>
    <t>FTE Cost</t>
  </si>
  <si>
    <t>10131000027910</t>
  </si>
  <si>
    <t>10131000027911</t>
  </si>
  <si>
    <t>10131000051989</t>
  </si>
  <si>
    <t>10131000027913</t>
  </si>
  <si>
    <t>10131000027904</t>
  </si>
  <si>
    <t>10131000027906</t>
  </si>
  <si>
    <t>10131000027914</t>
  </si>
  <si>
    <t>Desktop Support IMAC Level 0</t>
  </si>
  <si>
    <t>One-time cost per request for MarketPlace products that take the lowest amount of effort to fulfill on average</t>
  </si>
  <si>
    <t>Per Request</t>
  </si>
  <si>
    <t>10131000020854</t>
  </si>
  <si>
    <t>Desktop Support IMAC Level 1</t>
  </si>
  <si>
    <t>10131000016643</t>
  </si>
  <si>
    <t>10131000016664</t>
  </si>
  <si>
    <t>10131000016645</t>
  </si>
  <si>
    <t>10131000016665</t>
  </si>
  <si>
    <t>10131000016649</t>
  </si>
  <si>
    <t>10131000016651</t>
  </si>
  <si>
    <t>10131000016672</t>
  </si>
  <si>
    <t>10131000016659</t>
  </si>
  <si>
    <t>10131000020863</t>
  </si>
  <si>
    <t>Desktop Support IMAC Level 2</t>
  </si>
  <si>
    <t>One-time cost per request for MarketPlace products that take a medium amount of effort to fulfill on average</t>
  </si>
  <si>
    <t>10131000016687</t>
  </si>
  <si>
    <t>10131000020872</t>
  </si>
  <si>
    <t>Desktop Support IMAC Level 3</t>
  </si>
  <si>
    <t>One-time cost per request for MarketPlace products that take the greatest amount of effort to fulfill on average</t>
  </si>
  <si>
    <t>10131000016740</t>
  </si>
  <si>
    <t>End User IMAC Support Level 0</t>
  </si>
  <si>
    <t>Request for MarketPlace products that take a medium amount of effort to fulfill on average</t>
  </si>
  <si>
    <t>10131000020817</t>
  </si>
  <si>
    <t>End User Support IMAC Level 1</t>
  </si>
  <si>
    <t>Request for MarketPlace products that take the lowest amount of effort to fulfill on average</t>
  </si>
  <si>
    <t>10131000020824</t>
  </si>
  <si>
    <t>End User Support IMAC Level 2</t>
  </si>
  <si>
    <t>10131000020832</t>
  </si>
  <si>
    <t>End User Support IMAC Level 3</t>
  </si>
  <si>
    <t>Request for MarketPlace products that take the greatest amount of effort to fulfill on average</t>
  </si>
  <si>
    <t>10131000017813</t>
  </si>
  <si>
    <t>Premium Support</t>
  </si>
  <si>
    <t>Desktop Support. Tier based on the site support staff to user ratios of 100:1 for the business and location</t>
  </si>
  <si>
    <t>10131000056430</t>
  </si>
  <si>
    <t>10131000056441</t>
  </si>
  <si>
    <t>10131000056443</t>
  </si>
  <si>
    <t>10131000056636</t>
  </si>
  <si>
    <t>10131000027900</t>
  </si>
  <si>
    <t>10131000028038</t>
  </si>
  <si>
    <t>Printer Support</t>
  </si>
  <si>
    <t>Covers support cost of Printers and hardware</t>
  </si>
  <si>
    <t>Per Printer</t>
  </si>
  <si>
    <t>10131000028040</t>
  </si>
  <si>
    <t>10131000028042</t>
  </si>
  <si>
    <t>10131000028044</t>
  </si>
  <si>
    <t>10131000028045</t>
  </si>
  <si>
    <t>10131000028048</t>
  </si>
  <si>
    <t>10131000028049</t>
  </si>
  <si>
    <t>10131000028080</t>
  </si>
  <si>
    <t>10131000028050</t>
  </si>
  <si>
    <t>10131000028051</t>
  </si>
  <si>
    <t>10131000028052</t>
  </si>
  <si>
    <t>10131000028053</t>
  </si>
  <si>
    <t>10131000028086</t>
  </si>
  <si>
    <t>10131000028054</t>
  </si>
  <si>
    <t>10131000028055</t>
  </si>
  <si>
    <t>10131000028056</t>
  </si>
  <si>
    <t>10131000028083</t>
  </si>
  <si>
    <t>10131000028087</t>
  </si>
  <si>
    <t>10131000028062</t>
  </si>
  <si>
    <t>10131000028064</t>
  </si>
  <si>
    <t>10131000028065</t>
  </si>
  <si>
    <t>10131000028066</t>
  </si>
  <si>
    <t>10131000028067</t>
  </si>
  <si>
    <t>10131000028069</t>
  </si>
  <si>
    <t>10131000028072</t>
  </si>
  <si>
    <t>10131000028073</t>
  </si>
  <si>
    <t>10131000028074</t>
  </si>
  <si>
    <t>10131000030297</t>
  </si>
  <si>
    <t>Remote Support</t>
  </si>
  <si>
    <t>Covers remote Desktop Support</t>
  </si>
  <si>
    <t>Per Desktop</t>
  </si>
  <si>
    <t>10131000017819</t>
  </si>
  <si>
    <t>Standard Support</t>
  </si>
  <si>
    <t>Desktop Support. Tier based on the site support staff to user ratios of 250:1 for the business and location</t>
  </si>
  <si>
    <t>10131000033844</t>
  </si>
  <si>
    <t>10131000033846</t>
  </si>
  <si>
    <t>10131000056984</t>
  </si>
  <si>
    <t>10131000033847</t>
  </si>
  <si>
    <t>10131000033848</t>
  </si>
  <si>
    <t>10131000033850</t>
  </si>
  <si>
    <t>10131000033851</t>
  </si>
  <si>
    <t>10131000033853</t>
  </si>
  <si>
    <t>10131000033854</t>
  </si>
  <si>
    <t>10131000033892</t>
  </si>
  <si>
    <t>10131000033855</t>
  </si>
  <si>
    <t>10131000033894</t>
  </si>
  <si>
    <t>10131000033856</t>
  </si>
  <si>
    <t>10131000033896</t>
  </si>
  <si>
    <t>10131000033858</t>
  </si>
  <si>
    <t>10131000033899</t>
  </si>
  <si>
    <t>10131000033859</t>
  </si>
  <si>
    <t>10131000033860</t>
  </si>
  <si>
    <t>10131000033861</t>
  </si>
  <si>
    <t>10131000033913</t>
  </si>
  <si>
    <t>10131000033862</t>
  </si>
  <si>
    <t>10131000033901</t>
  </si>
  <si>
    <t>10131000033863</t>
  </si>
  <si>
    <t>10131000033903</t>
  </si>
  <si>
    <t>10131000033864</t>
  </si>
  <si>
    <t>10131000033865</t>
  </si>
  <si>
    <t>10131000033867</t>
  </si>
  <si>
    <t>10131000033905</t>
  </si>
  <si>
    <t>10131000033914</t>
  </si>
  <si>
    <t>10131000033870</t>
  </si>
  <si>
    <t>10131000033872</t>
  </si>
  <si>
    <t>10131000033873</t>
  </si>
  <si>
    <t>10131000033875</t>
  </si>
  <si>
    <t>10131000033877</t>
  </si>
  <si>
    <t>10131000033878</t>
  </si>
  <si>
    <t>10131000033907</t>
  </si>
  <si>
    <t>10131000033921</t>
  </si>
  <si>
    <t>10131000033910</t>
  </si>
  <si>
    <t>10131000033879</t>
  </si>
  <si>
    <t>10131000033880</t>
  </si>
  <si>
    <t>10131000033882</t>
  </si>
  <si>
    <t>10131000033883</t>
  </si>
  <si>
    <t>10131000033884</t>
  </si>
  <si>
    <t>UK (Nordics)</t>
  </si>
  <si>
    <t>10131000025778</t>
  </si>
  <si>
    <t>10131000033885</t>
  </si>
  <si>
    <t>10131000033888</t>
  </si>
  <si>
    <t>10131000033886</t>
  </si>
  <si>
    <t>10131000021690</t>
  </si>
  <si>
    <t>10131000021691</t>
  </si>
  <si>
    <t>10131000021692</t>
  </si>
  <si>
    <t>10131000021694</t>
  </si>
  <si>
    <t>10131000021693</t>
  </si>
  <si>
    <t>10131000021698</t>
  </si>
  <si>
    <t>10131000021699</t>
  </si>
  <si>
    <t>10131000021700</t>
  </si>
  <si>
    <t>10131000021701</t>
  </si>
  <si>
    <t>10131000021703</t>
  </si>
  <si>
    <t>10131000021702</t>
  </si>
  <si>
    <t>10131000057330</t>
  </si>
  <si>
    <t>10131000029560</t>
  </si>
  <si>
    <t>10131000033843</t>
  </si>
  <si>
    <t>10131000036261</t>
  </si>
  <si>
    <t>Thin Client Support</t>
  </si>
  <si>
    <t>Support for Thin Client</t>
  </si>
  <si>
    <t>Per Device</t>
  </si>
  <si>
    <t xml:space="preserve">Virtual </t>
  </si>
  <si>
    <t>10131000056382</t>
  </si>
  <si>
    <t>CAP</t>
  </si>
  <si>
    <t>Virtual computing desktop and applications on shared datacenter environment; can be accessed from thin clients, Citi devices, or remotely</t>
  </si>
  <si>
    <t>User</t>
  </si>
  <si>
    <t>10131000056855</t>
  </si>
  <si>
    <t>10131000057093</t>
  </si>
  <si>
    <t>10131000056538</t>
  </si>
  <si>
    <t>10131000056521</t>
  </si>
  <si>
    <t>10131000016940</t>
  </si>
  <si>
    <t xml:space="preserve">Premium VDI </t>
  </si>
  <si>
    <t>Premium Virtual Desktop hosted from a data center, dedicated to user, running Windows and with Office applications. Comes with additional memory and processing speed.</t>
  </si>
  <si>
    <t>Instance</t>
  </si>
  <si>
    <t>10131000056532</t>
  </si>
  <si>
    <t>10131000016944</t>
  </si>
  <si>
    <t>Standard VDI</t>
  </si>
  <si>
    <t>Standard Virtual Desktop hosted from a data center, dedicated to user, running Windows and with Office applications</t>
  </si>
  <si>
    <t>10131000037542</t>
  </si>
  <si>
    <t>10131000021802</t>
  </si>
  <si>
    <t>10131000029595</t>
  </si>
  <si>
    <t>10131000021801</t>
  </si>
  <si>
    <t>VDI Connectivity</t>
  </si>
  <si>
    <t>Connectivity charge for VDI</t>
  </si>
  <si>
    <t>Per User</t>
  </si>
  <si>
    <t>10131000052555</t>
  </si>
  <si>
    <t>VDI NAS</t>
  </si>
  <si>
    <t>Distributed Services</t>
  </si>
  <si>
    <t>EOL</t>
  </si>
  <si>
    <t>10131000052440</t>
  </si>
  <si>
    <t>DC Distributed HW - EOL</t>
  </si>
  <si>
    <t>End of support hardware model</t>
  </si>
  <si>
    <t>Per Instance</t>
  </si>
  <si>
    <t>Warsaw DC</t>
  </si>
  <si>
    <t>10131000055538</t>
  </si>
  <si>
    <t>10131000054498</t>
  </si>
  <si>
    <t>10131000054496</t>
  </si>
  <si>
    <t>10131000052000</t>
  </si>
  <si>
    <t>DC Distributed SW - EOL</t>
  </si>
  <si>
    <t>Vendor maintenance support costs for EOL Software such as RedHat Linux 4, AIX 5.3 and SuSe Linux9</t>
  </si>
  <si>
    <t>10131000051971</t>
  </si>
  <si>
    <t>10131000016019</t>
  </si>
  <si>
    <t>DC Distributed SW - EOL- 1st Year</t>
  </si>
  <si>
    <t>Extended vendor maintenance support costs for EOL Software such as RedHat Linux 3, AIX 5.2, HP-UX 11, SWL 2005, and Oracle 10g</t>
  </si>
  <si>
    <t>10131000054447</t>
  </si>
  <si>
    <t>10131000055490</t>
  </si>
  <si>
    <t>10131000016024</t>
  </si>
  <si>
    <t>DC Distributed SW - EOL- 2nd Year</t>
  </si>
  <si>
    <t>10131000054442</t>
  </si>
  <si>
    <t>10131000055540</t>
  </si>
  <si>
    <t>10131000052439</t>
  </si>
  <si>
    <t>DC Distributed SW  EOL- 3rd year</t>
  </si>
  <si>
    <t>10131000054436</t>
  </si>
  <si>
    <t>10131000055541</t>
  </si>
  <si>
    <t>10131000057187</t>
  </si>
  <si>
    <t>DC Distributed SW - EOL- 4th year</t>
  </si>
  <si>
    <t>10131000057188</t>
  </si>
  <si>
    <t>DC Distributed SW - EOL- 4th year_W2K</t>
  </si>
  <si>
    <t>10131000052001</t>
  </si>
  <si>
    <t>DC Distributed SW - EOL Extended</t>
  </si>
  <si>
    <t>10131000051972</t>
  </si>
  <si>
    <t>10131000054497</t>
  </si>
  <si>
    <t>DC Distributed SW - EOL Extended 2x</t>
  </si>
  <si>
    <t>10131000018443</t>
  </si>
  <si>
    <t>Grid</t>
  </si>
  <si>
    <t>10131000056365</t>
  </si>
  <si>
    <t>Grid Compute Node</t>
  </si>
  <si>
    <t xml:space="preserve">Grid service is charged as all-inclusive  core*hour rate. NAM average rate is $0.08/core/hour.  This charge is includes hardware, network, and support cost of the environment. </t>
  </si>
  <si>
    <t>Actual Cost</t>
  </si>
  <si>
    <t>10131000019999</t>
  </si>
  <si>
    <t xml:space="preserve">Grid service is charged as all-inclusive core*hour rate. EMEA average rate is $0.10/core/hour. This charge is includes hardware, network, and support cost of the environment. </t>
  </si>
  <si>
    <t>Hardware</t>
  </si>
  <si>
    <t>10131000012588</t>
  </si>
  <si>
    <t>Content Mgmt Sys</t>
  </si>
  <si>
    <t>Middleware system for releasing content to Web servers, including editing, approval, workflows, schedulings, etc</t>
  </si>
  <si>
    <t>Fixed Volume (100) + Volume split across businesses</t>
  </si>
  <si>
    <t>10131000033089</t>
  </si>
  <si>
    <t>Data Center Hosting</t>
  </si>
  <si>
    <t>Environmental charges per virtual U (DC charge methodology based on space, power, and cooling requirements) in CTI-owned DC space</t>
  </si>
  <si>
    <t>Per VRU</t>
  </si>
  <si>
    <t>10131000015805</t>
  </si>
  <si>
    <t>Database</t>
  </si>
  <si>
    <t>Database administration support</t>
  </si>
  <si>
    <t>Per DB instance</t>
  </si>
  <si>
    <t>10131000016054</t>
  </si>
  <si>
    <t>DC Floor Space - Dedicated</t>
  </si>
  <si>
    <t>Covers the cost of premises, cabling and DC site management</t>
  </si>
  <si>
    <t>Per sq. ft.</t>
  </si>
  <si>
    <t>10131000016058</t>
  </si>
  <si>
    <t>DC Floor Space - Racking</t>
  </si>
  <si>
    <t>Covers the cost of premises, cabling, cabinets and DC site management</t>
  </si>
  <si>
    <t>Per U of rack space used</t>
  </si>
  <si>
    <t>10131000016143</t>
  </si>
  <si>
    <t>Additional RAM memory in excess of 16GB per CPU</t>
  </si>
  <si>
    <t>10131000056754</t>
  </si>
  <si>
    <t>Additional RAM memory in excess of 4GB per CPU</t>
  </si>
  <si>
    <t>10131000056470</t>
  </si>
  <si>
    <t>Additional RAM memory per CPU</t>
  </si>
  <si>
    <t>10131000016148</t>
  </si>
  <si>
    <t>DC Server Memory - Sun Solaris (High Tiers)</t>
  </si>
  <si>
    <t>Additional RAM memory in excess of 8GB per CPU for T series and V4440 and V4240 servers.</t>
  </si>
  <si>
    <t>10131000016152</t>
  </si>
  <si>
    <t>DC Server Memory - Sun Solaris (Low Tiers)</t>
  </si>
  <si>
    <t>Additional RAM memory in excess of 8GB per CPU for E series and V480 and V490 servers</t>
  </si>
  <si>
    <t>10131000037195</t>
  </si>
  <si>
    <t>DC Server Memory - Unix</t>
  </si>
  <si>
    <t>Additional RAM in excess of 2 GB per CPU</t>
  </si>
  <si>
    <t>10131000016157</t>
  </si>
  <si>
    <t>DC Server Memory - x86</t>
  </si>
  <si>
    <t>Additional RAM memory in excess of 12GB per CPU for Wintel and 8GB per CPU for Unix</t>
  </si>
  <si>
    <t>10131000038696</t>
  </si>
  <si>
    <t>10131000038700</t>
  </si>
  <si>
    <t>10131000056472</t>
  </si>
  <si>
    <t>10131000020418</t>
  </si>
  <si>
    <t>Distributed HP Unix CPU</t>
  </si>
  <si>
    <t>Represents CPU usage in HP Platform based on TPMC count</t>
  </si>
  <si>
    <t>Per CPU</t>
  </si>
  <si>
    <t>10131000020415</t>
  </si>
  <si>
    <t>10131000052527</t>
  </si>
  <si>
    <t>Distributed Linux Blade CPU</t>
  </si>
  <si>
    <t>CPU usage in Linux Blade Platform</t>
  </si>
  <si>
    <t>10131000007471</t>
  </si>
  <si>
    <t>Distributed P-series CPU</t>
  </si>
  <si>
    <t>Covers the cost of P-Series server and operating system depreciation, maintenance and premises</t>
  </si>
  <si>
    <t>Per distributed MIP</t>
  </si>
  <si>
    <t>10131000029283</t>
  </si>
  <si>
    <t>10131000026632</t>
  </si>
  <si>
    <t>10131000052511</t>
  </si>
  <si>
    <t>Distributed Sun Solaris Appl Server</t>
  </si>
  <si>
    <t>Represents Application servers charges allocated based on the no of servers in the country</t>
  </si>
  <si>
    <t>10131000052512</t>
  </si>
  <si>
    <t>10131000052513</t>
  </si>
  <si>
    <t>10131000056652</t>
  </si>
  <si>
    <t>10131000052548</t>
  </si>
  <si>
    <t>10131000052514</t>
  </si>
  <si>
    <t>10131000052549</t>
  </si>
  <si>
    <t>10131000052515</t>
  </si>
  <si>
    <t>10131000052516</t>
  </si>
  <si>
    <t>10131000056653</t>
  </si>
  <si>
    <t>10131000052550</t>
  </si>
  <si>
    <t>10131000052518</t>
  </si>
  <si>
    <t>10131000052517</t>
  </si>
  <si>
    <t>10131000052521</t>
  </si>
  <si>
    <t>Distributed Sun Solaris Appl Server (CIB)</t>
  </si>
  <si>
    <t>10131000052510</t>
  </si>
  <si>
    <t>10131000039721</t>
  </si>
  <si>
    <t>Distributed Sun Solaris CPU</t>
  </si>
  <si>
    <t>Charges  for Software Liceneses &amp; Maintenance that resdies on the server (formerly embedded in HW CPU rate). Includes: Veritas Storage Foundation Enterprise, Veritas Volume Replicator and PowerPath.</t>
  </si>
  <si>
    <t>Per server CPU</t>
  </si>
  <si>
    <t>10131000057115</t>
  </si>
  <si>
    <t>Distributed Sun/Solaris Hardware Tier 2</t>
  </si>
  <si>
    <t>Charges for Hardware associated with Solaris Servers</t>
  </si>
  <si>
    <t>10131000057116</t>
  </si>
  <si>
    <t>Distributed Sun/Solaris Hardware Tier 3</t>
  </si>
  <si>
    <t>10131000021643</t>
  </si>
  <si>
    <t>Distributed x86 Appl Server</t>
  </si>
  <si>
    <t>10131000021644</t>
  </si>
  <si>
    <t>10131000056650</t>
  </si>
  <si>
    <t>10131000052551</t>
  </si>
  <si>
    <t>10131000021645</t>
  </si>
  <si>
    <t>10131000052552</t>
  </si>
  <si>
    <t>10131000021665</t>
  </si>
  <si>
    <t>10131000021666</t>
  </si>
  <si>
    <t>10131000021668</t>
  </si>
  <si>
    <t>10131000056651</t>
  </si>
  <si>
    <t>10131000021664</t>
  </si>
  <si>
    <t>10131000052553</t>
  </si>
  <si>
    <t>10131000021669</t>
  </si>
  <si>
    <t>10131000021642</t>
  </si>
  <si>
    <t>Distributed x86 Appl Server (CIB)</t>
  </si>
  <si>
    <t>10131000052524</t>
  </si>
  <si>
    <t>10131000021648</t>
  </si>
  <si>
    <t>10131000039724</t>
  </si>
  <si>
    <t>Distributed x86 Linux CPU</t>
  </si>
  <si>
    <t>10131000057232</t>
  </si>
  <si>
    <t>IBM P-series Platform Tier 1</t>
  </si>
  <si>
    <t>HW cost includes Depreciation, HW Maintenance, Power, Heat, Premises, AIX OS, Partition Load Manager, Virtual I/O Server, Tivoli Ent. and HMC Console. IBM P520/p550 -- 1.65 MHz.</t>
  </si>
  <si>
    <t>10131000026615</t>
  </si>
  <si>
    <t>10131000057111</t>
  </si>
  <si>
    <t>10131000057233</t>
  </si>
  <si>
    <t>IBM P-series Platform Tier 2</t>
  </si>
  <si>
    <t>10131000026625</t>
  </si>
  <si>
    <t>10131000057112</t>
  </si>
  <si>
    <t>10131000057234</t>
  </si>
  <si>
    <t>IBM P-series Platform Tier 3</t>
  </si>
  <si>
    <t>HW cost includes Depreciation, HW Maintenance, Power, Heat, Premises, AIX OS, Partition Load Manager, Virtual I/O Server, Tivoli Ent. and HMC Console. IBM P570 -- 1.90 MHz.</t>
  </si>
  <si>
    <t>10131000026620</t>
  </si>
  <si>
    <t>10131000056505</t>
  </si>
  <si>
    <t>Middleware - Autosys</t>
  </si>
  <si>
    <t>Job scheduling middleware which schedules/executes jobs on remote servers</t>
  </si>
  <si>
    <t>Per Business Server</t>
  </si>
  <si>
    <t>10131000024897</t>
  </si>
  <si>
    <t>Middleware - NDM</t>
  </si>
  <si>
    <t>Middleware for NDM end queue</t>
  </si>
  <si>
    <t>10131000035438</t>
  </si>
  <si>
    <t>Sun / Solaris CPU</t>
  </si>
  <si>
    <t>10131000057226</t>
  </si>
  <si>
    <t>Sun / Solaris Hardware Platform Tier 1</t>
  </si>
  <si>
    <t>10131000037138</t>
  </si>
  <si>
    <t>10131000057227</t>
  </si>
  <si>
    <t>Sun / Solaris Hardware Platform Tier 2</t>
  </si>
  <si>
    <t>10131000037145</t>
  </si>
  <si>
    <t>10131000057228</t>
  </si>
  <si>
    <t>Sun / Solaris Hardware Platform Tier 3</t>
  </si>
  <si>
    <t>10131000037152</t>
  </si>
  <si>
    <t>10131000025856</t>
  </si>
  <si>
    <t>x86 CPU</t>
  </si>
  <si>
    <t>10131000025854</t>
  </si>
  <si>
    <t>10131000057229</t>
  </si>
  <si>
    <t>x86 Hardware Platform Tier 1</t>
  </si>
  <si>
    <t>10131000038658</t>
  </si>
  <si>
    <t>10131000038662</t>
  </si>
  <si>
    <t>10131000057117</t>
  </si>
  <si>
    <t>10131000057230</t>
  </si>
  <si>
    <t>x86 Hardware Platform Tier 2</t>
  </si>
  <si>
    <t>10131000038664</t>
  </si>
  <si>
    <t>10131000038668</t>
  </si>
  <si>
    <t>10131000057118</t>
  </si>
  <si>
    <t>10131000057231</t>
  </si>
  <si>
    <t>x86 Hardware Platform Tier 3</t>
  </si>
  <si>
    <t>10131000038670</t>
  </si>
  <si>
    <t>10131000038674</t>
  </si>
  <si>
    <t>10131000057120</t>
  </si>
  <si>
    <t>10131000007233</t>
  </si>
  <si>
    <t>Additional Application Support</t>
  </si>
  <si>
    <t>Covers the cost of support provided for specific Applications</t>
  </si>
  <si>
    <t>10131000009899</t>
  </si>
  <si>
    <t>Business Specific Distributed Software</t>
  </si>
  <si>
    <t>Software specifically requested by the Business. Covers Operating Systems, Utilities and Applications.</t>
  </si>
  <si>
    <t>Vendor Invoices</t>
  </si>
  <si>
    <t>10131000056344</t>
  </si>
  <si>
    <t>Database Shared Services</t>
  </si>
  <si>
    <t>Database Shared Services Fixed</t>
  </si>
  <si>
    <t>10131000056446</t>
  </si>
  <si>
    <t>10131000015711</t>
  </si>
  <si>
    <t>Database Support</t>
  </si>
  <si>
    <t>Dedicated support of client databases</t>
  </si>
  <si>
    <t>Hours</t>
  </si>
  <si>
    <t>10131000021636</t>
  </si>
  <si>
    <t>DBA Services</t>
  </si>
  <si>
    <t>Represents database administration and in-country charges for Australia</t>
  </si>
  <si>
    <t>10131000057236</t>
  </si>
  <si>
    <t>DBA Support</t>
  </si>
  <si>
    <t>Business Aligned DBA Support</t>
  </si>
  <si>
    <t>10131000056440</t>
  </si>
  <si>
    <t>DC Business Aligned DBA Support</t>
  </si>
  <si>
    <t>10131000056436</t>
  </si>
  <si>
    <t>DC Business Aligned SA Support</t>
  </si>
  <si>
    <t>Business Aligned SA Support</t>
  </si>
  <si>
    <t>10131000015818</t>
  </si>
  <si>
    <t>DC Database Shared Services Subscription (Cash)</t>
  </si>
  <si>
    <t>DBA Subscription and Shared Support (Cash)</t>
  </si>
  <si>
    <t>10131000015824</t>
  </si>
  <si>
    <t>DC Database Shared Services Subscription (Non Cash)</t>
  </si>
  <si>
    <t>DBA Subscription and Shared Support (Non Cash)</t>
  </si>
  <si>
    <t>10131000056346</t>
  </si>
  <si>
    <t>DC Shared Middleware Support Category 1</t>
  </si>
  <si>
    <t>Shared Middleware Support Category 1</t>
  </si>
  <si>
    <t>10131000056714</t>
  </si>
  <si>
    <t>10131000056448</t>
  </si>
  <si>
    <t>10131000056355</t>
  </si>
  <si>
    <t>DC Shared Middleware Support Category 10</t>
  </si>
  <si>
    <t>Shared Middleware Support Category 10</t>
  </si>
  <si>
    <t>10131000056725</t>
  </si>
  <si>
    <t>10131000056457</t>
  </si>
  <si>
    <t>10131000056356</t>
  </si>
  <si>
    <t>DC Shared Middleware Support Category 11</t>
  </si>
  <si>
    <t>Shared Middleware Support Category 11</t>
  </si>
  <si>
    <t>Report</t>
  </si>
  <si>
    <t>10131000056726</t>
  </si>
  <si>
    <t>10131000056458</t>
  </si>
  <si>
    <t>10131000056357</t>
  </si>
  <si>
    <t>DC Shared Middleware Support Category 12</t>
  </si>
  <si>
    <t>Shared Middleware Support Category 12</t>
  </si>
  <si>
    <t>10131000056740</t>
  </si>
  <si>
    <t>10131000056459</t>
  </si>
  <si>
    <t>10131000056358</t>
  </si>
  <si>
    <t>DC Shared Middleware Support Category 13</t>
  </si>
  <si>
    <t>Shared Middleware Support Category 13</t>
  </si>
  <si>
    <t>10131000056719</t>
  </si>
  <si>
    <t>10131000056460</t>
  </si>
  <si>
    <t>10131000056359</t>
  </si>
  <si>
    <t>DC Shared Middleware Support Category 14</t>
  </si>
  <si>
    <t>Shared Middleware Support Category 14</t>
  </si>
  <si>
    <t>10131000056741</t>
  </si>
  <si>
    <t>10131000056743</t>
  </si>
  <si>
    <t>DC Shared Middleware Support Category 16</t>
  </si>
  <si>
    <t>Shared Middleware Support Category 16</t>
  </si>
  <si>
    <t>10131000056347</t>
  </si>
  <si>
    <t>DC Shared Middleware Support Category 2</t>
  </si>
  <si>
    <t>Shared Middleware Support Category 2</t>
  </si>
  <si>
    <t>10131000056723</t>
  </si>
  <si>
    <t>10131000056449</t>
  </si>
  <si>
    <t>10131000056348</t>
  </si>
  <si>
    <t>DC Shared Middleware Support Category 3</t>
  </si>
  <si>
    <t>Shared Middleware Support Category 3</t>
  </si>
  <si>
    <t>10131000056738</t>
  </si>
  <si>
    <t>10131000056450</t>
  </si>
  <si>
    <t>10131000056349</t>
  </si>
  <si>
    <t>DC Shared Middleware Support Category 4</t>
  </si>
  <si>
    <t>Shared Middleware Support Category 4</t>
  </si>
  <si>
    <t>PVU</t>
  </si>
  <si>
    <t>10131000056731</t>
  </si>
  <si>
    <t>10131000056451</t>
  </si>
  <si>
    <t>10131000056350</t>
  </si>
  <si>
    <t>DC Shared Middleware Support Category 5</t>
  </si>
  <si>
    <t>Shared Middleware Support Category 5</t>
  </si>
  <si>
    <t>10131000056717</t>
  </si>
  <si>
    <t>10131000056452</t>
  </si>
  <si>
    <t>10131000056351</t>
  </si>
  <si>
    <t>DC Shared Middleware Support Category 6</t>
  </si>
  <si>
    <t>Shared Middleware Support Category 6</t>
  </si>
  <si>
    <t>10131000056724</t>
  </si>
  <si>
    <t>10131000056453</t>
  </si>
  <si>
    <t>10131000056352</t>
  </si>
  <si>
    <t>DC Shared Middleware Support Category 7</t>
  </si>
  <si>
    <t>Shared Middleware Support Category 7</t>
  </si>
  <si>
    <t>10131000056716</t>
  </si>
  <si>
    <t>10131000056454</t>
  </si>
  <si>
    <t>10131000056353</t>
  </si>
  <si>
    <t>DC Shared Middleware Support Category 8</t>
  </si>
  <si>
    <t>Shared Middleware Support Category 8</t>
  </si>
  <si>
    <t>10131000056739</t>
  </si>
  <si>
    <t>10131000056455</t>
  </si>
  <si>
    <t>10131000056354</t>
  </si>
  <si>
    <t>DC Shared Middleware Support Category 9</t>
  </si>
  <si>
    <t>Shared Middleware Support Category 9</t>
  </si>
  <si>
    <t>10131000056718</t>
  </si>
  <si>
    <t>10131000056456</t>
  </si>
  <si>
    <t>10131000017192</t>
  </si>
  <si>
    <t>Direct Server Support - Sun Solaris</t>
  </si>
  <si>
    <t>Physical Direct Server Support - Sun Solaris</t>
  </si>
  <si>
    <t>Per OS Instance</t>
  </si>
  <si>
    <t>10131000037182</t>
  </si>
  <si>
    <t>Sun Solaris - Direct Server Support</t>
  </si>
  <si>
    <t>10131000017198</t>
  </si>
  <si>
    <t>Direct Server Support - x86</t>
  </si>
  <si>
    <t>Physical Direct Server Support - WINTEL</t>
  </si>
  <si>
    <t>10131000038684</t>
  </si>
  <si>
    <t>Wintel - Direct Server Support</t>
  </si>
  <si>
    <t>10131000057094</t>
  </si>
  <si>
    <t>Distributed Linux Infrastructure</t>
  </si>
  <si>
    <t>Linux Infrastructure</t>
  </si>
  <si>
    <t>10131000057095</t>
  </si>
  <si>
    <t>Distributed Linux Support</t>
  </si>
  <si>
    <t>Linux Support</t>
  </si>
  <si>
    <t>10131000056343</t>
  </si>
  <si>
    <t>GCG MW Support</t>
  </si>
  <si>
    <t>GCG Business Aligned MW Support</t>
  </si>
  <si>
    <t>10131000020572</t>
  </si>
  <si>
    <t>HW EOL Support - Distributed</t>
  </si>
  <si>
    <t>Represents Application servers charges allocated based on the no of servers in Hong Kong</t>
  </si>
  <si>
    <t>10131000024885</t>
  </si>
  <si>
    <t>Middleware - Additional Services</t>
  </si>
  <si>
    <t>Covers the cost of Middleware software (Web, MQ, Direct Connect)</t>
  </si>
  <si>
    <t>10131000024889</t>
  </si>
  <si>
    <t>10131000057235</t>
  </si>
  <si>
    <t>SA Support</t>
  </si>
  <si>
    <t>10131000009881</t>
  </si>
  <si>
    <t>Server Support - Non Standard</t>
  </si>
  <si>
    <t>Support for Non-Standard  servers</t>
  </si>
  <si>
    <t>10131000009879</t>
  </si>
  <si>
    <t>Server Support - Premium</t>
  </si>
  <si>
    <t>Unix server administration support for standard requirements</t>
  </si>
  <si>
    <t>10131000009877</t>
  </si>
  <si>
    <t>Server Support - Standard</t>
  </si>
  <si>
    <t>Unix Server Support - Standard</t>
  </si>
  <si>
    <t>10131000025881</t>
  </si>
  <si>
    <t>Shared Server Support - X86</t>
  </si>
  <si>
    <t>X86 Support</t>
  </si>
  <si>
    <t>10131000033568</t>
  </si>
  <si>
    <t>Solaris Direct Support</t>
  </si>
  <si>
    <t>Solaris Support</t>
  </si>
  <si>
    <t>10131000056640</t>
  </si>
  <si>
    <t>Sun / Solaris Shared Services Support</t>
  </si>
  <si>
    <t>DC Sun Unix Support</t>
  </si>
  <si>
    <t>10131000037130</t>
  </si>
  <si>
    <t>Sun Solaris - Additional Services</t>
  </si>
  <si>
    <t>Cluster S/W Licences - HACMP, Sun Cluster and Veritas CF</t>
  </si>
  <si>
    <t>10131000037577</t>
  </si>
  <si>
    <t>VM Direct Support</t>
  </si>
  <si>
    <t>Direct SA support per VM</t>
  </si>
  <si>
    <t>10131000057096</t>
  </si>
  <si>
    <t>VMware Infrastructure</t>
  </si>
  <si>
    <t>10131000037656</t>
  </si>
  <si>
    <t>VMware Maintenance</t>
  </si>
  <si>
    <t>Support  for VMware software-- per CPU</t>
  </si>
  <si>
    <t>10131000038516</t>
  </si>
  <si>
    <t>Web Host Support</t>
  </si>
  <si>
    <t>10131000038646</t>
  </si>
  <si>
    <t>x86 - Additional Services</t>
  </si>
  <si>
    <t>Covers the cost of Citrix &amp; other special software</t>
  </si>
  <si>
    <t>10131000057097</t>
  </si>
  <si>
    <t>x86 Support</t>
  </si>
  <si>
    <t>10131000056469</t>
  </si>
  <si>
    <t>DC Server Memory - VMware</t>
  </si>
  <si>
    <t>10131000052577</t>
  </si>
  <si>
    <t>DC Server Virtual Memory</t>
  </si>
  <si>
    <t>10131000053029</t>
  </si>
  <si>
    <t>DC Server Virtual Memory Daily</t>
  </si>
  <si>
    <t>10131000023476</t>
  </si>
  <si>
    <t>Ldom Share</t>
  </si>
  <si>
    <t>CPU, Memory, OS and NW Ports of the LDOM farm</t>
  </si>
  <si>
    <t>Per Slice of one Core and&lt;4GB Memory</t>
  </si>
  <si>
    <t>10131000057182</t>
  </si>
  <si>
    <t>VM Guest Tier 1</t>
  </si>
  <si>
    <t>Charges for each VM instance with less than 1 vcpu--including infrastructure hardware cost, network, support, and sw.</t>
  </si>
  <si>
    <t>10131000057319</t>
  </si>
  <si>
    <t>Represents VMWare Tier 1 charges based on number of virtual CPU</t>
  </si>
  <si>
    <t>Per VM instance</t>
  </si>
  <si>
    <t>10131000057183</t>
  </si>
  <si>
    <t>VM Guest Tier 2</t>
  </si>
  <si>
    <t>Charges for each VM instance with &gt;1&lt;=2 vcpu--including infrastructure hardware cost, network, support, and sw.</t>
  </si>
  <si>
    <t>10131000057318</t>
  </si>
  <si>
    <t>Represents VMWare Tier 2 charges based on number of virtual CPU</t>
  </si>
  <si>
    <t>10131000057184</t>
  </si>
  <si>
    <t>VM Guest Tier 3</t>
  </si>
  <si>
    <t>Charges for each VM instance with &gt;2&lt;=4 vcpu--including infrastructure hardware cost, network, support, and sw.</t>
  </si>
  <si>
    <t>10131000057317</t>
  </si>
  <si>
    <t>Represents VMWare Tier 3 charges based on number of virtual CPU</t>
  </si>
  <si>
    <t>10131000057185</t>
  </si>
  <si>
    <t>VM Guest Tier 4</t>
  </si>
  <si>
    <t>Charges for each VM instance with &gt;4&lt;=8 vcpu--including infrastructure hardware cost, network, support, and sw.</t>
  </si>
  <si>
    <t>10131000057316</t>
  </si>
  <si>
    <t>Represents VMWare Tier 4 charges based on number of virtual CPU</t>
  </si>
  <si>
    <t>10131000037581</t>
  </si>
  <si>
    <t>VM O/S Software</t>
  </si>
  <si>
    <t>Software for VM</t>
  </si>
  <si>
    <t>10131000037636</t>
  </si>
  <si>
    <t>VMware hosts supported by the VMware team, and license costs</t>
  </si>
  <si>
    <t>Per vCPU</t>
  </si>
  <si>
    <t>10131000057186</t>
  </si>
  <si>
    <t>VMware Self-Service Cloud</t>
  </si>
  <si>
    <t xml:space="preserve">Charges for each self-service cloud instance -including infrastructure hardware cost, network, support, and sw.  </t>
  </si>
  <si>
    <t>Per vCPU Daily</t>
  </si>
  <si>
    <t>10131000056643</t>
  </si>
  <si>
    <t>10131000056647</t>
  </si>
  <si>
    <t>VMware Self-Service Cloud Virtual Memory</t>
  </si>
  <si>
    <t>VM cloud memory</t>
  </si>
  <si>
    <t>10131000037662</t>
  </si>
  <si>
    <t>Vmware Software</t>
  </si>
  <si>
    <t>Enterprise Systems</t>
  </si>
  <si>
    <t>iSeries</t>
  </si>
  <si>
    <t>10131000022621</t>
  </si>
  <si>
    <t>iSeries Image</t>
  </si>
  <si>
    <t>Optical storage allocated to iSeries LPARS</t>
  </si>
  <si>
    <t>10131000022622</t>
  </si>
  <si>
    <t>iSeries Partition</t>
  </si>
  <si>
    <t>iSeries Partition Charge</t>
  </si>
  <si>
    <t>Per Partition</t>
  </si>
  <si>
    <t>10131000020603</t>
  </si>
  <si>
    <t>iSeries Processor</t>
  </si>
  <si>
    <t>Hardware, software and support associated with AS400 systems, measured as total CPWs used in the month</t>
  </si>
  <si>
    <t>Per Allocated CPWS</t>
  </si>
  <si>
    <t>10131000053707</t>
  </si>
  <si>
    <t>10131000020605</t>
  </si>
  <si>
    <t>iSeries Storage</t>
  </si>
  <si>
    <t>Storage associated with iSeries</t>
  </si>
  <si>
    <t>10131000053711</t>
  </si>
  <si>
    <t>10131000053709</t>
  </si>
  <si>
    <t>Reg Stratus CPU</t>
  </si>
  <si>
    <t>CPU usage in Stratus platform based on CPU seconds (EMEA)</t>
  </si>
  <si>
    <t>Mainframe</t>
  </si>
  <si>
    <t>10131000009900</t>
  </si>
  <si>
    <t>Business Specific Mainframe Software</t>
  </si>
  <si>
    <t>10131000057126</t>
  </si>
  <si>
    <t>Dedicated Mainframe</t>
  </si>
  <si>
    <t>Dedicated support for specific applications within the Data Center for Stratus, iSeries, TPF, Solution Edition</t>
  </si>
  <si>
    <t>Actual Expenses</t>
  </si>
  <si>
    <t>10131000039540</t>
  </si>
  <si>
    <t>CPU - Measured by the 24 hour average of all weekdays during the month</t>
  </si>
  <si>
    <t>Scaled Average MIPS</t>
  </si>
  <si>
    <t>10131000024008</t>
  </si>
  <si>
    <t>Mainframe - zLinux CPU</t>
  </si>
  <si>
    <t>10131000023985</t>
  </si>
  <si>
    <t>Mainframe CPU</t>
  </si>
  <si>
    <t>10131000024045</t>
  </si>
  <si>
    <t>Mainframe Disaster Recovery</t>
  </si>
  <si>
    <t>Maintenance of the DR facility with sufficient resources for the continuity of critical Business functions. Includes Mainframe processors and related equipment, support and premises.</t>
  </si>
  <si>
    <t>10131000056364</t>
  </si>
  <si>
    <t>Mainframe GDPS</t>
  </si>
  <si>
    <t>Implementation of Hyper Swap and XRC COB</t>
  </si>
  <si>
    <t>Actual Installed MIPS for the GDPS LPARs</t>
  </si>
  <si>
    <t>10131000056637</t>
  </si>
  <si>
    <t>10131000024018</t>
  </si>
  <si>
    <t>Mainframe GP CPU</t>
  </si>
  <si>
    <t>10131000020648</t>
  </si>
  <si>
    <t>10131000020645</t>
  </si>
  <si>
    <t>10131000023975</t>
  </si>
  <si>
    <t>Mainframe Linux CPU</t>
  </si>
  <si>
    <t>10131000023977</t>
  </si>
  <si>
    <t>Mainframe ZIIP / ZAAP CPU</t>
  </si>
  <si>
    <t>10131000038966</t>
  </si>
  <si>
    <t>Mainframe ZIIP CPU</t>
  </si>
  <si>
    <t>10131000038993</t>
  </si>
  <si>
    <t>Mainframe zLinux CPU</t>
  </si>
  <si>
    <t>10131000035261</t>
  </si>
  <si>
    <t>CPU usage in Stratus platform based on CPU seconds (Asia)</t>
  </si>
  <si>
    <t>Direct Chargeback</t>
  </si>
  <si>
    <t>10131000035260</t>
  </si>
  <si>
    <t>GUCO</t>
  </si>
  <si>
    <t>Collaboration</t>
  </si>
  <si>
    <t>10131000026006</t>
  </si>
  <si>
    <t>Office Communicator</t>
  </si>
  <si>
    <t>Citi-issued Instant Messaging product for live chat conversations and desktop sharing</t>
  </si>
  <si>
    <t>Per User / Account</t>
  </si>
  <si>
    <t>CHARGED THROUGH NAM SOID</t>
  </si>
  <si>
    <t>10131000033229</t>
  </si>
  <si>
    <t>SharePoint Additional Storage</t>
  </si>
  <si>
    <t>Additional storage for SharePoint site</t>
  </si>
  <si>
    <t>Per 100MB</t>
  </si>
  <si>
    <t>10131000033233</t>
  </si>
  <si>
    <t>SharePoint Basic</t>
  </si>
  <si>
    <t>SharePoint site with basic back-up, retention and storage requirements</t>
  </si>
  <si>
    <t>Conferencing</t>
  </si>
  <si>
    <t>10131000008001</t>
  </si>
  <si>
    <t>Audio Conferencing Attended</t>
  </si>
  <si>
    <t>Operator assisted reserved audio conferencing calls</t>
  </si>
  <si>
    <t>10131000036030</t>
  </si>
  <si>
    <t>Audio Conferencing Fees</t>
  </si>
  <si>
    <t>Fees associated with audio conferencing calls</t>
  </si>
  <si>
    <t>10131000008009</t>
  </si>
  <si>
    <t>Audio Conferencing Support</t>
  </si>
  <si>
    <t>Support for audio conferencing</t>
  </si>
  <si>
    <t>10131000036041</t>
  </si>
  <si>
    <t>Audio Conferencing Taxes</t>
  </si>
  <si>
    <t>Taxes associated with audio conferencing calls</t>
  </si>
  <si>
    <t>10131000008004</t>
  </si>
  <si>
    <t>Audio Conferencing Unattended</t>
  </si>
  <si>
    <t>Reservation-less audio conferencing calls</t>
  </si>
  <si>
    <t>10131000056406</t>
  </si>
  <si>
    <t>Cloud-based Video</t>
  </si>
  <si>
    <t>BlueJeans cloud hosted video conferencing service</t>
  </si>
  <si>
    <t>10131000056541</t>
  </si>
  <si>
    <t>Conferencing Dedicated</t>
  </si>
  <si>
    <t>Dedicated conferencing project support and infrastructure</t>
  </si>
  <si>
    <t>10131000016939</t>
  </si>
  <si>
    <t>Desktop Video</t>
  </si>
  <si>
    <t>Desktop video service. The MOC Desktop Video service allows users to make and receive video calls to other desktop users or meeting rooms directly from their PC</t>
  </si>
  <si>
    <t>10131000018771</t>
  </si>
  <si>
    <t>Executive Video Device</t>
  </si>
  <si>
    <t>CISCO executive personal video device. The Executive Desktop Video Unit allows executives to place and receive video calls with other video users and meeting rooms throughout the firm. Managing director approval required for ordering.</t>
  </si>
  <si>
    <t>10131000039827</t>
  </si>
  <si>
    <t>10131000029592</t>
  </si>
  <si>
    <t>10131000039824</t>
  </si>
  <si>
    <t>10131000057190</t>
  </si>
  <si>
    <t>Executive Video Support</t>
  </si>
  <si>
    <t>Support and maintenance for CISCO executive personal video device</t>
  </si>
  <si>
    <t>10131000056409</t>
  </si>
  <si>
    <t>TelePresence ACR</t>
  </si>
  <si>
    <t>Active Collaboration (C3) video meetings</t>
  </si>
  <si>
    <t>Per Hour</t>
  </si>
  <si>
    <t>10131000057251</t>
  </si>
  <si>
    <t>Web Conferencing</t>
  </si>
  <si>
    <t>WebEx cloud hosted web conferencing service</t>
  </si>
  <si>
    <t>Messaging</t>
  </si>
  <si>
    <t>10131000056394</t>
  </si>
  <si>
    <t>Electronic Communications Blocking &amp; Supervision</t>
  </si>
  <si>
    <t>Email and IM blocking and monitoring services</t>
  </si>
  <si>
    <t>10131000056530</t>
  </si>
  <si>
    <t>10131000056395</t>
  </si>
  <si>
    <t>Email Archive Personal</t>
  </si>
  <si>
    <t>Additional mailbox archiving solution for users with a mailboxe running on Exchange 2010 (20 GB of personal storage)</t>
  </si>
  <si>
    <t>Per 20GB</t>
  </si>
  <si>
    <t>10131000056391</t>
  </si>
  <si>
    <t>Email Premium 2010</t>
  </si>
  <si>
    <t>A Premium Mailbox provides timely message delivery, e-mail account management, as well as anti-virus and spam protection, message archiving and data recovery. Citi mailbox running on Exchange 2010 (5 GB of storage)</t>
  </si>
  <si>
    <t>10131000056490</t>
  </si>
  <si>
    <t>10131000056389</t>
  </si>
  <si>
    <t>Email Standard 2010</t>
  </si>
  <si>
    <t>A Standard Mailbox provides timely message delivery, e-mail account management, as well as anti-virus and spam protection, message archiving and data recovery. Citi mailbox running on Exchange 2010 (2 GB of storage)</t>
  </si>
  <si>
    <t>10131000056488</t>
  </si>
  <si>
    <t>10131000029567</t>
  </si>
  <si>
    <t>Email Storage Add-On</t>
  </si>
  <si>
    <t>This product will result in the specified mailbox size changing. Each 50 MB increment will incur an additional monthly charge on top of the base mailbox monthly charge. Additional storage (50 MB increments) for users with a mailbox running on Exchange 2007</t>
  </si>
  <si>
    <t>Per 50MB</t>
  </si>
  <si>
    <t>10131000052496</t>
  </si>
  <si>
    <t>10131000056393</t>
  </si>
  <si>
    <t>Email Support</t>
  </si>
  <si>
    <t>Exchange support provided from North America to users on LATAM based infrastructure</t>
  </si>
  <si>
    <t>Per Mailbox</t>
  </si>
  <si>
    <t>10131000019704</t>
  </si>
  <si>
    <t>Global Desktop Fax</t>
  </si>
  <si>
    <t>Global Desktop Fax (GDF) New Acct allows a user to send faxes or send and receive faxes. The email address must have a valid external address (i.e.:@citi.com). NOTE: New Hires must wait at least 48 hours after a valid email address has been created. Global Desktop Fax service by which a user can send an email to a fax machine</t>
  </si>
  <si>
    <t>Monthly Fee + Usage</t>
  </si>
  <si>
    <t>10131000039593</t>
  </si>
  <si>
    <t>Messaging Dedicated</t>
  </si>
  <si>
    <t>Dedicated messaging project support and infrastructure</t>
  </si>
  <si>
    <t>10131000025227</t>
  </si>
  <si>
    <t>Public Folder</t>
  </si>
  <si>
    <t>Public folders allow shared use of email messages where the owner can control access permissions to the data. Public folders are NOT designed to accommodate long term retention, or archival of data classified higher than confidential. Public folders that allow the shared use of contacts, calendar items and other data</t>
  </si>
  <si>
    <t>Per MB</t>
  </si>
  <si>
    <t>10131000051853</t>
  </si>
  <si>
    <t>10131000052497</t>
  </si>
  <si>
    <t>10131000052601</t>
  </si>
  <si>
    <t>Public Folder (50MB to 250MB)</t>
  </si>
  <si>
    <t>10131000052605</t>
  </si>
  <si>
    <t>Public Folder (Greater than 250MB)</t>
  </si>
  <si>
    <t>Mobile</t>
  </si>
  <si>
    <t>10131000009392</t>
  </si>
  <si>
    <t>BlackBerry</t>
  </si>
  <si>
    <t>Infrastructure, license and support costs to access Citi-email via a Citi-issued blackberry device</t>
  </si>
  <si>
    <t>10131000009377</t>
  </si>
  <si>
    <t>10131000029558</t>
  </si>
  <si>
    <t>10131000025057</t>
  </si>
  <si>
    <t>10131000056525</t>
  </si>
  <si>
    <t>Blackberry Data Plan</t>
  </si>
  <si>
    <t>Data Plan for Citi-issued Blackberry Device</t>
  </si>
  <si>
    <t>10131000009383</t>
  </si>
  <si>
    <t>Blackberry Device</t>
  </si>
  <si>
    <t>Citi-issued Blackberry Device</t>
  </si>
  <si>
    <t>10131000009372</t>
  </si>
  <si>
    <t>10131000052441</t>
  </si>
  <si>
    <t>Smartphone / Tablet Corporate Email</t>
  </si>
  <si>
    <t>Infrastructure and support to provide access to corporate email, contacts, and calendar via personal mobile devices via GOOD Dynamics or other products.</t>
  </si>
  <si>
    <t>10131000051994</t>
  </si>
  <si>
    <t>10131000051877</t>
  </si>
  <si>
    <t>10131000052488</t>
  </si>
  <si>
    <t>Remote Access</t>
  </si>
  <si>
    <t>10131000052602</t>
  </si>
  <si>
    <t>Critical Remote Access</t>
  </si>
  <si>
    <t>Reserved capacity for Critical Remote Access User program. The Critical Remote Access User (CRAU) product is for a person requiring remote access to support a sub-process in the event of a Business Recovery plan invocation OR an individual requiring Remote Access during a crisis event.</t>
  </si>
  <si>
    <t>Profile Setting</t>
  </si>
  <si>
    <t>10131000030257</t>
  </si>
  <si>
    <t>10131000051879</t>
  </si>
  <si>
    <t>10131000030263</t>
  </si>
  <si>
    <t>Safeword - The Citi Remote Access Safeword Card allows you to remotely access the Citigroup network using: Remote Office Web Portal, Remote Office VPN or Dial VPN. This service is only for Citi Employees. 
SofToken - The MobilePass Softoken is an alternative to Safeword cards. Passwords are generated directly from your Blackberry providing a secure and convenient way to access Remote Office.</t>
  </si>
  <si>
    <t>10131000030242</t>
  </si>
  <si>
    <t>10131000030229</t>
  </si>
  <si>
    <t>10131000039661</t>
  </si>
  <si>
    <t>Remote Access - BANAMEX</t>
  </si>
  <si>
    <t>Network</t>
  </si>
  <si>
    <t>B2B Remote Services</t>
  </si>
  <si>
    <t>10131000052442</t>
  </si>
  <si>
    <t>Aggregate Network Provider Connectivity</t>
  </si>
  <si>
    <t>3rd party logical or physical circuits that are provided by an extranet aggregate connectivity service provider to a 4th party. Most common in market data and other trading connectivity.  Aggregate provider examples include Radianz, Savvis, TNS, etc.</t>
  </si>
  <si>
    <t>Per Connection</t>
  </si>
  <si>
    <t>10131000008614</t>
  </si>
  <si>
    <t>B2B Connections</t>
  </si>
  <si>
    <t>Standard Business to Business connections, covering depreciation of head end network and firewall equipment, network management &amp; monitoring, regional backbone, support, and operating expenses</t>
  </si>
  <si>
    <t>10131000008620</t>
  </si>
  <si>
    <t>B2B Private Line Circuits</t>
  </si>
  <si>
    <t>3rd party circuits that are direct private line and point-to-point circuits from a Citigroup Data Center to an external vendor or business partner</t>
  </si>
  <si>
    <t>Per Circuit</t>
  </si>
  <si>
    <t>10131000057189</t>
  </si>
  <si>
    <t>B2B Remote Devices (High Tier)</t>
  </si>
  <si>
    <t>Network devices remotely deployed by TI in support of a Business to Business connection, covering depreciation, network management, monitoring, support, and operating expenses. Higher end equipment supports higher bandwidth requirements.</t>
  </si>
  <si>
    <t>10131000008623</t>
  </si>
  <si>
    <t>B2B Remote Devices (Low Tier)</t>
  </si>
  <si>
    <t>Network devices remotely deployed by TI in support of a Business to Business connection, covering depreciation, network management, monitoring, support, and operating expenses.  Lower end equipment supports standard bandwidth requirements.</t>
  </si>
  <si>
    <t>Data Center Services</t>
  </si>
  <si>
    <t>10131000052443</t>
  </si>
  <si>
    <t>DC Device Connectivity - Market Data</t>
  </si>
  <si>
    <t>Depreciating strategic and satellite data center infrastructure that connects the server and regional IP WAN backbone connecting strategic datacenters, covering routers &amp; switches, local and site to site load balancing, circuitry, network management &amp; monitoring, accelerators, and operating expenses specific to a uniquely built Market Data environment</t>
  </si>
  <si>
    <t>Per Server Port</t>
  </si>
  <si>
    <t>10131000056486</t>
  </si>
  <si>
    <t>Depreciating strategic and satellite data center infrastructure that connects the server and regional IP WAN backbone connecting strategic datacenters, covering routers &amp; switches, local and site to site load balancing, circuitry, network management &amp; monitoring, accelerators, and operating expenses</t>
  </si>
  <si>
    <t>10131000029964</t>
  </si>
  <si>
    <t>DC Device Connectivity - Server</t>
  </si>
  <si>
    <t>10131000030137</t>
  </si>
  <si>
    <t>10131000051735</t>
  </si>
  <si>
    <t>10131000034031</t>
  </si>
  <si>
    <t>DC Device Connectivity - STI</t>
  </si>
  <si>
    <t>Depreciating strategic and satellite data center infrastructure that connects the server and regional IP WAN backbone connecting strategic datacenters, covering routers &amp; switches, local and site to site load balancing, circuitry, network management &amp; monitoring, accelerators, and operating expenses, specific to a uniquely built Systematic Trading Infrastructure environment</t>
  </si>
  <si>
    <t>End User Services</t>
  </si>
  <si>
    <t>10131000025450</t>
  </si>
  <si>
    <t>Branch Network</t>
  </si>
  <si>
    <t>Depreciating shared head end, site specific, regional and in-country infrastructure hardware inventory &amp; circuitry, network management &amp; monitoring, support, Internet browsing, wireless head end, accelerators and operating expenses</t>
  </si>
  <si>
    <t>Per Desktop Port</t>
  </si>
  <si>
    <t>10131000025399</t>
  </si>
  <si>
    <t>Campus Network</t>
  </si>
  <si>
    <t>10131000021710</t>
  </si>
  <si>
    <t>Internet Browsing</t>
  </si>
  <si>
    <t>Depreciating shared head end infrastructure hardware inventory supporting Internet browsing and hosting connectivity, covering network equipment, circuitry, local and site to site load balancing, firewalls, network management &amp; monitoring, and operating expenses.</t>
  </si>
  <si>
    <t>Per entitled user</t>
  </si>
  <si>
    <t>10131000029587</t>
  </si>
  <si>
    <t>10131000029934</t>
  </si>
  <si>
    <t>Shared Branch Infrastructure</t>
  </si>
  <si>
    <t>Depreciating shared head end infrastructure hardware inventory, network management &amp; monitoring, support, Internet browsing, wireless head end, regional backbone, accelerators, and operating expenses</t>
  </si>
  <si>
    <t>10131000029944</t>
  </si>
  <si>
    <t>Shared Campus Infrastructure</t>
  </si>
  <si>
    <t>Depreciating shared head end infrastructure hardware inventory, network management &amp; monitoring, support, Internet browsing, wireless head end, regional backbone, accelerators and operating expenses</t>
  </si>
  <si>
    <t>10131000030070</t>
  </si>
  <si>
    <t>10131000029569</t>
  </si>
  <si>
    <t>Bangladesh</t>
  </si>
  <si>
    <t>10131000029571</t>
  </si>
  <si>
    <t>Brunei</t>
  </si>
  <si>
    <t>10131000029572</t>
  </si>
  <si>
    <t>Guam</t>
  </si>
  <si>
    <t>10131000029574</t>
  </si>
  <si>
    <t>10131000029575</t>
  </si>
  <si>
    <t>10131000029577</t>
  </si>
  <si>
    <t>10131000029576</t>
  </si>
  <si>
    <t>10131000029581</t>
  </si>
  <si>
    <t>10131000029583</t>
  </si>
  <si>
    <t>Sri Lanka</t>
  </si>
  <si>
    <t>10131000029580</t>
  </si>
  <si>
    <t>10131000029585</t>
  </si>
  <si>
    <t>10131000029586</t>
  </si>
  <si>
    <t>10131000025460</t>
  </si>
  <si>
    <t>Site Specific Connectivity</t>
  </si>
  <si>
    <t>Actual circuitry &amp; support costs, cost of depreciating hardware inventory, network management &amp; monitoring, wireless, accelerators, and operating expenses; site specific for Campus or Branch sites</t>
  </si>
  <si>
    <t>Occupied space</t>
  </si>
  <si>
    <t>10131000056916</t>
  </si>
  <si>
    <t>10131000021767</t>
  </si>
  <si>
    <t>10131000021768</t>
  </si>
  <si>
    <t>10131000021769</t>
  </si>
  <si>
    <t>10131000021765</t>
  </si>
  <si>
    <t>10131000021770</t>
  </si>
  <si>
    <t>10131000021772</t>
  </si>
  <si>
    <t>10131000021773</t>
  </si>
  <si>
    <t>10131000021774</t>
  </si>
  <si>
    <t>10131000021775</t>
  </si>
  <si>
    <t>10131000021777</t>
  </si>
  <si>
    <t>10131000021776</t>
  </si>
  <si>
    <t>10131000057339</t>
  </si>
  <si>
    <t>10131000025452</t>
  </si>
  <si>
    <t>Network Dedicated</t>
  </si>
  <si>
    <t>Business-specific network-related charges/services not covered by other, standard product card services.</t>
  </si>
  <si>
    <t>Actual cost</t>
  </si>
  <si>
    <t>10131000039605</t>
  </si>
  <si>
    <t>Specialty Services</t>
  </si>
  <si>
    <t>10131000016498</t>
  </si>
  <si>
    <t>Design / Integration / Eng.</t>
  </si>
  <si>
    <t xml:space="preserve">Customer-requested engineering services </t>
  </si>
  <si>
    <t>Actual Hours</t>
  </si>
  <si>
    <t>10131000016496</t>
  </si>
  <si>
    <t>Design / Integration / Eng. - Global Ops</t>
  </si>
  <si>
    <t>10131000029100</t>
  </si>
  <si>
    <t>Project Implementation</t>
  </si>
  <si>
    <t>Project Management (includes coordination and management of technology projects)</t>
  </si>
  <si>
    <t>10131000029107</t>
  </si>
  <si>
    <t>10131000029124</t>
  </si>
  <si>
    <t>Project Management</t>
  </si>
  <si>
    <t>10131000025228</t>
  </si>
  <si>
    <t>Reg Network Engin and Integ</t>
  </si>
  <si>
    <t>Customer-requested CTI Network Applied Engineering and Integration services</t>
  </si>
  <si>
    <t>10131000038214</t>
  </si>
  <si>
    <t>Vulnerability Assessment Charge</t>
  </si>
  <si>
    <t>Independent measurement by 3rd party vendors of the security of a Citi-developed application running in a Data Center environment</t>
  </si>
  <si>
    <t>Per Assessment</t>
  </si>
  <si>
    <t>Storage</t>
  </si>
  <si>
    <t>Disk</t>
  </si>
  <si>
    <t>10131000056330</t>
  </si>
  <si>
    <t>DC Storage Enterprise Mainframe</t>
  </si>
  <si>
    <t>Disk storage allocated to Mainframe LPARS</t>
  </si>
  <si>
    <t>Per Usable GB</t>
  </si>
  <si>
    <t>10131000030980</t>
  </si>
  <si>
    <t>10131000020660</t>
  </si>
  <si>
    <t>10131000056648</t>
  </si>
  <si>
    <t>10131000056331</t>
  </si>
  <si>
    <t>DC Storage Enterprise SAN</t>
  </si>
  <si>
    <t>Standard disk storage allocated to Distributed Systems</t>
  </si>
  <si>
    <t>10131000030974</t>
  </si>
  <si>
    <t>10131000030978</t>
  </si>
  <si>
    <t>10131000021638</t>
  </si>
  <si>
    <t>10131000007482</t>
  </si>
  <si>
    <t>10131000056649</t>
  </si>
  <si>
    <t>10131000039778</t>
  </si>
  <si>
    <t>DC Storage Enterprise SAN (Non Rep)</t>
  </si>
  <si>
    <t>10131000039772</t>
  </si>
  <si>
    <t>DC Storage Enterprise SAN (Rep)</t>
  </si>
  <si>
    <t>10131000017087</t>
  </si>
  <si>
    <t>DC Storage Internal / Direct Attached</t>
  </si>
  <si>
    <t>Storage within or directly attached to the server</t>
  </si>
  <si>
    <t>10131000053706</t>
  </si>
  <si>
    <t>DC Storage Internal / Direct Attached (Stratus)</t>
  </si>
  <si>
    <t>Storage within or directly attached to the server (Stratus)</t>
  </si>
  <si>
    <t>10131000023736</t>
  </si>
  <si>
    <t>DC Storage Internal / Direct Attached (UNIX)</t>
  </si>
  <si>
    <t>Storage within or directly attached to the server (UNIX)</t>
  </si>
  <si>
    <t>10131000023740</t>
  </si>
  <si>
    <t>10131000015851</t>
  </si>
  <si>
    <t>DC Storage NAS</t>
  </si>
  <si>
    <t>Network Attached Storage used for Application data</t>
  </si>
  <si>
    <t>10131000025298</t>
  </si>
  <si>
    <t>Network Attached Storage used for User Data Home and Shared drives, and limited Application data</t>
  </si>
  <si>
    <t>10131000025311</t>
  </si>
  <si>
    <t>10131000025314</t>
  </si>
  <si>
    <t>10131000025315</t>
  </si>
  <si>
    <t>10131000025319</t>
  </si>
  <si>
    <t>10131000025328</t>
  </si>
  <si>
    <t>10131000021649</t>
  </si>
  <si>
    <t>10131000021651</t>
  </si>
  <si>
    <t>10131000021652</t>
  </si>
  <si>
    <t>10131000021653</t>
  </si>
  <si>
    <t>10131000056655</t>
  </si>
  <si>
    <t>10131000021655</t>
  </si>
  <si>
    <t>10131000021654</t>
  </si>
  <si>
    <t>10131000021606</t>
  </si>
  <si>
    <t>10131000021657</t>
  </si>
  <si>
    <t>10131000021659</t>
  </si>
  <si>
    <t>10131000021660</t>
  </si>
  <si>
    <t>10131000056654</t>
  </si>
  <si>
    <t>10131000021663</t>
  </si>
  <si>
    <t>10131000021662</t>
  </si>
  <si>
    <t>10131000053766</t>
  </si>
  <si>
    <t>10131000016770</t>
  </si>
  <si>
    <t>DC Storage NAS – User Data</t>
  </si>
  <si>
    <t>Network Attached Storage used for User Data  Home and Shared drives.</t>
  </si>
  <si>
    <t>10131000015847</t>
  </si>
  <si>
    <t>DC Storage NAS Archival</t>
  </si>
  <si>
    <t>Network Attached Storage for archival purposes</t>
  </si>
  <si>
    <t>10131000056332</t>
  </si>
  <si>
    <t>DC Storage SAN Archival</t>
  </si>
  <si>
    <t>Storage allocated to Distributed Systems for archival purposes</t>
  </si>
  <si>
    <t>10131000007476</t>
  </si>
  <si>
    <t>10131000016375</t>
  </si>
  <si>
    <t>Dedicated Storage</t>
  </si>
  <si>
    <t>Non Standard Storage or unique environment that is not covered in Product Card.</t>
  </si>
  <si>
    <t>10131000016378</t>
  </si>
  <si>
    <t>10131000016380</t>
  </si>
  <si>
    <t>10131000034644</t>
  </si>
  <si>
    <t>NAS</t>
  </si>
  <si>
    <t>10131000034168</t>
  </si>
  <si>
    <t>Storage Compliance</t>
  </si>
  <si>
    <t>Voice Recording Archiving</t>
  </si>
  <si>
    <t>Replication</t>
  </si>
  <si>
    <t>10131000020577</t>
  </si>
  <si>
    <t>Network Hardware Replication</t>
  </si>
  <si>
    <t>Dedicated network and storage for data replication to backup site</t>
  </si>
  <si>
    <t>10131000034648</t>
  </si>
  <si>
    <t>10131000034653</t>
  </si>
  <si>
    <t>10131000020690</t>
  </si>
  <si>
    <t>Tape</t>
  </si>
  <si>
    <t>10131000056515</t>
  </si>
  <si>
    <t>Backup Base Charge</t>
  </si>
  <si>
    <t>10131000008832</t>
  </si>
  <si>
    <t>Backup Usage</t>
  </si>
  <si>
    <t>10131000015836</t>
  </si>
  <si>
    <t>DC Storage Data Retention</t>
  </si>
  <si>
    <t>Media and storage related to data retention for the time tape needs to be held before it can be returned to circulation</t>
  </si>
  <si>
    <t>10131000034638</t>
  </si>
  <si>
    <t>10131000056473</t>
  </si>
  <si>
    <t>10131000015839</t>
  </si>
  <si>
    <t>DC Storage Distributed Tape</t>
  </si>
  <si>
    <t>Media and drives used to backup Server and User related data</t>
  </si>
  <si>
    <t>10131000034627</t>
  </si>
  <si>
    <t>10131000029277</t>
  </si>
  <si>
    <t>10131000024055</t>
  </si>
  <si>
    <t>DC Storage Mainframe Tape - GB</t>
  </si>
  <si>
    <t>Virtual Tape environment used to store Mainframe data</t>
  </si>
  <si>
    <t>10131000024001</t>
  </si>
  <si>
    <t>10131000020664</t>
  </si>
  <si>
    <t>10131000024050</t>
  </si>
  <si>
    <t>DC Storage Mainframe Tape - Slots</t>
  </si>
  <si>
    <t>Physical Tape cartridges used to store Mainframe data</t>
  </si>
  <si>
    <t>Per Slot</t>
  </si>
  <si>
    <t>10131000020607</t>
  </si>
  <si>
    <t>iSeries Tape - Slots</t>
  </si>
  <si>
    <t>Physical Tape cartridges used to store iSeries data</t>
  </si>
  <si>
    <t>10131000057248</t>
  </si>
  <si>
    <t>Legal Record Administrative Fee</t>
  </si>
  <si>
    <t>Covers the cost of research and identifying all media related to the request.</t>
  </si>
  <si>
    <t>By Request</t>
  </si>
  <si>
    <t>10131000057247</t>
  </si>
  <si>
    <t>Legal Record Hold</t>
  </si>
  <si>
    <t>Media that cannot be returned to circulation for an extended period of time due to specific legal requirements</t>
  </si>
  <si>
    <t>Voice</t>
  </si>
  <si>
    <t>Dealerboards</t>
  </si>
  <si>
    <t>10131000056419</t>
  </si>
  <si>
    <t>Standard Dealerboard Telephony</t>
  </si>
  <si>
    <t>IQMX and MAX family dealer boards,  infrastructure and support for traders which includes recording capabilities.</t>
  </si>
  <si>
    <t>Assigned Dealerboard</t>
  </si>
  <si>
    <t>10131000016242</t>
  </si>
  <si>
    <t>10131000016241</t>
  </si>
  <si>
    <t>10131000016257</t>
  </si>
  <si>
    <t>10131000056930</t>
  </si>
  <si>
    <t>10131000016258</t>
  </si>
  <si>
    <t>10131000016243</t>
  </si>
  <si>
    <t>10131000016260</t>
  </si>
  <si>
    <t>10131000016245</t>
  </si>
  <si>
    <t>10131000016249</t>
  </si>
  <si>
    <t>10131000016262</t>
  </si>
  <si>
    <t>10131000016263</t>
  </si>
  <si>
    <t>10131000016250</t>
  </si>
  <si>
    <t>10131000016252</t>
  </si>
  <si>
    <t>10131000056564</t>
  </si>
  <si>
    <t>10131000056531</t>
  </si>
  <si>
    <t>10131000056563</t>
  </si>
  <si>
    <t>10131000038023</t>
  </si>
  <si>
    <t>Handset Packages</t>
  </si>
  <si>
    <t>10131000056412</t>
  </si>
  <si>
    <t>Basic Office Telephony</t>
  </si>
  <si>
    <t>Basic handset or port assignment. Voicemail and Standard Mobility can be ordered separately.</t>
  </si>
  <si>
    <t>Assigned Phoneset</t>
  </si>
  <si>
    <t>10131000051805</t>
  </si>
  <si>
    <t>10131000051806</t>
  </si>
  <si>
    <t>10131000051807</t>
  </si>
  <si>
    <t>10131000051809</t>
  </si>
  <si>
    <t>10131000051808</t>
  </si>
  <si>
    <t>10131000052003</t>
  </si>
  <si>
    <t>10131000051810</t>
  </si>
  <si>
    <t>10131000051811</t>
  </si>
  <si>
    <t>10131000051812</t>
  </si>
  <si>
    <t>10131000051814</t>
  </si>
  <si>
    <t>10131000051813</t>
  </si>
  <si>
    <t>10131000057336</t>
  </si>
  <si>
    <t>10131000051793</t>
  </si>
  <si>
    <t>Basic Office Telephony Infrastructure_Regional</t>
  </si>
  <si>
    <t>10131000051794</t>
  </si>
  <si>
    <t>Basic Office Telephony Support_Regional</t>
  </si>
  <si>
    <t>10131000056414</t>
  </si>
  <si>
    <t xml:space="preserve">Premium Office Telephony </t>
  </si>
  <si>
    <t xml:space="preserve">Premium handset. Includes Voicemail and Standard Mobility. </t>
  </si>
  <si>
    <t>10131000056416</t>
  </si>
  <si>
    <t xml:space="preserve">Standard Contact Center Telephony </t>
  </si>
  <si>
    <t>Contact Center staff using a standard handset. Voicemail and Standard Mobility feature ordered separately.</t>
  </si>
  <si>
    <t>10131000051829</t>
  </si>
  <si>
    <t>10131000051830</t>
  </si>
  <si>
    <t>10131000051831</t>
  </si>
  <si>
    <t>10131000056544</t>
  </si>
  <si>
    <t>10131000051832</t>
  </si>
  <si>
    <t>10131000052005</t>
  </si>
  <si>
    <t>10131000051834</t>
  </si>
  <si>
    <t>10131000051835</t>
  </si>
  <si>
    <t>10131000051836</t>
  </si>
  <si>
    <t>10131000051965</t>
  </si>
  <si>
    <t>10131000051837</t>
  </si>
  <si>
    <t>10131000039845</t>
  </si>
  <si>
    <t>10131000029909</t>
  </si>
  <si>
    <t>Standard Contact Center Telephony / Regional Interactive Call Manager</t>
  </si>
  <si>
    <t>Dedicated Cost</t>
  </si>
  <si>
    <t>10131000051799</t>
  </si>
  <si>
    <t>Standard Contact Center Telephony Infrastructure</t>
  </si>
  <si>
    <t>10131000051800</t>
  </si>
  <si>
    <t>Standard Contact Center Telephony Support</t>
  </si>
  <si>
    <t>10131000056413</t>
  </si>
  <si>
    <t>Standard Office Telephony</t>
  </si>
  <si>
    <t>Standard handset. Voicemail and Standard Mobility can be ordered separately.</t>
  </si>
  <si>
    <t>10131000037763</t>
  </si>
  <si>
    <t>10131000037765</t>
  </si>
  <si>
    <t>10131000056986</t>
  </si>
  <si>
    <t>10131000037766</t>
  </si>
  <si>
    <t>10131000037767</t>
  </si>
  <si>
    <t>10131000037769</t>
  </si>
  <si>
    <t>10131000037770</t>
  </si>
  <si>
    <t>10131000037771</t>
  </si>
  <si>
    <t>10131000037772</t>
  </si>
  <si>
    <t>10131000037808</t>
  </si>
  <si>
    <t>10131000037773</t>
  </si>
  <si>
    <t>10131000037810</t>
  </si>
  <si>
    <t>10131000037774</t>
  </si>
  <si>
    <t>10131000037812</t>
  </si>
  <si>
    <t>10131000037776</t>
  </si>
  <si>
    <t>10131000037814</t>
  </si>
  <si>
    <t>10131000037777</t>
  </si>
  <si>
    <t>10131000037778</t>
  </si>
  <si>
    <t>10131000037779</t>
  </si>
  <si>
    <t>10131000037827</t>
  </si>
  <si>
    <t>10131000037780</t>
  </si>
  <si>
    <t>10131000037816</t>
  </si>
  <si>
    <t>10131000037781</t>
  </si>
  <si>
    <t>10131000037818</t>
  </si>
  <si>
    <t>10131000037782</t>
  </si>
  <si>
    <t>10131000037783</t>
  </si>
  <si>
    <t>10131000037785</t>
  </si>
  <si>
    <t>10131000037820</t>
  </si>
  <si>
    <t>10131000037828</t>
  </si>
  <si>
    <t>10131000037788</t>
  </si>
  <si>
    <t>10131000037789</t>
  </si>
  <si>
    <t>10131000037791</t>
  </si>
  <si>
    <t>10131000037793</t>
  </si>
  <si>
    <t>10131000037794</t>
  </si>
  <si>
    <t>10131000037822</t>
  </si>
  <si>
    <t>10131000037835</t>
  </si>
  <si>
    <t>10131000037825</t>
  </si>
  <si>
    <t>10131000037795</t>
  </si>
  <si>
    <t>10131000037796</t>
  </si>
  <si>
    <t>10131000037798</t>
  </si>
  <si>
    <t>10131000037799</t>
  </si>
  <si>
    <t>10131000037800</t>
  </si>
  <si>
    <t>10131000037801</t>
  </si>
  <si>
    <t>10131000037686</t>
  </si>
  <si>
    <t>10131000037802</t>
  </si>
  <si>
    <t>10131000056514</t>
  </si>
  <si>
    <t>10131000056519</t>
  </si>
  <si>
    <t>10131000056523</t>
  </si>
  <si>
    <t>10131000056533</t>
  </si>
  <si>
    <t>10131000056527</t>
  </si>
  <si>
    <t>10131000056439</t>
  </si>
  <si>
    <t>10131000056537</t>
  </si>
  <si>
    <t>10131000056542</t>
  </si>
  <si>
    <t>10131000056554</t>
  </si>
  <si>
    <t>10131000056557</t>
  </si>
  <si>
    <t>10131000056556</t>
  </si>
  <si>
    <t>10131000057337</t>
  </si>
  <si>
    <t>10131000039842</t>
  </si>
  <si>
    <t>10131000056559</t>
  </si>
  <si>
    <t>Standard Office Telephony Infrastructure</t>
  </si>
  <si>
    <t>10131000056561</t>
  </si>
  <si>
    <t>Standard Office Telephony Support</t>
  </si>
  <si>
    <t>10131000056415</t>
  </si>
  <si>
    <t>Virtual Handset Contact Center Telephony</t>
  </si>
  <si>
    <t>Contact Center staff using a virtual phoneset. No Physical Handset is provided however includes Standard Mobility Feature. Voicemail can be ordered separately.</t>
  </si>
  <si>
    <t>Assigned Extension</t>
  </si>
  <si>
    <t>10131000056411</t>
  </si>
  <si>
    <t xml:space="preserve">Virtual Handset Office Telephony </t>
  </si>
  <si>
    <t>Virtual phone. No handset is provided but does include Standard Mobility Feature, which covers virtual handset license costs. Voicemail can be ordered separately.</t>
  </si>
  <si>
    <t>Mobility Packages</t>
  </si>
  <si>
    <t>10131000056422</t>
  </si>
  <si>
    <t>Premium Mobility Add-on</t>
  </si>
  <si>
    <t>VPN hardphone for remote users who require a physical handset. This is an add-on to Telephony Service Products.</t>
  </si>
  <si>
    <t>Assigned VPNHardphone</t>
  </si>
  <si>
    <t>10131000056421</t>
  </si>
  <si>
    <t>Standard Mobility Add-on</t>
  </si>
  <si>
    <t>Softphone or virtual phone license, which provides telephony service without the need for a physical handset. This is an add-on product to the Telephony Service Products.</t>
  </si>
  <si>
    <t>Assigned Mobility License</t>
  </si>
  <si>
    <t>10131000028166</t>
  </si>
  <si>
    <t>Dealerboard Private Lines / Hoots</t>
  </si>
  <si>
    <t>Passthrough charges for Trader Private Lines and Hoots</t>
  </si>
  <si>
    <t>10131000056801</t>
  </si>
  <si>
    <t>10131000039165</t>
  </si>
  <si>
    <t>Dialer</t>
  </si>
  <si>
    <t>Dialer equipment that provides the capability to make calls automatically in a Contact Center environment and associated support. This is an add-on to Contact Center Telephony Service Products.</t>
  </si>
  <si>
    <t>User Configured in Dialer Application</t>
  </si>
  <si>
    <t>10131000012697</t>
  </si>
  <si>
    <t>10131000029786</t>
  </si>
  <si>
    <t>10131000051841</t>
  </si>
  <si>
    <t>10131000051844</t>
  </si>
  <si>
    <t>10131000051846</t>
  </si>
  <si>
    <t>10131000051847</t>
  </si>
  <si>
    <t>10131000051969</t>
  </si>
  <si>
    <t>10131000051850</t>
  </si>
  <si>
    <t>10131000051767</t>
  </si>
  <si>
    <t>10131000051802</t>
  </si>
  <si>
    <t>Dialers Infrastructure_Regional</t>
  </si>
  <si>
    <t>10131000022736</t>
  </si>
  <si>
    <t>Interactive Voice Response (IVR)</t>
  </si>
  <si>
    <t xml:space="preserve">Interactive voice response service offered to businesses as part of contact center infrastructure. Includes IVR hardware, middleware and support for the product. Software changes are not included. </t>
  </si>
  <si>
    <t>By Port</t>
  </si>
  <si>
    <t>10131000022739</t>
  </si>
  <si>
    <t>10131000022741</t>
  </si>
  <si>
    <t>10131000056427</t>
  </si>
  <si>
    <t>Telephony Dedicated Charges</t>
  </si>
  <si>
    <t>Dedicated telephony project support or infrastructure</t>
  </si>
  <si>
    <t>10131000039836</t>
  </si>
  <si>
    <t>10131000056424</t>
  </si>
  <si>
    <t>Voice Analytics and Recording Add-on</t>
  </si>
  <si>
    <t>Equipment used to record conversations of users and provides functionality to search for key phrases spoken during conversations. This is an add-on to Telephony Service Products.</t>
  </si>
  <si>
    <t>Recorded Extension with Analytics</t>
  </si>
  <si>
    <t>10131000056423</t>
  </si>
  <si>
    <t>Voice Recording Add-on</t>
  </si>
  <si>
    <t>Equipment and infrastructure used to record conversations of users. This is an add-on to Telephony Service Products.</t>
  </si>
  <si>
    <t>Recorded Extension</t>
  </si>
  <si>
    <t>10131000037922</t>
  </si>
  <si>
    <t>10131000037924</t>
  </si>
  <si>
    <t>10131000056978</t>
  </si>
  <si>
    <t>10131000037925</t>
  </si>
  <si>
    <t>10131000037926</t>
  </si>
  <si>
    <t>10131000037928</t>
  </si>
  <si>
    <t>10131000037929</t>
  </si>
  <si>
    <t>10131000037930</t>
  </si>
  <si>
    <t>10131000037931</t>
  </si>
  <si>
    <t>10131000037965</t>
  </si>
  <si>
    <t>10131000037932</t>
  </si>
  <si>
    <t>10131000037967</t>
  </si>
  <si>
    <t>10131000037933</t>
  </si>
  <si>
    <t>10131000037969</t>
  </si>
  <si>
    <t>10131000037935</t>
  </si>
  <si>
    <t>10131000037971</t>
  </si>
  <si>
    <t>10131000037936</t>
  </si>
  <si>
    <t>10131000037937</t>
  </si>
  <si>
    <t>10131000037938</t>
  </si>
  <si>
    <t>10131000037980</t>
  </si>
  <si>
    <t>10131000037972</t>
  </si>
  <si>
    <t>10131000037940</t>
  </si>
  <si>
    <t>10131000037941</t>
  </si>
  <si>
    <t>10131000037942</t>
  </si>
  <si>
    <t>10131000037944</t>
  </si>
  <si>
    <t>10131000037975</t>
  </si>
  <si>
    <t>10131000037981</t>
  </si>
  <si>
    <t>10131000037946</t>
  </si>
  <si>
    <t>10131000037947</t>
  </si>
  <si>
    <t>10131000037950</t>
  </si>
  <si>
    <t>10131000037951</t>
  </si>
  <si>
    <t>10131000037976</t>
  </si>
  <si>
    <t>10131000037988</t>
  </si>
  <si>
    <t>10131000037979</t>
  </si>
  <si>
    <t>10131000037952</t>
  </si>
  <si>
    <t>10131000037953</t>
  </si>
  <si>
    <t>10131000037954</t>
  </si>
  <si>
    <t>10131000037955</t>
  </si>
  <si>
    <t>10131000037956</t>
  </si>
  <si>
    <t>10131000037959</t>
  </si>
  <si>
    <t>10131000051817</t>
  </si>
  <si>
    <t>10131000051818</t>
  </si>
  <si>
    <t>10131000051819</t>
  </si>
  <si>
    <t>10131000051821</t>
  </si>
  <si>
    <t>10131000051820</t>
  </si>
  <si>
    <t>10131000052004</t>
  </si>
  <si>
    <t>10131000051822</t>
  </si>
  <si>
    <t>10131000051823</t>
  </si>
  <si>
    <t>10131000051824</t>
  </si>
  <si>
    <t>10131000051826</t>
  </si>
  <si>
    <t>10131000051825</t>
  </si>
  <si>
    <t>10131000057338</t>
  </si>
  <si>
    <t>10131000029598</t>
  </si>
  <si>
    <t>10131000039839</t>
  </si>
  <si>
    <t>10131000051796</t>
  </si>
  <si>
    <t>Voice Recording Add-on Infrastructure_Regional</t>
  </si>
  <si>
    <t>10131000051797</t>
  </si>
  <si>
    <t>Voice Recording Add-on Support_Regional</t>
  </si>
  <si>
    <t>10131000056425</t>
  </si>
  <si>
    <t>Voicemail Add-on</t>
  </si>
  <si>
    <t>Capability that allows recording messages from callers and listening to them at a later time. This is an add-on to Telephony Service Products.</t>
  </si>
  <si>
    <t>Assigned Voicemail box</t>
  </si>
  <si>
    <t>10131000038158</t>
  </si>
  <si>
    <t>10131000038160</t>
  </si>
  <si>
    <t>10131000038163</t>
  </si>
  <si>
    <t>10131000038166</t>
  </si>
  <si>
    <t>10131000056428</t>
  </si>
  <si>
    <t>Telephony Usage</t>
  </si>
  <si>
    <t>Local, Domestic long distance, Mobile, International Calls. The set up of Long Distance calling capabilities are defined when ordering Telephony Services.</t>
  </si>
  <si>
    <t>10131000038066</t>
  </si>
  <si>
    <t>13.01.03</t>
  </si>
  <si>
    <t>VMware Guest Tier rules</t>
  </si>
  <si>
    <t>VMware Memory Calculations</t>
  </si>
  <si>
    <t>RAM in excess of 1GB is charged per vCPU</t>
  </si>
  <si>
    <t>Existing CPUs</t>
  </si>
  <si>
    <t>Existing RAM (GB)</t>
  </si>
  <si>
    <t>Env Color</t>
  </si>
  <si>
    <t>13.01.04</t>
  </si>
  <si>
    <r>
      <t xml:space="preserve">1. Added ability to select formatting color for new operating environments.
2. </t>
    </r>
    <r>
      <rPr>
        <b/>
        <sz val="11"/>
        <color theme="1"/>
        <rFont val="Calibri"/>
        <family val="2"/>
        <scheme val="minor"/>
      </rPr>
      <t>Updated Storage costs to 2013 CTI Rates</t>
    </r>
  </si>
  <si>
    <r>
      <t xml:space="preserve">1. Added new worksheet containing entire 2013 CTI Rate Card
2. </t>
    </r>
    <r>
      <rPr>
        <b/>
        <sz val="11"/>
        <color theme="1"/>
        <rFont val="Calibri"/>
        <family val="2"/>
        <scheme val="minor"/>
      </rPr>
      <t>Update VMware instances to 2013 CTI Rates</t>
    </r>
    <r>
      <rPr>
        <sz val="11"/>
        <color theme="1"/>
        <rFont val="Calibri"/>
        <family val="2"/>
        <scheme val="minor"/>
      </rPr>
      <t xml:space="preserve">
3. Added 2 new columns to provide # of CPUs and RAM for existing servers
4. Added 1 new column to choose type of VMware instance (Full or Self-Service Cloud)
5. Added conditional formatting to "gray" out non-applicable columns (e.g. Existing Server CPU/RAM only applies to rows for existing servers, and grayed out pSeries related column for non-pSeries rows.)
6. Updated code to be more resilent to column moves in the HostBuild Table
7. Rearranged columns for more logical placement</t>
    </r>
  </si>
  <si>
    <t>2.4.9</t>
  </si>
  <si>
    <t>Provide documentation</t>
  </si>
  <si>
    <t>Create PEP Friendly Worksheet</t>
  </si>
  <si>
    <t>Archive
Full (GB)</t>
  </si>
  <si>
    <t>Archive
Incr (GB)</t>
  </si>
  <si>
    <t>Std Envs</t>
  </si>
  <si>
    <t>13.01.10</t>
  </si>
  <si>
    <r>
      <t>1. (</t>
    </r>
    <r>
      <rPr>
        <b/>
        <sz val="11"/>
        <color theme="1"/>
        <rFont val="Calibri"/>
        <family val="2"/>
        <scheme val="minor"/>
      </rPr>
      <t xml:space="preserve">Major) </t>
    </r>
    <r>
      <rPr>
        <sz val="11"/>
        <color theme="1"/>
        <rFont val="Calibri"/>
        <family val="2"/>
        <scheme val="minor"/>
      </rPr>
      <t>Now can import custom environments with or without color and "Same As" attributes, however these attributes must be provided in order to complete the import.
2. Improved the "Add Servers to HostBuild" routine, now faster and removes initial row if starting with a blank template.
3. Fix minor bugs which occur under various scenarios</t>
    </r>
  </si>
  <si>
    <t>Server Type</t>
  </si>
  <si>
    <t>Is Std?</t>
  </si>
  <si>
    <t>Env Same As</t>
  </si>
  <si>
    <t>Env Label</t>
  </si>
  <si>
    <t>13.01.11</t>
  </si>
  <si>
    <t>Import Source</t>
  </si>
  <si>
    <t>Import Date</t>
  </si>
  <si>
    <t>1. Improved SW Calculation performance, optimized HostBuild worksheet change method
2. Fix Excel 2007 compatibility issue with code trying to find "hidden" columns Excel 2010/2013 does not have this issue
3. After Import completes all of the tables are refreshed and the HostBuild Table is sorted.
4. Now records Import Source and Import Date.
5. Fixed ScreenUpdating sequence.
6. Cleaned up corrupted Named Reference entries generated after importing custom worksheets.</t>
  </si>
  <si>
    <t>13.01.12</t>
  </si>
  <si>
    <t>13.01.13</t>
  </si>
  <si>
    <t>1. Updated Add New Operating Environment now can add Env Labels and New Std Standard Envs.
1a. Includes updating custom sort in both tEnv and HostBuild Tables
2. Adjusted Financials Tables to use "Env Label" instead of "Env"
3. Fixed code when file is already opened</t>
  </si>
  <si>
    <t>13.01.14</t>
  </si>
  <si>
    <t>1. Import can now identify "Custom Env Labels" in older versions of the BoM.</t>
  </si>
  <si>
    <r>
      <t xml:space="preserve">1. Corrupted Named Reference entries troubleshooting continued and resolved.
2. Incorporated new column 'Server Type' to indicate x86, pSeries, Appliance, and VMware.
3. Optimize code:  all references to src and dest HB Tables (throughout the code).
4. Now disables fields that are </t>
    </r>
    <r>
      <rPr>
        <b/>
        <sz val="11"/>
        <color theme="1"/>
        <rFont val="Calibri"/>
        <family val="2"/>
        <scheme val="minor"/>
      </rPr>
      <t>NOT</t>
    </r>
    <r>
      <rPr>
        <sz val="11"/>
        <color theme="1"/>
        <rFont val="Calibri"/>
        <family val="2"/>
        <scheme val="minor"/>
      </rPr>
      <t xml:space="preserve"> in the source BoM file for import.</t>
    </r>
  </si>
  <si>
    <t>* Corrupted Named References found after importing custom worksheets that had embedded named references to "other" workbooks.  These reference ported over with invalid links and were added to the Named Reference list.
Ref: Vostok (AJ)</t>
  </si>
  <si>
    <t>13.01.15</t>
  </si>
  <si>
    <r>
      <t xml:space="preserve">1. Fixed AddHBRow Excel 2007 compatibility issue when adding rows.  </t>
    </r>
    <r>
      <rPr>
        <sz val="10"/>
        <color theme="1"/>
        <rFont val="Calibri"/>
        <family val="2"/>
        <scheme val="minor"/>
      </rPr>
      <t xml:space="preserve">[Orig: destHBTable.Listrows.add(1)]
</t>
    </r>
    <r>
      <rPr>
        <sz val="11"/>
        <color theme="1"/>
        <rFont val="Calibri"/>
        <family val="2"/>
        <scheme val="minor"/>
      </rPr>
      <t>2. Updated 'SW Details' &amp; 'SW Financials Summary' to reflect new 'Env' Label instead of 'Env'
3. Added progress bar after importing custom user worksheets show progress of cleanup of potential  phantom entries caused by broken links imported with the worksheets.</t>
    </r>
  </si>
  <si>
    <t>Total of NAS Shared (GB)</t>
  </si>
  <si>
    <t>13.01.16</t>
  </si>
  <si>
    <t>1. Adjusted Stats tables to reference 'Env Label' instead of 'Env'
2. Fixed error when trying to 'De/Select All' for User Created Worksheets on the Import Menu</t>
  </si>
  <si>
    <t>13.01.17</t>
  </si>
  <si>
    <t>1. Added new 'Recalc SW Costs' button to BoM Tools Menu.  If a bulk (group) copy/paste is performed the SW calculations are bypassed to ensure good performance while working with the HostBuild.  Using this button will cause all of the SW costs to be recalculated.
2. Programming note: Changed SW recalculation trigger from 'Env' to 'CPU' since 'Env' is now a calculated column.
3. Updated the 'SW Details'  Tab  Year 1/After Year1 Table headers</t>
  </si>
  <si>
    <t>x86 Tier 2</t>
  </si>
  <si>
    <t>x86 Tier 3</t>
  </si>
  <si>
    <t>x86 Tier 1</t>
  </si>
  <si>
    <t>Sun/Solaris Tier 1</t>
  </si>
  <si>
    <t>Sun/Solaris Tier 2</t>
  </si>
  <si>
    <t>Sun/Solaris Tier 3</t>
  </si>
  <si>
    <t>IBM p595 1.9 GHz</t>
  </si>
  <si>
    <t>IBM p595 2.1 GHz</t>
  </si>
  <si>
    <t>WebSphere DataPower Integration Appliance</t>
  </si>
  <si>
    <t>zLinux</t>
  </si>
  <si>
    <t>HP ProLiant BL460c</t>
  </si>
  <si>
    <t>HP ProLiant BL620C G7</t>
  </si>
  <si>
    <t>HP ProLiant BL680c</t>
  </si>
  <si>
    <t>HP ProLiant BL685c</t>
  </si>
  <si>
    <t>HP DL585 G5 - Quad Core</t>
  </si>
  <si>
    <t>Original Alias</t>
  </si>
  <si>
    <t>SafeNet</t>
  </si>
  <si>
    <t>SafeNet PSE PL600</t>
  </si>
  <si>
    <t>OS/SW Costs</t>
  </si>
  <si>
    <t>New VMware (Adjusted)</t>
  </si>
  <si>
    <t>Existing VMware Costs</t>
  </si>
  <si>
    <t>VMware Memory</t>
  </si>
  <si>
    <t>Network - STI</t>
  </si>
  <si>
    <t>Network - Market Data</t>
  </si>
  <si>
    <t>13.01.20</t>
  </si>
  <si>
    <t>IBM DIA XI52</t>
  </si>
  <si>
    <t>1. 2013 CTI Rate Card now applied throughout
2. Import will automatically convert 'Network - Gigabit' to 'Network - Server' as 'Network - Gigabit' is obsolete.
3. Fix: Import all source data rows, even if row is hidden (e.g. through filtering)</t>
  </si>
  <si>
    <t>Teradata</t>
  </si>
  <si>
    <t>13.01.21</t>
  </si>
  <si>
    <t>Total Cores</t>
  </si>
  <si>
    <t>Existing Cores</t>
  </si>
  <si>
    <r>
      <t xml:space="preserve">1. Fixed various “Existing Server?” scenarios.
2. Unhides any hidden columns in the source HostBuild Table before import.
3. Updated code to address adding only SW to existing software.  
</t>
    </r>
    <r>
      <rPr>
        <b/>
        <sz val="11"/>
        <color theme="1"/>
        <rFont val="Calibri"/>
        <family val="2"/>
        <scheme val="minor"/>
      </rPr>
      <t xml:space="preserve">NOTE: </t>
    </r>
    <r>
      <rPr>
        <sz val="11"/>
        <color theme="1"/>
        <rFont val="Calibri"/>
        <family val="2"/>
        <scheme val="minor"/>
      </rPr>
      <t>When updating # of CPUS or Cores to an existing server the SW Costs will automatically bed adjusted; this will make it difficult to track the cost differentials.
4. When refreshing tables, SW costs will be recalculated.
5. Added new column for existing servers, Existing Cores to track # of cores; used for calculating SW costs.</t>
    </r>
  </si>
  <si>
    <t>13.01.22</t>
  </si>
  <si>
    <t>Total VMware Costs</t>
  </si>
  <si>
    <r>
      <t xml:space="preserve">Tier 1 &lt; = 1 vCPU
Tier 2 from 1 vCPU to &lt;=2 vCPUs
Tier 3 from &gt;2 vCPUs to &lt;= 4 vCPUs
Tier 4 from &gt;4 &lt;= 8 vCPUs
</t>
    </r>
    <r>
      <rPr>
        <b/>
        <sz val="11"/>
        <color theme="1"/>
        <rFont val="Calibri"/>
        <family val="2"/>
        <scheme val="minor"/>
      </rPr>
      <t>&gt; 8 vCPUS must implement physical server solution</t>
    </r>
  </si>
  <si>
    <r>
      <t xml:space="preserve">If VMware instance is on PROD or CoB, then full VM Cloud support rates are used, otherwise VM self-service (VM SS) rates are used.
</t>
    </r>
    <r>
      <rPr>
        <b/>
        <sz val="11"/>
        <color theme="1"/>
        <rFont val="Calibri"/>
        <family val="2"/>
        <scheme val="minor"/>
      </rPr>
      <t>Note:</t>
    </r>
    <r>
      <rPr>
        <sz val="11"/>
        <color theme="1"/>
        <rFont val="Calibri"/>
        <family val="2"/>
        <scheme val="minor"/>
      </rPr>
      <t xml:space="preserve"> VM SS daily rates are calcuated based on a 30-day period.
</t>
    </r>
    <r>
      <rPr>
        <b/>
        <sz val="11"/>
        <color theme="1"/>
        <rFont val="Calibri"/>
        <family val="2"/>
        <scheme val="minor"/>
      </rPr>
      <t>Note:</t>
    </r>
    <r>
      <rPr>
        <sz val="11"/>
        <color theme="1"/>
        <rFont val="Calibri"/>
        <family val="2"/>
        <scheme val="minor"/>
      </rPr>
      <t xml:space="preserve"> You can set this manually by select values in the 'VMware Platform' column</t>
    </r>
  </si>
  <si>
    <t>VMware Platform calculations</t>
  </si>
  <si>
    <t>Outside VMware Costs</t>
  </si>
  <si>
    <t>13.01.23</t>
  </si>
  <si>
    <t>O/S Software for VM</t>
  </si>
  <si>
    <t>BL460c</t>
  </si>
  <si>
    <t>BL620C G7</t>
  </si>
  <si>
    <t>BL680c</t>
  </si>
  <si>
    <t>BL685c</t>
  </si>
  <si>
    <t>1. Fixed VMware calculation to "true" tiered pricing structure.
2. Fixed VM algorithm for addressing "existing" VMware instances both inside the BoM (i.e. PCR) or outside (i.e. Pre-existing server)
3. Includes support costs for IBM Series servers.</t>
  </si>
  <si>
    <r>
      <t xml:space="preserve">1. VMware calculations, revisited and corrected for full service Cloud; self-service is estimated and will be confirmed shortly. </t>
    </r>
    <r>
      <rPr>
        <b/>
        <sz val="11"/>
        <color theme="1"/>
        <rFont val="Calibri"/>
        <family val="2"/>
        <scheme val="minor"/>
      </rPr>
      <t>Note:</t>
    </r>
    <r>
      <rPr>
        <sz val="11"/>
        <color theme="1"/>
        <rFont val="Calibri"/>
        <family val="2"/>
        <scheme val="minor"/>
      </rPr>
      <t xml:space="preserve"> You can only add a maximum of one (1) each of 'Yes - Inside this BoM" &amp; "Yes - Outside the BoM" entry for the "Existing Server?" column.
2. </t>
    </r>
    <r>
      <rPr>
        <b/>
        <sz val="11"/>
        <color theme="5" tint="-0.249977111117893"/>
        <rFont val="Calibri"/>
        <family val="2"/>
        <scheme val="minor"/>
      </rPr>
      <t>New Feature:</t>
    </r>
    <r>
      <rPr>
        <sz val="11"/>
        <color theme="1"/>
        <rFont val="Calibri"/>
        <family val="2"/>
        <scheme val="minor"/>
      </rPr>
      <t xml:space="preserve"> The alias column now highlights all duplicate alias entries.
3. VMware instances do not require network info as it's part of the standard VMware config, as such, when importing "old" BoM network information for VMware instances will </t>
    </r>
    <r>
      <rPr>
        <b/>
        <sz val="11"/>
        <color theme="1"/>
        <rFont val="Calibri"/>
        <family val="2"/>
        <scheme val="minor"/>
      </rPr>
      <t>not</t>
    </r>
    <r>
      <rPr>
        <sz val="11"/>
        <color theme="1"/>
        <rFont val="Calibri"/>
        <family val="2"/>
        <scheme val="minor"/>
      </rPr>
      <t xml:space="preserve"> be imported.
4. To prevent unnecessary network info in the working HostBuild, the network info columns are "grayed" out for VMware server models.
5. Fix instance when only one new custom environment was to be imported.  Import function did not validate the custom environment entry.</t>
    </r>
  </si>
  <si>
    <t>New Memory Cost (Adjusted)</t>
  </si>
  <si>
    <t>New Memory Cost (Initial)</t>
  </si>
  <si>
    <t xml:space="preserve">Total RAM </t>
  </si>
  <si>
    <t>Total SAN (GB) Req'd Today</t>
  </si>
  <si>
    <t>Server Alias</t>
  </si>
  <si>
    <t>Total Hardware Costs</t>
  </si>
  <si>
    <t>Server Hostname</t>
  </si>
  <si>
    <t>Server Description</t>
  </si>
  <si>
    <t>RHEL 5.6</t>
  </si>
  <si>
    <t>13.01.25</t>
  </si>
  <si>
    <t>To-dos</t>
  </si>
  <si>
    <t>Approver(s)</t>
  </si>
  <si>
    <t>BoM Version History</t>
  </si>
  <si>
    <t>Rev. Date</t>
  </si>
  <si>
    <t>Due Date</t>
  </si>
  <si>
    <t>Create Detailed Storage Worksheet for Storage Engineers/Analysts</t>
  </si>
  <si>
    <t>BoM Template</t>
  </si>
  <si>
    <t xml:space="preserve">Author(s): </t>
  </si>
  <si>
    <t>Use existing server config towards SW Licensing?</t>
  </si>
  <si>
    <t>13.01.26</t>
  </si>
  <si>
    <r>
      <t xml:space="preserve">1. </t>
    </r>
    <r>
      <rPr>
        <b/>
        <sz val="11"/>
        <color theme="1"/>
        <rFont val="Calibri"/>
        <family val="2"/>
        <scheme val="minor"/>
      </rPr>
      <t xml:space="preserve">Correction: </t>
    </r>
    <r>
      <rPr>
        <sz val="11"/>
        <color theme="1"/>
        <rFont val="Calibri"/>
        <family val="2"/>
        <scheme val="minor"/>
      </rPr>
      <t xml:space="preserve"> Under certain conditions, server configurations counts were doubled affecting both the final configuration and cost.
2. </t>
    </r>
    <r>
      <rPr>
        <b/>
        <sz val="11"/>
        <color theme="1"/>
        <rFont val="Calibri"/>
        <family val="2"/>
        <scheme val="minor"/>
      </rPr>
      <t>Correction</t>
    </r>
    <r>
      <rPr>
        <sz val="11"/>
        <color theme="1"/>
        <rFont val="Calibri"/>
        <family val="2"/>
        <scheme val="minor"/>
      </rPr>
      <t xml:space="preserve">: For new servers, support costs were not being included under certain conditions.
3. </t>
    </r>
    <r>
      <rPr>
        <b/>
        <sz val="11"/>
        <color theme="1"/>
        <rFont val="Calibri"/>
        <family val="2"/>
        <scheme val="minor"/>
      </rPr>
      <t xml:space="preserve">Correction: </t>
    </r>
    <r>
      <rPr>
        <sz val="11"/>
        <color theme="1"/>
        <rFont val="Calibri"/>
        <family val="2"/>
        <scheme val="minor"/>
      </rPr>
      <t xml:space="preserve">Memory costs now take existing server configurations and determines costs differentials and applies credit or charges towards memory upgrades.
4. </t>
    </r>
    <r>
      <rPr>
        <b/>
        <sz val="11"/>
        <color theme="1"/>
        <rFont val="Calibri"/>
        <family val="2"/>
        <scheme val="minor"/>
      </rPr>
      <t xml:space="preserve">Improvement: </t>
    </r>
    <r>
      <rPr>
        <sz val="11"/>
        <color theme="1"/>
        <rFont val="Calibri"/>
        <family val="2"/>
        <scheme val="minor"/>
      </rPr>
      <t xml:space="preserve">The 'Server HW Summary' Table layout has been enhanced: additional pertinent columns added and now more descriptive.
5. </t>
    </r>
    <r>
      <rPr>
        <b/>
        <sz val="11"/>
        <color theme="1"/>
        <rFont val="Calibri"/>
        <family val="2"/>
        <scheme val="minor"/>
      </rPr>
      <t xml:space="preserve">Improvement: </t>
    </r>
    <r>
      <rPr>
        <sz val="11"/>
        <color theme="1"/>
        <rFont val="Calibri"/>
        <family val="2"/>
        <scheme val="minor"/>
      </rPr>
      <t xml:space="preserve">Redesigned the 'Notes' Tab layout.
6. </t>
    </r>
    <r>
      <rPr>
        <b/>
        <sz val="11"/>
        <color theme="1"/>
        <rFont val="Calibri"/>
        <family val="2"/>
        <scheme val="minor"/>
      </rPr>
      <t xml:space="preserve">Improvement: </t>
    </r>
    <r>
      <rPr>
        <sz val="11"/>
        <color theme="1"/>
        <rFont val="Calibri"/>
        <family val="2"/>
        <scheme val="minor"/>
      </rPr>
      <t xml:space="preserve">Redesigned the BoM Tools Menu layout.
7. </t>
    </r>
    <r>
      <rPr>
        <b/>
        <sz val="11"/>
        <color theme="1"/>
        <rFont val="Calibri"/>
        <family val="2"/>
        <scheme val="minor"/>
      </rPr>
      <t>Improvement</t>
    </r>
    <r>
      <rPr>
        <sz val="11"/>
        <color theme="1"/>
        <rFont val="Calibri"/>
        <family val="2"/>
        <scheme val="minor"/>
      </rPr>
      <t>: Added new button to reset the HostBuild table format layout.</t>
    </r>
  </si>
  <si>
    <r>
      <t xml:space="preserve">1. </t>
    </r>
    <r>
      <rPr>
        <b/>
        <sz val="11"/>
        <color theme="1"/>
        <rFont val="Calibri"/>
        <family val="2"/>
        <scheme val="minor"/>
      </rPr>
      <t>Enhancement (new column):</t>
    </r>
    <r>
      <rPr>
        <sz val="11"/>
        <color theme="1"/>
        <rFont val="Calibri"/>
        <family val="2"/>
        <scheme val="minor"/>
      </rPr>
      <t xml:space="preserve"> Now can select if an existing "Outside" server configuration should be used toward SW licensing.  If the SW has already been purchased, this will determine whether the existing outside server configuration should be used towards calculating the SW costs.
</t>
    </r>
    <r>
      <rPr>
        <b/>
        <sz val="11"/>
        <color theme="5" tint="-0.249977111117893"/>
        <rFont val="Calibri"/>
        <family val="2"/>
        <scheme val="minor"/>
      </rPr>
      <t>Column: 'Use existing server config towards SW Licensing?'</t>
    </r>
    <r>
      <rPr>
        <sz val="11"/>
        <color theme="1"/>
        <rFont val="Calibri"/>
        <family val="2"/>
        <scheme val="minor"/>
      </rPr>
      <t xml:space="preserve">
</t>
    </r>
    <r>
      <rPr>
        <b/>
        <sz val="11"/>
        <color theme="1"/>
        <rFont val="Calibri"/>
        <family val="2"/>
        <scheme val="minor"/>
      </rPr>
      <t>Additional Note:</t>
    </r>
    <r>
      <rPr>
        <sz val="11"/>
        <color theme="1"/>
        <rFont val="Calibri"/>
        <family val="2"/>
        <scheme val="minor"/>
      </rPr>
      <t xml:space="preserve"> By default, existing outside servers configurations </t>
    </r>
    <r>
      <rPr>
        <b/>
        <sz val="11"/>
        <color theme="1"/>
        <rFont val="Calibri"/>
        <family val="2"/>
        <scheme val="minor"/>
      </rPr>
      <t xml:space="preserve">will </t>
    </r>
    <r>
      <rPr>
        <sz val="11"/>
        <color theme="1"/>
        <rFont val="Calibri"/>
        <family val="2"/>
        <scheme val="minor"/>
      </rPr>
      <t>be counted towards SW licensing.  To toggle between values, simply double-click the corresponding cell in the '</t>
    </r>
    <r>
      <rPr>
        <b/>
        <sz val="11"/>
        <color theme="1"/>
        <rFont val="Calibri"/>
        <family val="2"/>
        <scheme val="minor"/>
      </rPr>
      <t>Use existing server config towards SW Licensing?</t>
    </r>
    <r>
      <rPr>
        <sz val="11"/>
        <color theme="1"/>
        <rFont val="Calibri"/>
        <family val="2"/>
        <scheme val="minor"/>
      </rPr>
      <t xml:space="preserve">' column.
2. </t>
    </r>
    <r>
      <rPr>
        <b/>
        <sz val="11"/>
        <color theme="1"/>
        <rFont val="Calibri"/>
        <family val="2"/>
        <scheme val="minor"/>
      </rPr>
      <t>Improvement:</t>
    </r>
    <r>
      <rPr>
        <sz val="11"/>
        <color theme="1"/>
        <rFont val="Calibri"/>
        <family val="2"/>
        <scheme val="minor"/>
      </rPr>
      <t xml:space="preserve"> The SW License count columns have been highlighted according to the licensing rules: 
</t>
    </r>
    <r>
      <rPr>
        <sz val="11"/>
        <rFont val="Calibri"/>
        <family val="2"/>
        <scheme val="minor"/>
      </rPr>
      <t>light green -&gt; per core</t>
    </r>
    <r>
      <rPr>
        <sz val="11"/>
        <color theme="1"/>
        <rFont val="Calibri"/>
        <family val="2"/>
        <scheme val="minor"/>
      </rPr>
      <t>, light red -&gt; per CPU, and light orange -&gt; per  server.</t>
    </r>
  </si>
  <si>
    <t>13.01.27</t>
  </si>
  <si>
    <r>
      <t xml:space="preserve">1. </t>
    </r>
    <r>
      <rPr>
        <b/>
        <sz val="11"/>
        <color theme="1"/>
        <rFont val="Calibri"/>
        <family val="2"/>
        <scheme val="minor"/>
      </rPr>
      <t>Enhancement</t>
    </r>
    <r>
      <rPr>
        <sz val="11"/>
        <color theme="1"/>
        <rFont val="Calibri"/>
        <family val="2"/>
        <scheme val="minor"/>
      </rPr>
      <t xml:space="preserve"> (SW Calculations): The SW Costs recalculation trigger has been improved to include updating when changing values of Existing server configurations.</t>
    </r>
  </si>
  <si>
    <t>13.01.28</t>
  </si>
  <si>
    <r>
      <t xml:space="preserve">1. </t>
    </r>
    <r>
      <rPr>
        <b/>
        <sz val="11"/>
        <color theme="1"/>
        <rFont val="Calibri"/>
        <family val="2"/>
        <scheme val="minor"/>
      </rPr>
      <t xml:space="preserve">SW Price Update: </t>
    </r>
    <r>
      <rPr>
        <sz val="11"/>
        <color theme="1"/>
        <rFont val="Calibri"/>
        <family val="2"/>
        <scheme val="minor"/>
      </rPr>
      <t>(SAP BO) - Now licensing is separated as Prod/Non-Prod, as non-Prod has no charge.</t>
    </r>
  </si>
  <si>
    <t>13.01.29</t>
  </si>
  <si>
    <t>13.01.30</t>
  </si>
  <si>
    <r>
      <t xml:space="preserve">1. </t>
    </r>
    <r>
      <rPr>
        <b/>
        <sz val="11"/>
        <color theme="1"/>
        <rFont val="Calibri"/>
        <family val="2"/>
        <scheme val="minor"/>
      </rPr>
      <t xml:space="preserve">Correction: </t>
    </r>
    <r>
      <rPr>
        <sz val="11"/>
        <color theme="1"/>
        <rFont val="Calibri"/>
        <family val="2"/>
        <scheme val="minor"/>
      </rPr>
      <t xml:space="preserve"> Corrected VMware memory calculation for when the existing Server is inside the BoM.
2. </t>
    </r>
    <r>
      <rPr>
        <b/>
        <sz val="11"/>
        <color theme="1"/>
        <rFont val="Calibri"/>
        <family val="2"/>
        <scheme val="minor"/>
      </rPr>
      <t>Layout:</t>
    </r>
    <r>
      <rPr>
        <sz val="11"/>
        <color theme="1"/>
        <rFont val="Calibri"/>
        <family val="2"/>
        <scheme val="minor"/>
      </rPr>
      <t xml:space="preserve"> Moved Capital Expense related columns to left of 'Notes' column.</t>
    </r>
  </si>
  <si>
    <r>
      <t xml:space="preserve">1. </t>
    </r>
    <r>
      <rPr>
        <b/>
        <sz val="11"/>
        <color theme="1"/>
        <rFont val="Calibri"/>
        <family val="2"/>
        <scheme val="minor"/>
      </rPr>
      <t>Correction:</t>
    </r>
    <r>
      <rPr>
        <sz val="11"/>
        <color theme="1"/>
        <rFont val="Calibri"/>
        <family val="2"/>
        <scheme val="minor"/>
      </rPr>
      <t xml:space="preserve"> Per Server SW for "Existing Servers" were not being counted - This will cause the costs of SW to increase if and only if you had an existing outside server AND software that is a 'per server' license.
2. </t>
    </r>
    <r>
      <rPr>
        <b/>
        <sz val="11"/>
        <color theme="1"/>
        <rFont val="Calibri"/>
        <family val="2"/>
        <scheme val="minor"/>
      </rPr>
      <t>Correction:</t>
    </r>
    <r>
      <rPr>
        <sz val="11"/>
        <color theme="1"/>
        <rFont val="Calibri"/>
        <family val="2"/>
        <scheme val="minor"/>
      </rPr>
      <t xml:space="preserve"> Recommendation calculations did not take "Existing 'Outside' server" RAM configuration into account.  This fix also includes a fix that will automatically adjust the "Additional SAN/NAS" values to ensure there is no change in the requested storage amounts during the </t>
    </r>
    <r>
      <rPr>
        <b/>
        <sz val="11"/>
        <color theme="1"/>
        <rFont val="Calibri"/>
        <family val="2"/>
        <scheme val="minor"/>
      </rPr>
      <t>import process</t>
    </r>
    <r>
      <rPr>
        <sz val="11"/>
        <color theme="1"/>
        <rFont val="Calibri"/>
        <family val="2"/>
        <scheme val="minor"/>
      </rPr>
      <t xml:space="preserve">.
</t>
    </r>
    <r>
      <rPr>
        <b/>
        <sz val="11"/>
        <color rgb="FFFF0000"/>
        <rFont val="Calibri"/>
        <family val="2"/>
        <scheme val="minor"/>
      </rPr>
      <t>Note:</t>
    </r>
    <r>
      <rPr>
        <sz val="11"/>
        <color theme="1"/>
        <rFont val="Calibri"/>
        <family val="2"/>
        <scheme val="minor"/>
      </rPr>
      <t xml:space="preserve"> This fix will only execute for BoMs older than v13.01.30.
3. </t>
    </r>
    <r>
      <rPr>
        <b/>
        <sz val="11"/>
        <color theme="1"/>
        <rFont val="Calibri"/>
        <family val="2"/>
        <scheme val="minor"/>
      </rPr>
      <t xml:space="preserve">Improvement (Performance): </t>
    </r>
    <r>
      <rPr>
        <sz val="11"/>
        <color theme="1"/>
        <rFont val="Calibri"/>
        <family val="2"/>
        <scheme val="minor"/>
      </rPr>
      <t xml:space="preserve">Optimized routine for adding new rows to the HostBuild table.  
</t>
    </r>
    <r>
      <rPr>
        <b/>
        <sz val="11"/>
        <color rgb="FFFF0000"/>
        <rFont val="Calibri"/>
        <family val="2"/>
        <scheme val="minor"/>
      </rPr>
      <t>Note:</t>
    </r>
    <r>
      <rPr>
        <b/>
        <sz val="11"/>
        <color theme="1"/>
        <rFont val="Calibri"/>
        <family val="2"/>
        <scheme val="minor"/>
      </rPr>
      <t xml:space="preserve"> </t>
    </r>
    <r>
      <rPr>
        <sz val="11"/>
        <color theme="1"/>
        <rFont val="Calibri"/>
        <family val="2"/>
        <scheme val="minor"/>
      </rPr>
      <t xml:space="preserve">New rows are now added to bottom of the table. 
4. </t>
    </r>
    <r>
      <rPr>
        <b/>
        <sz val="11"/>
        <color theme="1"/>
        <rFont val="Calibri"/>
        <family val="2"/>
        <scheme val="minor"/>
      </rPr>
      <t>Improvement (Import):</t>
    </r>
    <r>
      <rPr>
        <sz val="11"/>
        <color theme="1"/>
        <rFont val="Calibri"/>
        <family val="2"/>
        <scheme val="minor"/>
      </rPr>
      <t xml:space="preserve"> Clean-up of Phantom Named Ranges will only execute if custom user worksheets are imported.
5. </t>
    </r>
    <r>
      <rPr>
        <b/>
        <sz val="11"/>
        <color theme="1"/>
        <rFont val="Calibri"/>
        <family val="2"/>
        <scheme val="minor"/>
      </rPr>
      <t>Improvement (Import)</t>
    </r>
    <r>
      <rPr>
        <sz val="11"/>
        <color theme="1"/>
        <rFont val="Calibri"/>
        <family val="2"/>
        <scheme val="minor"/>
      </rPr>
      <t>: The import routine to convert 'Additional LUNs' to 'Additional SAN (GB)' will only execute for BoMs older than v13.01.20.  This will optimize the 'Import column' process.</t>
    </r>
  </si>
  <si>
    <t>13.01.31</t>
  </si>
  <si>
    <r>
      <t xml:space="preserve">1. </t>
    </r>
    <r>
      <rPr>
        <b/>
        <sz val="11"/>
        <color theme="1"/>
        <rFont val="Calibri"/>
        <family val="2"/>
        <scheme val="minor"/>
      </rPr>
      <t>Bug Fix:</t>
    </r>
    <r>
      <rPr>
        <sz val="11"/>
        <color theme="1"/>
        <rFont val="Calibri"/>
        <family val="2"/>
        <scheme val="minor"/>
      </rPr>
      <t xml:space="preserve"> When importing from "Old" BoM needed to check for old column label when implementing the SAN calculation fix.
2. </t>
    </r>
    <r>
      <rPr>
        <b/>
        <sz val="11"/>
        <color theme="1"/>
        <rFont val="Calibri"/>
        <family val="2"/>
        <scheme val="minor"/>
      </rPr>
      <t>Enhancement:</t>
    </r>
    <r>
      <rPr>
        <sz val="11"/>
        <color theme="1"/>
        <rFont val="Calibri"/>
        <family val="2"/>
        <scheme val="minor"/>
      </rPr>
      <t xml:space="preserve"> Added conditional formatting to highlight VMware cores that is not set to 1/2 the number of CPUs</t>
    </r>
  </si>
  <si>
    <t>13.02.01</t>
  </si>
  <si>
    <t>CA</t>
  </si>
  <si>
    <t>Non-Dev</t>
  </si>
  <si>
    <t>CA Application Performance Manager</t>
  </si>
  <si>
    <t>CA APM</t>
  </si>
  <si>
    <t>Sum of CA APM</t>
  </si>
  <si>
    <t xml:space="preserve">CA APM </t>
  </si>
  <si>
    <r>
      <t xml:space="preserve">1. </t>
    </r>
    <r>
      <rPr>
        <b/>
        <sz val="11"/>
        <color theme="1"/>
        <rFont val="Calibri"/>
        <family val="2"/>
        <scheme val="minor"/>
      </rPr>
      <t xml:space="preserve">New Product Added: </t>
    </r>
    <r>
      <rPr>
        <sz val="11"/>
        <color theme="1"/>
        <rFont val="Calibri"/>
        <family val="2"/>
        <scheme val="minor"/>
      </rPr>
      <t xml:space="preserve">Added CA Application Performance Manager (CA APM)
2. </t>
    </r>
    <r>
      <rPr>
        <b/>
        <sz val="11"/>
        <color theme="1"/>
        <rFont val="Calibri"/>
        <family val="2"/>
        <scheme val="minor"/>
      </rPr>
      <t>Fix (Import):</t>
    </r>
    <r>
      <rPr>
        <sz val="11"/>
        <color theme="1"/>
        <rFont val="Calibri"/>
        <family val="2"/>
        <scheme val="minor"/>
      </rPr>
      <t xml:space="preserve"> Importing an existing BoM into the current BoM now functional.
3. </t>
    </r>
    <r>
      <rPr>
        <b/>
        <sz val="11"/>
        <color theme="1"/>
        <rFont val="Calibri"/>
        <family val="2"/>
        <scheme val="minor"/>
      </rPr>
      <t>Correction (SW Costs):</t>
    </r>
    <r>
      <rPr>
        <sz val="11"/>
        <color theme="1"/>
        <rFont val="Calibri"/>
        <family val="2"/>
        <scheme val="minor"/>
      </rPr>
      <t xml:space="preserve"> SW cost for Yr1 did not incorporate if maintenance was to be added during first year.  Only impacted application is Ab Initio</t>
    </r>
  </si>
  <si>
    <t>13.02.03</t>
  </si>
  <si>
    <r>
      <t xml:space="preserve">1. </t>
    </r>
    <r>
      <rPr>
        <b/>
        <sz val="11"/>
        <color theme="1"/>
        <rFont val="Calibri"/>
        <family val="2"/>
        <scheme val="minor"/>
      </rPr>
      <t>Fix (SW Details)</t>
    </r>
    <r>
      <rPr>
        <sz val="11"/>
        <color theme="1"/>
        <rFont val="Calibri"/>
        <family val="2"/>
        <scheme val="minor"/>
      </rPr>
      <t xml:space="preserve">: Layout after adding new custom environment
</t>
    </r>
    <r>
      <rPr>
        <b/>
        <sz val="11"/>
        <color theme="1"/>
        <rFont val="Calibri"/>
        <family val="2"/>
        <scheme val="minor"/>
      </rPr>
      <t>2. Fix (SW Summary):</t>
    </r>
    <r>
      <rPr>
        <sz val="11"/>
        <color theme="1"/>
        <rFont val="Calibri"/>
        <family val="2"/>
        <scheme val="minor"/>
      </rPr>
      <t xml:space="preserve"> Tables now align properly with the SW Details</t>
    </r>
  </si>
  <si>
    <t>Environments</t>
  </si>
  <si>
    <t>13.02.05</t>
  </si>
  <si>
    <t>Required SW</t>
  </si>
  <si>
    <r>
      <t xml:space="preserve">* </t>
    </r>
    <r>
      <rPr>
        <b/>
        <sz val="11"/>
        <color theme="1"/>
        <rFont val="Calibri"/>
        <family val="2"/>
        <scheme val="minor"/>
      </rPr>
      <t>Improvement (SW Calc Performance):</t>
    </r>
    <r>
      <rPr>
        <sz val="11"/>
        <color theme="1"/>
        <rFont val="Calibri"/>
        <family val="2"/>
        <scheme val="minor"/>
      </rPr>
      <t xml:space="preserve"> Now only triggers when Env Label, Software List, or License Count Range changes.</t>
    </r>
  </si>
  <si>
    <r>
      <t xml:space="preserve">1. </t>
    </r>
    <r>
      <rPr>
        <b/>
        <sz val="11"/>
        <color theme="1"/>
        <rFont val="Calibri"/>
        <family val="2"/>
        <scheme val="minor"/>
      </rPr>
      <t>Update:</t>
    </r>
    <r>
      <rPr>
        <sz val="11"/>
        <color theme="1"/>
        <rFont val="Calibri"/>
        <family val="2"/>
        <scheme val="minor"/>
      </rPr>
      <t xml:space="preserve"> LPARs can now be broken down as either ("Full-Service" or "Cloud") where LPAR "Cloud" cost is ¼th the full 2013 CTI Rate Charge per CPU.
2. </t>
    </r>
    <r>
      <rPr>
        <b/>
        <sz val="11"/>
        <color theme="1"/>
        <rFont val="Calibri"/>
        <family val="2"/>
        <scheme val="minor"/>
      </rPr>
      <t>Enhancement:</t>
    </r>
    <r>
      <rPr>
        <sz val="11"/>
        <color theme="1"/>
        <rFont val="Calibri"/>
        <family val="2"/>
        <scheme val="minor"/>
      </rPr>
      <t xml:space="preserve"> When selecting SW in the Software List, required software will be automatically added to the list.
2a. As part of this enhancement, a list of required software can now be assigned to "other" softwares; this is done in the SW_Unit_costs worksheet.
3. </t>
    </r>
    <r>
      <rPr>
        <b/>
        <sz val="11"/>
        <color theme="1"/>
        <rFont val="Calibri"/>
        <family val="2"/>
        <scheme val="minor"/>
      </rPr>
      <t>Improvement:</t>
    </r>
    <r>
      <rPr>
        <sz val="11"/>
        <color theme="1"/>
        <rFont val="Calibri"/>
        <family val="2"/>
        <scheme val="minor"/>
      </rPr>
      <t xml:space="preserve"> (SW Calc Performance)
</t>
    </r>
    <r>
      <rPr>
        <b/>
        <sz val="11"/>
        <color rgb="FFFF0000"/>
        <rFont val="Calibri"/>
        <family val="2"/>
        <scheme val="minor"/>
      </rPr>
      <t>Note</t>
    </r>
    <r>
      <rPr>
        <b/>
        <vertAlign val="superscript"/>
        <sz val="11"/>
        <color rgb="FFFF0000"/>
        <rFont val="Calibri"/>
        <family val="2"/>
        <scheme val="minor"/>
      </rPr>
      <t>1</t>
    </r>
    <r>
      <rPr>
        <b/>
        <sz val="11"/>
        <color rgb="FFFF0000"/>
        <rFont val="Calibri"/>
        <family val="2"/>
        <scheme val="minor"/>
      </rPr>
      <t>:</t>
    </r>
    <r>
      <rPr>
        <sz val="11"/>
        <color theme="1"/>
        <rFont val="Calibri"/>
        <family val="2"/>
        <scheme val="minor"/>
      </rPr>
      <t xml:space="preserve"> If you remove software from the list, it's required SW </t>
    </r>
    <r>
      <rPr>
        <b/>
        <sz val="11"/>
        <color theme="1"/>
        <rFont val="Calibri"/>
        <family val="2"/>
        <scheme val="minor"/>
      </rPr>
      <t>will</t>
    </r>
    <r>
      <rPr>
        <sz val="11"/>
        <color theme="1"/>
        <rFont val="Calibri"/>
        <family val="2"/>
        <scheme val="minor"/>
      </rPr>
      <t xml:space="preserve"> </t>
    </r>
    <r>
      <rPr>
        <b/>
        <sz val="11"/>
        <color theme="1"/>
        <rFont val="Calibri"/>
        <family val="2"/>
        <scheme val="minor"/>
      </rPr>
      <t>not</t>
    </r>
    <r>
      <rPr>
        <sz val="11"/>
        <color theme="1"/>
        <rFont val="Calibri"/>
        <family val="2"/>
        <scheme val="minor"/>
      </rPr>
      <t xml:space="preserve"> be automatically removed.</t>
    </r>
    <r>
      <rPr>
        <b/>
        <sz val="11"/>
        <color rgb="FFFF0000"/>
        <rFont val="Calibri"/>
        <family val="2"/>
        <scheme val="minor"/>
      </rPr>
      <t/>
    </r>
  </si>
  <si>
    <t>13.02.06</t>
  </si>
  <si>
    <r>
      <t xml:space="preserve">1. </t>
    </r>
    <r>
      <rPr>
        <b/>
        <sz val="11"/>
        <color theme="1"/>
        <rFont val="Calibri"/>
        <family val="2"/>
        <scheme val="minor"/>
      </rPr>
      <t>New Column:</t>
    </r>
    <r>
      <rPr>
        <sz val="11"/>
        <color theme="1"/>
        <rFont val="Calibri"/>
        <family val="2"/>
        <scheme val="minor"/>
      </rPr>
      <t xml:space="preserve"> Added new optional 'Priority' Column
2. </t>
    </r>
    <r>
      <rPr>
        <b/>
        <sz val="11"/>
        <color theme="1"/>
        <rFont val="Calibri"/>
        <family val="2"/>
        <scheme val="minor"/>
      </rPr>
      <t>Enhancement:</t>
    </r>
    <r>
      <rPr>
        <sz val="11"/>
        <color theme="1"/>
        <rFont val="Calibri"/>
        <family val="2"/>
        <scheme val="minor"/>
      </rPr>
      <t xml:space="preserve"> Hostname duplicates are now highlighted.</t>
    </r>
  </si>
  <si>
    <t>Source</t>
  </si>
  <si>
    <t>13.02.07</t>
  </si>
  <si>
    <r>
      <t xml:space="preserve">1. </t>
    </r>
    <r>
      <rPr>
        <b/>
        <sz val="11"/>
        <color theme="1"/>
        <rFont val="Calibri"/>
        <family val="2"/>
        <scheme val="minor"/>
      </rPr>
      <t xml:space="preserve">Correction: </t>
    </r>
    <r>
      <rPr>
        <sz val="11"/>
        <color theme="1"/>
        <rFont val="Calibri"/>
        <family val="2"/>
        <scheme val="minor"/>
      </rPr>
      <t>Will now apply import fixes for BoMs v2.5.1 and older.</t>
    </r>
  </si>
  <si>
    <t xml:space="preserve">Priority </t>
  </si>
  <si>
    <t>13.02.11</t>
  </si>
  <si>
    <r>
      <t xml:space="preserve">1. </t>
    </r>
    <r>
      <rPr>
        <b/>
        <sz val="11"/>
        <color theme="1"/>
        <rFont val="Calibri"/>
        <family val="2"/>
        <scheme val="minor"/>
      </rPr>
      <t xml:space="preserve">Correction: </t>
    </r>
    <r>
      <rPr>
        <sz val="11"/>
        <color theme="1"/>
        <rFont val="Calibri"/>
        <family val="2"/>
        <scheme val="minor"/>
      </rPr>
      <t xml:space="preserve">Some of the TIBCO BE servers (PERF --&gt; DIT) did not have the 25% discount applied.
2. </t>
    </r>
    <r>
      <rPr>
        <b/>
        <sz val="11"/>
        <color theme="1"/>
        <rFont val="Calibri"/>
        <family val="2"/>
        <scheme val="minor"/>
      </rPr>
      <t>Improvement:</t>
    </r>
    <r>
      <rPr>
        <sz val="11"/>
        <color theme="1"/>
        <rFont val="Calibri"/>
        <family val="2"/>
        <scheme val="minor"/>
      </rPr>
      <t xml:space="preserve"> Increased # of new rows that can be added at one time from 200 to 500 rows.</t>
    </r>
  </si>
  <si>
    <t>13.02.15</t>
  </si>
  <si>
    <r>
      <t xml:space="preserve">1. </t>
    </r>
    <r>
      <rPr>
        <b/>
        <sz val="11"/>
        <color theme="1"/>
        <rFont val="Calibri"/>
        <family val="2"/>
        <scheme val="minor"/>
      </rPr>
      <t>Improvement (Stats):</t>
    </r>
    <r>
      <rPr>
        <sz val="11"/>
        <color theme="1"/>
        <rFont val="Calibri"/>
        <family val="2"/>
        <scheme val="minor"/>
      </rPr>
      <t xml:space="preserve"> Tables on Stats worksheet now update after adding new 'Env Labels'
2. </t>
    </r>
    <r>
      <rPr>
        <b/>
        <sz val="11"/>
        <color theme="1"/>
        <rFont val="Calibri"/>
        <family val="2"/>
        <scheme val="minor"/>
      </rPr>
      <t xml:space="preserve">PRICE UPDATE (TIBCO AMX BPM)
</t>
    </r>
    <r>
      <rPr>
        <sz val="11"/>
        <color theme="1"/>
        <rFont val="Calibri"/>
        <family val="2"/>
        <scheme val="minor"/>
      </rPr>
      <t xml:space="preserve">3. </t>
    </r>
    <r>
      <rPr>
        <b/>
        <sz val="11"/>
        <color theme="1"/>
        <rFont val="Calibri"/>
        <family val="2"/>
        <scheme val="minor"/>
      </rPr>
      <t xml:space="preserve">Enhancement: </t>
    </r>
    <r>
      <rPr>
        <sz val="11"/>
        <color theme="1"/>
        <rFont val="Calibri"/>
        <family val="2"/>
        <scheme val="minor"/>
      </rPr>
      <t xml:space="preserve"> Added new column 'Target/Completion Date' next to 'Status'</t>
    </r>
  </si>
  <si>
    <t>13.02.18</t>
  </si>
  <si>
    <r>
      <t xml:space="preserve">1. </t>
    </r>
    <r>
      <rPr>
        <b/>
        <sz val="11"/>
        <color theme="1"/>
        <rFont val="Calibri"/>
        <family val="2"/>
        <scheme val="minor"/>
      </rPr>
      <t>Improvement:</t>
    </r>
    <r>
      <rPr>
        <sz val="11"/>
        <color theme="1"/>
        <rFont val="Calibri"/>
        <family val="2"/>
        <scheme val="minor"/>
      </rPr>
      <t xml:space="preserve"> Added 'Project Mgmt View' to display Priority, Status, and Target/Completion Date Columns</t>
    </r>
  </si>
  <si>
    <t>Oracle Spatial pSeries</t>
  </si>
  <si>
    <t>Oracle Spatial x86</t>
  </si>
  <si>
    <t>UltraSPARC-IV</t>
  </si>
  <si>
    <t>SW Cost (Annual)</t>
  </si>
  <si>
    <t>Maintenance (Annual)</t>
  </si>
  <si>
    <t>Oracle Partitioning</t>
  </si>
  <si>
    <t>Oracle GoldenGate</t>
  </si>
  <si>
    <t>Oracle GG pSeries</t>
  </si>
  <si>
    <t>Oracle GG x86</t>
  </si>
  <si>
    <t>Oracle Partitioning pSeries</t>
  </si>
  <si>
    <t>Oracle Partitioning x86</t>
  </si>
  <si>
    <t>Oracle RAC pSeries</t>
  </si>
  <si>
    <t>Oracle RAC x86</t>
  </si>
  <si>
    <t>Oracle Advance Security Option</t>
  </si>
  <si>
    <t>Oracle ASO pSeries</t>
  </si>
  <si>
    <t>Oracle ASO x86</t>
  </si>
  <si>
    <t>Oracle External Bundle (DB Ent Ed, Diag Pack, Tuning Pack)</t>
  </si>
  <si>
    <t>Oracle WebLogic pSeries</t>
  </si>
  <si>
    <t>Oracle WebLogic x86</t>
  </si>
  <si>
    <t>Oracle WebLogic Suite</t>
  </si>
  <si>
    <t>Oracle GoldenGate Veridata</t>
  </si>
  <si>
    <t>Oracle GG Veridata pSeries</t>
  </si>
  <si>
    <t>Oracle GG Veridata x86</t>
  </si>
  <si>
    <t>Oracle Ext. Bundle pSeries</t>
  </si>
  <si>
    <t>Oracle Ext. Bundle x86</t>
  </si>
  <si>
    <t>Sum of Oracle ASO pSeries</t>
  </si>
  <si>
    <t>Sum of Oracle ASO x86</t>
  </si>
  <si>
    <t>Sum of Oracle Ext. Bundle pSeries</t>
  </si>
  <si>
    <t>Sum of Oracle Ext. Bundle x86</t>
  </si>
  <si>
    <t>Sum of Oracle GG pSeries</t>
  </si>
  <si>
    <t>Sum of Oracle GG x86</t>
  </si>
  <si>
    <t>Sum of Oracle GG Veridata pSeries</t>
  </si>
  <si>
    <t>Sum of Oracle GG Veridata x86</t>
  </si>
  <si>
    <t>Sum of Oracle Partitioning pSeries</t>
  </si>
  <si>
    <t>Sum of Oracle Partitioning x86</t>
  </si>
  <si>
    <t>Sum of Oracle WebLogic x86</t>
  </si>
  <si>
    <t>Sum of Oracle WebLogic pSeries</t>
  </si>
  <si>
    <t>Sum of Oracle Spatial x86</t>
  </si>
  <si>
    <t>Sum of Oracle Spatial pSeries</t>
  </si>
  <si>
    <t>Sum of Oracle RAC x86</t>
  </si>
  <si>
    <t>Sum of Oracle RAC pSeries</t>
  </si>
  <si>
    <t xml:space="preserve">Oracle ASO pSeries </t>
  </si>
  <si>
    <t xml:space="preserve">Oracle ASO x86 </t>
  </si>
  <si>
    <t xml:space="preserve">Oracle Ext. Bundle pSeries </t>
  </si>
  <si>
    <t xml:space="preserve">Oracle Ext. Bundle x86 </t>
  </si>
  <si>
    <t xml:space="preserve">Oracle GG pSeries </t>
  </si>
  <si>
    <t xml:space="preserve">Oracle GG x86 </t>
  </si>
  <si>
    <t xml:space="preserve">Oracle GG Veridata pSeries </t>
  </si>
  <si>
    <t xml:space="preserve">Oracle GG Veridata x86 </t>
  </si>
  <si>
    <t xml:space="preserve">Oracle Partitioning pSeries </t>
  </si>
  <si>
    <t xml:space="preserve">Oracle Partitioning x86 </t>
  </si>
  <si>
    <t xml:space="preserve">Oracle RAC x86 </t>
  </si>
  <si>
    <t xml:space="preserve">Oracle RAC pSeries </t>
  </si>
  <si>
    <t xml:space="preserve">Oracle Spatial x86 </t>
  </si>
  <si>
    <t xml:space="preserve">Oracle Spatial pSeries </t>
  </si>
  <si>
    <t xml:space="preserve">Oracle WebLogic x86 </t>
  </si>
  <si>
    <t xml:space="preserve">Oracle WebLogic pSeries </t>
  </si>
  <si>
    <t>Grand Annual Total</t>
  </si>
  <si>
    <t>Portal/Eclipse/EclipseLite/Kana</t>
  </si>
  <si>
    <t>Portal/Eclipse/EclipseLite/Ubiquity</t>
  </si>
  <si>
    <t>DWH/TIBCO/AMX</t>
  </si>
  <si>
    <t>OE - Chip Loyalty</t>
  </si>
  <si>
    <t>OE/CitiWatch/CitiOptions/DSA/LMF</t>
  </si>
  <si>
    <t>eCR/ATM360/3DSecure</t>
  </si>
  <si>
    <t>COPS/Documentum/CMR</t>
  </si>
  <si>
    <t>TCON/USR/CLMS/CitiPlanner</t>
  </si>
  <si>
    <t>eSMS</t>
  </si>
  <si>
    <t>13.02.19</t>
  </si>
  <si>
    <t>Additional notes</t>
  </si>
  <si>
    <t>Completion Date</t>
  </si>
  <si>
    <r>
      <t xml:space="preserve">1. </t>
    </r>
    <r>
      <rPr>
        <b/>
        <sz val="11"/>
        <color theme="1"/>
        <rFont val="Calibri"/>
        <family val="2"/>
        <scheme val="minor"/>
      </rPr>
      <t>[Software List] Import</t>
    </r>
    <r>
      <rPr>
        <sz val="11"/>
        <color theme="1"/>
        <rFont val="Calibri"/>
        <family val="2"/>
        <scheme val="minor"/>
      </rPr>
      <t xml:space="preserve"> will automatically convert the following Oracle products found in older BoMs to the latest Oracle product list: </t>
    </r>
    <r>
      <rPr>
        <b/>
        <sz val="11"/>
        <color theme="1"/>
        <rFont val="Calibri"/>
        <family val="2"/>
        <scheme val="minor"/>
      </rPr>
      <t>Oracle External, Oracle GG, Oracle RAC, Oracle Spacial pSeries, Oracle Spacial x86, and Oracle Veridata.</t>
    </r>
  </si>
  <si>
    <r>
      <t xml:space="preserve">1. </t>
    </r>
    <r>
      <rPr>
        <b/>
        <sz val="11"/>
        <color theme="1"/>
        <rFont val="Calibri"/>
        <family val="2"/>
        <scheme val="minor"/>
      </rPr>
      <t xml:space="preserve">PRODUCT UPDATE (Entire ORACLE Product list updated): </t>
    </r>
    <r>
      <rPr>
        <sz val="11"/>
        <color theme="1"/>
        <rFont val="Calibri"/>
        <family val="2"/>
        <scheme val="minor"/>
      </rPr>
      <t xml:space="preserve">Oracle ASO pSeries, Oracle ASO x86, Oracle Ext. Bundle pSeries, Oracle Ext. Bundle x86, Oracle GG pSeries, Oracle GG x86, Oracle GG Veridata pSeries, Oracle GG Veridata x86, Oracle Partitioning pSeries, Oracle Partitioning x86, Oracle RAC pSeries, Oracle RAC x86, Oracle Spatial pSeries, Oracle Spatial x86, Oracle Standalone, Oracle WebLogic pSeries, Oracle WebLogic x86
</t>
    </r>
    <r>
      <rPr>
        <b/>
        <sz val="11"/>
        <color theme="1"/>
        <rFont val="Calibri"/>
        <family val="2"/>
        <scheme val="minor"/>
      </rPr>
      <t xml:space="preserve">Note: </t>
    </r>
    <r>
      <rPr>
        <sz val="11"/>
        <color theme="1"/>
        <rFont val="Calibri"/>
        <family val="2"/>
        <scheme val="minor"/>
      </rPr>
      <t xml:space="preserve">This includes 2013 CTI price updates.
2. </t>
    </r>
    <r>
      <rPr>
        <b/>
        <sz val="11"/>
        <color theme="1"/>
        <rFont val="Calibri"/>
        <family val="2"/>
        <scheme val="minor"/>
      </rPr>
      <t xml:space="preserve">Enhancement (PM): </t>
    </r>
    <r>
      <rPr>
        <sz val="11"/>
        <color theme="1"/>
        <rFont val="Calibri"/>
        <family val="2"/>
        <scheme val="minor"/>
      </rPr>
      <t xml:space="preserve"> Split Target/Complete Date to two (2) columns
3. </t>
    </r>
    <r>
      <rPr>
        <b/>
        <sz val="11"/>
        <color theme="1"/>
        <rFont val="Calibri"/>
        <family val="2"/>
        <scheme val="minor"/>
      </rPr>
      <t>Improvement (Server HW Summary):</t>
    </r>
    <r>
      <rPr>
        <sz val="11"/>
        <color theme="1"/>
        <rFont val="Calibri"/>
        <family val="2"/>
        <scheme val="minor"/>
      </rPr>
      <t xml:space="preserve"> Added Target Date, Completion Date, and Status to the Table
4. </t>
    </r>
    <r>
      <rPr>
        <b/>
        <sz val="11"/>
        <color theme="1"/>
        <rFont val="Calibri"/>
        <family val="2"/>
        <scheme val="minor"/>
      </rPr>
      <t xml:space="preserve">Enhancement (Import): </t>
    </r>
    <r>
      <rPr>
        <sz val="11"/>
        <color theme="1"/>
        <rFont val="Calibri"/>
        <family val="2"/>
        <scheme val="minor"/>
      </rPr>
      <t>The calculated column</t>
    </r>
    <r>
      <rPr>
        <b/>
        <sz val="11"/>
        <color theme="1"/>
        <rFont val="Calibri"/>
        <family val="2"/>
        <scheme val="minor"/>
      </rPr>
      <t xml:space="preserve"> - </t>
    </r>
    <r>
      <rPr>
        <sz val="11"/>
        <color theme="1"/>
        <rFont val="Calibri"/>
        <family val="2"/>
        <scheme val="minor"/>
      </rPr>
      <t>'</t>
    </r>
    <r>
      <rPr>
        <b/>
        <sz val="11"/>
        <color theme="1"/>
        <rFont val="Calibri"/>
        <family val="2"/>
        <scheme val="minor"/>
      </rPr>
      <t>Virtual Platform (Full/Cloud)</t>
    </r>
    <r>
      <rPr>
        <sz val="11"/>
        <color theme="1"/>
        <rFont val="Calibri"/>
        <family val="2"/>
        <scheme val="minor"/>
      </rPr>
      <t xml:space="preserve">' is now importable and will preserve any overridden values. -- Thanks DWendt!
5. </t>
    </r>
    <r>
      <rPr>
        <b/>
        <sz val="11"/>
        <color theme="1"/>
        <rFont val="Calibri"/>
        <family val="2"/>
        <scheme val="minor"/>
      </rPr>
      <t xml:space="preserve">Bug Fix (Import): </t>
    </r>
    <r>
      <rPr>
        <sz val="11"/>
        <color theme="1"/>
        <rFont val="Calibri"/>
        <family val="2"/>
        <scheme val="minor"/>
      </rPr>
      <t>Import will no longer crash if an 'unidentified' product is found in the 'Software List' column.</t>
    </r>
  </si>
  <si>
    <t>13.02.20</t>
  </si>
  <si>
    <r>
      <t xml:space="preserve">1. </t>
    </r>
    <r>
      <rPr>
        <b/>
        <sz val="11"/>
        <color theme="1"/>
        <rFont val="Calibri"/>
        <family val="2"/>
        <scheme val="minor"/>
      </rPr>
      <t>Enhancement (Import):</t>
    </r>
    <r>
      <rPr>
        <sz val="11"/>
        <color theme="1"/>
        <rFont val="Calibri"/>
        <family val="2"/>
        <scheme val="minor"/>
      </rPr>
      <t xml:space="preserve"> Import now copies over any in-cell comments.</t>
    </r>
  </si>
  <si>
    <t>SAN (GB) Shared</t>
  </si>
  <si>
    <t>Shared SAN Group Name</t>
  </si>
  <si>
    <t>13.02.24</t>
  </si>
  <si>
    <t>HSM Required?</t>
  </si>
  <si>
    <r>
      <t xml:space="preserve">1. </t>
    </r>
    <r>
      <rPr>
        <b/>
        <sz val="11"/>
        <color theme="1"/>
        <rFont val="Calibri"/>
        <family val="2"/>
        <scheme val="minor"/>
      </rPr>
      <t xml:space="preserve">New Standard Columns ADDED: </t>
    </r>
    <r>
      <rPr>
        <sz val="11"/>
        <color theme="1"/>
        <rFont val="Calibri"/>
        <family val="2"/>
        <scheme val="minor"/>
      </rPr>
      <t xml:space="preserve"> '</t>
    </r>
    <r>
      <rPr>
        <b/>
        <sz val="11"/>
        <color theme="1"/>
        <rFont val="Calibri"/>
        <family val="2"/>
        <scheme val="minor"/>
      </rPr>
      <t xml:space="preserve">Server Config Completed', 'Storage Config Completed', 'Verified By', 'HSM Required', 'SAN (GB) Shared', </t>
    </r>
    <r>
      <rPr>
        <sz val="11"/>
        <color theme="1"/>
        <rFont val="Calibri"/>
        <family val="2"/>
        <scheme val="minor"/>
      </rPr>
      <t>and '</t>
    </r>
    <r>
      <rPr>
        <b/>
        <sz val="11"/>
        <color theme="1"/>
        <rFont val="Calibri"/>
        <family val="2"/>
        <scheme val="minor"/>
      </rPr>
      <t xml:space="preserve">SAN Shared Group Name'.
</t>
    </r>
    <r>
      <rPr>
        <b/>
        <u/>
        <sz val="11"/>
        <color theme="1"/>
        <rFont val="Calibri"/>
        <family val="2"/>
        <scheme val="minor"/>
      </rPr>
      <t xml:space="preserve">Project Management Columns
</t>
    </r>
    <r>
      <rPr>
        <sz val="11"/>
        <color theme="1"/>
        <rFont val="Calibri"/>
        <family val="2"/>
        <scheme val="minor"/>
      </rPr>
      <t>* '</t>
    </r>
    <r>
      <rPr>
        <b/>
        <sz val="11"/>
        <color theme="1"/>
        <rFont val="Calibri"/>
        <family val="2"/>
        <scheme val="minor"/>
      </rPr>
      <t>Server Config Completed</t>
    </r>
    <r>
      <rPr>
        <sz val="11"/>
        <color theme="1"/>
        <rFont val="Calibri"/>
        <family val="2"/>
        <scheme val="minor"/>
      </rPr>
      <t>' and '</t>
    </r>
    <r>
      <rPr>
        <b/>
        <sz val="11"/>
        <color theme="1"/>
        <rFont val="Calibri"/>
        <family val="2"/>
        <scheme val="minor"/>
      </rPr>
      <t>Storage Config Completed</t>
    </r>
    <r>
      <rPr>
        <sz val="11"/>
        <color theme="1"/>
        <rFont val="Calibri"/>
        <family val="2"/>
        <scheme val="minor"/>
      </rPr>
      <t xml:space="preserve">' are </t>
    </r>
    <r>
      <rPr>
        <b/>
        <sz val="11"/>
        <color theme="1"/>
        <rFont val="Calibri"/>
        <family val="2"/>
        <scheme val="minor"/>
      </rPr>
      <t xml:space="preserve">checkmark-enabled </t>
    </r>
    <r>
      <rPr>
        <sz val="11"/>
        <color theme="1"/>
        <rFont val="Calibri"/>
        <family val="2"/>
        <scheme val="minor"/>
      </rPr>
      <t xml:space="preserve"> columns (double-click to toggle checkmark)
* '</t>
    </r>
    <r>
      <rPr>
        <b/>
        <sz val="11"/>
        <color theme="1"/>
        <rFont val="Calibri"/>
        <family val="2"/>
        <scheme val="minor"/>
      </rPr>
      <t>Verified By</t>
    </r>
    <r>
      <rPr>
        <sz val="11"/>
        <color theme="1"/>
        <rFont val="Calibri"/>
        <family val="2"/>
        <scheme val="minor"/>
      </rPr>
      <t xml:space="preserve">' - tracks who verified the server completed configuration status
</t>
    </r>
    <r>
      <rPr>
        <b/>
        <u/>
        <sz val="11"/>
        <color theme="1"/>
        <rFont val="Calibri"/>
        <family val="2"/>
        <scheme val="minor"/>
      </rPr>
      <t>Other Columns</t>
    </r>
    <r>
      <rPr>
        <sz val="11"/>
        <color theme="1"/>
        <rFont val="Calibri"/>
        <family val="2"/>
        <scheme val="minor"/>
      </rPr>
      <t xml:space="preserve">
* '</t>
    </r>
    <r>
      <rPr>
        <b/>
        <sz val="11"/>
        <color theme="1"/>
        <rFont val="Calibri"/>
        <family val="2"/>
        <scheme val="minor"/>
      </rPr>
      <t>HSM Required?</t>
    </r>
    <r>
      <rPr>
        <sz val="11"/>
        <color theme="1"/>
        <rFont val="Calibri"/>
        <family val="2"/>
        <scheme val="minor"/>
      </rPr>
      <t xml:space="preserve">' - </t>
    </r>
    <r>
      <rPr>
        <b/>
        <sz val="11"/>
        <color theme="1"/>
        <rFont val="Calibri"/>
        <family val="2"/>
        <scheme val="minor"/>
      </rPr>
      <t xml:space="preserve">checkmark-enabled </t>
    </r>
    <r>
      <rPr>
        <sz val="11"/>
        <color theme="1"/>
        <rFont val="Calibri"/>
        <family val="2"/>
        <scheme val="minor"/>
      </rPr>
      <t xml:space="preserve"> column to indicate HSM requirement. </t>
    </r>
    <r>
      <rPr>
        <b/>
        <sz val="11"/>
        <color theme="1"/>
        <rFont val="Calibri"/>
        <family val="2"/>
        <scheme val="minor"/>
      </rPr>
      <t xml:space="preserve">Note: </t>
    </r>
    <r>
      <rPr>
        <sz val="11"/>
        <color theme="1"/>
        <rFont val="Calibri"/>
        <family val="2"/>
        <scheme val="minor"/>
      </rPr>
      <t>Currently not available for VMware.
* '</t>
    </r>
    <r>
      <rPr>
        <b/>
        <sz val="11"/>
        <color theme="1"/>
        <rFont val="Calibri"/>
        <family val="2"/>
        <scheme val="minor"/>
      </rPr>
      <t>SAN (GB) Share'</t>
    </r>
    <r>
      <rPr>
        <sz val="11"/>
        <color theme="1"/>
        <rFont val="Calibri"/>
        <family val="2"/>
        <scheme val="minor"/>
      </rPr>
      <t xml:space="preserve"> &amp; '</t>
    </r>
    <r>
      <rPr>
        <b/>
        <sz val="11"/>
        <color theme="1"/>
        <rFont val="Calibri"/>
        <family val="2"/>
        <scheme val="minor"/>
      </rPr>
      <t>SAN Shared Group Name</t>
    </r>
    <r>
      <rPr>
        <sz val="11"/>
        <color theme="1"/>
        <rFont val="Calibri"/>
        <family val="2"/>
        <scheme val="minor"/>
      </rPr>
      <t>': Used to indicated amount of shared SAN (GB) to be assigned to specified server and the Shared Group Name.</t>
    </r>
  </si>
  <si>
    <t>13.02.25</t>
  </si>
  <si>
    <r>
      <t xml:space="preserve">1. </t>
    </r>
    <r>
      <rPr>
        <b/>
        <sz val="11"/>
        <color theme="1"/>
        <rFont val="Calibri"/>
        <family val="2"/>
        <scheme val="minor"/>
      </rPr>
      <t xml:space="preserve">Bug Fix (Import): </t>
    </r>
    <r>
      <rPr>
        <sz val="11"/>
        <color theme="1"/>
        <rFont val="Calibri"/>
        <family val="2"/>
        <scheme val="minor"/>
      </rPr>
      <t>After import, removes external file links in 'Virtual Platform (Full/Cloud)' column.</t>
    </r>
  </si>
  <si>
    <t>13.02.26</t>
  </si>
  <si>
    <r>
      <t xml:space="preserve">1. </t>
    </r>
    <r>
      <rPr>
        <b/>
        <sz val="11"/>
        <color theme="1"/>
        <rFont val="Calibri"/>
        <family val="2"/>
        <scheme val="minor"/>
      </rPr>
      <t>Bug Fix (HostBuild Calc):</t>
    </r>
    <r>
      <rPr>
        <sz val="11"/>
        <color theme="1"/>
        <rFont val="Calibri"/>
        <family val="2"/>
        <scheme val="minor"/>
      </rPr>
      <t xml:space="preserve"> Corrected memory cost calculation for Sun servers</t>
    </r>
  </si>
  <si>
    <r>
      <t xml:space="preserve">If VMware instance total RAM is &gt;16GB then SAN Storage will be assigned, otherwise dedicated NAS will be assigned. 
</t>
    </r>
    <r>
      <rPr>
        <b/>
        <sz val="11"/>
        <color theme="1"/>
        <rFont val="Calibri"/>
        <family val="2"/>
        <scheme val="minor"/>
      </rPr>
      <t>Calculation: (Base: 100GB) + (Varcrash: Total RAM+10GB) + (Swap: RAM*75%)</t>
    </r>
  </si>
  <si>
    <t>13.03.06</t>
  </si>
  <si>
    <r>
      <t>1.</t>
    </r>
    <r>
      <rPr>
        <b/>
        <sz val="11"/>
        <color theme="1"/>
        <rFont val="Calibri"/>
        <family val="2"/>
        <scheme val="minor"/>
      </rPr>
      <t xml:space="preserve"> Update: (Recommended NAS formula)</t>
    </r>
    <r>
      <rPr>
        <sz val="11"/>
        <color theme="1"/>
        <rFont val="Calibri"/>
        <family val="2"/>
        <scheme val="minor"/>
      </rPr>
      <t xml:space="preserve"> - See BoM Standard Rules for details
2. </t>
    </r>
    <r>
      <rPr>
        <b/>
        <sz val="11"/>
        <color theme="1"/>
        <rFont val="Calibri"/>
        <family val="2"/>
        <scheme val="minor"/>
      </rPr>
      <t>Enhancement: (Import)</t>
    </r>
    <r>
      <rPr>
        <sz val="11"/>
        <color theme="1"/>
        <rFont val="Calibri"/>
        <family val="2"/>
        <scheme val="minor"/>
      </rPr>
      <t xml:space="preserve"> - Import will automatically adjust the 'Additional NAS (GB)' column to, if a value was provided, in order to ensure that the original 'NAS (GB) Dedicated' value remains the same.  </t>
    </r>
    <r>
      <rPr>
        <b/>
        <sz val="11"/>
        <color theme="1"/>
        <rFont val="Calibri"/>
        <family val="2"/>
        <scheme val="minor"/>
      </rPr>
      <t>However</t>
    </r>
    <r>
      <rPr>
        <sz val="11"/>
        <color theme="1"/>
        <rFont val="Calibri"/>
        <family val="2"/>
        <scheme val="minor"/>
      </rPr>
      <t xml:space="preserve">, please note that 'NAS (GB) Dedicated' column will be updated to the </t>
    </r>
    <r>
      <rPr>
        <b/>
        <sz val="11"/>
        <color theme="1"/>
        <rFont val="Calibri"/>
        <family val="2"/>
        <scheme val="minor"/>
      </rPr>
      <t>new</t>
    </r>
    <r>
      <rPr>
        <sz val="11"/>
        <color theme="1"/>
        <rFont val="Calibri"/>
        <family val="2"/>
        <scheme val="minor"/>
      </rPr>
      <t xml:space="preserve"> recommended value if no additional NAS storage was previously provided.</t>
    </r>
  </si>
  <si>
    <t>13.03.14</t>
  </si>
  <si>
    <r>
      <t xml:space="preserve">1. </t>
    </r>
    <r>
      <rPr>
        <b/>
        <sz val="11"/>
        <color theme="1"/>
        <rFont val="Calibri"/>
        <family val="2"/>
        <scheme val="minor"/>
      </rPr>
      <t>New Products:</t>
    </r>
    <r>
      <rPr>
        <sz val="11"/>
        <color theme="1"/>
        <rFont val="Calibri"/>
        <family val="2"/>
        <scheme val="minor"/>
      </rPr>
      <t xml:space="preserve"> IBM WebSphere Virtual Enterprise (Controller),  IBM WebSphere Virtual Enterprise (Node)</t>
    </r>
  </si>
  <si>
    <t>IBM WebSphere Virtual Enterprise (Controller)</t>
  </si>
  <si>
    <t>IBM WebSphere Virtual Enterprise (Node)</t>
  </si>
  <si>
    <t>IBM WS VE (Cntrlr)</t>
  </si>
  <si>
    <t>IBM WS VE (Node)</t>
  </si>
  <si>
    <t>Sum of IBM WS VE (Cntrlr)</t>
  </si>
  <si>
    <t>Sum of IBM WS VE (Node)</t>
  </si>
  <si>
    <t xml:space="preserve">IBM WS VE (Cntrlr) </t>
  </si>
  <si>
    <t xml:space="preserve">IBM WS VE (Node) </t>
  </si>
  <si>
    <t>DMZ Required?</t>
  </si>
  <si>
    <t>13.03.21</t>
  </si>
  <si>
    <r>
      <t xml:space="preserve">1. </t>
    </r>
    <r>
      <rPr>
        <b/>
        <sz val="11"/>
        <color theme="1"/>
        <rFont val="Calibri"/>
        <family val="2"/>
        <scheme val="minor"/>
      </rPr>
      <t>Bug Fix (SW License Count):</t>
    </r>
    <r>
      <rPr>
        <sz val="11"/>
        <color theme="1"/>
        <rFont val="Calibri"/>
        <family val="2"/>
        <scheme val="minor"/>
      </rPr>
      <t xml:space="preserve"> If a 'per Server' license, now correctly takes into consideration to count existing servers or new servers with &gt;0 CPUs.</t>
    </r>
  </si>
  <si>
    <t>13.04.11</t>
  </si>
  <si>
    <t>RHEL 5.9</t>
  </si>
  <si>
    <t>AIX 7.1</t>
  </si>
  <si>
    <t>AIX 5.3</t>
  </si>
  <si>
    <t>Solaris 10</t>
  </si>
  <si>
    <t>RHEL 6.2</t>
  </si>
  <si>
    <t>RHEL 6.3</t>
  </si>
  <si>
    <t>Solaris 11i</t>
  </si>
  <si>
    <t>MS SQL EE (Int)</t>
  </si>
  <si>
    <t>MS SQL SE (Int)</t>
  </si>
  <si>
    <t>MS SQL EE (Ext)</t>
  </si>
  <si>
    <t>MS SQL SE (Ext)</t>
  </si>
  <si>
    <t>Sum of MS SQL EE (Ext)</t>
  </si>
  <si>
    <t>Sum of MS SQL EE (Int)</t>
  </si>
  <si>
    <t>Sum of MS SQL SE (Ext)</t>
  </si>
  <si>
    <t>Sum of MS SQL SE (Int)</t>
  </si>
  <si>
    <t xml:space="preserve">MS SQL EE (Ext) </t>
  </si>
  <si>
    <t xml:space="preserve">MS SQL EE (Int) </t>
  </si>
  <si>
    <t xml:space="preserve">MS SQL SE (Ext) </t>
  </si>
  <si>
    <t xml:space="preserve">MS SQL SE (Int) </t>
  </si>
  <si>
    <t>MS SQL Server Ent. Edition - External</t>
  </si>
  <si>
    <t>MS SQL Server Std. Edition - Internal Use ONLY</t>
  </si>
  <si>
    <t>MS SQL Server Ent. Edition - Internal Use ONLY</t>
  </si>
  <si>
    <t>MS SQL Server Std. Edition - External</t>
  </si>
  <si>
    <t>NDM (connect:Direct) - 3 Concurrent licenses</t>
  </si>
  <si>
    <t>SAN Storage Calculation</t>
  </si>
  <si>
    <t>13.03.04</t>
  </si>
  <si>
    <t>2xLUNs for OS/Apps + 100% of RAM
(Note: this was previously 75% of RAM)</t>
  </si>
  <si>
    <t>2013 CTI Rate Card</t>
  </si>
  <si>
    <r>
      <t xml:space="preserve">1. </t>
    </r>
    <r>
      <rPr>
        <b/>
        <sz val="11"/>
        <color theme="1"/>
        <rFont val="Calibri"/>
        <family val="2"/>
        <scheme val="minor"/>
      </rPr>
      <t>Update (Product List):</t>
    </r>
    <r>
      <rPr>
        <sz val="11"/>
        <color theme="1"/>
        <rFont val="Calibri"/>
        <family val="2"/>
        <scheme val="minor"/>
      </rPr>
      <t xml:space="preserve"> Added more standard OS versions.
    </t>
    </r>
    <r>
      <rPr>
        <b/>
        <i/>
        <sz val="11"/>
        <color theme="1"/>
        <rFont val="Calibri"/>
        <family val="2"/>
        <scheme val="minor"/>
      </rPr>
      <t>Note:</t>
    </r>
    <r>
      <rPr>
        <sz val="11"/>
        <color theme="1"/>
        <rFont val="Calibri"/>
        <family val="2"/>
        <scheme val="minor"/>
      </rPr>
      <t xml:space="preserve"> As a result of this update, importing the O/S List is unchecked by default in the Import dialog box.
2. </t>
    </r>
    <r>
      <rPr>
        <b/>
        <sz val="11"/>
        <color theme="1"/>
        <rFont val="Calibri"/>
        <family val="2"/>
        <scheme val="minor"/>
      </rPr>
      <t xml:space="preserve">Bug Fix (Import-Update Software List): </t>
    </r>
    <r>
      <rPr>
        <sz val="11"/>
        <color theme="1"/>
        <rFont val="Calibri"/>
        <family val="2"/>
        <scheme val="minor"/>
      </rPr>
      <t xml:space="preserve">Convert 'IBM WMQ' to 'IBM WMQ x86' during import (if exists)
3. </t>
    </r>
    <r>
      <rPr>
        <b/>
        <sz val="11"/>
        <color theme="1"/>
        <rFont val="Calibri"/>
        <family val="2"/>
        <scheme val="minor"/>
      </rPr>
      <t>Update (Virtual env default storage type):</t>
    </r>
    <r>
      <rPr>
        <sz val="11"/>
        <color theme="1"/>
        <rFont val="Calibri"/>
        <family val="2"/>
        <scheme val="minor"/>
      </rPr>
      <t xml:space="preserve"> Can override default storage platform for virtual platforms.
4.</t>
    </r>
    <r>
      <rPr>
        <b/>
        <sz val="11"/>
        <color theme="1"/>
        <rFont val="Calibri"/>
        <family val="2"/>
        <scheme val="minor"/>
      </rPr>
      <t xml:space="preserve"> Update (Recommended SAN): </t>
    </r>
    <r>
      <rPr>
        <sz val="11"/>
        <color theme="1"/>
        <rFont val="Calibri"/>
        <family val="2"/>
        <scheme val="minor"/>
      </rPr>
      <t xml:space="preserve">Updated formula (see BoM Rules for more details)
5 </t>
    </r>
    <r>
      <rPr>
        <b/>
        <sz val="11"/>
        <color theme="1"/>
        <rFont val="Calibri"/>
        <family val="2"/>
        <scheme val="minor"/>
      </rPr>
      <t>New Products (Software):</t>
    </r>
    <r>
      <rPr>
        <sz val="11"/>
        <color theme="1"/>
        <rFont val="Calibri"/>
        <family val="2"/>
        <scheme val="minor"/>
      </rPr>
      <t xml:space="preserve"> Added </t>
    </r>
    <r>
      <rPr>
        <b/>
        <i/>
        <sz val="11"/>
        <color theme="1"/>
        <rFont val="Calibri"/>
        <family val="2"/>
        <scheme val="minor"/>
      </rPr>
      <t>MS SQL EE &amp; SE (External)</t>
    </r>
    <r>
      <rPr>
        <sz val="11"/>
        <color theme="1"/>
        <rFont val="Calibri"/>
        <family val="2"/>
        <scheme val="minor"/>
      </rPr>
      <t xml:space="preserve"> products.
    </t>
    </r>
    <r>
      <rPr>
        <b/>
        <i/>
        <sz val="11"/>
        <color theme="1"/>
        <rFont val="Calibri"/>
        <family val="2"/>
        <scheme val="minor"/>
      </rPr>
      <t>Note:</t>
    </r>
    <r>
      <rPr>
        <sz val="11"/>
        <color theme="1"/>
        <rFont val="Calibri"/>
        <family val="2"/>
        <scheme val="minor"/>
      </rPr>
      <t xml:space="preserve"> For older BoMs the Import routine will automatically convert 'MS SQL XX' to 'MS SQL XX (Int)' 
6.</t>
    </r>
    <r>
      <rPr>
        <b/>
        <sz val="11"/>
        <color theme="1"/>
        <rFont val="Calibri"/>
        <family val="2"/>
        <scheme val="minor"/>
      </rPr>
      <t xml:space="preserve"> Update (Product):</t>
    </r>
    <r>
      <rPr>
        <sz val="11"/>
        <color theme="1"/>
        <rFont val="Calibri"/>
        <family val="2"/>
        <scheme val="minor"/>
      </rPr>
      <t xml:space="preserve"> Updated rates for </t>
    </r>
    <r>
      <rPr>
        <b/>
        <i/>
        <sz val="11"/>
        <color theme="1"/>
        <rFont val="Calibri"/>
        <family val="2"/>
        <scheme val="minor"/>
      </rPr>
      <t>Sterling Connect:Direct (NDM)</t>
    </r>
    <r>
      <rPr>
        <sz val="11"/>
        <color theme="1"/>
        <rFont val="Calibri"/>
        <family val="2"/>
        <scheme val="minor"/>
      </rPr>
      <t xml:space="preserve">
7. </t>
    </r>
    <r>
      <rPr>
        <b/>
        <sz val="11"/>
        <color theme="1"/>
        <rFont val="Calibri"/>
        <family val="2"/>
        <scheme val="minor"/>
      </rPr>
      <t xml:space="preserve">Improvement (Import): </t>
    </r>
    <r>
      <rPr>
        <sz val="11"/>
        <color theme="1"/>
        <rFont val="Calibri"/>
        <family val="2"/>
        <scheme val="minor"/>
      </rPr>
      <t>Now coverts in "older" BoMs, which referenced the # of LUNs in the 'Additional SAN (GB)' as a formula, to the actual numeric value in GBs.</t>
    </r>
  </si>
  <si>
    <t>13.04.11b</t>
  </si>
  <si>
    <r>
      <rPr>
        <b/>
        <sz val="11"/>
        <color theme="1"/>
        <rFont val="Calibri"/>
        <family val="2"/>
        <scheme val="minor"/>
      </rPr>
      <t xml:space="preserve">1. Bug Fix [SAN (GB) NEEDED TODAY]: </t>
    </r>
    <r>
      <rPr>
        <sz val="11"/>
        <color theme="1"/>
        <rFont val="Calibri"/>
        <family val="2"/>
        <scheme val="minor"/>
      </rPr>
      <t xml:space="preserve"> Fixed typo in formula - did not add "Addition SAN" when no "Recommended SAN" was provided.</t>
    </r>
  </si>
  <si>
    <t>13.04.11c</t>
  </si>
  <si>
    <r>
      <rPr>
        <b/>
        <sz val="11"/>
        <color theme="1"/>
        <rFont val="Calibri"/>
        <family val="2"/>
        <scheme val="minor"/>
      </rPr>
      <t>1. Bug Fix (Views):</t>
    </r>
    <r>
      <rPr>
        <sz val="11"/>
        <color theme="1"/>
        <rFont val="Calibri"/>
        <family val="2"/>
        <scheme val="minor"/>
      </rPr>
      <t xml:space="preserve"> When attempting change the HostBuild Worksheet views while in a 'different' worksheet the code will make the HostBuild worksheet the active view.</t>
    </r>
  </si>
  <si>
    <t>13.04.18</t>
  </si>
  <si>
    <r>
      <t xml:space="preserve">1. </t>
    </r>
    <r>
      <rPr>
        <b/>
        <sz val="11"/>
        <color theme="1"/>
        <rFont val="Calibri"/>
        <family val="2"/>
        <scheme val="minor"/>
      </rPr>
      <t>Bug Fix (Storage Calculations)</t>
    </r>
    <r>
      <rPr>
        <sz val="11"/>
        <color theme="1"/>
        <rFont val="Calibri"/>
        <family val="2"/>
        <scheme val="minor"/>
      </rPr>
      <t>: Should not (and now does not) calculate "Recommended SAN/NAS" for existing servers within the BoM (ie "Yes - Inside this BoM")</t>
    </r>
  </si>
  <si>
    <t>13.04.30</t>
  </si>
  <si>
    <t>CTI Handover</t>
  </si>
  <si>
    <t>CTO Acceptance</t>
  </si>
  <si>
    <t>CTI Build Status Commentary</t>
  </si>
  <si>
    <t>CTI Complete (Y/N)</t>
  </si>
  <si>
    <t>Total Requirement</t>
  </si>
  <si>
    <t>(All)</t>
  </si>
  <si>
    <t>Operating System</t>
  </si>
  <si>
    <t>Uniqueness Factor</t>
  </si>
  <si>
    <t>Server Count</t>
  </si>
  <si>
    <t>CTI Delivered to CTO</t>
  </si>
  <si>
    <t>CTI to be delivered to CTO</t>
  </si>
  <si>
    <t>CTO Server / DBA Build Spec Completed</t>
  </si>
  <si>
    <t>CTI Cloud / Frame Built / Incremental Added</t>
  </si>
  <si>
    <t>CTI SA Build Completed</t>
  </si>
  <si>
    <t>CTI DBA Build Completed</t>
  </si>
  <si>
    <t>CTI Target Completion</t>
  </si>
  <si>
    <r>
      <t xml:space="preserve">1. </t>
    </r>
    <r>
      <rPr>
        <b/>
        <sz val="11"/>
        <color theme="1"/>
        <rFont val="Calibri"/>
        <family val="2"/>
        <scheme val="minor"/>
      </rPr>
      <t>Update (HostBuild):</t>
    </r>
    <r>
      <rPr>
        <sz val="11"/>
        <color theme="1"/>
        <rFont val="Calibri"/>
        <family val="2"/>
        <scheme val="minor"/>
      </rPr>
      <t xml:space="preserve"> Updated/added PM columns
2. </t>
    </r>
    <r>
      <rPr>
        <b/>
        <sz val="11"/>
        <color theme="1"/>
        <rFont val="Calibri"/>
        <family val="2"/>
        <scheme val="minor"/>
      </rPr>
      <t>Bug Fix (Show Sheets):</t>
    </r>
    <r>
      <rPr>
        <sz val="11"/>
        <color theme="1"/>
        <rFont val="Calibri"/>
        <family val="2"/>
        <scheme val="minor"/>
      </rPr>
      <t xml:space="preserve"> Now makes 'Parking Lot' worksheet visible</t>
    </r>
  </si>
  <si>
    <t>13.05.08</t>
  </si>
  <si>
    <t>CTO Build Spec Link</t>
  </si>
  <si>
    <r>
      <t xml:space="preserve">1. </t>
    </r>
    <r>
      <rPr>
        <b/>
        <sz val="11"/>
        <color theme="1"/>
        <rFont val="Calibri"/>
        <family val="2"/>
        <scheme val="minor"/>
      </rPr>
      <t>Update (HostBuild):</t>
    </r>
    <r>
      <rPr>
        <sz val="11"/>
        <color theme="1"/>
        <rFont val="Calibri"/>
        <family val="2"/>
        <scheme val="minor"/>
      </rPr>
      <t xml:space="preserve"> Minor updates to the PM related columns
2. </t>
    </r>
    <r>
      <rPr>
        <b/>
        <sz val="11"/>
        <color theme="1"/>
        <rFont val="Calibri"/>
        <family val="2"/>
        <scheme val="minor"/>
      </rPr>
      <t>Enhancement (SW Calc):</t>
    </r>
    <r>
      <rPr>
        <sz val="11"/>
        <color theme="1"/>
        <rFont val="Calibri"/>
        <family val="2"/>
        <scheme val="minor"/>
      </rPr>
      <t xml:space="preserve"> Slight optimization of the SW calculation process.
3. </t>
    </r>
    <r>
      <rPr>
        <b/>
        <sz val="11"/>
        <color theme="1"/>
        <rFont val="Calibri"/>
        <family val="2"/>
        <scheme val="minor"/>
      </rPr>
      <t xml:space="preserve">Bug Fix (Import - Virtual Platform (Full/Cloud): </t>
    </r>
    <r>
      <rPr>
        <sz val="11"/>
        <color theme="1"/>
        <rFont val="Calibri"/>
        <family val="2"/>
        <scheme val="minor"/>
      </rPr>
      <t xml:space="preserve">Fixed import of this column.
</t>
    </r>
    <r>
      <rPr>
        <b/>
        <sz val="11"/>
        <color theme="1"/>
        <rFont val="Calibri"/>
        <family val="2"/>
        <scheme val="minor"/>
      </rPr>
      <t>Note:</t>
    </r>
    <r>
      <rPr>
        <sz val="11"/>
        <color theme="1"/>
        <rFont val="Calibri"/>
        <family val="2"/>
        <scheme val="minor"/>
      </rPr>
      <t xml:space="preserve"> This will </t>
    </r>
    <r>
      <rPr>
        <b/>
        <sz val="11"/>
        <color theme="1"/>
        <rFont val="Calibri"/>
        <family val="2"/>
        <scheme val="minor"/>
      </rPr>
      <t>not</t>
    </r>
    <r>
      <rPr>
        <sz val="11"/>
        <color theme="1"/>
        <rFont val="Calibri"/>
        <family val="2"/>
        <scheme val="minor"/>
      </rPr>
      <t xml:space="preserve"> replace overridden values with formula</t>
    </r>
  </si>
  <si>
    <t>Windows Srvr 2008 Std</t>
  </si>
  <si>
    <t>Windows Srvr 2008 Ent</t>
  </si>
  <si>
    <t>Windows Srvr 2008 R2 Std</t>
  </si>
  <si>
    <t>Windows Srvr 2008 R2 Ent</t>
  </si>
  <si>
    <t>13.05.28</t>
  </si>
  <si>
    <r>
      <t>1.</t>
    </r>
    <r>
      <rPr>
        <b/>
        <sz val="11"/>
        <color theme="1"/>
        <rFont val="Calibri"/>
        <family val="2"/>
        <scheme val="minor"/>
      </rPr>
      <t xml:space="preserve"> Update (O/S) </t>
    </r>
    <r>
      <rPr>
        <sz val="11"/>
        <color theme="1"/>
        <rFont val="Calibri"/>
        <family val="2"/>
        <scheme val="minor"/>
      </rPr>
      <t xml:space="preserve">- Consistent with CTI terminology; dropped Windows Server 2003 - EOL
2. </t>
    </r>
    <r>
      <rPr>
        <b/>
        <sz val="11"/>
        <color theme="1"/>
        <rFont val="Calibri"/>
        <family val="2"/>
        <scheme val="minor"/>
      </rPr>
      <t>Update (VMware cores)</t>
    </r>
    <r>
      <rPr>
        <sz val="11"/>
        <color theme="1"/>
        <rFont val="Calibri"/>
        <family val="2"/>
        <scheme val="minor"/>
      </rPr>
      <t xml:space="preserve"> - Now does present error highlight if only 1 CPU/1 Core; normally # of cores should be 1/2 the number of CPUs for VMware.
3. </t>
    </r>
    <r>
      <rPr>
        <b/>
        <sz val="11"/>
        <color theme="1"/>
        <rFont val="Calibri"/>
        <family val="2"/>
        <scheme val="minor"/>
      </rPr>
      <t>Update (RAM (GB))</t>
    </r>
    <r>
      <rPr>
        <sz val="11"/>
        <color theme="1"/>
        <rFont val="Calibri"/>
        <family val="2"/>
        <scheme val="minor"/>
      </rPr>
      <t xml:space="preserve"> - Now presents error highlights if amount of requested RAM is less than what's recommended. </t>
    </r>
    <r>
      <rPr>
        <b/>
        <sz val="11"/>
        <color theme="1"/>
        <rFont val="Calibri"/>
        <family val="2"/>
        <scheme val="minor"/>
      </rPr>
      <t>Note:</t>
    </r>
    <r>
      <rPr>
        <sz val="11"/>
        <color theme="1"/>
        <rFont val="Calibri"/>
        <family val="2"/>
        <scheme val="minor"/>
      </rPr>
      <t xml:space="preserve"> This will take into account any Exising RAM (if provided).
4. </t>
    </r>
    <r>
      <rPr>
        <b/>
        <sz val="11"/>
        <color theme="1"/>
        <rFont val="Calibri"/>
        <family val="2"/>
        <scheme val="minor"/>
      </rPr>
      <t>Update (HostBuild)</t>
    </r>
    <r>
      <rPr>
        <sz val="11"/>
        <color theme="1"/>
        <rFont val="Calibri"/>
        <family val="2"/>
        <scheme val="minor"/>
      </rPr>
      <t xml:space="preserve"> -  Removed # of DB columns as this should not be a part of the BoM.</t>
    </r>
  </si>
  <si>
    <t>VMware DevCloud (Small)</t>
  </si>
  <si>
    <t>VMware DevCloud (Large)</t>
  </si>
  <si>
    <t>VMware GPC</t>
  </si>
  <si>
    <t>VMware LVM</t>
  </si>
  <si>
    <t>Virtual Platform Storage Type</t>
  </si>
  <si>
    <t>VMware Types</t>
  </si>
  <si>
    <t>AIX 6.3</t>
  </si>
  <si>
    <t>13.06.07</t>
  </si>
  <si>
    <t>VMware CTU</t>
  </si>
  <si>
    <t>HP ProLiant BL685c G7</t>
  </si>
  <si>
    <t>BL620C G8</t>
  </si>
  <si>
    <t>Compaq Proliant DL380 - G8</t>
  </si>
  <si>
    <t>Compaq Proliant DL385 - G8</t>
  </si>
  <si>
    <t>HP ProLiant BL465c - G8</t>
  </si>
  <si>
    <t>HP ProLiant BL620C G8</t>
  </si>
  <si>
    <t>HP ProLiant BL685c G8</t>
  </si>
  <si>
    <t>HP Proliant DL980 - G8</t>
  </si>
  <si>
    <t>IBM x3650 M4</t>
  </si>
  <si>
    <t>13.06.20</t>
  </si>
  <si>
    <t>Cluster Type</t>
  </si>
  <si>
    <t>Total Server Costs
[After Year1]
HW+SW
[Monthly]</t>
  </si>
  <si>
    <t>David Ellens / Scott Bailey</t>
  </si>
  <si>
    <t>VMware Import Rules</t>
  </si>
  <si>
    <t>During the Import process any Server Models defined as 'VMware' will be converted using the following "Best Fit" priority rules:
1.) VMware GPC
2.) VMware LVM
3.) VMware CTU</t>
  </si>
  <si>
    <r>
      <t xml:space="preserve">1. </t>
    </r>
    <r>
      <rPr>
        <b/>
        <sz val="11"/>
        <color theme="1"/>
        <rFont val="Calibri"/>
        <family val="2"/>
        <scheme val="minor"/>
      </rPr>
      <t xml:space="preserve">Enhancement (VMware): </t>
    </r>
    <r>
      <rPr>
        <sz val="11"/>
        <color theme="1"/>
        <rFont val="Calibri"/>
        <family val="2"/>
        <scheme val="minor"/>
      </rPr>
      <t xml:space="preserve">Revamped VMware platform options.
2. </t>
    </r>
    <r>
      <rPr>
        <b/>
        <sz val="11"/>
        <color theme="1"/>
        <rFont val="Calibri"/>
        <family val="2"/>
        <scheme val="minor"/>
      </rPr>
      <t>Update (HostBuild):</t>
    </r>
    <r>
      <rPr>
        <sz val="11"/>
        <color theme="1"/>
        <rFont val="Calibri"/>
        <family val="2"/>
        <scheme val="minor"/>
      </rPr>
      <t xml:space="preserve"> Added </t>
    </r>
    <r>
      <rPr>
        <b/>
        <sz val="11"/>
        <color theme="1"/>
        <rFont val="Calibri"/>
        <family val="2"/>
        <scheme val="minor"/>
      </rPr>
      <t>new CTI column: Aperture</t>
    </r>
    <r>
      <rPr>
        <sz val="11"/>
        <color theme="1"/>
        <rFont val="Calibri"/>
        <family val="2"/>
        <scheme val="minor"/>
      </rPr>
      <t xml:space="preserve"> - </t>
    </r>
    <r>
      <rPr>
        <i/>
        <sz val="11"/>
        <color theme="1"/>
        <rFont val="Calibri"/>
        <family val="2"/>
        <scheme val="minor"/>
      </rPr>
      <t xml:space="preserve">for informational use only
</t>
    </r>
    <r>
      <rPr>
        <sz val="11"/>
        <color theme="1"/>
        <rFont val="Calibri"/>
        <family val="2"/>
        <scheme val="minor"/>
      </rPr>
      <t xml:space="preserve">3. </t>
    </r>
    <r>
      <rPr>
        <b/>
        <sz val="11"/>
        <color theme="1"/>
        <rFont val="Calibri"/>
        <family val="2"/>
        <scheme val="minor"/>
      </rPr>
      <t>Update (HostBuild):</t>
    </r>
    <r>
      <rPr>
        <sz val="11"/>
        <color theme="1"/>
        <rFont val="Calibri"/>
        <family val="2"/>
        <scheme val="minor"/>
      </rPr>
      <t xml:space="preserve"> Updated O/S to include standardized reference to all of the Windows Server 2008 versions.</t>
    </r>
  </si>
  <si>
    <t>Aperture</t>
  </si>
  <si>
    <t>13.06.25</t>
  </si>
  <si>
    <r>
      <t xml:space="preserve">1. </t>
    </r>
    <r>
      <rPr>
        <b/>
        <sz val="11"/>
        <color theme="1"/>
        <rFont val="Calibri"/>
        <family val="2"/>
        <scheme val="minor"/>
      </rPr>
      <t>Improvement (Import):</t>
    </r>
    <r>
      <rPr>
        <sz val="11"/>
        <color theme="1"/>
        <rFont val="Calibri"/>
        <family val="2"/>
        <scheme val="minor"/>
      </rPr>
      <t xml:space="preserve"> Improved conversion handling of 'Virtual Platform Storage Type'</t>
    </r>
  </si>
  <si>
    <r>
      <t xml:space="preserve">1. </t>
    </r>
    <r>
      <rPr>
        <b/>
        <sz val="11"/>
        <color theme="1"/>
        <rFont val="Calibri"/>
        <family val="2"/>
        <scheme val="minor"/>
      </rPr>
      <t>Update (Import):</t>
    </r>
    <r>
      <rPr>
        <sz val="11"/>
        <color theme="1"/>
        <rFont val="Calibri"/>
        <family val="2"/>
        <scheme val="minor"/>
      </rPr>
      <t xml:space="preserve"> Import converts 'VMware'  to new standard VMware Platform as detailed in the BoM Standard Rules
2. </t>
    </r>
    <r>
      <rPr>
        <b/>
        <sz val="11"/>
        <color theme="1"/>
        <rFont val="Calibri"/>
        <family val="2"/>
        <scheme val="minor"/>
      </rPr>
      <t>Bug Fix (Import):</t>
    </r>
    <r>
      <rPr>
        <sz val="11"/>
        <color theme="1"/>
        <rFont val="Calibri"/>
        <family val="2"/>
        <scheme val="minor"/>
      </rPr>
      <t xml:space="preserve"> Previously when importing Custom Worksheets with Pivot Tables, external links to the </t>
    </r>
    <r>
      <rPr>
        <i/>
        <sz val="11"/>
        <color theme="1"/>
        <rFont val="Calibri"/>
        <family val="2"/>
        <scheme val="minor"/>
      </rPr>
      <t xml:space="preserve">source </t>
    </r>
    <r>
      <rPr>
        <sz val="11"/>
        <color theme="1"/>
        <rFont val="Calibri"/>
        <family val="2"/>
        <scheme val="minor"/>
      </rPr>
      <t xml:space="preserve">BoM table was maintained.  Now, Import breaks link and references local tables.
3. </t>
    </r>
    <r>
      <rPr>
        <b/>
        <sz val="11"/>
        <color theme="1"/>
        <rFont val="Calibri"/>
        <family val="2"/>
        <scheme val="minor"/>
      </rPr>
      <t>Price Update (CA APM):</t>
    </r>
    <r>
      <rPr>
        <sz val="11"/>
        <color theme="1"/>
        <rFont val="Calibri"/>
        <family val="2"/>
        <scheme val="minor"/>
      </rPr>
      <t xml:space="preserve"> CA APM costs are included in current Citi Enterprise-Wide ELA until 2017.  CA APM is costs are now zero.
4. </t>
    </r>
    <r>
      <rPr>
        <b/>
        <sz val="11"/>
        <color theme="1"/>
        <rFont val="Calibri"/>
        <family val="2"/>
        <scheme val="minor"/>
      </rPr>
      <t>Update (Hostbuild):</t>
    </r>
    <r>
      <rPr>
        <sz val="11"/>
        <color theme="1"/>
        <rFont val="Calibri"/>
        <family val="2"/>
        <scheme val="minor"/>
      </rPr>
      <t xml:space="preserve"> Added HP ProLiant G8 servers to Server Model list.
5. </t>
    </r>
    <r>
      <rPr>
        <b/>
        <sz val="11"/>
        <color theme="1"/>
        <rFont val="Calibri"/>
        <family val="2"/>
        <scheme val="minor"/>
      </rPr>
      <t>Update (HostBuild):</t>
    </r>
    <r>
      <rPr>
        <sz val="11"/>
        <color theme="1"/>
        <rFont val="Calibri"/>
        <family val="2"/>
        <scheme val="minor"/>
      </rPr>
      <t xml:space="preserve"> Added </t>
    </r>
    <r>
      <rPr>
        <b/>
        <sz val="11"/>
        <color theme="1"/>
        <rFont val="Calibri"/>
        <family val="2"/>
        <scheme val="minor"/>
      </rPr>
      <t>new column 'Cluster Type'</t>
    </r>
    <r>
      <rPr>
        <sz val="11"/>
        <color theme="1"/>
        <rFont val="Calibri"/>
        <family val="2"/>
        <scheme val="minor"/>
      </rPr>
      <t xml:space="preserve"> - indicates Cluster Node Type: Hot or Standby
6. </t>
    </r>
    <r>
      <rPr>
        <b/>
        <sz val="11"/>
        <color theme="1"/>
        <rFont val="Calibri"/>
        <family val="2"/>
        <scheme val="minor"/>
      </rPr>
      <t>Enhancement (HostBuild):</t>
    </r>
    <r>
      <rPr>
        <sz val="11"/>
        <color theme="1"/>
        <rFont val="Calibri"/>
        <family val="2"/>
        <scheme val="minor"/>
      </rPr>
      <t xml:space="preserve"> RAM (GB) column now highlights server entries where RAM is less than the Recommended RAM.
7. </t>
    </r>
    <r>
      <rPr>
        <b/>
        <sz val="11"/>
        <color theme="1"/>
        <rFont val="Calibri"/>
        <family val="2"/>
        <scheme val="minor"/>
      </rPr>
      <t>Enhancement (Import):</t>
    </r>
    <r>
      <rPr>
        <sz val="11"/>
        <color theme="1"/>
        <rFont val="Calibri"/>
        <family val="2"/>
        <scheme val="minor"/>
      </rPr>
      <t xml:space="preserve"> Adjusted number of rows in Select Import Column screen and Select Custom Environment to Import.</t>
    </r>
  </si>
  <si>
    <t>13.06.28</t>
  </si>
  <si>
    <r>
      <t>1.</t>
    </r>
    <r>
      <rPr>
        <b/>
        <sz val="11"/>
        <color theme="1"/>
        <rFont val="Calibri"/>
        <family val="2"/>
        <scheme val="minor"/>
      </rPr>
      <t xml:space="preserve"> Bug Fix </t>
    </r>
    <r>
      <rPr>
        <sz val="11"/>
        <color theme="1"/>
        <rFont val="Calibri"/>
        <family val="2"/>
        <scheme val="minor"/>
      </rPr>
      <t>(BoM Tools Menu) - Now automatically repositions the BoM Tools Menu for smaller screens where the menu may be outside the screen's perimeter.</t>
    </r>
  </si>
  <si>
    <t>BL620C</t>
  </si>
  <si>
    <t>13.06.28a</t>
  </si>
  <si>
    <t>Compaq Proliant DL380</t>
  </si>
  <si>
    <t>HP ProLiant BL620C</t>
  </si>
  <si>
    <t>HP Proliant DL980</t>
  </si>
  <si>
    <t>HP ProLiant BL465c</t>
  </si>
  <si>
    <r>
      <t xml:space="preserve">1. </t>
    </r>
    <r>
      <rPr>
        <b/>
        <sz val="11"/>
        <color theme="1"/>
        <rFont val="Calibri"/>
        <family val="2"/>
        <scheme val="minor"/>
      </rPr>
      <t xml:space="preserve">Bug Fix (HostBuild): </t>
    </r>
    <r>
      <rPr>
        <sz val="11"/>
        <color theme="1"/>
        <rFont val="Calibri"/>
        <family val="2"/>
        <scheme val="minor"/>
      </rPr>
      <t xml:space="preserve">Correction in memory cost formula
2. </t>
    </r>
    <r>
      <rPr>
        <b/>
        <sz val="11"/>
        <color theme="1"/>
        <rFont val="Calibri"/>
        <family val="2"/>
        <scheme val="minor"/>
      </rPr>
      <t xml:space="preserve">Bug Fix (Import): </t>
    </r>
    <r>
      <rPr>
        <sz val="11"/>
        <color theme="1"/>
        <rFont val="Calibri"/>
        <family val="2"/>
        <scheme val="minor"/>
      </rPr>
      <t>Added plain server names back to Reference list (was converted to G7/G8) - needed for backward compatibility.</t>
    </r>
  </si>
  <si>
    <t>13.06.28b</t>
  </si>
  <si>
    <r>
      <t>1.</t>
    </r>
    <r>
      <rPr>
        <b/>
        <sz val="11"/>
        <color theme="1"/>
        <rFont val="Calibri"/>
        <family val="2"/>
        <scheme val="minor"/>
      </rPr>
      <t xml:space="preserve"> Bug Fix (HostBuild):</t>
    </r>
    <r>
      <rPr>
        <sz val="11"/>
        <color theme="1"/>
        <rFont val="Calibri"/>
        <family val="2"/>
        <scheme val="minor"/>
      </rPr>
      <t xml:space="preserve"> Fixed both 'Recommended SAN' &amp; 'Recommended NAS' columns.
2. </t>
    </r>
    <r>
      <rPr>
        <b/>
        <sz val="11"/>
        <color theme="1"/>
        <rFont val="Calibri"/>
        <family val="2"/>
        <scheme val="minor"/>
      </rPr>
      <t>Bug Fix (HostBuild):</t>
    </r>
    <r>
      <rPr>
        <sz val="11"/>
        <color theme="1"/>
        <rFont val="Calibri"/>
        <family val="2"/>
        <scheme val="minor"/>
      </rPr>
      <t xml:space="preserve"> Corrected conditional formatting based on new VMware Platform types.</t>
    </r>
  </si>
  <si>
    <t>Cluster Types</t>
  </si>
  <si>
    <t>NLB</t>
  </si>
  <si>
    <t>WLB</t>
  </si>
  <si>
    <t>VCS</t>
  </si>
  <si>
    <t>HAC</t>
  </si>
  <si>
    <t>RAC</t>
  </si>
  <si>
    <t>Cluster Mode</t>
  </si>
  <si>
    <t>13.08.08</t>
  </si>
  <si>
    <r>
      <t xml:space="preserve">1. </t>
    </r>
    <r>
      <rPr>
        <b/>
        <sz val="11"/>
        <color theme="1"/>
        <rFont val="Calibri"/>
        <family val="2"/>
        <scheme val="minor"/>
      </rPr>
      <t>Update (HostBuild):</t>
    </r>
    <r>
      <rPr>
        <sz val="11"/>
        <color theme="1"/>
        <rFont val="Calibri"/>
        <family val="2"/>
        <scheme val="minor"/>
      </rPr>
      <t xml:space="preserve"> Redefined 'Cluster Type' column, moving existing (Hot/Standby) data to new 'Cluster Mode' Column.
2. </t>
    </r>
    <r>
      <rPr>
        <b/>
        <sz val="11"/>
        <color theme="1"/>
        <rFont val="Calibri"/>
        <family val="2"/>
        <scheme val="minor"/>
      </rPr>
      <t>Enhancement (Import):</t>
    </r>
    <r>
      <rPr>
        <sz val="11"/>
        <color theme="1"/>
        <rFont val="Calibri"/>
        <family val="2"/>
        <scheme val="minor"/>
      </rPr>
      <t xml:space="preserve"> Now can bypass the SW cost recalculation inside the Import BoM Dialog Box.  This will bypass the SW recalculations at the end of the import.  This feature is useful when executing multiple imports at one time.  However, must run the SW recalculation for the last import otherwise the SW Costs will not be complete and accurate.
3. </t>
    </r>
    <r>
      <rPr>
        <b/>
        <sz val="11"/>
        <color theme="1"/>
        <rFont val="Calibri"/>
        <family val="2"/>
        <scheme val="minor"/>
      </rPr>
      <t>Update (HostBuild):</t>
    </r>
    <r>
      <rPr>
        <sz val="11"/>
        <color theme="1"/>
        <rFont val="Calibri"/>
        <family val="2"/>
        <scheme val="minor"/>
      </rPr>
      <t xml:space="preserve"> Calculated column 'Archive Full (GB)' now includes SAN Shared (GB) storage.</t>
    </r>
  </si>
  <si>
    <t>13.09.23</t>
  </si>
  <si>
    <r>
      <t xml:space="preserve">1.  </t>
    </r>
    <r>
      <rPr>
        <b/>
        <sz val="11"/>
        <color theme="1"/>
        <rFont val="Calibri"/>
        <family val="2"/>
        <scheme val="minor"/>
      </rPr>
      <t>Enhancements (HostBuild)</t>
    </r>
    <r>
      <rPr>
        <sz val="11"/>
        <color theme="1"/>
        <rFont val="Calibri"/>
        <family val="2"/>
        <scheme val="minor"/>
      </rPr>
      <t>: BoM now handles negative CPU, RAM, and storage for reduction or decommissioning of servers.</t>
    </r>
  </si>
  <si>
    <r>
      <t xml:space="preserve">1. </t>
    </r>
    <r>
      <rPr>
        <b/>
        <sz val="11"/>
        <color theme="1"/>
        <rFont val="Calibri"/>
        <family val="2"/>
        <scheme val="minor"/>
      </rPr>
      <t>Enhancement (HostBuild):</t>
    </r>
    <r>
      <rPr>
        <sz val="11"/>
        <color theme="1"/>
        <rFont val="Calibri"/>
        <family val="2"/>
        <scheme val="minor"/>
      </rPr>
      <t xml:space="preserve"> Added 'Decommission' column [Next step: Decommission specific pivot tables]</t>
    </r>
  </si>
  <si>
    <t>Decommission</t>
  </si>
  <si>
    <t>13.10.01</t>
  </si>
  <si>
    <t>2014 CTI Rate Card</t>
  </si>
  <si>
    <t>2014 SOID</t>
  </si>
  <si>
    <t>2014 Product Name</t>
  </si>
  <si>
    <t>2014 SOID Name (APS)</t>
  </si>
  <si>
    <t>2014 Driver</t>
  </si>
  <si>
    <t xml:space="preserve">SOID Currency </t>
  </si>
  <si>
    <t>2013 Rate 
(USD)</t>
  </si>
  <si>
    <t>2013 Adjusted Rate (USD)</t>
  </si>
  <si>
    <t>2014 Rate 
(Local Currency)</t>
  </si>
  <si>
    <t>2014 Rate 
(USD)</t>
  </si>
  <si>
    <t>Service Provider Region</t>
  </si>
  <si>
    <t>Service Provider Country</t>
  </si>
  <si>
    <t>2014 Prod Cat 1</t>
  </si>
  <si>
    <t>2014 Prod Cat 2</t>
  </si>
  <si>
    <t>2014 Prod Cat 3</t>
  </si>
  <si>
    <t>2014 Prod Cat 4</t>
  </si>
  <si>
    <t>089 LLAMADA RED INTERNA INTERNACIONAL</t>
  </si>
  <si>
    <t>Minute</t>
  </si>
  <si>
    <t>MXN</t>
  </si>
  <si>
    <t>-</t>
  </si>
  <si>
    <t>Mexico</t>
  </si>
  <si>
    <t>Voice &amp; Conferencing</t>
  </si>
  <si>
    <t>LLAMADA RED INTERNA INTERNACIONAL</t>
  </si>
  <si>
    <t>089 LLAMADA RED INTERNA INTERNACIONAL_Filial</t>
  </si>
  <si>
    <t>1-800 Service</t>
  </si>
  <si>
    <t>1-800 Service_Filial</t>
  </si>
  <si>
    <t>ADMINISTRACION DE VERSIONES</t>
  </si>
  <si>
    <t>Access</t>
  </si>
  <si>
    <t>Application Hosting</t>
  </si>
  <si>
    <t>ADMON PBX CREDITO FAMILIAR</t>
  </si>
  <si>
    <t>C. F. ADMON PBX CREDITO FAMILIAR</t>
  </si>
  <si>
    <t>C. F. ADMON PBX CREDITO FAMILIAR_Filial</t>
  </si>
  <si>
    <t>ALOJAMIENTO DE SERVIDOR</t>
  </si>
  <si>
    <t>ALOJAMIENTO DE SERVIDOR B</t>
  </si>
  <si>
    <t>Server</t>
  </si>
  <si>
    <t>ALOJAMIENTO DE SERVIDOR PLATA A</t>
  </si>
  <si>
    <t>Application Hosting - Other - Dedicated</t>
  </si>
  <si>
    <t>Application Hosting - Other - Dedicated - China DC_InCountry</t>
  </si>
  <si>
    <t>USD</t>
  </si>
  <si>
    <t>Asia</t>
  </si>
  <si>
    <t>DC Dedicated - China DC</t>
  </si>
  <si>
    <t>Application Hosting - Other - Dedicated_InCountry</t>
  </si>
  <si>
    <t>Country (Shared)</t>
  </si>
  <si>
    <t>DC Dedicated</t>
  </si>
  <si>
    <t>Application Hosting - Other - Dedicated - Unix InCountry</t>
  </si>
  <si>
    <t>DC Dedicated - Unix</t>
  </si>
  <si>
    <t>Application Hosting - Other - Dedicated - Wintel InCountry</t>
  </si>
  <si>
    <t>DC Dedicated - Wintel</t>
  </si>
  <si>
    <t>Application Hosting - Other - Dedicated - STI InCountry</t>
  </si>
  <si>
    <t>DC Dedicated - STI</t>
  </si>
  <si>
    <t>Application Hosting - Other - Dedicated - AIX InCountry</t>
  </si>
  <si>
    <t>DC Dedicated - AIX</t>
  </si>
  <si>
    <t>Application Hosting - Other - Dedicated - Vmware InCountry</t>
  </si>
  <si>
    <t>DC Dedicated - VMware</t>
  </si>
  <si>
    <t>Application Hosting - Other - Dedicated - Backup InCountry</t>
  </si>
  <si>
    <t>DC Dedicated - Backup</t>
  </si>
  <si>
    <t>Application Hosting - Other - Dedicated - India InCountry</t>
  </si>
  <si>
    <t>DC Dedicated - India DC</t>
  </si>
  <si>
    <t>Application Hosting - Other - Dedicated - India MRDC InCountry</t>
  </si>
  <si>
    <t>DC Dedicated - MRDC</t>
  </si>
  <si>
    <t>Application Hosting - Other - Dedicated_JP</t>
  </si>
  <si>
    <t>JPY</t>
  </si>
  <si>
    <t>Japan</t>
  </si>
  <si>
    <t>Dedicated Charges</t>
  </si>
  <si>
    <t>Application Hosting - Other - Dedicated_JP CSJ</t>
  </si>
  <si>
    <t>Application Hosting - Other - Dedicated - Poland DC</t>
  </si>
  <si>
    <t>PLN</t>
  </si>
  <si>
    <t>Poland Data Center</t>
  </si>
  <si>
    <t>Application Hosting - Other - Dedicated - Distributed</t>
  </si>
  <si>
    <t>Regional</t>
  </si>
  <si>
    <t>DC Dedicated - Distributed</t>
  </si>
  <si>
    <t>Application Hosting - Other - Dedicated - HP Unix</t>
  </si>
  <si>
    <t>DC Dedicated - HP Unix</t>
  </si>
  <si>
    <t>Application Hosting - Other - Dedicated - Wintel x86</t>
  </si>
  <si>
    <t>DC Dedicated - Wintel x86</t>
  </si>
  <si>
    <t>Application Hosting - Other - Dedicated - P-Series</t>
  </si>
  <si>
    <t>DC Dedicated - P-Series</t>
  </si>
  <si>
    <t>Application Hosting - Other - Dedicated - Sun/Solaris</t>
  </si>
  <si>
    <t>DC Dedicated - Sun/Solaris</t>
  </si>
  <si>
    <t>Application Hosting - Other - Dedicated - HP VMS</t>
  </si>
  <si>
    <t>DC Dedicated - HP VMS</t>
  </si>
  <si>
    <t>Application Hosting - Other - Dedicated - China DC</t>
  </si>
  <si>
    <t>DC Dedicated - Other</t>
  </si>
  <si>
    <t>Application Hosting - Other - Dedicated_Regional</t>
  </si>
  <si>
    <t>Application Hosting - Other - Dedicated - Zurich DC</t>
  </si>
  <si>
    <t>Zurich Data Center</t>
  </si>
  <si>
    <t xml:space="preserve">Application Hosting - Other - Dedicated - CSC Poland DC Support </t>
  </si>
  <si>
    <t>Application Hosting - Other - Dedicated - Local Data Center</t>
  </si>
  <si>
    <t>GBP</t>
  </si>
  <si>
    <t>Local Data Centre</t>
  </si>
  <si>
    <t>Application Hosting - Other - Dedicated - Rainbow</t>
  </si>
  <si>
    <t>Rainbow</t>
  </si>
  <si>
    <t>Application Hosting - Other - Filenet</t>
  </si>
  <si>
    <t>Filenet</t>
  </si>
  <si>
    <t>Application Hosting - Other - Kofax</t>
  </si>
  <si>
    <t>Application Hosting - Other - Kofax_UK</t>
  </si>
  <si>
    <t>Kofax</t>
  </si>
  <si>
    <t>Application Hosting - Other - Legal Record Administrative Fee</t>
  </si>
  <si>
    <t>Application Hosting - Other - Legal Record Media</t>
  </si>
  <si>
    <t>GB</t>
  </si>
  <si>
    <t>Legal Record Media</t>
  </si>
  <si>
    <t>Application Hosting - Other - True Up</t>
  </si>
  <si>
    <t>Other Data Center</t>
  </si>
  <si>
    <t>True Up</t>
  </si>
  <si>
    <t>DC Dedicated - True Up</t>
  </si>
  <si>
    <t>Application Service - Application Monitoring - Web Trends</t>
  </si>
  <si>
    <t>Web/App Platform Services</t>
  </si>
  <si>
    <t>Application Monitoring</t>
  </si>
  <si>
    <t>Web Trends</t>
  </si>
  <si>
    <t>Application Service - Application Monitoring - Wiley</t>
  </si>
  <si>
    <t>Wiley</t>
  </si>
  <si>
    <t>Application Service - Application Monitoring - Wiley_CN</t>
  </si>
  <si>
    <t>Application Service - Base Run &amp; Maintenance Support</t>
  </si>
  <si>
    <t>Base Run &amp; Maintenance Support</t>
  </si>
  <si>
    <t>Application Service - Business Intelligence - Business Objects</t>
  </si>
  <si>
    <t>Business Intelligence</t>
  </si>
  <si>
    <t>Application Service - Custom Business Specific Software</t>
  </si>
  <si>
    <t>Software</t>
  </si>
  <si>
    <t>Business Specific Software</t>
  </si>
  <si>
    <t>Application Service - Custom Middleware - Tier 2</t>
  </si>
  <si>
    <t>Middleware</t>
  </si>
  <si>
    <t>Middleware - Tier 2</t>
  </si>
  <si>
    <t>Application Service - Custom Middleware - Tier 3</t>
  </si>
  <si>
    <t>Middleware - Tier 3</t>
  </si>
  <si>
    <t>Application Service - Custom Middleware - Tier 3_CN</t>
  </si>
  <si>
    <t>Custom</t>
  </si>
  <si>
    <t>Application Service - Custom Web Application Server - Sun One Webserver</t>
  </si>
  <si>
    <t>Custom Web Application Server</t>
  </si>
  <si>
    <t>Sun One Webserver</t>
  </si>
  <si>
    <t>Application Service - Custom Web Application Server - Sun One Webserver_CN</t>
  </si>
  <si>
    <t>Application Service - Custom Web Application Server - WAS ND</t>
  </si>
  <si>
    <t>WAS ND</t>
  </si>
  <si>
    <t>Application Service - Custom Web Application Server - WAS ND_CN</t>
  </si>
  <si>
    <t>Application Service - Custom Web Application Server - Weblogic</t>
  </si>
  <si>
    <t>Weblogic</t>
  </si>
  <si>
    <t>Application Service - Custom Web Application Server - Websphere</t>
  </si>
  <si>
    <t>Websphere</t>
  </si>
  <si>
    <t>Application Service - Custom Web Application Server - Websphere_CN</t>
  </si>
  <si>
    <t>Application Service - Data ETL - Abinitio</t>
  </si>
  <si>
    <t>Data ETL</t>
  </si>
  <si>
    <t>Abinitio</t>
  </si>
  <si>
    <t>Application Service - Data ETL - Abinitio_CN</t>
  </si>
  <si>
    <t>Application Service - File Transfer - Connect Direct:NDM</t>
  </si>
  <si>
    <t>Application Service - File Transfer - Connect Direct:NDM Instance</t>
  </si>
  <si>
    <t>Connect Direct:NDM</t>
  </si>
  <si>
    <t>Application Service - File Transfer - Connect Direct:NDM Instance_JP</t>
  </si>
  <si>
    <t>Application Service - File Transfer - Connect Direct:NDM Instance_CN</t>
  </si>
  <si>
    <t>Application Service - File Transfer - Connect Direct:NDM Instance_JP CSJ</t>
  </si>
  <si>
    <t>Application Service - Lotus Notes</t>
  </si>
  <si>
    <t>Lotus Notes</t>
  </si>
  <si>
    <t>Application Service - Premium Run &amp; Maintenance Support</t>
  </si>
  <si>
    <t>Hour</t>
  </si>
  <si>
    <t>Premium Run &amp; Maintenance Support</t>
  </si>
  <si>
    <t>Application Service - Rack Space</t>
  </si>
  <si>
    <t>Rack Unit</t>
  </si>
  <si>
    <t>Server - Rack Space</t>
  </si>
  <si>
    <t>Application Service - Rack Space_JP</t>
  </si>
  <si>
    <t>Application Service - Rack Space_JP CSJ</t>
  </si>
  <si>
    <t>Application Service - Rack Space_CN</t>
  </si>
  <si>
    <t>Application Service - Rack Space_KR</t>
  </si>
  <si>
    <t>Application Service - Software EOL Charge (&gt;=4th Year)</t>
  </si>
  <si>
    <t xml:space="preserve">EOL </t>
  </si>
  <si>
    <t>Software EOL Charge (&gt;=4th Year)</t>
  </si>
  <si>
    <t>Application Service - Software EOL Charge (1st Year)</t>
  </si>
  <si>
    <t>Software EOL Charge (1st Year)</t>
  </si>
  <si>
    <t>Application Service - Software EOL Charge (1st Year)_CA</t>
  </si>
  <si>
    <t>CAD</t>
  </si>
  <si>
    <t>Canada</t>
  </si>
  <si>
    <t>Application Service - Software EOL Charge (2nd Year)</t>
  </si>
  <si>
    <t>Software EOL Charge (2nd Year)</t>
  </si>
  <si>
    <t>Application Service - Software EOL Charge (3rd Year)</t>
  </si>
  <si>
    <t>Software EOL Charge (3rd Year)</t>
  </si>
  <si>
    <t>Application Service - Standard Messaging - MQ</t>
  </si>
  <si>
    <t>Standard Messaging</t>
  </si>
  <si>
    <t>Application Service - Standard Messaging - MQ_CN</t>
  </si>
  <si>
    <t>Application Service - Standard Messaging - TIBCO</t>
  </si>
  <si>
    <t>Application Service - Standard Web Application Server</t>
  </si>
  <si>
    <t>Standard Web Application Server</t>
  </si>
  <si>
    <t>Application Service - Standard Web Application Server_JP</t>
  </si>
  <si>
    <t>Application Service - Standard Web Application Server_JP CSJ</t>
  </si>
  <si>
    <t>Application Service - Standard Web Application Server - Weblogic</t>
  </si>
  <si>
    <t>Application Service - Standard Web Server</t>
  </si>
  <si>
    <t>Standard Web Server</t>
  </si>
  <si>
    <t>Application Service - Standard Web Server_JP</t>
  </si>
  <si>
    <t>Application Service - Standard Web Server_JP CSJ</t>
  </si>
  <si>
    <t>Application Service - Vulnerability Threat Assessment</t>
  </si>
  <si>
    <t>Vulnerability Threat Assessment</t>
  </si>
  <si>
    <t>ATM RED CONEXION LAN</t>
  </si>
  <si>
    <t>ATMs</t>
  </si>
  <si>
    <t>Other Network</t>
  </si>
  <si>
    <t>Local Product</t>
  </si>
  <si>
    <t>ATM RED CONEXION LAN Filial</t>
  </si>
  <si>
    <t>Audio Conferencing</t>
  </si>
  <si>
    <t>AUDIOCONFERENCIA AVANTEL</t>
  </si>
  <si>
    <t>C. D. AUDIOCONFERENCIA AVANTEL</t>
  </si>
  <si>
    <t>AUDIOCONFERENCIA AVANTEL Filial</t>
  </si>
  <si>
    <t>C. D. AUDIOCONFERENCIA AVANTEL Filial</t>
  </si>
  <si>
    <t>AudioConferencing</t>
  </si>
  <si>
    <t>AUDIOCONFERENCIA</t>
  </si>
  <si>
    <t>AUDIOCONFERENCIA Filial</t>
  </si>
  <si>
    <t>B2B Aggregate Network Provider Connectivity</t>
  </si>
  <si>
    <t>B2B Aggregate Network Provider Connectivity_JP</t>
  </si>
  <si>
    <t>Connection</t>
  </si>
  <si>
    <t>B2B Aggregate Network Provider Connectivity_JP CSJ</t>
  </si>
  <si>
    <t>B2B Connection</t>
  </si>
  <si>
    <t>B2B Connection_JP</t>
  </si>
  <si>
    <t>B2B Connection_JP CSJ</t>
  </si>
  <si>
    <t>B2B Private Line Circuit</t>
  </si>
  <si>
    <t>B2B Remote Devices High Tier</t>
  </si>
  <si>
    <t>B2B Remote Devices</t>
  </si>
  <si>
    <t>B2B Remote Devices High Tier_JP</t>
  </si>
  <si>
    <t>B2B Remote Devices High Tier_JP CSJ</t>
  </si>
  <si>
    <t>B2B Remote Devices Low Tier</t>
  </si>
  <si>
    <t>B2B Remote Devices Low Tier_CA</t>
  </si>
  <si>
    <t>B2B Remote Devices Low Tier_JP</t>
  </si>
  <si>
    <t>B2B Remote Devices Low Tier_JP CSJ</t>
  </si>
  <si>
    <t>Basic Office Telephony_MY</t>
  </si>
  <si>
    <t>Basic Office Telephony_HK</t>
  </si>
  <si>
    <t>Basic Office Telephony_PH</t>
  </si>
  <si>
    <t>Basic Office Telephony_CN</t>
  </si>
  <si>
    <t>Basic Office Telephony_ID</t>
  </si>
  <si>
    <t>Basic Office Telephony_SG</t>
  </si>
  <si>
    <t>Basic Office Telephony_KR</t>
  </si>
  <si>
    <t>Basic Office Telephony_TH</t>
  </si>
  <si>
    <t>Basic Office Telephony_TW</t>
  </si>
  <si>
    <t>Basic Office Telephony_IN</t>
  </si>
  <si>
    <t>Basic Office Telephony_US</t>
  </si>
  <si>
    <t>Basic Office Telephony_CA</t>
  </si>
  <si>
    <t>Basic Office Telephony_JP</t>
  </si>
  <si>
    <t>Basic Office Telephony_JP CSJ</t>
  </si>
  <si>
    <t>Basic Office Telephony_VN</t>
  </si>
  <si>
    <t>Basic Office Telephony_AU</t>
  </si>
  <si>
    <t>Extension</t>
  </si>
  <si>
    <t>Basic Office Telephony Filial</t>
  </si>
  <si>
    <t>Big Data</t>
  </si>
  <si>
    <t>Big Data_US</t>
  </si>
  <si>
    <t>Analytics Platform Services</t>
  </si>
  <si>
    <t>Big Data_UK</t>
  </si>
  <si>
    <t>Blackberry</t>
  </si>
  <si>
    <t>Blackberry_Regional</t>
  </si>
  <si>
    <t>Messaging &amp; Mobile</t>
  </si>
  <si>
    <t>Blackberry_UK</t>
  </si>
  <si>
    <t>Blackberry_US</t>
  </si>
  <si>
    <t>Blackberry_JP</t>
  </si>
  <si>
    <t>Blackberry_JP CSJ</t>
  </si>
  <si>
    <t>Blackberry_Filial</t>
  </si>
  <si>
    <t>Blackberry Device_UK</t>
  </si>
  <si>
    <t>Blackberry Device_JP</t>
  </si>
  <si>
    <t>Blackberry Device_JP CSJ</t>
  </si>
  <si>
    <t>Blackberry Rate Plan</t>
  </si>
  <si>
    <t>Blackberry Rate Plan_EG</t>
  </si>
  <si>
    <t>EGP</t>
  </si>
  <si>
    <t>Blackberry Rate Plan_HU</t>
  </si>
  <si>
    <t>HUF</t>
  </si>
  <si>
    <t>Blackberry Rate Plan_PL</t>
  </si>
  <si>
    <t>Blackberry Rate Plan_UK</t>
  </si>
  <si>
    <t>Blackberry Rate Plan_JP</t>
  </si>
  <si>
    <t>Blackberry Rate Plan_JP CSJ</t>
  </si>
  <si>
    <t>Blackberry Rate Plan_AE</t>
  </si>
  <si>
    <t>AED</t>
  </si>
  <si>
    <t>United Arab Emirates (UAE)</t>
  </si>
  <si>
    <t>Blackberry Rate Plan_NL</t>
  </si>
  <si>
    <t>EUR</t>
  </si>
  <si>
    <t>Branch Bandwidth</t>
  </si>
  <si>
    <t>Branch Bandwidth_RU</t>
  </si>
  <si>
    <t>RUB</t>
  </si>
  <si>
    <t>BYOD Applications</t>
  </si>
  <si>
    <t>BYOD Applications_UK</t>
  </si>
  <si>
    <t>Application</t>
  </si>
  <si>
    <t>BYOD</t>
  </si>
  <si>
    <t>BYOD Email</t>
  </si>
  <si>
    <t>BYOD Email_US</t>
  </si>
  <si>
    <t>BYOD Email_UK</t>
  </si>
  <si>
    <t>BYOD Email_Regional</t>
  </si>
  <si>
    <t>BYOD Email_JP</t>
  </si>
  <si>
    <t>BYOD Email_JP CSJ</t>
  </si>
  <si>
    <t>BYOD Email_Filial</t>
  </si>
  <si>
    <t>Cabling MAC</t>
  </si>
  <si>
    <t>Cabling MAC_UK</t>
  </si>
  <si>
    <t>Other Desktop</t>
  </si>
  <si>
    <t>Desktop Infrastructure</t>
  </si>
  <si>
    <t>CAP_US</t>
  </si>
  <si>
    <t>Virtual</t>
  </si>
  <si>
    <t>CAP_AU</t>
  </si>
  <si>
    <t>CAP_Regional</t>
  </si>
  <si>
    <t>CAP_UK</t>
  </si>
  <si>
    <t>CAP_JP</t>
  </si>
  <si>
    <t>CAP_JP CSJ</t>
  </si>
  <si>
    <t>CAP_MX</t>
  </si>
  <si>
    <t>CAP_FILIAL</t>
  </si>
  <si>
    <t>CAP Connectivity</t>
  </si>
  <si>
    <t>CAP Connectivity_AU</t>
  </si>
  <si>
    <t>CAP Connectivity_CN</t>
  </si>
  <si>
    <t>CAP Connectivity_HK</t>
  </si>
  <si>
    <t>CAP Connectivity_ID</t>
  </si>
  <si>
    <t>CAP Connectivity_IN</t>
  </si>
  <si>
    <t>CAP Connectivity_MY</t>
  </si>
  <si>
    <t>CAP Connectivity_PH</t>
  </si>
  <si>
    <t>CAP Connectivity_SG</t>
  </si>
  <si>
    <t>CAP Connectivity_TH</t>
  </si>
  <si>
    <t>CAP Connectivity_TW</t>
  </si>
  <si>
    <t>CAP Connectivity_KR</t>
  </si>
  <si>
    <t>CAP Connectivity_VN</t>
  </si>
  <si>
    <t>CEEMEA Migration</t>
  </si>
  <si>
    <t>CEEMEA Migration_UK</t>
  </si>
  <si>
    <t xml:space="preserve">Project Management </t>
  </si>
  <si>
    <t>Citi Instant Messaging</t>
  </si>
  <si>
    <t>User / Account</t>
  </si>
  <si>
    <t>Instant Messaging</t>
  </si>
  <si>
    <t xml:space="preserve">Citi Instant Messaging </t>
  </si>
  <si>
    <t>Citi Instant Messaging _Filial</t>
  </si>
  <si>
    <t>Cloud - Development Environment</t>
  </si>
  <si>
    <t>Internal Cloud</t>
  </si>
  <si>
    <t>Development Environment</t>
  </si>
  <si>
    <t>Cloud - Support Request</t>
  </si>
  <si>
    <t>Support Request</t>
  </si>
  <si>
    <t>Compute Grid</t>
  </si>
  <si>
    <t>Compute Grid_US</t>
  </si>
  <si>
    <t>Compute Grid_UK</t>
  </si>
  <si>
    <t>CONEXION DIGITEM</t>
  </si>
  <si>
    <t>CONEXION MOVIL DE ACCESO DEDICADO A ATM (GPRS)</t>
  </si>
  <si>
    <t>Circuit</t>
  </si>
  <si>
    <t>CONEXION MOVIL DE ACCESO DEDICADO A ATM</t>
  </si>
  <si>
    <t>CONEXION MOVIL DE ACCESO DEDICADO A ATM (GPRS) Filial</t>
  </si>
  <si>
    <t>Consumer Roundtripping</t>
  </si>
  <si>
    <t>Consumer Roundtripping_GR</t>
  </si>
  <si>
    <t>Greece</t>
  </si>
  <si>
    <t>Fees / Taxes / Passthru</t>
  </si>
  <si>
    <t>Consumer Roundtripping_ES</t>
  </si>
  <si>
    <t>Critical Remote Access_UK</t>
  </si>
  <si>
    <t>Critical Remote Access_Regional</t>
  </si>
  <si>
    <t>Critical Remote Access_US</t>
  </si>
  <si>
    <t>Critical Remote Access_JP</t>
  </si>
  <si>
    <t>Critical Remote Access_JP CSJ</t>
  </si>
  <si>
    <t>Critical Remote Access_Filial</t>
  </si>
  <si>
    <t>CTI Passthrus</t>
  </si>
  <si>
    <t>CTI Passthrus_UK</t>
  </si>
  <si>
    <t>Customer Passthru</t>
  </si>
  <si>
    <t>Customer Passthru_DZ</t>
  </si>
  <si>
    <t>DZD</t>
  </si>
  <si>
    <t>Customer Passthru_BH</t>
  </si>
  <si>
    <t>Customer Passthru_CM</t>
  </si>
  <si>
    <t>XOF</t>
  </si>
  <si>
    <t>Customer Passthru_CG</t>
  </si>
  <si>
    <t>Customer Passthru_CI</t>
  </si>
  <si>
    <t>Customer Passthru_Administrative Round Trip</t>
  </si>
  <si>
    <t>Customer Passthru - Administrative Round Trip</t>
  </si>
  <si>
    <t>Customer Passthru_CZ</t>
  </si>
  <si>
    <t>CZK</t>
  </si>
  <si>
    <t>Customer Passthru_EG</t>
  </si>
  <si>
    <t>Customer Passthru_FR</t>
  </si>
  <si>
    <t>Customer Passthru_GA</t>
  </si>
  <si>
    <t>Customer Passthru_DE</t>
  </si>
  <si>
    <t>Customer Passthru_IE</t>
  </si>
  <si>
    <t>Customer Passthru_IL</t>
  </si>
  <si>
    <t>ILS</t>
  </si>
  <si>
    <t>Customer Passthru_IT</t>
  </si>
  <si>
    <t>Customer Passthru_JO</t>
  </si>
  <si>
    <t>JOD</t>
  </si>
  <si>
    <t>Customer Passthru_KZ</t>
  </si>
  <si>
    <t>KZT</t>
  </si>
  <si>
    <t>Customer Passthru_KE</t>
  </si>
  <si>
    <t>KES</t>
  </si>
  <si>
    <t>Customer Passthru_KW</t>
  </si>
  <si>
    <t>KWD</t>
  </si>
  <si>
    <t>Customer Passthru_LB</t>
  </si>
  <si>
    <t>LBP</t>
  </si>
  <si>
    <t>Customer Passthru_NG</t>
  </si>
  <si>
    <t>NGN</t>
  </si>
  <si>
    <t>Customer Passthru_PK</t>
  </si>
  <si>
    <t>PKR</t>
  </si>
  <si>
    <t>Customer Passthru_PL</t>
  </si>
  <si>
    <t>Customer Passthru_PT</t>
  </si>
  <si>
    <t>Customer Passthru_RCOB</t>
  </si>
  <si>
    <t>Customer Passthru - RCOB</t>
  </si>
  <si>
    <t>Customer Passthru_RO</t>
  </si>
  <si>
    <t>RON</t>
  </si>
  <si>
    <t>Customer Passthru_RU</t>
  </si>
  <si>
    <t>Customer Passthru_SN</t>
  </si>
  <si>
    <t>Customer Passthru_ZA</t>
  </si>
  <si>
    <t>ZAR</t>
  </si>
  <si>
    <t>Customer Passthru_ES</t>
  </si>
  <si>
    <t>Customer Passthru_TZ</t>
  </si>
  <si>
    <t>TZS</t>
  </si>
  <si>
    <t>Customer Passthru_TN</t>
  </si>
  <si>
    <t>TND</t>
  </si>
  <si>
    <t>Customer Passthru_TR</t>
  </si>
  <si>
    <t>TRY</t>
  </si>
  <si>
    <t>Customer Passthru_UG</t>
  </si>
  <si>
    <t>UGX</t>
  </si>
  <si>
    <t>Customer Passthru_AE</t>
  </si>
  <si>
    <t>Customer Passthru_ZM</t>
  </si>
  <si>
    <t>ZMK</t>
  </si>
  <si>
    <t>Customer Passthru_BG</t>
  </si>
  <si>
    <t>BGN</t>
  </si>
  <si>
    <t>Customer Passthru_GR</t>
  </si>
  <si>
    <t>Customer Passthru_HU</t>
  </si>
  <si>
    <t>Customer Passthru_LU</t>
  </si>
  <si>
    <t>Customer Passthru_MA</t>
  </si>
  <si>
    <t>MAD</t>
  </si>
  <si>
    <t>Customer Passthru_QA</t>
  </si>
  <si>
    <t>Customer Passthru_SK</t>
  </si>
  <si>
    <t>Customer Passthru_UA</t>
  </si>
  <si>
    <t>UAH</t>
  </si>
  <si>
    <t>Customer Project Passthru</t>
  </si>
  <si>
    <t>Customer Project Passthru_FR</t>
  </si>
  <si>
    <t>Customer Project Passthru_HU</t>
  </si>
  <si>
    <t>Customer Project Passthru_IE</t>
  </si>
  <si>
    <t>Customer Project Passthru_IT</t>
  </si>
  <si>
    <t>Customer Project Passthru_PL</t>
  </si>
  <si>
    <t>Customer Project Passthru_TR</t>
  </si>
  <si>
    <t>Customer Project Passthru_AE</t>
  </si>
  <si>
    <t>Customer Project Passthru_UK</t>
  </si>
  <si>
    <t>Customer Project Passthru_ZM</t>
  </si>
  <si>
    <t>Customer Project Passthru_BH</t>
  </si>
  <si>
    <t>Customer Project Passthru_CZ</t>
  </si>
  <si>
    <t>Customer Project Passthru_IL</t>
  </si>
  <si>
    <t>Customer Project Passthru_PK</t>
  </si>
  <si>
    <t>Customer Project Passthru_RO</t>
  </si>
  <si>
    <t>Customer Project Passthru_ZA</t>
  </si>
  <si>
    <t>Customer Project Passthru_CH</t>
  </si>
  <si>
    <t>CHF</t>
  </si>
  <si>
    <t>Database - Base Run &amp; Maintenance Support</t>
  </si>
  <si>
    <t>Database - Base Run &amp; Maintenance Support_UK</t>
  </si>
  <si>
    <t>Database - Base Run &amp; Maintenance Support_US</t>
  </si>
  <si>
    <t>Database - Base Run &amp; Maintenance Support_Regional</t>
  </si>
  <si>
    <t>Database - Base Run &amp; Maintenance Support_AU</t>
  </si>
  <si>
    <t>Database - Base Run &amp; Maintenance Support_JP CSJ</t>
  </si>
  <si>
    <t>Database - Base Run &amp; Maintenance Support_JP</t>
  </si>
  <si>
    <t>Database - Base Run &amp; Maintenance Support_CN</t>
  </si>
  <si>
    <t>Database - Premium Run &amp; Maintenance Support</t>
  </si>
  <si>
    <t>Database - Premium Run &amp; Maintenance Support_UK</t>
  </si>
  <si>
    <t>Database - Premium Run &amp; Maintenance Support_Regional</t>
  </si>
  <si>
    <t>Database - Premium Run &amp; Maintenance Support_US</t>
  </si>
  <si>
    <t>Database - Premium Run &amp; Maintenance Support_CA</t>
  </si>
  <si>
    <t>Database - Software Subscription Charges</t>
  </si>
  <si>
    <t>Software Subscription Charges</t>
  </si>
  <si>
    <t>Database - Software Subscription Charges_UK</t>
  </si>
  <si>
    <t>Database - Software Subscription Charges_CN</t>
  </si>
  <si>
    <t>Database - Software Subscription Charges_JP</t>
  </si>
  <si>
    <t>Database - Software Subscription Charges_JP CSJ</t>
  </si>
  <si>
    <t>Dealerboard</t>
  </si>
  <si>
    <t>Dealerboard_SK</t>
  </si>
  <si>
    <t>Dealerboard_TR</t>
  </si>
  <si>
    <t>Dealerboard_SG</t>
  </si>
  <si>
    <t>Dealerboard_FR</t>
  </si>
  <si>
    <t>Dealerboard_IL</t>
  </si>
  <si>
    <t>Dealerboard_HK</t>
  </si>
  <si>
    <t>Dealerboard_ZA</t>
  </si>
  <si>
    <t>Dealerboard_IE</t>
  </si>
  <si>
    <t>Dealerboard_ES</t>
  </si>
  <si>
    <t>Dealerboard_UK</t>
  </si>
  <si>
    <t>Dealerboard_HU</t>
  </si>
  <si>
    <t>Dealerboard_RU</t>
  </si>
  <si>
    <t>Dealerboard_JP</t>
  </si>
  <si>
    <t>Dealerboard_JP CSJ</t>
  </si>
  <si>
    <t>Dealerboard_AU</t>
  </si>
  <si>
    <t>Dealerboard_DE</t>
  </si>
  <si>
    <t>Dealerboard_CH</t>
  </si>
  <si>
    <t>Dealerboard_IT</t>
  </si>
  <si>
    <t>Dealerboard_CZ</t>
  </si>
  <si>
    <t>Dealerboard_GR</t>
  </si>
  <si>
    <t>Dealerboard Private Lines / Hoots_FR</t>
  </si>
  <si>
    <t>Dealerboard Private Lines / Hoots_IT</t>
  </si>
  <si>
    <t>Dealerboard Private Lines / Hoots_LU</t>
  </si>
  <si>
    <t>Dealerboard Private Lines / Hoots_RU</t>
  </si>
  <si>
    <t>Dealerboard Private Lines / Hoots_UK</t>
  </si>
  <si>
    <t>Dealerboard Private Lines / Hoots_IE</t>
  </si>
  <si>
    <t>Dealerboard Voice Recording and Analytics</t>
  </si>
  <si>
    <t>Per Extension</t>
  </si>
  <si>
    <t>Voice Recording and Analytics</t>
  </si>
  <si>
    <t>Dedicated Conferencing</t>
  </si>
  <si>
    <t>Dedicated Conferencing_JP</t>
  </si>
  <si>
    <t>Dedicated Conferencing_JP CSJ</t>
  </si>
  <si>
    <t>Dedicated Voice and Conferencing Charges</t>
  </si>
  <si>
    <t>Dedicated Telephony</t>
  </si>
  <si>
    <t>Dedicated Desktop</t>
  </si>
  <si>
    <t>Dedicated Desktop_InCountry</t>
  </si>
  <si>
    <t>Dedicated Desktop Services</t>
  </si>
  <si>
    <t>Dedicated Desktop_Branch Services</t>
  </si>
  <si>
    <t>Dedicated Branch Support</t>
  </si>
  <si>
    <t>Dedicated Desktop_JP</t>
  </si>
  <si>
    <t>Dedicated Desktop_JP CSJ</t>
  </si>
  <si>
    <t>Dedicated Desktop_KR</t>
  </si>
  <si>
    <t>Dedicated Messaging &amp; Mobile</t>
  </si>
  <si>
    <t>Dedicated Messaging &amp; Mobile_JP</t>
  </si>
  <si>
    <t xml:space="preserve">Other </t>
  </si>
  <si>
    <t>Dedicated Messaging</t>
  </si>
  <si>
    <t>Dedicated Messaging &amp; Mobile_JP CSJ</t>
  </si>
  <si>
    <t>Dedicated NAIT Branch</t>
  </si>
  <si>
    <t>Branch</t>
  </si>
  <si>
    <t>Dedicated Network</t>
  </si>
  <si>
    <t>Dedicated Network_InCountry</t>
  </si>
  <si>
    <t>Dedicated Network_JP</t>
  </si>
  <si>
    <t>Dedicated Network_Regional</t>
  </si>
  <si>
    <t>Dedicated Network Internet Bandwidth</t>
  </si>
  <si>
    <t xml:space="preserve">Dedicated Network </t>
  </si>
  <si>
    <t>Dedicated Network_JP CSJ</t>
  </si>
  <si>
    <t>Dedicated Network_Swiftnet Regional</t>
  </si>
  <si>
    <t>Dedicated Network Swiftnet</t>
  </si>
  <si>
    <t>Dedicated Telephony_InCountry</t>
  </si>
  <si>
    <t>Dedicated Telephony_JP</t>
  </si>
  <si>
    <t>Dedicated Telephony_KR</t>
  </si>
  <si>
    <t>C.F. SERVICIO DE SOPORTE TECNICO ESPECIALIZADO</t>
  </si>
  <si>
    <t>Service</t>
  </si>
  <si>
    <t>Dedicated Telephony_Regional</t>
  </si>
  <si>
    <t>Dedicated Telephony Charges</t>
  </si>
  <si>
    <t>Dedicated Telephony_JP CSJ</t>
  </si>
  <si>
    <t>Design Engineering and Integration</t>
  </si>
  <si>
    <t>Desktop - Regional</t>
  </si>
  <si>
    <t>Desktop - Regional _SG</t>
  </si>
  <si>
    <t>Desktop Port</t>
  </si>
  <si>
    <t>Connectivity</t>
  </si>
  <si>
    <t>Desktop Connectivity Charge</t>
  </si>
  <si>
    <t>Desktop - Regional _HK</t>
  </si>
  <si>
    <t>Desktop - Regional _KR</t>
  </si>
  <si>
    <t>Desktop - Regional _IN</t>
  </si>
  <si>
    <t>Desktop - Regional _CN</t>
  </si>
  <si>
    <t>Desktop - Regional _TW</t>
  </si>
  <si>
    <t>Desktop - Regional _LK</t>
  </si>
  <si>
    <t>Desktop - Regional _MY</t>
  </si>
  <si>
    <t>Desktop - Regional _PH</t>
  </si>
  <si>
    <t>Desktop - Regional _ID</t>
  </si>
  <si>
    <t>Desktop - Regional_AU</t>
  </si>
  <si>
    <t>Desktop - Regional _TH</t>
  </si>
  <si>
    <t>Desktop - Regional _GU</t>
  </si>
  <si>
    <t>Desktop - Regional _VN</t>
  </si>
  <si>
    <t>Desktop - Regional _BD</t>
  </si>
  <si>
    <t>Desktop - Regional _BN</t>
  </si>
  <si>
    <t>Desktop ELAS</t>
  </si>
  <si>
    <t>ELA Desktop</t>
  </si>
  <si>
    <t>Desktop NAS</t>
  </si>
  <si>
    <t>Desktop NAS_IN</t>
  </si>
  <si>
    <t>Desktop NAS_TH</t>
  </si>
  <si>
    <t>Desktop NAS_CA</t>
  </si>
  <si>
    <t>Desktop NAS_PH</t>
  </si>
  <si>
    <t>Desktop NAS_SG</t>
  </si>
  <si>
    <t>Desktop NAS_MY</t>
  </si>
  <si>
    <t>Desktop NAS_AU</t>
  </si>
  <si>
    <t>Desktop NAS_CN</t>
  </si>
  <si>
    <t>Desktop NAS_ID</t>
  </si>
  <si>
    <t>Desktop NAS_HK</t>
  </si>
  <si>
    <t>Desktop NAS_TW</t>
  </si>
  <si>
    <t>Desktop NAS_JP</t>
  </si>
  <si>
    <t>Desktop NAS_JP CSJ</t>
  </si>
  <si>
    <t>Desktop NAS_KR</t>
  </si>
  <si>
    <t>Desktop NAS_Filal</t>
  </si>
  <si>
    <t>Desktop Supplies</t>
  </si>
  <si>
    <t>Desktop Supplies_UK</t>
  </si>
  <si>
    <t>Desktop Video_US</t>
  </si>
  <si>
    <t>Unit</t>
  </si>
  <si>
    <t>Desktop Video_Filal</t>
  </si>
  <si>
    <t>Dialers</t>
  </si>
  <si>
    <t>Dialers_HK</t>
  </si>
  <si>
    <t>Dialers_UK</t>
  </si>
  <si>
    <t>Dialers_TW</t>
  </si>
  <si>
    <t>Dialers_PH</t>
  </si>
  <si>
    <t>Dialers_MY</t>
  </si>
  <si>
    <t>Dialers_SG</t>
  </si>
  <si>
    <t>Dialers_AU</t>
  </si>
  <si>
    <t>Dialers_US</t>
  </si>
  <si>
    <t>Dialers_PL</t>
  </si>
  <si>
    <t>Dialers_TH</t>
  </si>
  <si>
    <t>Digital Service</t>
  </si>
  <si>
    <t>Digital Service_Filal</t>
  </si>
  <si>
    <t>Email</t>
  </si>
  <si>
    <t>Email 2010_Regional</t>
  </si>
  <si>
    <t>Email 2010</t>
  </si>
  <si>
    <t>Email_JP</t>
  </si>
  <si>
    <t>Mailbox</t>
  </si>
  <si>
    <t>Email_JP CSJ</t>
  </si>
  <si>
    <t>Email (LATAM)</t>
  </si>
  <si>
    <t>Account</t>
  </si>
  <si>
    <t>Email Support (LATAM)</t>
  </si>
  <si>
    <t>Email (LATAM)_Infrastructure</t>
  </si>
  <si>
    <t>Email (LATAM)_Support</t>
  </si>
  <si>
    <t>Email (LATAM)_Infrastructure_Filial</t>
  </si>
  <si>
    <t>Email (LATAM)_Support_Filial</t>
  </si>
  <si>
    <t>Email 3 GB Upgrade</t>
  </si>
  <si>
    <t>Email 2010 3 GB Upgrade_Regional</t>
  </si>
  <si>
    <t>Email 2010 3 GB Upgrade</t>
  </si>
  <si>
    <t>Email Archive Personal_JP</t>
  </si>
  <si>
    <t>Email Archive Personal_JP CSJ</t>
  </si>
  <si>
    <t>Email Archive Personal_Regional</t>
  </si>
  <si>
    <t xml:space="preserve">Email Archive Personal </t>
  </si>
  <si>
    <t>Email Archive Personal_Filial</t>
  </si>
  <si>
    <t>Email Compliance Archive</t>
  </si>
  <si>
    <t>Executive Video Device_UK</t>
  </si>
  <si>
    <t>Executive Video Device_Regional</t>
  </si>
  <si>
    <t>Executive Video Device_JP</t>
  </si>
  <si>
    <t>Executive Video Device_JP CSJ</t>
  </si>
  <si>
    <t>GL BRASIL</t>
  </si>
  <si>
    <t>IMPRESORA DE IMPACTO</t>
  </si>
  <si>
    <t>IMPRESORA DE IMPACTO FILIAL</t>
  </si>
  <si>
    <t>In-Country Non-Consumable Charges</t>
  </si>
  <si>
    <t>In-Country Non-Consumable Charges_DZ</t>
  </si>
  <si>
    <t>In-Country Non-Consumable Charges_BG</t>
  </si>
  <si>
    <t>In-Country Non-Consumable Charges_CZ</t>
  </si>
  <si>
    <t>In-Country Non-Consumable Charges_GA</t>
  </si>
  <si>
    <t>In-Country Non-Consumable Charges_DE</t>
  </si>
  <si>
    <t>In-Country Non-Consumable Charges_HU</t>
  </si>
  <si>
    <t>In-Country Non-Consumable Charges_IE</t>
  </si>
  <si>
    <t>In-Country Non-Consumable Charges_IT</t>
  </si>
  <si>
    <t>In-Country Non-Consumable Charges_KZ</t>
  </si>
  <si>
    <t>In-Country Non-Consumable Charges_KW</t>
  </si>
  <si>
    <t>In-Country Non-Consumable Charges_LB</t>
  </si>
  <si>
    <t>In-Country Non-Consumable Charges_MA</t>
  </si>
  <si>
    <t>In-Country Non-Consumable Charges_NG</t>
  </si>
  <si>
    <t>In-Country Non-Consumable Charges_PK</t>
  </si>
  <si>
    <t>In-Country Non-Consumable Charges_RO</t>
  </si>
  <si>
    <t>In-Country Non-Consumable Charges_RU</t>
  </si>
  <si>
    <t>In-Country Non-Consumable Charges_SN</t>
  </si>
  <si>
    <t>In-Country Non-Consumable Charges_SK</t>
  </si>
  <si>
    <t>In-Country Non-Consumable Charges_ZA</t>
  </si>
  <si>
    <t>In-Country Non-Consumable Charges_TZ</t>
  </si>
  <si>
    <t>In-Country Non-Consumable Charges_TR</t>
  </si>
  <si>
    <t>In-Country Non-Consumable Charges_UA</t>
  </si>
  <si>
    <t>In-Country Non-Consumable Charges_GR</t>
  </si>
  <si>
    <t>In-Country Non-Consumable Charges_ES</t>
  </si>
  <si>
    <t>INSTALACION Y ATENCION PERSONALIZADA DEL SERVICIO DE B.E.</t>
  </si>
  <si>
    <t>Ticket</t>
  </si>
  <si>
    <t>Interactive Voice Recognition (IVR)</t>
  </si>
  <si>
    <t>Interactive Voice Recognition (IVR)_EG</t>
  </si>
  <si>
    <t>Interactive Voice Recognition (IVR)_DE</t>
  </si>
  <si>
    <t>Interactive Voice Recognition (IVR)_UK</t>
  </si>
  <si>
    <t>Interactive Voice Recognition (IVR)_CZ</t>
  </si>
  <si>
    <t>Interactive Voice Recognition (IVR)_RU</t>
  </si>
  <si>
    <t>Interactive Voice Recognition (IVR)_TR</t>
  </si>
  <si>
    <t>Internet Access</t>
  </si>
  <si>
    <t>ACCESO INTERNET</t>
  </si>
  <si>
    <t>Internet Access_Filial</t>
  </si>
  <si>
    <t>Internet Dedicated Charges_AU</t>
  </si>
  <si>
    <t>Internet Dedicated Charges_Country</t>
  </si>
  <si>
    <t>Internet Dedicated Charges_Regional</t>
  </si>
  <si>
    <t>Internet Browsing_Regional</t>
  </si>
  <si>
    <t>Internet Browsing_AU</t>
  </si>
  <si>
    <t>Internet Browsing_KR</t>
  </si>
  <si>
    <t>Internet Browsing_Filial</t>
  </si>
  <si>
    <t>Intra CTI Allocation</t>
  </si>
  <si>
    <t>Intra CTI Allocation_UK</t>
  </si>
  <si>
    <t>Intra CTI Allocation - LATAM</t>
  </si>
  <si>
    <t>IPTV</t>
  </si>
  <si>
    <t>IPTV_UK</t>
  </si>
  <si>
    <t xml:space="preserve">IVR Transaction </t>
  </si>
  <si>
    <t>IVR Transaction_UK</t>
  </si>
  <si>
    <t>Laptop_GA</t>
  </si>
  <si>
    <t>Laptop_PT</t>
  </si>
  <si>
    <t>Laptop_PK</t>
  </si>
  <si>
    <t>Laptop_RU</t>
  </si>
  <si>
    <t>Laptop_PL</t>
  </si>
  <si>
    <t>Laptop_HK</t>
  </si>
  <si>
    <t>Laptop_MY</t>
  </si>
  <si>
    <t>Laptop_VN</t>
  </si>
  <si>
    <t>Laptop_TW</t>
  </si>
  <si>
    <t>Laptop_TH</t>
  </si>
  <si>
    <t>Laptop_SG</t>
  </si>
  <si>
    <t>Laptop_AU</t>
  </si>
  <si>
    <t>Laptop_PH</t>
  </si>
  <si>
    <t>Laptop_KR</t>
  </si>
  <si>
    <t>Laptop_CN</t>
  </si>
  <si>
    <t>Laptop_HU</t>
  </si>
  <si>
    <t>Laptop_IN</t>
  </si>
  <si>
    <t>Laptop_SK</t>
  </si>
  <si>
    <t>Laptop_ID</t>
  </si>
  <si>
    <t>Laptop_TR</t>
  </si>
  <si>
    <t>Laptop_RO</t>
  </si>
  <si>
    <t>Laptop_CZ</t>
  </si>
  <si>
    <t>Laptop_JP</t>
  </si>
  <si>
    <t>Laptop_JP CSJ</t>
  </si>
  <si>
    <t>Laptop_UK</t>
  </si>
  <si>
    <t>Laptop_BG</t>
  </si>
  <si>
    <t>Laptop_AE</t>
  </si>
  <si>
    <t>Laptop_CA</t>
  </si>
  <si>
    <t>Laptop_US</t>
  </si>
  <si>
    <t>Laptop_EG</t>
  </si>
  <si>
    <t>Laptop_NL</t>
  </si>
  <si>
    <t>Laptop_ES</t>
  </si>
  <si>
    <t>Laptop_DZ</t>
  </si>
  <si>
    <t>Laptop_UA</t>
  </si>
  <si>
    <t>Laptop_KZ</t>
  </si>
  <si>
    <t>Laptop_IE</t>
  </si>
  <si>
    <t>Laptop_LU</t>
  </si>
  <si>
    <t>Laptop_NG</t>
  </si>
  <si>
    <t>Laptop_JO</t>
  </si>
  <si>
    <t>Laptop_CM</t>
  </si>
  <si>
    <t>Laptop_FR</t>
  </si>
  <si>
    <t>Laptop_BH</t>
  </si>
  <si>
    <t>Laptop_IT</t>
  </si>
  <si>
    <t>Laptop_CH</t>
  </si>
  <si>
    <t>Laptop_ZA</t>
  </si>
  <si>
    <t>Laptop_UG</t>
  </si>
  <si>
    <t>Laptop_TN</t>
  </si>
  <si>
    <t>Laptop_IL</t>
  </si>
  <si>
    <t>Laptop_CG</t>
  </si>
  <si>
    <t>Laptop_KW</t>
  </si>
  <si>
    <t>Laptop_TZ</t>
  </si>
  <si>
    <t>Laptop_DE</t>
  </si>
  <si>
    <t>Laptop_MA</t>
  </si>
  <si>
    <t>Laptop_SN</t>
  </si>
  <si>
    <t>Laptop_KE</t>
  </si>
  <si>
    <t>Laptop_ZM</t>
  </si>
  <si>
    <t>Laptop_CI</t>
  </si>
  <si>
    <t>Laptop_GR</t>
  </si>
  <si>
    <t>Laptop_QA</t>
  </si>
  <si>
    <t>LARGA DISTANCIA INTERNACIONAL</t>
  </si>
  <si>
    <t>LARGA DISTANCIA INTERNACIONAL Filial</t>
  </si>
  <si>
    <t>LARGA DISTANCIA MUNDIAL</t>
  </si>
  <si>
    <t>LARGA DISTANCIA MUNDIAL Filial</t>
  </si>
  <si>
    <t>LARGA DISTANCIA NACIONAL</t>
  </si>
  <si>
    <t>LARGA DISTANCIA NACIONAL Filial</t>
  </si>
  <si>
    <t>LARGA DISTANCIA POR COBRAR</t>
  </si>
  <si>
    <t>C. D. LARGA DISTANCIA POR COBRAR</t>
  </si>
  <si>
    <t>C. D. LARGA DISTANCIA POR COBRAR Filial</t>
  </si>
  <si>
    <t>LECTOR DE CHEQUES</t>
  </si>
  <si>
    <t>LIBERACION DE SOFTWARE</t>
  </si>
  <si>
    <t>RFC</t>
  </si>
  <si>
    <t>LINEA INTELIGENTE CENTREX</t>
  </si>
  <si>
    <t>Centrex Line</t>
  </si>
  <si>
    <t>LINEA INTELIGENTE CENTREX Filial</t>
  </si>
  <si>
    <t>LLAMADA A CELULAR</t>
  </si>
  <si>
    <t>LLAMADA A CELULAR Filial</t>
  </si>
  <si>
    <t>LLAMADA A CELULAR DE LARGA DISTANCIA</t>
  </si>
  <si>
    <t>LLAMADA A CELULAR DE LARGA DISTANCIA Filial</t>
  </si>
  <si>
    <t>LLAMADA AL SERVICIO 01900</t>
  </si>
  <si>
    <t>LLAMADA AL SERVICIO 01900 Filial</t>
  </si>
  <si>
    <t>LLAMADA DE SERVICIO 800</t>
  </si>
  <si>
    <t>LLAMADA DE SERVICIO 800 Filial</t>
  </si>
  <si>
    <t>Mainframe - Block Storage</t>
  </si>
  <si>
    <t>Block Storage</t>
  </si>
  <si>
    <t>Mainframe - Block Storage_KR</t>
  </si>
  <si>
    <t>Mainframe - Block Storage_CN</t>
  </si>
  <si>
    <t>Mainframe - Business Applications</t>
  </si>
  <si>
    <t>Business Applications</t>
  </si>
  <si>
    <t>Mainframe - Data on Tape</t>
  </si>
  <si>
    <t>Tape Retention</t>
  </si>
  <si>
    <t>Mainframe - Data on Tape_Regional</t>
  </si>
  <si>
    <t>Mainframe - Data on Tape_CN</t>
  </si>
  <si>
    <t>Mainframe - Disaster Recovery Facility</t>
  </si>
  <si>
    <t>Diaster Recovery</t>
  </si>
  <si>
    <t>Mainframe - General Purpose</t>
  </si>
  <si>
    <t>MIPS</t>
  </si>
  <si>
    <t>General Purpose</t>
  </si>
  <si>
    <t>Mainframe - General Purpose_Regional</t>
  </si>
  <si>
    <t>Mainframe - General Purpose_KR</t>
  </si>
  <si>
    <t>Mainframe - General Purpose_JP</t>
  </si>
  <si>
    <t>Mainframe - General Purpose_CN</t>
  </si>
  <si>
    <t>Mainframe - General Purpose_JP CSJ</t>
  </si>
  <si>
    <t>Mainframe - High Availability (GDPS)</t>
  </si>
  <si>
    <t>High Availability (GDPS)</t>
  </si>
  <si>
    <t>Mainframe - Linux Server Hosting (IFL)</t>
  </si>
  <si>
    <t>Linux Server Hosting (IFL)</t>
  </si>
  <si>
    <t>Mainframe - Tape Backup for Mainframe (Slots)</t>
  </si>
  <si>
    <t>Slot</t>
  </si>
  <si>
    <t>Tape Backup</t>
  </si>
  <si>
    <t>Mainframe - Transaction Process Environment (TPF)</t>
  </si>
  <si>
    <t>Transaction Process Environment (TPF)</t>
  </si>
  <si>
    <t>Mainframe - zIIP</t>
  </si>
  <si>
    <t>zIIP</t>
  </si>
  <si>
    <t>Mainframe -  Unisys</t>
  </si>
  <si>
    <t>Unisys</t>
  </si>
  <si>
    <t>Mainframe Storage - Consumer</t>
  </si>
  <si>
    <t>Mainframe - Storage - Consumer</t>
  </si>
  <si>
    <t>Storage - Consumer</t>
  </si>
  <si>
    <t>Mainframe - Tandem</t>
  </si>
  <si>
    <t>Tandem</t>
  </si>
  <si>
    <t>MCI Calling Card</t>
  </si>
  <si>
    <t>MCI Calling Card_Filial</t>
  </si>
  <si>
    <t>Midrange - I-Series</t>
  </si>
  <si>
    <t>Allocated CPWS</t>
  </si>
  <si>
    <t>I-Series</t>
  </si>
  <si>
    <t>Midrange - I-Series - Partition</t>
  </si>
  <si>
    <t>Partition</t>
  </si>
  <si>
    <t>Midrange - I-Series - Storage</t>
  </si>
  <si>
    <t>Allocated GB</t>
  </si>
  <si>
    <t>Midrange - I-Series - Tape</t>
  </si>
  <si>
    <t>Midrange - I-Series Processor</t>
  </si>
  <si>
    <t>Midrange - I-Series - Processor</t>
  </si>
  <si>
    <t>Processor</t>
  </si>
  <si>
    <t>Midrange - Stratus</t>
  </si>
  <si>
    <t>Stratus</t>
  </si>
  <si>
    <t>TPMC</t>
  </si>
  <si>
    <t>Midrange - Stratus_JP</t>
  </si>
  <si>
    <t>Midrange - Stratus_JP CSJ</t>
  </si>
  <si>
    <t>Mobile Voice Recording</t>
  </si>
  <si>
    <t>Mobile Voice Recording_JP</t>
  </si>
  <si>
    <t>Voice Recording</t>
  </si>
  <si>
    <t>Mobile Voice Recording_JP CSJ</t>
  </si>
  <si>
    <t>Mobile Voice Recording_UK</t>
  </si>
  <si>
    <t>Mobile Wireless Carrier</t>
  </si>
  <si>
    <t>Mobile Wireless Carrier_UK</t>
  </si>
  <si>
    <t>Network Replication</t>
  </si>
  <si>
    <t>Network Support and Maintance</t>
  </si>
  <si>
    <t>SOPORTE Y MANTENIMIENTO DE RED</t>
  </si>
  <si>
    <t>ONDEMAND BRAZIL</t>
  </si>
  <si>
    <t>ONDEMAND ECS</t>
  </si>
  <si>
    <t>OPERACIÓN COCTEL</t>
  </si>
  <si>
    <t>OPERACIÓN COCTEL_Filial</t>
  </si>
  <si>
    <t>OPERACION DE ENTIDADES NO SUCURSALES 1 PLAZA</t>
  </si>
  <si>
    <t>SUCURSAL</t>
  </si>
  <si>
    <t>OPERACIÓN DE PROCESOS</t>
  </si>
  <si>
    <t>OPERACIÓN DE PROCESO_Filial</t>
  </si>
  <si>
    <t>OPERACION DE SUCURSALES SORIBAN 2  PLAZAS</t>
  </si>
  <si>
    <t>Premium Desktop_IT</t>
  </si>
  <si>
    <t>Premium Desktop_VN</t>
  </si>
  <si>
    <t>Premium Desktop_MY</t>
  </si>
  <si>
    <t>Premium Desktop_HK</t>
  </si>
  <si>
    <t>Premium Desktop_SG</t>
  </si>
  <si>
    <t>Premium Desktop_TW</t>
  </si>
  <si>
    <t>Premium Desktop_TH</t>
  </si>
  <si>
    <t>Premium Desktop_ID</t>
  </si>
  <si>
    <t>Premium Desktop_AU</t>
  </si>
  <si>
    <t>Premium Desktop_PH</t>
  </si>
  <si>
    <t>Premium Desktop_KR</t>
  </si>
  <si>
    <t>Premium Desktop_CN</t>
  </si>
  <si>
    <t>Premium Desktop_IN</t>
  </si>
  <si>
    <t>Premium Desktop_CZ</t>
  </si>
  <si>
    <t>Premium Desktop_UK</t>
  </si>
  <si>
    <t>Premium Desktop_JP</t>
  </si>
  <si>
    <t>Premium Desktop_JP CSJ</t>
  </si>
  <si>
    <t>Premium Desktop_CA</t>
  </si>
  <si>
    <t>Premium Desktop_CH</t>
  </si>
  <si>
    <t>Premium Desktop_FR</t>
  </si>
  <si>
    <t>Premium Desktop_DE</t>
  </si>
  <si>
    <t>Premium End User Support</t>
  </si>
  <si>
    <t>Premium End User Support_RU</t>
  </si>
  <si>
    <t>Premium End User Support_UK</t>
  </si>
  <si>
    <t>Premium End User Support_SG</t>
  </si>
  <si>
    <t>Premium End User Support_HK</t>
  </si>
  <si>
    <t>Premium End User Support_JP</t>
  </si>
  <si>
    <t>Premium End User Support_JP CSJ</t>
  </si>
  <si>
    <t>Premium End User Support_AU</t>
  </si>
  <si>
    <t>Premium End User Support_ZA</t>
  </si>
  <si>
    <t>Premium End User Support_FR</t>
  </si>
  <si>
    <t>Premium End User Support_DE</t>
  </si>
  <si>
    <t>Premium End User Support_IT</t>
  </si>
  <si>
    <t>Premium End User Support_CH</t>
  </si>
  <si>
    <t>Premium End User Support_CZ</t>
  </si>
  <si>
    <t>Premium End User Support_IL</t>
  </si>
  <si>
    <t>Premium MarketPlace Request</t>
  </si>
  <si>
    <t>Request</t>
  </si>
  <si>
    <t>Premium Mobility</t>
  </si>
  <si>
    <t>Premium Mobility_CA</t>
  </si>
  <si>
    <t>Premium Monitor</t>
  </si>
  <si>
    <t>Monitor</t>
  </si>
  <si>
    <t>Premium Monitor_Filial</t>
  </si>
  <si>
    <t>Premium Office Telephony</t>
  </si>
  <si>
    <t>Premium Office Telephony_CA</t>
  </si>
  <si>
    <t>Premium Office Telephony Filial</t>
  </si>
  <si>
    <t>Premium VDI</t>
  </si>
  <si>
    <t>Premium VDI_Regional</t>
  </si>
  <si>
    <t>Premium VDI_JP</t>
  </si>
  <si>
    <t>Premium VDI_JP CSJ</t>
  </si>
  <si>
    <t>Premium VDI_UK</t>
  </si>
  <si>
    <t>Printer Support_EG</t>
  </si>
  <si>
    <t>Printer</t>
  </si>
  <si>
    <t>Printer Support_ZA</t>
  </si>
  <si>
    <t>Printer Support_PK</t>
  </si>
  <si>
    <t>Printer Support_KZ</t>
  </si>
  <si>
    <t>Printer Support_TN</t>
  </si>
  <si>
    <t>Printer Support_SK</t>
  </si>
  <si>
    <t>Printer Support_JO</t>
  </si>
  <si>
    <t>Printer Support_DZ</t>
  </si>
  <si>
    <t>Printer Support_MA</t>
  </si>
  <si>
    <t>Printer Support_KE</t>
  </si>
  <si>
    <t>Printer Support_PT</t>
  </si>
  <si>
    <t>Printer Support_IE</t>
  </si>
  <si>
    <t>Printer Support_TZ</t>
  </si>
  <si>
    <t>Printer Support_GA</t>
  </si>
  <si>
    <t>Printer Support_UA</t>
  </si>
  <si>
    <t>Printer Support_CM</t>
  </si>
  <si>
    <t>Printer Support_KW</t>
  </si>
  <si>
    <t>Printer Support_TR</t>
  </si>
  <si>
    <t>Printer Support_CG</t>
  </si>
  <si>
    <t>Printer Support_UG</t>
  </si>
  <si>
    <t>Printer Support_NG</t>
  </si>
  <si>
    <t>Printer Support_SN</t>
  </si>
  <si>
    <t>Printer Support_CI</t>
  </si>
  <si>
    <t>Printer Support_QA</t>
  </si>
  <si>
    <t>Printer Support_IL</t>
  </si>
  <si>
    <t>Printer Support_BH</t>
  </si>
  <si>
    <t>Printer Support_ZM</t>
  </si>
  <si>
    <t>Procurement</t>
  </si>
  <si>
    <t>Procurement_Columbia</t>
  </si>
  <si>
    <t>PROCUREMENT COLOMBIA</t>
  </si>
  <si>
    <t>Project Implementation_JP</t>
  </si>
  <si>
    <t>Project Implementation_JP CSJ</t>
  </si>
  <si>
    <t>Project Management_Dedicated</t>
  </si>
  <si>
    <t>Projects</t>
  </si>
  <si>
    <t>Project Management_Regional</t>
  </si>
  <si>
    <t>Data Center Projects</t>
  </si>
  <si>
    <t>Project Management_UK</t>
  </si>
  <si>
    <t>Project Management_JP</t>
  </si>
  <si>
    <t>Project Management_JP CSJ</t>
  </si>
  <si>
    <t>Project Management_KR</t>
  </si>
  <si>
    <t>PRUEBA EN PLATAFORMA IBM</t>
  </si>
  <si>
    <t>PRUEBA EN PLATAFORMA UNISYS</t>
  </si>
  <si>
    <t>Public Instant Messaging</t>
  </si>
  <si>
    <t>Public Instant Messaging_Filial</t>
  </si>
  <si>
    <t>RENTA DE EXTENSION TELEFONICA</t>
  </si>
  <si>
    <t>RENTA DE EXTENSION TELEFONICA_Filial</t>
  </si>
  <si>
    <t>RENTA DE MEDIOS</t>
  </si>
  <si>
    <t>RENTA DE MEDIOS Filial</t>
  </si>
  <si>
    <t>RENTA TELEFONO DIRECTO</t>
  </si>
  <si>
    <t>POT Line</t>
  </si>
  <si>
    <t>RENTA TELEFONO DIRECTO Filial</t>
  </si>
  <si>
    <t>S188 CIBER LIFE SEGUROS AEGON</t>
  </si>
  <si>
    <t>C.F. S188 CIBER LIFE SEGUROS AEGON</t>
  </si>
  <si>
    <t>Scanner</t>
  </si>
  <si>
    <t>SCANNER (DIGITALIZADOR DE IMAGEN)</t>
  </si>
  <si>
    <t>SCANNER (DIGITALIZADOR DE IMAGEN) FILIAL</t>
  </si>
  <si>
    <t>Server - Base Run &amp; Maintenance Support</t>
  </si>
  <si>
    <t>Distributed Infrastructure Services</t>
  </si>
  <si>
    <t>Server - Base Run &amp; Maintenance Support_CA</t>
  </si>
  <si>
    <t>Server - Base Run &amp; Maintenance Support_Regional</t>
  </si>
  <si>
    <t>Server - Base Run &amp; Maintenance Support_AU</t>
  </si>
  <si>
    <t>Server - Base Run &amp; Maintenance Support_JP</t>
  </si>
  <si>
    <t>Server - Base Run &amp; Maintenance Support_JP CSJ</t>
  </si>
  <si>
    <t>Server - Base Run &amp; Maintenance Support_CN</t>
  </si>
  <si>
    <t>Server - Base Run &amp; Maintenance Support_ID</t>
  </si>
  <si>
    <t>Server - Base Run &amp; Maintenance Support_KR</t>
  </si>
  <si>
    <t>Server - Base Run &amp; Maintenance Support_MY</t>
  </si>
  <si>
    <t>Server - Base Run &amp; Maintenance Support_PH</t>
  </si>
  <si>
    <t>Server - Base Run &amp; Maintenance Support_TW</t>
  </si>
  <si>
    <t>Server - Base Run &amp; Maintenance Support_TH</t>
  </si>
  <si>
    <t>Server - Base Run &amp; Maintenance Support (Additional Services - Sun / Solaris)</t>
  </si>
  <si>
    <t>Server - Base Run &amp; Maintenance Support (Additional Services - x86)</t>
  </si>
  <si>
    <t>Server - Base Run &amp; Maintenance Support (LDOM Share)</t>
  </si>
  <si>
    <t>Server - Block Storage - High Availability (Replicated)</t>
  </si>
  <si>
    <t>Block Storage - High Availability (Replicated)</t>
  </si>
  <si>
    <t>Server - Block Storage - High Availability (Replicated)_JP</t>
  </si>
  <si>
    <t>Server - Block Storage - High Availability (Replicated)_JP CSJ</t>
  </si>
  <si>
    <t>Server - Block Storage - SAN</t>
  </si>
  <si>
    <t>Server - Block Storage - SAN_Regional</t>
  </si>
  <si>
    <t>Block Storage - SAN</t>
  </si>
  <si>
    <t>Server - Block Storage - SAN_KR</t>
  </si>
  <si>
    <t>Server - Block Storage - SAN_JP</t>
  </si>
  <si>
    <t>Server - Block Storage - SAN_JP CSJ</t>
  </si>
  <si>
    <t>Server - Block Storage - SAN_CN</t>
  </si>
  <si>
    <t>Server - Block Storage - SAN (Archive)</t>
  </si>
  <si>
    <t>Block Storage - SAN Archive</t>
  </si>
  <si>
    <t>Server - Block Storage - SAN (Archive)_KR</t>
  </si>
  <si>
    <t>Server - Data Retention</t>
  </si>
  <si>
    <t>Server - Data Retention_JP</t>
  </si>
  <si>
    <t>GB * months</t>
  </si>
  <si>
    <t>Data Retention</t>
  </si>
  <si>
    <t>Server - Data Retention_JP CSJ</t>
  </si>
  <si>
    <t>Server - Data Retention_CA</t>
  </si>
  <si>
    <t>Server - File Storage - NAS</t>
  </si>
  <si>
    <t>Server - File Storage - NAS_ZA</t>
  </si>
  <si>
    <t>File Storage - NAS</t>
  </si>
  <si>
    <t>Server - File Storage - NAS_RU</t>
  </si>
  <si>
    <t>Server - File Storage - NAS_PL</t>
  </si>
  <si>
    <t>Server - File Storage - NAS_CZ</t>
  </si>
  <si>
    <t>Server - File Storage - NAS_JP</t>
  </si>
  <si>
    <t>Server - File Storage - NAS_JP CSJ</t>
  </si>
  <si>
    <t>Server - File Storage - NAS Bronze</t>
  </si>
  <si>
    <t>Server - File Storage - NAS Bronze_CA</t>
  </si>
  <si>
    <t>File Storage - NAS Bronze</t>
  </si>
  <si>
    <t>Server - Hardware End of Life Maintenance Charges</t>
  </si>
  <si>
    <t>Hardware End of Life Maintenance Charges</t>
  </si>
  <si>
    <t>Server - High Availability</t>
  </si>
  <si>
    <t>Server - High Availability_JP</t>
  </si>
  <si>
    <t>Server - High Availability_JP CSJ</t>
  </si>
  <si>
    <t>Server - HP-UX - Tier 1</t>
  </si>
  <si>
    <t>Server - HP-UX - Tier 1_KR</t>
  </si>
  <si>
    <t>HP-UX</t>
  </si>
  <si>
    <t>HP-UX - Tier 1</t>
  </si>
  <si>
    <t>Server - Memory - Tier 1</t>
  </si>
  <si>
    <t>Memory</t>
  </si>
  <si>
    <t>Memory - Tier 1</t>
  </si>
  <si>
    <t>Server - Memory - Tier 1_CA</t>
  </si>
  <si>
    <t>Server - Memory - Tier 1_CN</t>
  </si>
  <si>
    <t>Server - Memory - Tier 1_KR</t>
  </si>
  <si>
    <t>Server - Memory - Tier 1 - Virtual</t>
  </si>
  <si>
    <t>Server - Memory - Tier 1 Virtual</t>
  </si>
  <si>
    <t>Server - Memory - Tier 2</t>
  </si>
  <si>
    <t>Memory - Tier 2</t>
  </si>
  <si>
    <t>Server - Memory - Tier 2_CN</t>
  </si>
  <si>
    <t>Server - Memory - Tier 2_KR</t>
  </si>
  <si>
    <t>Server - Memory - Tier 2_CGM</t>
  </si>
  <si>
    <t>Server - Memory - Tier 3</t>
  </si>
  <si>
    <t>Server - Memory - Tier 3_CA</t>
  </si>
  <si>
    <t>Memory - Tier 3</t>
  </si>
  <si>
    <t>Server - Network Port - Internal Network Connection</t>
  </si>
  <si>
    <t>Server Port</t>
  </si>
  <si>
    <t>Network Connection</t>
  </si>
  <si>
    <t>Internal Network Connection</t>
  </si>
  <si>
    <t>Server - Network Port - Internal Network Connection_JP</t>
  </si>
  <si>
    <t>Server - Network Port - Internal Network Connection_JP CSJ</t>
  </si>
  <si>
    <t>Server - Non-Standard Dedicated Storage</t>
  </si>
  <si>
    <t>Server - Non-Standard Dedicated Storage_HU</t>
  </si>
  <si>
    <t>Non-Standard Dedicated Storage</t>
  </si>
  <si>
    <t>Server - Non-Standard Dedicated Storage_IE</t>
  </si>
  <si>
    <t>Server - Non-Standard Dedicated Storage_IT</t>
  </si>
  <si>
    <t>Server - Non-Standard Dedicated Storage_RO</t>
  </si>
  <si>
    <t>Server - Non-Standard Dedicated Storage_SK</t>
  </si>
  <si>
    <t>Server - Non-Standard Dedicated Storage_ZA</t>
  </si>
  <si>
    <t>Server - Non-Standard Dedicated Storage_TR</t>
  </si>
  <si>
    <t>Server - Non-Standard Dedicated Storage_CZ</t>
  </si>
  <si>
    <t>Server - Non-Standard Dedicated Storage_PL</t>
  </si>
  <si>
    <t>Server - Non-Standard Dedicated Storage_RU</t>
  </si>
  <si>
    <t>Server - Non-Standard Dedicated Storage_GR</t>
  </si>
  <si>
    <t>Server - Non-Standard Dedicated Storage_ES</t>
  </si>
  <si>
    <t>Server - Premium Run &amp; Maintenance Support</t>
  </si>
  <si>
    <t>Server - Premium Run &amp; Maintenance Support_CA</t>
  </si>
  <si>
    <t>Server - Premium Run &amp; Maintenance Support_JP</t>
  </si>
  <si>
    <t>Server - Premium Run &amp; Maintenance Support_JP CSJ</t>
  </si>
  <si>
    <t>Server - P-Series Hardware - Tier 1</t>
  </si>
  <si>
    <t>P-Series</t>
  </si>
  <si>
    <t>P-Series - Tier 1</t>
  </si>
  <si>
    <t>Server - P-Series Hardware - Tier 1_KR</t>
  </si>
  <si>
    <t>Server - P-Series Hardware - Tier 1_JP</t>
  </si>
  <si>
    <t>Server - P-Series Hardware - Tier 1_CN</t>
  </si>
  <si>
    <t>Server - P-Series Hardware - Tier 1_JP CSJ</t>
  </si>
  <si>
    <t>Server - P-Series Hardware - Tier 2</t>
  </si>
  <si>
    <t>Server - P-Series Hardware - Tier 2_Regional</t>
  </si>
  <si>
    <t>Server - P-Series Hardware - Tier 2_CA</t>
  </si>
  <si>
    <t>P-Series - Tier 2</t>
  </si>
  <si>
    <t>Server - P-Series Hardware - Tier 2_JP</t>
  </si>
  <si>
    <t>Server - P-Series Hardware - Tier 2_JP CSJ</t>
  </si>
  <si>
    <t>Server - P-Series Hardware - Tier 2_KR</t>
  </si>
  <si>
    <t>Server - P-Series Hardware - Tier 3</t>
  </si>
  <si>
    <t>Server - P-Series Hardware - Tier 3_CA</t>
  </si>
  <si>
    <t>P-Series - Tier 3</t>
  </si>
  <si>
    <t>Server - P-Series Hardware - Tier 3_JP</t>
  </si>
  <si>
    <t>Server - P-Series Hardware - Tier 3_JP CSJ</t>
  </si>
  <si>
    <t>Server - Server Internal / Direct Attached</t>
  </si>
  <si>
    <t>Server Internal / Direct Attached</t>
  </si>
  <si>
    <t>Server - Solaris Hardware - Tier 1</t>
  </si>
  <si>
    <t>Server - Solaris Hardware - Tier 1_CA</t>
  </si>
  <si>
    <t xml:space="preserve">Solaris </t>
  </si>
  <si>
    <t>Solaris - Tier 1</t>
  </si>
  <si>
    <t>Server - Solaris Hardware - Tier 1_JP</t>
  </si>
  <si>
    <t>Server - Solaris Hardware - Tier 1_JP CSJ</t>
  </si>
  <si>
    <t>Server - Solaris Hardware - Tier 2</t>
  </si>
  <si>
    <t>Server - Solaris Hardware - Tier 2_Regional</t>
  </si>
  <si>
    <t>Solaris - Tier 2</t>
  </si>
  <si>
    <t>Server - Solaris Hardware - Tier 2_CA</t>
  </si>
  <si>
    <t>Server - Solaris Hardware - Tier 2_JP</t>
  </si>
  <si>
    <t>Server - Solaris Hardware - Tier 2_JP CSJ</t>
  </si>
  <si>
    <t>Server - Solaris Hardware - Tier 2_KR</t>
  </si>
  <si>
    <t>Server - Solaris Hardware - Tier 3</t>
  </si>
  <si>
    <t>Server - Solaris Hardware - Tier 3_Regional</t>
  </si>
  <si>
    <t>Solaris - Tier 3</t>
  </si>
  <si>
    <t>Server - Solaris Hardware - Tier 3_JP</t>
  </si>
  <si>
    <t>Server - Solaris Hardware - Tier 3_JP CSJ</t>
  </si>
  <si>
    <t>Server - Solaris Hardware - Tier 3_KR</t>
  </si>
  <si>
    <t>Server - Solaris Hardware - Tier 4</t>
  </si>
  <si>
    <t>Server - Unix - CPU - Tier 4</t>
  </si>
  <si>
    <t>Server - Tandem Unisys Silver Tier</t>
  </si>
  <si>
    <t>Server - Tandem Unisys Slots</t>
  </si>
  <si>
    <t>Server - Tape Backup for Servers</t>
  </si>
  <si>
    <t>Server - Tape Backup for Servers_Regional</t>
  </si>
  <si>
    <t>Tape Backup for Servers</t>
  </si>
  <si>
    <t>Server - Tape Backup for Servers_JP</t>
  </si>
  <si>
    <t>Server - Tape Backup for Servers_JP CSJ</t>
  </si>
  <si>
    <t>Server - Tape Backup for Servers_CA</t>
  </si>
  <si>
    <t>Server - Tech Room - Block Storage</t>
  </si>
  <si>
    <t>Tech Room - Block Storage</t>
  </si>
  <si>
    <t>Server - Tech Room - Block Storage_AU</t>
  </si>
  <si>
    <t>Server - VM - Guest Tier</t>
  </si>
  <si>
    <t>VM</t>
  </si>
  <si>
    <t>VM Guest Tier</t>
  </si>
  <si>
    <t>Server - VM - Tier 1</t>
  </si>
  <si>
    <t>VM - Tier 1</t>
  </si>
  <si>
    <t>Server - VM - Tier 1_JP</t>
  </si>
  <si>
    <t>Server - VM - Tier 1_JP CSJ</t>
  </si>
  <si>
    <t>Server - VM - Tier 1_Regional</t>
  </si>
  <si>
    <t>Server - VM - Tier 1_CN</t>
  </si>
  <si>
    <t>Server - VM - Tier 1_KR</t>
  </si>
  <si>
    <t>Server - VM - Tier 2</t>
  </si>
  <si>
    <t>VM - Tier 2</t>
  </si>
  <si>
    <t>Server - VM - Tier 2_CN</t>
  </si>
  <si>
    <t>Server - VM - Tier 2_JP</t>
  </si>
  <si>
    <t>Server - VM - Tier 2_JP CSJ</t>
  </si>
  <si>
    <t>Server - VM - Tier 2_KR</t>
  </si>
  <si>
    <t>Server - VM - Tier 3</t>
  </si>
  <si>
    <t>VM - Tier 3</t>
  </si>
  <si>
    <t>Server - VM - Tier 3_CN</t>
  </si>
  <si>
    <t>Server - VM - Tier 3_JP</t>
  </si>
  <si>
    <t>Server - VM - Tier 3_JP CSJ</t>
  </si>
  <si>
    <t>Server - VM - Tier 3_KR</t>
  </si>
  <si>
    <t>Server - VM - Tier 4</t>
  </si>
  <si>
    <t>VM - Tier 4</t>
  </si>
  <si>
    <t>Server - VM - Tier 4_JP</t>
  </si>
  <si>
    <t>Server - VM - Tier 4_JP CSJ</t>
  </si>
  <si>
    <t>Server - VM - Tier 4_KR</t>
  </si>
  <si>
    <t>Server - x86 Hardware - Tier 1</t>
  </si>
  <si>
    <t xml:space="preserve">x86 </t>
  </si>
  <si>
    <t>x86 - Tier 1</t>
  </si>
  <si>
    <t>Server - x86 Hardware - Tier 1_CA</t>
  </si>
  <si>
    <t>Server - x86 Hardware - Tier 1_JP</t>
  </si>
  <si>
    <t>Server - x86 Hardware - Tier 1_JP CSJ</t>
  </si>
  <si>
    <t>Server - x86 Hardware - Tier 1_KR</t>
  </si>
  <si>
    <t>Server - x86 Hardware - Tier 1_CN</t>
  </si>
  <si>
    <t>Server - x86 Hardware - Tier 2</t>
  </si>
  <si>
    <t>x86 - Tier 2</t>
  </si>
  <si>
    <t>Server - x86 Hardware - Tier 2_CA</t>
  </si>
  <si>
    <t>Server - x86 Hardware - Tier 2_Regional</t>
  </si>
  <si>
    <t>Server - x86 Hardware - Tier 2_CN</t>
  </si>
  <si>
    <t>Server - x86 Hardware - Tier 2_JP</t>
  </si>
  <si>
    <t>Server - x86 Hardware - Tier 2_JP CSJ</t>
  </si>
  <si>
    <t>Server - x86 Hardware - Tier 3</t>
  </si>
  <si>
    <t>x86 - Tier 3</t>
  </si>
  <si>
    <t>Server - x86 Hardware - Tier 3_JP</t>
  </si>
  <si>
    <t>Server - x86 Hardware - Tier 3_JP CSJ</t>
  </si>
  <si>
    <t>Server - x86 Hardware - Tier 3_KR</t>
  </si>
  <si>
    <t>Server - x86 Hardware - Tier 4</t>
  </si>
  <si>
    <t>Server - Wintel - CPU - Tier 4</t>
  </si>
  <si>
    <t>Service Delivery Management</t>
  </si>
  <si>
    <t>Service Delivery Management - ICG</t>
  </si>
  <si>
    <t xml:space="preserve">Service Delivery Management </t>
  </si>
  <si>
    <t xml:space="preserve">Service Delivery Management - ICG </t>
  </si>
  <si>
    <t>Service Delivery Management - GCG</t>
  </si>
  <si>
    <t xml:space="preserve">Service Delivery Management - GCG </t>
  </si>
  <si>
    <t>SERVICIO MEDIDO LLAMADA LOCAL</t>
  </si>
  <si>
    <t>Call</t>
  </si>
  <si>
    <t>SERVICIO MEDIDO LLAMADA LOCAL Filial</t>
  </si>
  <si>
    <t>SERVICIO MEDIDO LLAMADA RED INTERNA</t>
  </si>
  <si>
    <t>SERVICIO MEDIDO LLAMADA RED INTERNA Filial</t>
  </si>
  <si>
    <t>SharePoint</t>
  </si>
  <si>
    <t>Sharepoint</t>
  </si>
  <si>
    <t>SharePoint_Filial</t>
  </si>
  <si>
    <t>Sharepoint Additional Storage</t>
  </si>
  <si>
    <t>SharePoint Additional Storage_Filial</t>
  </si>
  <si>
    <t>Single Sign-on</t>
  </si>
  <si>
    <t>Single Sign-On</t>
  </si>
  <si>
    <t xml:space="preserve">SITE SPECIFIC CONNECTIVITY </t>
  </si>
  <si>
    <t>Site Specific Connectivity_Filial</t>
  </si>
  <si>
    <t>SMS Messaging</t>
  </si>
  <si>
    <t>SMS Messaging_Filial</t>
  </si>
  <si>
    <t>SOPORTE Y MANTENIMIENTO DE RED Filial</t>
  </si>
  <si>
    <t>SOPORTE Y MANTENIMIENTO LOCAL</t>
  </si>
  <si>
    <t>SOPORTE Y MANTENIMIENTO LOCAL Filial</t>
  </si>
  <si>
    <t>Standard Contact Center Telephony</t>
  </si>
  <si>
    <t>Standard Contact Center Telephony_UK</t>
  </si>
  <si>
    <t>Standard Contact Center Telephony_SG</t>
  </si>
  <si>
    <t>Standard Contact Center Telephony_MY</t>
  </si>
  <si>
    <t>Standard Contact Center Telephony_TW</t>
  </si>
  <si>
    <t>Standard Contact Center Telephony_HK</t>
  </si>
  <si>
    <t>Standard Contact Center Telephony_CN</t>
  </si>
  <si>
    <t>Standard Contact Center Telephony_TH</t>
  </si>
  <si>
    <t>Standard Contact Center Telephony_PH</t>
  </si>
  <si>
    <t>Standard Contact Center Telephony_ID</t>
  </si>
  <si>
    <t>Standard Contact Center Telephony_KR</t>
  </si>
  <si>
    <t>Standard Contact Center Telephony_IN</t>
  </si>
  <si>
    <t>Standard Contact Center Telephony_JP</t>
  </si>
  <si>
    <t>Standard Contact Center Telephony_JP CSJ</t>
  </si>
  <si>
    <t>Standard Contact Center Telephony_CA</t>
  </si>
  <si>
    <t>Standard Contact Center Telephony Infrastructure_Regional</t>
  </si>
  <si>
    <t>Standard Contact Center Telephony Support_Regional</t>
  </si>
  <si>
    <t>Standard Desktop_VN</t>
  </si>
  <si>
    <t>Standard Desktop_HK</t>
  </si>
  <si>
    <t>Standard Desktop_CZ</t>
  </si>
  <si>
    <t>Standard Desktop_MY</t>
  </si>
  <si>
    <t>Standard Desktop_KR</t>
  </si>
  <si>
    <t>Standard Desktop_TW</t>
  </si>
  <si>
    <t>Standard Desktop_CN</t>
  </si>
  <si>
    <t>Standard Desktop_SG</t>
  </si>
  <si>
    <t>Standard Desktop_TH</t>
  </si>
  <si>
    <t>Standard Desktop_AU</t>
  </si>
  <si>
    <t>Standard Desktop_PK</t>
  </si>
  <si>
    <t>Standard Desktop_IE</t>
  </si>
  <si>
    <t>Standard Desktop_PH</t>
  </si>
  <si>
    <t>Standard Desktop_ID</t>
  </si>
  <si>
    <t>Standard Desktop_RU</t>
  </si>
  <si>
    <t>Standard Desktop_IN</t>
  </si>
  <si>
    <t>Standard Desktop_HU</t>
  </si>
  <si>
    <t>Standard Desktop_PL</t>
  </si>
  <si>
    <t>Standard Desktop_RO</t>
  </si>
  <si>
    <t>Standard Desktop_JP</t>
  </si>
  <si>
    <t>Standard Desktop_JP CSJ</t>
  </si>
  <si>
    <t>Standard Desktop_SK</t>
  </si>
  <si>
    <t>Standard Desktop_TR</t>
  </si>
  <si>
    <t>Standard Desktop_UK</t>
  </si>
  <si>
    <t>Standard Desktop_EG</t>
  </si>
  <si>
    <t>Standard Desktop_CA</t>
  </si>
  <si>
    <t>Standard Desktop_ES</t>
  </si>
  <si>
    <t>Standard Desktop_LU</t>
  </si>
  <si>
    <t>Standard Desktop_NL</t>
  </si>
  <si>
    <t>Standard Desktop_UA</t>
  </si>
  <si>
    <t>Standard Desktop_BG</t>
  </si>
  <si>
    <t>Standard Desktop_LB</t>
  </si>
  <si>
    <t>Standard Desktop_AE</t>
  </si>
  <si>
    <t>Standard Desktop_NG</t>
  </si>
  <si>
    <t>Standard Desktop_KZ</t>
  </si>
  <si>
    <t>Standard Desktop_DZ</t>
  </si>
  <si>
    <t>Standard Desktop_BH</t>
  </si>
  <si>
    <t>Standard Desktop_JO</t>
  </si>
  <si>
    <t>Standard Desktop_ZA</t>
  </si>
  <si>
    <t>Standard Desktop_PT</t>
  </si>
  <si>
    <t>Standard Desktop_CM</t>
  </si>
  <si>
    <t>Standard Desktop_GA</t>
  </si>
  <si>
    <t>Standard Desktop_FR</t>
  </si>
  <si>
    <t>Standard Desktop_CH</t>
  </si>
  <si>
    <t>Standard Desktop_IT</t>
  </si>
  <si>
    <t>Standard Desktop_TN</t>
  </si>
  <si>
    <t>Standard Desktop_UG</t>
  </si>
  <si>
    <t>Standard Desktop_DE</t>
  </si>
  <si>
    <t>Standard Desktop_IL</t>
  </si>
  <si>
    <t>Standard Desktop_MA</t>
  </si>
  <si>
    <t>Standard Desktop_KE</t>
  </si>
  <si>
    <t>Standard Desktop_CG</t>
  </si>
  <si>
    <t>Standard Desktop_KW</t>
  </si>
  <si>
    <t>Standard Desktop_TZ</t>
  </si>
  <si>
    <t>Standard Desktop_SN</t>
  </si>
  <si>
    <t>Standard Desktop_QA</t>
  </si>
  <si>
    <t>Standard Desktop_CI</t>
  </si>
  <si>
    <t>Standard Desktop_ZM</t>
  </si>
  <si>
    <t>Standard Desktop_GR</t>
  </si>
  <si>
    <t>Standard Desktop Support</t>
  </si>
  <si>
    <t>Standard Desktop Support_FILIAL</t>
  </si>
  <si>
    <t>Standard End User Support</t>
  </si>
  <si>
    <t>Standard End User Support_UK</t>
  </si>
  <si>
    <t>Standard MarketPlace Request</t>
  </si>
  <si>
    <t>Standard MarketPlace Request_IT</t>
  </si>
  <si>
    <t>Standard MarketPlace Request_CH</t>
  </si>
  <si>
    <t>Standard MarketPlace Request_PL</t>
  </si>
  <si>
    <t>Standard MarketPlace Request_CZ</t>
  </si>
  <si>
    <t>Standard MarketPlace Request_IE</t>
  </si>
  <si>
    <t>Standard MarketPlace Request_HU</t>
  </si>
  <si>
    <t>Standard MarketPlace Request_RU</t>
  </si>
  <si>
    <t>Standard MarketPlace Request_DE</t>
  </si>
  <si>
    <t>Standard MarketPlace Request_GR</t>
  </si>
  <si>
    <t>Standard MarketPlace Request_ZA</t>
  </si>
  <si>
    <t>Standard Mobility</t>
  </si>
  <si>
    <t>Standard Mobility_CA</t>
  </si>
  <si>
    <t>Standard Mobility_Filial</t>
  </si>
  <si>
    <t>Standard Office Telephony_UK</t>
  </si>
  <si>
    <t>Standard Office Telephony_MY</t>
  </si>
  <si>
    <t>Standard Office Telephony_HK</t>
  </si>
  <si>
    <t>Standard Office Telephony_PH</t>
  </si>
  <si>
    <t>Standard Office Telephony_CN</t>
  </si>
  <si>
    <t>Standard Office Telephony_ID</t>
  </si>
  <si>
    <t>Standard Office Telephony_SG</t>
  </si>
  <si>
    <t>Standard Office Telephony_LU</t>
  </si>
  <si>
    <t>Standard Office Telephony_RU</t>
  </si>
  <si>
    <t>Standard Office Telephony_RO</t>
  </si>
  <si>
    <t>Standard Office Telephony_IN</t>
  </si>
  <si>
    <t>Standard Office Telephony_CZ</t>
  </si>
  <si>
    <t>Standard Office Telephony_TR</t>
  </si>
  <si>
    <t>Standard Office Telephony_PL</t>
  </si>
  <si>
    <t>Standard Office Telephony_BH</t>
  </si>
  <si>
    <t>Standard Office Telephony_UA</t>
  </si>
  <si>
    <t>Standard Office Telephony_KZ</t>
  </si>
  <si>
    <t>Standard Office Telephony_EG</t>
  </si>
  <si>
    <t>Standard Office Telephony_IE</t>
  </si>
  <si>
    <t>Standard Office Telephony_AE</t>
  </si>
  <si>
    <t>Standard Office Telephony_NL</t>
  </si>
  <si>
    <t>Standard Office Telephony_DZ</t>
  </si>
  <si>
    <t>Standard Office Telephony_ES</t>
  </si>
  <si>
    <t>Standard Office Telephony_HU</t>
  </si>
  <si>
    <t>Standard Office Telephony_CM</t>
  </si>
  <si>
    <t>Standard Office Telephony_JO</t>
  </si>
  <si>
    <t>Standard Office Telephony_UG</t>
  </si>
  <si>
    <t>Standard Office Telephony_SK</t>
  </si>
  <si>
    <t>Standard Office Telephony_CG</t>
  </si>
  <si>
    <t>Standard Office Telephony_CA</t>
  </si>
  <si>
    <t>Standard Office Telephony_GA</t>
  </si>
  <si>
    <t>Standard Office Telephony_BG</t>
  </si>
  <si>
    <t>Standard Office Telephony_IT</t>
  </si>
  <si>
    <t>Standard Office Telephony_DE</t>
  </si>
  <si>
    <t>Standard Office Telephony_PK</t>
  </si>
  <si>
    <t>Standard Office Telephony_VN</t>
  </si>
  <si>
    <t>Standard Office Telephony_KE</t>
  </si>
  <si>
    <t>Standard Office Telephony_CI</t>
  </si>
  <si>
    <t>Standard Office Telephony_NG</t>
  </si>
  <si>
    <t>Standard Office Telephony_TN</t>
  </si>
  <si>
    <t>Standard Office Telephony_ZA</t>
  </si>
  <si>
    <t>Standard Office Telephony_LB</t>
  </si>
  <si>
    <t>Standard Office Telephony_FR</t>
  </si>
  <si>
    <t>Standard Office Telephony_IL</t>
  </si>
  <si>
    <t>Standard Office Telephony_ZM</t>
  </si>
  <si>
    <t>Standard Office Telephony_QA</t>
  </si>
  <si>
    <t>Standard Office Telephony_CH</t>
  </si>
  <si>
    <t>Standard Office Telephony_PT</t>
  </si>
  <si>
    <t>Standard Office Telephony_MA</t>
  </si>
  <si>
    <t>Standard Office Telephony_TZ</t>
  </si>
  <si>
    <t>Standard Office Telephony_KW</t>
  </si>
  <si>
    <t>Standard Office Telephony_SN</t>
  </si>
  <si>
    <t>Standard Office Telephony_AU</t>
  </si>
  <si>
    <t>Standard Office Telephony_GR</t>
  </si>
  <si>
    <t>Standard Office Telephony_KR</t>
  </si>
  <si>
    <t>Standard Office Telephony Filial</t>
  </si>
  <si>
    <t>Standard Office Telephony_TW</t>
  </si>
  <si>
    <t>Standard Office Telephony_TH</t>
  </si>
  <si>
    <t>Standard Office Telephony Infrastructure_Regional</t>
  </si>
  <si>
    <t>Standard Office Telephony Support_Regional</t>
  </si>
  <si>
    <t>Standard Remote Access</t>
  </si>
  <si>
    <t>Standard Remote Access_UK</t>
  </si>
  <si>
    <t>Standard Remote Access- Banamex</t>
  </si>
  <si>
    <t>Standard Remote Access_Regional</t>
  </si>
  <si>
    <t>Standard Remote Access_JP</t>
  </si>
  <si>
    <t>Standard Remote Access_JP CSJ</t>
  </si>
  <si>
    <t>Remote Access - Banamex</t>
  </si>
  <si>
    <t>Remote Access_Filial</t>
  </si>
  <si>
    <t>Remote Access - Banamex_Filial</t>
  </si>
  <si>
    <t>Standard VDI_IN</t>
  </si>
  <si>
    <t>Standard VDI_Regional</t>
  </si>
  <si>
    <t>Standard VDI_UK</t>
  </si>
  <si>
    <t>Standard VDI_JP</t>
  </si>
  <si>
    <t>Standard VDI_JP CSJ</t>
  </si>
  <si>
    <t>TARJETA MEXRED</t>
  </si>
  <si>
    <t>TARJETA MEXRED_Filial</t>
  </si>
  <si>
    <t>Telephony Usage_DZ</t>
  </si>
  <si>
    <t>Voice Usage</t>
  </si>
  <si>
    <t>Telephony Usage_BH</t>
  </si>
  <si>
    <t>Telephony Usage_BG</t>
  </si>
  <si>
    <t>Telephony Usage_CM</t>
  </si>
  <si>
    <t>Telephony Usage_CG</t>
  </si>
  <si>
    <t>Telephony Usage_CI</t>
  </si>
  <si>
    <t>Telephony Usage_CZ</t>
  </si>
  <si>
    <t>Telephony Usage_EG</t>
  </si>
  <si>
    <t>Telephony Usage_FR</t>
  </si>
  <si>
    <t>Telephony Usage_GA</t>
  </si>
  <si>
    <t>Telephony Usage_DE</t>
  </si>
  <si>
    <t>Telephony Usage_HU</t>
  </si>
  <si>
    <t>Telephony Usage_IE</t>
  </si>
  <si>
    <t>Telephony Usage_IL</t>
  </si>
  <si>
    <t>Telephony Usage_IT</t>
  </si>
  <si>
    <t>Telephony Usage_JO</t>
  </si>
  <si>
    <t>Telephony Usage_KZ</t>
  </si>
  <si>
    <t>Telephony Usage_KE</t>
  </si>
  <si>
    <t>Telephony Usage_KW</t>
  </si>
  <si>
    <t>Telephony Usage_LB</t>
  </si>
  <si>
    <t>Telephony Usage_LU</t>
  </si>
  <si>
    <t>Telephony Usage_MA</t>
  </si>
  <si>
    <t>Telephony Usage_NL</t>
  </si>
  <si>
    <t>Telephony Usage_NG</t>
  </si>
  <si>
    <t>Telephony Usage_PK</t>
  </si>
  <si>
    <t>Telephony Usage_PL</t>
  </si>
  <si>
    <t>Telephony Usage_PT</t>
  </si>
  <si>
    <t>Telephony Usage_QA</t>
  </si>
  <si>
    <t>Telephony Usage_RO</t>
  </si>
  <si>
    <t>Telephony Usage_RU</t>
  </si>
  <si>
    <t>Telephony Usage_SN</t>
  </si>
  <si>
    <t>Telephony Usage_SK</t>
  </si>
  <si>
    <t>Telephony Usage_ZA</t>
  </si>
  <si>
    <t>Telephony Usage_ES</t>
  </si>
  <si>
    <t>Telephony Usage_CH</t>
  </si>
  <si>
    <t>Telephony Usage_TZ</t>
  </si>
  <si>
    <t>Telephony Usage_TN</t>
  </si>
  <si>
    <t>Telephony Usage_TR</t>
  </si>
  <si>
    <t>Telephony Usage_UG</t>
  </si>
  <si>
    <t>Telephony Usage_UA</t>
  </si>
  <si>
    <t>Telephony Usage_AE</t>
  </si>
  <si>
    <t>Telephony Usage_UK</t>
  </si>
  <si>
    <t>Telephony Usage_ZM</t>
  </si>
  <si>
    <t>Telephony Usage_GR</t>
  </si>
  <si>
    <t>Voice Usage_Filial</t>
  </si>
  <si>
    <t>Telex</t>
  </si>
  <si>
    <t>Telex_UK</t>
  </si>
  <si>
    <t>Thin Client</t>
  </si>
  <si>
    <t>Thin Client_PH</t>
  </si>
  <si>
    <t>Thin Client_MY</t>
  </si>
  <si>
    <t>Thin Client_AU</t>
  </si>
  <si>
    <t>Thin Client_HK</t>
  </si>
  <si>
    <t>Thin Client_CN</t>
  </si>
  <si>
    <t>Thin Client_SG</t>
  </si>
  <si>
    <t>Thin Client_IN</t>
  </si>
  <si>
    <t>Thin Client_JP</t>
  </si>
  <si>
    <t>Thin Client_JP CSJ</t>
  </si>
  <si>
    <t>Thin Client_UK</t>
  </si>
  <si>
    <t>Thin Client_RO</t>
  </si>
  <si>
    <t>Thin Client_HU</t>
  </si>
  <si>
    <t>Thin Client_ID</t>
  </si>
  <si>
    <t>Thin Client_KR</t>
  </si>
  <si>
    <t>Thin Client_PL</t>
  </si>
  <si>
    <t>Thin Client_TW</t>
  </si>
  <si>
    <t>Thin Client_TH</t>
  </si>
  <si>
    <t>Thin Client_VN</t>
  </si>
  <si>
    <t>Third Party Access</t>
  </si>
  <si>
    <t>TRANSACCIONES TPVS</t>
  </si>
  <si>
    <t>TRANSACCIONES TPVS_Filial</t>
  </si>
  <si>
    <t>True Up_Regional</t>
  </si>
  <si>
    <t>TURNOMATICO</t>
  </si>
  <si>
    <t>Virtual Handset Contact Center Telephony_CA</t>
  </si>
  <si>
    <t>Virtual Handset Office Telephony</t>
  </si>
  <si>
    <t>Virtual Handset Office Telephony_CA</t>
  </si>
  <si>
    <t>Virtual Office Telephony</t>
  </si>
  <si>
    <t>Virtual Office Telephony Filial</t>
  </si>
  <si>
    <t>Voice Analytics and Recording</t>
  </si>
  <si>
    <t>Voice Recording_TW</t>
  </si>
  <si>
    <t>Voice Recording_PH</t>
  </si>
  <si>
    <t>Voice Recording_HK</t>
  </si>
  <si>
    <t>Voice Recording_ID</t>
  </si>
  <si>
    <t>Voice Recording_SG</t>
  </si>
  <si>
    <t>Voice Recording_TH</t>
  </si>
  <si>
    <t>Voice Recording_IN</t>
  </si>
  <si>
    <t>Voice Recording_VN</t>
  </si>
  <si>
    <t>Voice Recording_RO</t>
  </si>
  <si>
    <t>Voice Recording_MY</t>
  </si>
  <si>
    <t>Voice Recording_BG</t>
  </si>
  <si>
    <t>Voice Recording_ES</t>
  </si>
  <si>
    <t>Voice Recording_CN</t>
  </si>
  <si>
    <t>Voice Recording_KR</t>
  </si>
  <si>
    <t>Voice Recording_IE</t>
  </si>
  <si>
    <t>Voice Recording_PK</t>
  </si>
  <si>
    <t>Voice Recording_AU</t>
  </si>
  <si>
    <t>Voice Recording_HU</t>
  </si>
  <si>
    <t>Voice Recording_RU</t>
  </si>
  <si>
    <t>Voice Recording_JP</t>
  </si>
  <si>
    <t>Voice Recording_JP CSJ</t>
  </si>
  <si>
    <t>Voice Recording_UK</t>
  </si>
  <si>
    <t>Voice Recording_BH</t>
  </si>
  <si>
    <t>Voice Recording_EG</t>
  </si>
  <si>
    <t>Voice Recording_CZ</t>
  </si>
  <si>
    <t>Voice Recording_DE</t>
  </si>
  <si>
    <t>Voice Recording_PL</t>
  </si>
  <si>
    <t>Voice Recording_AE</t>
  </si>
  <si>
    <t>Voice Recording_TR</t>
  </si>
  <si>
    <t>Voice Recording_KZ</t>
  </si>
  <si>
    <t>Voice Recording_GA</t>
  </si>
  <si>
    <t>Voice Recording_KE</t>
  </si>
  <si>
    <t>Voice Recording_DZ</t>
  </si>
  <si>
    <t>Voice Recording_CM</t>
  </si>
  <si>
    <t>Voice Recording_IL</t>
  </si>
  <si>
    <t>Voice Recording_LU</t>
  </si>
  <si>
    <t>Voice Recording_UA</t>
  </si>
  <si>
    <t>Voice Recording_ZA</t>
  </si>
  <si>
    <t>Voice Recording_IT</t>
  </si>
  <si>
    <t>Voice Recording_NG</t>
  </si>
  <si>
    <t>Voice Recording_TZ</t>
  </si>
  <si>
    <t>Voice Recording_JO</t>
  </si>
  <si>
    <t>Voice Recording_CH</t>
  </si>
  <si>
    <t>Voice Recording_FR</t>
  </si>
  <si>
    <t>Voice Recording_MA</t>
  </si>
  <si>
    <t>Voice Recording_CI</t>
  </si>
  <si>
    <t>Voice Recording_PT</t>
  </si>
  <si>
    <t>Voice Recording_KW</t>
  </si>
  <si>
    <t>Voice Recording_SK</t>
  </si>
  <si>
    <t>Voice Recording_QA</t>
  </si>
  <si>
    <t>Voice Recording_CG</t>
  </si>
  <si>
    <t>Voice Recording_UG</t>
  </si>
  <si>
    <t>Voice Recording_CA</t>
  </si>
  <si>
    <t>Voice Recording_GR</t>
  </si>
  <si>
    <t>Voice Recording_NL</t>
  </si>
  <si>
    <t>Voice Recording Infrastructure_Regional</t>
  </si>
  <si>
    <t>Voice Recording Storage</t>
  </si>
  <si>
    <t>Voice Recording Storage_Regional</t>
  </si>
  <si>
    <t>Voice Recording Storage_JP</t>
  </si>
  <si>
    <t>Voice Recording Storage_JP CSJ</t>
  </si>
  <si>
    <t>Voice Recording Support</t>
  </si>
  <si>
    <t>Voice Recording Support_Regional</t>
  </si>
  <si>
    <t>Voice Support</t>
  </si>
  <si>
    <t>Voice Support_AVP Hungary</t>
  </si>
  <si>
    <t>Voicemail</t>
  </si>
  <si>
    <t>Voicemail_ES</t>
  </si>
  <si>
    <t>Voicemail_LU</t>
  </si>
  <si>
    <t>Voicemail_CA</t>
  </si>
  <si>
    <t>Assigned Voicemailbox</t>
  </si>
  <si>
    <t>Voicemail_IE</t>
  </si>
  <si>
    <t>Voicemail_CH</t>
  </si>
  <si>
    <t>Conference</t>
  </si>
  <si>
    <t>WiFi</t>
  </si>
  <si>
    <t>WiFi_Filial</t>
  </si>
  <si>
    <t>Standard Desktop_Regional</t>
  </si>
  <si>
    <t xml:space="preserve">    201.65 </t>
  </si>
  <si>
    <t>Laptop_Regional</t>
  </si>
  <si>
    <t xml:space="preserve">    221.07 </t>
  </si>
  <si>
    <t>Thin Client _Regional</t>
  </si>
  <si>
    <t>Standard Office Telephony_Regional</t>
  </si>
  <si>
    <t>Standard Contact Center Telephony_Regional</t>
  </si>
  <si>
    <t xml:space="preserve">    101.33 </t>
  </si>
  <si>
    <t>Server - Memory - Tier 1 &amp; Server - Memory - Tier 1 Virtual (Monthly)</t>
  </si>
  <si>
    <t>Cloud - Development Environment (VM)</t>
  </si>
  <si>
    <t>(Retired-2013)-10131000037577</t>
  </si>
  <si>
    <t>(Retired-2013)-10131000037656</t>
  </si>
  <si>
    <t>(Retired-2013)-10131000037581</t>
  </si>
  <si>
    <t>(Retired-2013)-10131000037662</t>
  </si>
  <si>
    <t>VMWare Software</t>
  </si>
  <si>
    <t>13.11.22</t>
  </si>
  <si>
    <r>
      <t xml:space="preserve">1. </t>
    </r>
    <r>
      <rPr>
        <b/>
        <sz val="11"/>
        <color theme="1"/>
        <rFont val="Calibri"/>
        <family val="2"/>
        <scheme val="minor"/>
      </rPr>
      <t>Update (HostBuild)</t>
    </r>
    <r>
      <rPr>
        <sz val="11"/>
        <color theme="1"/>
        <rFont val="Calibri"/>
        <family val="2"/>
        <scheme val="minor"/>
      </rPr>
      <t xml:space="preserve"> </t>
    </r>
    <r>
      <rPr>
        <b/>
        <sz val="11"/>
        <color theme="1"/>
        <rFont val="Calibri"/>
        <family val="2"/>
        <scheme val="minor"/>
      </rPr>
      <t xml:space="preserve">New 2014 CTI Rates now incorporated
2. Bug Fix (HostBuild): </t>
    </r>
    <r>
      <rPr>
        <sz val="11"/>
        <color theme="1"/>
        <rFont val="Calibri"/>
        <family val="2"/>
        <scheme val="minor"/>
      </rPr>
      <t>Some calculate formulas for HW costs were fixed.</t>
    </r>
  </si>
  <si>
    <t>*** Prototype ***  will not be finalized until validated against CTI 2014 calculators to be released.</t>
  </si>
  <si>
    <t>13.11.26</t>
  </si>
  <si>
    <r>
      <t xml:space="preserve">1. </t>
    </r>
    <r>
      <rPr>
        <b/>
        <sz val="11"/>
        <color theme="1"/>
        <rFont val="Calibri"/>
        <family val="2"/>
        <scheme val="minor"/>
      </rPr>
      <t xml:space="preserve">Bug Fix (BoM Tools Menu) - </t>
    </r>
    <r>
      <rPr>
        <sz val="11"/>
        <color theme="1"/>
        <rFont val="Calibri"/>
        <family val="2"/>
        <scheme val="minor"/>
      </rPr>
      <t>Code updated to work in both 32-bit &amp; 64-bit mode.</t>
    </r>
  </si>
  <si>
    <t>14.01.27</t>
  </si>
  <si>
    <t>VMware rates still need to be verified.</t>
  </si>
  <si>
    <t>crs.stand-alone.sas.enterprise.fraud.management.BoM.v.0.1.xlsm</t>
  </si>
  <si>
    <t>PROD2</t>
  </si>
  <si>
    <t>Windows Srvr 2012 SP2</t>
  </si>
  <si>
    <r>
      <t xml:space="preserve">1. </t>
    </r>
    <r>
      <rPr>
        <b/>
        <sz val="11"/>
        <color theme="1"/>
        <rFont val="Calibri"/>
        <family val="2"/>
        <scheme val="minor"/>
      </rPr>
      <t>Update: *** 2014 RATES ***</t>
    </r>
    <r>
      <rPr>
        <sz val="11"/>
        <color theme="1"/>
        <rFont val="Calibri"/>
        <family val="2"/>
        <scheme val="minor"/>
      </rPr>
      <t xml:space="preserve">
2. Removed Tech Stack spreadsheet -- out-of-date
3. Added OS: Windows Server 2012 SP2</t>
    </r>
  </si>
  <si>
    <t>14.02.06</t>
  </si>
  <si>
    <r>
      <t xml:space="preserve">1. </t>
    </r>
    <r>
      <rPr>
        <b/>
        <sz val="11"/>
        <color theme="1"/>
        <rFont val="Calibri"/>
        <family val="2"/>
        <scheme val="minor"/>
      </rPr>
      <t xml:space="preserve">Enhancement (Import): </t>
    </r>
    <r>
      <rPr>
        <sz val="11"/>
        <color theme="1"/>
        <rFont val="Calibri"/>
        <family val="2"/>
        <scheme val="minor"/>
      </rPr>
      <t>An existing 'Parking Lot' worksheet can now be imported; it will replace the template's blank version.</t>
    </r>
  </si>
  <si>
    <t>ESB-Digital - EMS</t>
  </si>
  <si>
    <t>FDC</t>
  </si>
  <si>
    <t>RDC</t>
  </si>
  <si>
    <t>Veritas Cluster/CFS, TIBCO EMS, CA APM</t>
  </si>
  <si>
    <t>TIBCO BW, CA APM</t>
  </si>
  <si>
    <t>PCR-AVATAR</t>
  </si>
  <si>
    <t>FDC-DIG-ESB-EMS-SVR1</t>
  </si>
  <si>
    <t>FDC-DIG-ESB-EMS-SVR2</t>
  </si>
  <si>
    <t>FDC-DIG-ESB-EMS-SVR3</t>
  </si>
  <si>
    <t>FDC-DIG-ESB-EMS-SVR4</t>
  </si>
  <si>
    <t>FDC-DIG-ESB-BW-SVR1</t>
  </si>
  <si>
    <t>FDC-DIG-ESB-BW-SVR2</t>
  </si>
  <si>
    <t>FDC-DIG-ESB-BW-SVR3</t>
  </si>
  <si>
    <t>FDC-DIG-ESB-BW-SVR4</t>
  </si>
  <si>
    <t>FDC-DIG-ESB-BW-SVR5</t>
  </si>
  <si>
    <t>FDC-DIG-ESB-BW-SVR6</t>
  </si>
  <si>
    <t>FDC-DIG-ESB-BW-SVR7</t>
  </si>
  <si>
    <t>FDC-DIG-ESB-BW-SVR8</t>
  </si>
  <si>
    <t>FDC-DIG-ESB-BW-SVR9</t>
  </si>
  <si>
    <t>FDC-DIG-ESB-BW-SVR10</t>
  </si>
  <si>
    <t>FDC-DIG-ESB-BW-SVR11</t>
  </si>
  <si>
    <t>FDC-DIG-ESB-BW-SVR12</t>
  </si>
  <si>
    <t>RDC-COB-DIG-ESB-EMS-SVR1</t>
  </si>
  <si>
    <t>RDC-COB-DIG-ESB-EMS-SVR2</t>
  </si>
  <si>
    <t>RDC-COB-DIG-ESB-EMS-SVR3</t>
  </si>
  <si>
    <t>RDC-COB-DIG-ESB-EMS-SVR4</t>
  </si>
  <si>
    <t>RDC-COB-DIG-ESB-BW-SVR1</t>
  </si>
  <si>
    <t>RDC-COB-DIG-ESB-BW-SVR2</t>
  </si>
  <si>
    <t>RDC-COB-DIG-ESB-BW-SVR3</t>
  </si>
  <si>
    <t>RDC-COB-DIG-ESB-BW-SVR4</t>
  </si>
  <si>
    <t>RDC-COB-DIG-ESB-BW-SVR5</t>
  </si>
  <si>
    <t>RDC-COB-DIG-ESB-BW-SVR6</t>
  </si>
  <si>
    <t>RDC-COB-DIG-ESB-BW-SVR7</t>
  </si>
  <si>
    <t>RDC-COB-DIG-ESB-BW-SVR8</t>
  </si>
  <si>
    <t>RDC-COB-DIG-ESB-BW-SVR9</t>
  </si>
  <si>
    <t>RDC-COB-DIG-ESB-BW-SVR10</t>
  </si>
  <si>
    <t>RDC-COB-DIG-ESB-BW-SVR11</t>
  </si>
  <si>
    <t>RDC-COB-DIG-ESB-BW-SVR12</t>
  </si>
  <si>
    <t>Oracle RAC - ESB</t>
  </si>
  <si>
    <t>Oracle RAC - ESB,</t>
  </si>
  <si>
    <t>Dataguard- Oracle RAC-ESB</t>
  </si>
  <si>
    <t>fdcgcgdtgad14p</t>
  </si>
  <si>
    <t>fdcgcgracad14p</t>
  </si>
  <si>
    <t>fdcgcgracad15p</t>
  </si>
  <si>
    <t>fdcgcgticad01p</t>
  </si>
  <si>
    <t>fdcgcgticad02p</t>
  </si>
  <si>
    <t>Oracle HACMP  - Tibco, RMAN</t>
  </si>
  <si>
    <t>Oracle HACMP - Tibco, RMAN</t>
  </si>
  <si>
    <t>Yes - Outside this BoM</t>
  </si>
  <si>
    <t>a</t>
  </si>
  <si>
    <t>rdcgcgracad14c</t>
  </si>
  <si>
    <t>rdcgcgracad15c</t>
  </si>
  <si>
    <t>rdcgcgdtgad14c</t>
  </si>
  <si>
    <t>rdcgcgticad01c</t>
  </si>
  <si>
    <t>rdcgcgticad02c</t>
  </si>
  <si>
    <t>PAT</t>
  </si>
  <si>
    <t>fdcgcgracad31p</t>
  </si>
  <si>
    <t>fdcgcgracad32p</t>
  </si>
  <si>
    <t>FDCGCGMQMLA19P</t>
  </si>
  <si>
    <t>FDCGCGMQMLA20P</t>
  </si>
  <si>
    <t>FDCGCGMQMLA65P</t>
  </si>
  <si>
    <t>FDCGCGMQMLA75P</t>
  </si>
  <si>
    <t>IBM WMQ x86, CA APM</t>
  </si>
  <si>
    <t>ESB [V5,V6], CMR, SNF - EMS</t>
  </si>
  <si>
    <t>FDCGCGTIBLA61P</t>
  </si>
  <si>
    <t>FDCGCGTIBLA71P</t>
  </si>
  <si>
    <t>FDCGCGTIBLA81P</t>
  </si>
  <si>
    <t>FDCGCGTIBLA91P</t>
  </si>
  <si>
    <t>PAT/PROD</t>
  </si>
  <si>
    <t>ESB-Digital -BW</t>
  </si>
  <si>
    <t>ESB-PAT-BW</t>
  </si>
  <si>
    <t>FDCGCGTIBLA25P</t>
  </si>
  <si>
    <t>FDCGCGTIBLA26P</t>
  </si>
  <si>
    <t>FDCGCGTIBLA27P</t>
  </si>
  <si>
    <t>FDCGCGTIBLA28P</t>
  </si>
  <si>
    <t>Web Server</t>
  </si>
  <si>
    <t>PL App Server</t>
  </si>
  <si>
    <t>CM App Server</t>
  </si>
  <si>
    <t>DB Server Cluster1</t>
  </si>
  <si>
    <t>Data Guard Cluster1</t>
  </si>
  <si>
    <t>DB Server Cluster2</t>
  </si>
  <si>
    <t>Data Guard Cluster2</t>
  </si>
  <si>
    <t>IBM WAS x86, CA APM, IBM HTTP x86</t>
  </si>
  <si>
    <t>CitiAlert Server</t>
  </si>
  <si>
    <t>ESTMT</t>
  </si>
  <si>
    <t>BLADE 1</t>
  </si>
  <si>
    <t>BLADE 2</t>
  </si>
  <si>
    <t>BLADE 3</t>
  </si>
  <si>
    <t>BLADE 4</t>
  </si>
  <si>
    <t>BLADE 5</t>
  </si>
  <si>
    <t>BLADE 6</t>
  </si>
  <si>
    <t>BLADE 7</t>
  </si>
  <si>
    <t>BLADE 8</t>
  </si>
  <si>
    <t>BLADE 9</t>
  </si>
  <si>
    <t>BLADE 10</t>
  </si>
  <si>
    <t>BLADE 11</t>
  </si>
  <si>
    <t>BLADE 12</t>
  </si>
  <si>
    <t>BLADE 13</t>
  </si>
  <si>
    <t>BLADE 14</t>
  </si>
  <si>
    <t>BLADE 15</t>
  </si>
  <si>
    <t>BLADE 16</t>
  </si>
  <si>
    <t>BLADE 17</t>
  </si>
  <si>
    <t>BLADE 18</t>
  </si>
  <si>
    <t>BLADE 19</t>
  </si>
  <si>
    <t>BLADE 20</t>
  </si>
  <si>
    <t>New LPAR 1</t>
  </si>
  <si>
    <t>New LPAR 2</t>
  </si>
  <si>
    <t>fdcgcgestaa01p</t>
  </si>
  <si>
    <t>fdcgcgestaa02p</t>
  </si>
  <si>
    <t>java, MQ7, NDM</t>
  </si>
  <si>
    <t>Websphere7, NDM, ODWEK, MQ, IHS</t>
  </si>
  <si>
    <t>GR1 App Server</t>
  </si>
  <si>
    <t>GR2 App Server</t>
  </si>
  <si>
    <t>GR3 App Server</t>
  </si>
  <si>
    <t>UAT-BLADE 1</t>
  </si>
  <si>
    <t>UAT-BLADE 2</t>
  </si>
  <si>
    <t>UAT-BLADE 3</t>
  </si>
  <si>
    <t>UAT-BLADE 4</t>
  </si>
  <si>
    <t>UAT-BLADE 5</t>
  </si>
  <si>
    <t>UAT-BLADE 6</t>
  </si>
  <si>
    <t>UAT-BLADE 7</t>
  </si>
  <si>
    <t>UAT-BLADE 8</t>
  </si>
  <si>
    <t>UAT-BLADE 9</t>
  </si>
  <si>
    <t>UAT-BLADE 10</t>
  </si>
  <si>
    <t>UAT-BLADE 11</t>
  </si>
  <si>
    <t>UAT-BLADE 12</t>
  </si>
  <si>
    <t>UAT-BLADE 13</t>
  </si>
  <si>
    <t>UAT-BLADE 14</t>
  </si>
  <si>
    <t>UAT-BLADE 15</t>
  </si>
  <si>
    <t>UAT-BLADE 16</t>
  </si>
  <si>
    <t>CBOL</t>
  </si>
  <si>
    <t>UAT-New LPAR 1</t>
  </si>
  <si>
    <t>UAT-New LPAR 2</t>
  </si>
  <si>
    <t>rdcgcgestaa01u</t>
  </si>
  <si>
    <t>DB Server</t>
  </si>
  <si>
    <t>SIT-BLADE 1</t>
  </si>
  <si>
    <t>SIT-BLADE 2</t>
  </si>
  <si>
    <t>SIT-BLADE 3</t>
  </si>
  <si>
    <t>SIT-BLADE 4</t>
  </si>
  <si>
    <t>SIT-BLADE 5</t>
  </si>
  <si>
    <t>SIT-BLADE 6</t>
  </si>
  <si>
    <t>IBM HTTP Server, WAS Plugin</t>
  </si>
  <si>
    <t>Websphere 8.5, IHS, Safenet, Oracle Client</t>
  </si>
  <si>
    <t>Oracle 11G, AWR</t>
  </si>
  <si>
    <t>SIT-New LPAR 1</t>
  </si>
  <si>
    <t>SIT-New/OLD LPAR</t>
  </si>
  <si>
    <t>18/02/2014</t>
  </si>
  <si>
    <t xml:space="preserve">Initial Draft-No clarity on Datacentre,hardware and Operating systems </t>
  </si>
  <si>
    <t>OracleDB -TCONS,/URS/ ESB,/CMR,/Citiplanner,/CLMS</t>
  </si>
  <si>
    <t xml:space="preserve">ESB\CI\CP\COPS\SNF\CMR-EMS </t>
  </si>
  <si>
    <t>ESB/CMR</t>
  </si>
  <si>
    <t>TIBCO EMS, CA APM</t>
  </si>
  <si>
    <t>SIT/DIT</t>
  </si>
  <si>
    <t xml:space="preserve">Considered All blade servers are BL 620G7 or higher  and  will build the UAT on COB infra </t>
  </si>
  <si>
    <t>19/02/2014</t>
  </si>
  <si>
    <t>RDC-UAT-DIG-ESB-EMS-SVR1</t>
  </si>
  <si>
    <t>RDC-UAT-DIG-ESB-EMS-SVR2</t>
  </si>
  <si>
    <t>RDC-UAT-DIG-ESB-EMS-SVR3</t>
  </si>
  <si>
    <t>RDC-UAT-DIG-ESB-EMS-SVR4</t>
  </si>
  <si>
    <t>RDC-UAT-DIG-ESB-BW-SVR1</t>
  </si>
  <si>
    <t>RDC-UAT-DIG-ESB-BW-SVR2</t>
  </si>
  <si>
    <t>RDC-UAT-DIG-ESB-BW-SVR3</t>
  </si>
  <si>
    <t>RDC-UAT-DIG-ESB-BW-SVR4</t>
  </si>
  <si>
    <t>RDC-UAT-DIG-ESB-BW-SVR5</t>
  </si>
  <si>
    <t>RDC-UAT-DIG-ESB-BW-SVR6</t>
  </si>
  <si>
    <t>HKDC</t>
  </si>
  <si>
    <t>Yes - Inside this BoM</t>
  </si>
  <si>
    <t>rdcgcgracad14u</t>
  </si>
  <si>
    <t>rdcgcgracad15u</t>
  </si>
  <si>
    <t>rdcgcgdtgad14u</t>
  </si>
  <si>
    <t>rdcgcgticad01u</t>
  </si>
  <si>
    <t>rdcgcgticad02u</t>
  </si>
  <si>
    <t>RDCGCGMQMLA19U</t>
  </si>
  <si>
    <t>RDCGCGMQMLA20U</t>
  </si>
  <si>
    <t>RDCGCGMQMLA65U</t>
  </si>
  <si>
    <t>RDCGCGMQMLA75U</t>
  </si>
  <si>
    <t>RDCGCGTIBLA61U</t>
  </si>
  <si>
    <t>RDCGCGTIBLA71U</t>
  </si>
  <si>
    <t>RDCGCGTIBLA81U</t>
  </si>
  <si>
    <t>RDCGCGTIBLA91U</t>
  </si>
  <si>
    <t>RDC-UAT-DIG-ESB-BW-SVR7</t>
  </si>
  <si>
    <t>RDC-UAT-DIG-ESB-BW-SVR8</t>
  </si>
  <si>
    <t>RDC-UAT-DIG-ESB-BW-SVR9</t>
  </si>
  <si>
    <t>RDC-UAT-DIG-ESB-BW-SVR10</t>
  </si>
  <si>
    <t>RDC-UAT-DIG-ESB-BW-SVR11</t>
  </si>
  <si>
    <t>RDC-UAT-DIG-ESB-BW-SVR12</t>
  </si>
  <si>
    <t>saixr293</t>
  </si>
  <si>
    <t>hlixtr289</t>
  </si>
  <si>
    <t>hlixtr492</t>
  </si>
  <si>
    <t xml:space="preserve">Existing Server to be reused - if no techstack change </t>
  </si>
  <si>
    <t xml:space="preserve">To be reused - if no techstack change </t>
  </si>
  <si>
    <t>Existing BAU server to be released after cutover -Hump</t>
  </si>
  <si>
    <t>FDCGCGTIBLA35P</t>
  </si>
  <si>
    <t>FDCGCGTIBLA36P</t>
  </si>
  <si>
    <t>FDCGCGMQMLA19C</t>
  </si>
  <si>
    <t>FDCGCGMQMLA20C</t>
  </si>
  <si>
    <t>FDCGCGMQMLA65C</t>
  </si>
  <si>
    <t>FDCGCGMQMLA75C</t>
  </si>
  <si>
    <t>FDCGCGTIBLA61C</t>
  </si>
  <si>
    <t>FDCGCGTIBLA71C</t>
  </si>
  <si>
    <t>FDCGCGTIBLA81C</t>
  </si>
  <si>
    <t>FDCGCGTIBLA91C</t>
  </si>
  <si>
    <t>UAT2</t>
  </si>
  <si>
    <t xml:space="preserve">CBOL implementation planned as Hot-Hot across Datacentre ,hence no dedicated COB servers </t>
  </si>
  <si>
    <t>Hot-Hot not considered for ESB ,200 % capcity for COB .Same COB servers will use for UAT</t>
  </si>
  <si>
    <t>EMEA Rainbow CBOL capcity considered for sizing .</t>
  </si>
  <si>
    <t xml:space="preserve">CBOL included into the BOM </t>
  </si>
  <si>
    <t xml:space="preserve">Refined the BOM for L0 Sizing </t>
  </si>
  <si>
    <t xml:space="preserve">EMEA Digital GC version </t>
  </si>
  <si>
    <t>Name changed to BOM_EMEA_Digital_GC</t>
  </si>
  <si>
    <t>16 UAT &amp; COB  BL620G7 for ESB,8 PROD  &amp;  8 COB  ESB blade servers will  be released after this implementation</t>
  </si>
  <si>
    <t>For ESB ,need  to reuse existing servers where ever possible if no major  tech stack change .</t>
  </si>
  <si>
    <t xml:space="preserve">CBOL - 20 PROD and 16 UAT blades  servers across datacentre, 2 Additional P series LPARs </t>
  </si>
  <si>
    <t>#NAME?</t>
  </si>
</sst>
</file>

<file path=xl/styles.xml><?xml version="1.0" encoding="utf-8"?>
<styleSheet xmlns="http://schemas.openxmlformats.org/spreadsheetml/2006/main" xmlns:mc="http://schemas.openxmlformats.org/markup-compatibility/2006" xmlns:x14ac="http://schemas.microsoft.com/office/spreadsheetml/2009/9/ac" mc:Ignorable="x14ac">
  <numFmts count="186">
    <numFmt numFmtId="5" formatCode="&quot;$&quot;#,##0_);\(&quot;$&quot;#,##0\)"/>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00"/>
    <numFmt numFmtId="165" formatCode="&quot;$&quot;#,##0"/>
    <numFmt numFmtId="166" formatCode="0.0"/>
    <numFmt numFmtId="167" formatCode="_(* #,##0.0_);_(* \(#,##0.0\);_(* &quot;-&quot;??_);_(@_)"/>
    <numFmt numFmtId="168" formatCode="_-&quot;£&quot;* #,##0.00_-;\-&quot;£&quot;* #,##0.00_-;_-&quot;£&quot;* &quot;-&quot;??_-;_-@_-"/>
    <numFmt numFmtId="169" formatCode="#,##0.0;\(#,##0.0\)"/>
    <numFmt numFmtId="170" formatCode="[Blue]#,##0,\ \ \ ;[Red]\(#,##0,\)\ \ ;\-\-\ \ \ "/>
    <numFmt numFmtId="171" formatCode="#,##0,\ \ \ ;\(#,##0,\)\ \ ;\-\-\ \ \ "/>
    <numFmt numFmtId="172" formatCode="0.000"/>
    <numFmt numFmtId="173" formatCode="#,##0;\(#,##0\)"/>
    <numFmt numFmtId="174" formatCode="#,##0.0_);[Red]\(#,##0.0\)"/>
    <numFmt numFmtId="175" formatCode="_(#,##0_ *m\²_)"/>
    <numFmt numFmtId="176" formatCode="0.0_)\%;\(0.0\)\%;0.0_)\%;@_)_%"/>
    <numFmt numFmtId="177" formatCode="0.0_)%;\(0.0&quot;)%&quot;;0.0_)%;@_)_%"/>
    <numFmt numFmtId="178" formatCode="#,##0.0_)_%;\(#,##0.0\)_%;0.0_)_%;@_)_%"/>
    <numFmt numFmtId="179" formatCode="_-* #,##0_-;\-* #,##0_-;_-* &quot;-&quot;_-;_-@_-"/>
    <numFmt numFmtId="180" formatCode="#,##0.0_);\(#,##0.0\);#,##0.0_);@_)"/>
    <numFmt numFmtId="181" formatCode="&quot;$&quot;_(#,##0.00_);&quot;$&quot;\(#,##0.00\);&quot;$&quot;_(0.00_);@_)"/>
    <numFmt numFmtId="182" formatCode="\$_(#,##0.00_);&quot;$(&quot;#,##0.00\);\$_(0.00_);@_)"/>
    <numFmt numFmtId="183" formatCode="&quot;£&quot;_(#,##0.00_);&quot;£&quot;\(#,##0.00\);&quot;£&quot;_(0.00_);@_)"/>
    <numFmt numFmtId="184" formatCode="\•\ \ @"/>
    <numFmt numFmtId="185" formatCode="#,##0.00_);\(#,##0.00\);0.00_);@_)"/>
    <numFmt numFmtId="186" formatCode="\€_(#,##0.00_);\€\(#,##0.00\);\€_(0.00_);@_)"/>
    <numFmt numFmtId="187" formatCode="&quot;€&quot;_(#,##0.00_);&quot;€&quot;\(#,##0.00\);&quot;€&quot;_(0.00_);@_)"/>
    <numFmt numFmtId="188" formatCode="\€_(#,##0.00_);&quot;€(&quot;#,##0.00\);\€_(0.00_);@_)"/>
    <numFmt numFmtId="189" formatCode="General_)"/>
    <numFmt numFmtId="190" formatCode="#,##0_)\x;\(#,##0\)\x;0_)\x;@_)_x"/>
    <numFmt numFmtId="191" formatCode="#,##0.0_)\x;\(#,##0.0\)\x;0.0_)\x;@_)_x"/>
    <numFmt numFmtId="192" formatCode="#,##0_)\x;\(#,##0&quot;)x&quot;;0_)\x;@_)_x"/>
    <numFmt numFmtId="193" formatCode="#,##0_)_x;\(#,##0\)_x;0_)_x;@_)_x"/>
    <numFmt numFmtId="194" formatCode="#,##0.0_)_x;\(#,##0.0\)_x;0.0_)_x;@_)_x"/>
    <numFmt numFmtId="195" formatCode="\£\ #,##0_);[Red]\(\£\ #,##0\)"/>
    <numFmt numFmtId="196" formatCode="\¥\ #,##0_);[Red]\(\¥\ #,##0\)"/>
    <numFmt numFmtId="197" formatCode="#,##0_);\(#,##0\);\-_)"/>
    <numFmt numFmtId="198" formatCode="###0_);\(###0\);\-_)"/>
    <numFmt numFmtId="199" formatCode="_-&quot;$&quot;* #,##0_-;\-&quot;$&quot;* #,##0_-;_-&quot;$&quot;* &quot;-&quot;_-;_-@_-"/>
    <numFmt numFmtId="200" formatCode="mm/dd/yy"/>
    <numFmt numFmtId="201" formatCode="_ * #,##0_)_W_ ;_ * \(#,##0\)_W_ ;_ * &quot;-&quot;_)_W_ ;_ @_ "/>
    <numFmt numFmtId="202" formatCode="_ * #,##0.00_)_W_ ;_ * \(#,##0.00\)_W_ ;_ * &quot;-&quot;??_)_W_ ;_ @_ "/>
    <numFmt numFmtId="203" formatCode="#,##0\ ;"/>
    <numFmt numFmtId="204" formatCode="&quot;\&quot;#,##0.00;[Red]&quot;\&quot;\-#,##0.00"/>
    <numFmt numFmtId="205" formatCode="#,##0.000_);\(#,##0.000\);\-"/>
    <numFmt numFmtId="206" formatCode="\(#,##0\ ;\-#,##0\ ;\)"/>
    <numFmt numFmtId="207" formatCode="&quot;\&quot;#,##0;[Red]&quot;\&quot;\-#,##0"/>
    <numFmt numFmtId="208" formatCode="_ * #,##0_)&quot;W&quot;_ ;_ * \(#,##0\)&quot;W&quot;_ ;_ * &quot;-&quot;_)&quot;W&quot;_ ;_ @_ "/>
    <numFmt numFmtId="209" formatCode="_ * #,##0.00_)&quot;W&quot;_ ;_ * \(#,##0.00\)&quot;W&quot;_ ;_ * &quot;-&quot;??_)&quot;W&quot;_ ;_ @_ "/>
    <numFmt numFmtId="210" formatCode="[Blue]#,##0;\-#,##0"/>
    <numFmt numFmtId="211" formatCode="#,##0;[Red]&quot;-&quot;#,##0"/>
    <numFmt numFmtId="212" formatCode="\(#,##0\ ;\-#,##0;\)"/>
    <numFmt numFmtId="213" formatCode="#,##0.00;[Red]&quot;-&quot;#,##0.00"/>
    <numFmt numFmtId="214" formatCode="_-* #,##0.00_-;\-* #,##0.00_-;_-* &quot;-&quot;??_-;_-@_-"/>
    <numFmt numFmtId="215" formatCode="#,##0.0;[Red]\(#,##0.0\)"/>
    <numFmt numFmtId="216" formatCode="[Blue]#,##0\ \ \ ;[Blue]\(#,##0\)\ \ "/>
    <numFmt numFmtId="217" formatCode="[Blue]0.0%;[Blue]\-0.0%"/>
    <numFmt numFmtId="218" formatCode="#\ ###\ ###\ ##0\ "/>
    <numFmt numFmtId="219" formatCode="_(* #,##0.0_);_(* \(#,##0.0\);_(* &quot;-&quot;?_);@_)"/>
    <numFmt numFmtId="220" formatCode="&quot;$&quot;#,###.00_);\(&quot;$&quot;#,###.00\);;&quot;num required&quot;\)"/>
    <numFmt numFmtId="221" formatCode="[Red]##,#0_;\(#,##0.0\)%"/>
    <numFmt numFmtId="222" formatCode="_-* #,##0.00\ _F_-;\-* #,##0.00\ _F_-;_-* &quot;-&quot;??\ _F_-;_-@_-"/>
    <numFmt numFmtId="223" formatCode="d/m/yy"/>
    <numFmt numFmtId="224" formatCode="&quot;fl&quot;#,##0_);\(&quot;fl&quot;#,##0\)"/>
    <numFmt numFmtId="225" formatCode="d/m/yy\ h:mm"/>
    <numFmt numFmtId="226" formatCode="&quot;fl&quot;#,##0_);[Red]\(&quot;fl&quot;#,##0\)"/>
    <numFmt numFmtId="227" formatCode="#,##0&quot; F&quot;_);\(#,##0&quot; F&quot;\)"/>
    <numFmt numFmtId="228" formatCode="_(* #,##0.0_);_(* \(#,##0.00\);_(* &quot;-&quot;??_);_(@_)"/>
    <numFmt numFmtId="229" formatCode="#,##0;\-#,##0;&quot;-&quot;"/>
    <numFmt numFmtId="230" formatCode="&quot;fl&quot;#,##0.00_);\(&quot;fl&quot;#,##0.00\)"/>
    <numFmt numFmtId="231" formatCode="#,##0&quot; F&quot;_);[Red]\(#,##0&quot; F&quot;\)"/>
    <numFmt numFmtId="232" formatCode="#,##0_);\(#,##0\);"/>
    <numFmt numFmtId="233" formatCode="&quot;$&quot;* #,##0_);&quot;$&quot;* \(#,##0\);;&quot;num required&quot;\)"/>
    <numFmt numFmtId="234" formatCode="m/d"/>
    <numFmt numFmtId="235" formatCode="0.0000000"/>
    <numFmt numFmtId="236" formatCode="#,##0_%_);\(#,##0\)_%;**;@_%_)"/>
    <numFmt numFmtId="237" formatCode="#,##0_%_);\(#,##0\)_%;#,##0_%_);@_%_)"/>
    <numFmt numFmtId="238" formatCode="#,##0.00_%_);\(#,##0.00\)_%;**;@_%_)"/>
    <numFmt numFmtId="239" formatCode="#,##0.000_%_);\(#,##0.000\)_%;**;@_%_)"/>
    <numFmt numFmtId="240" formatCode="mmm\.yy"/>
    <numFmt numFmtId="241" formatCode="#,##0.0_%_);\(#,##0.0\)_%;**;@_%_)"/>
    <numFmt numFmtId="242" formatCode="\ \ _•\–\ \ \ \ @"/>
    <numFmt numFmtId="243" formatCode="#,##0.0_);\(#,##0.0\)"/>
    <numFmt numFmtId="244" formatCode="\ \ \ \ &quot;$&quot;* #,##0.0_);[Red]\(\ \ \ &quot;$&quot;* #,##0.0\)"/>
    <numFmt numFmtId="245" formatCode="0.0000"/>
    <numFmt numFmtId="246" formatCode="&quot;$&quot;#,##0.00_%_);\(&quot;$&quot;#,##0.00\)_%;**;@_%_)"/>
    <numFmt numFmtId="247" formatCode="&quot;$&quot;#,##0.000_%_);\(&quot;$&quot;#,##0.000\)_%;**;@_%_)"/>
    <numFmt numFmtId="248" formatCode="&quot;$&quot;#,##0.0_%_);\(&quot;$&quot;#,##0.0\)_%;**;@_%_)"/>
    <numFmt numFmtId="249" formatCode="&quot;$&quot;#,##0\ ;\(&quot;$&quot;#,##0\)"/>
    <numFmt numFmtId="250" formatCode="_ &quot;\&quot;* #,##0_ ;_ &quot;\&quot;* &quot;\&quot;\-#,##0_ ;_ &quot;\&quot;* &quot;-&quot;_ ;_ @_ "/>
    <numFmt numFmtId="251" formatCode="&quot;$&quot;#,##0.00_)\ \ ;\(&quot;$&quot;#,##0.00\)\ \ "/>
    <numFmt numFmtId="252" formatCode="\ &quot;$&quot;* #,##0.0_);\ &quot;$&quot;* \(#,##0.0\);;&quot;num required&quot;\)"/>
    <numFmt numFmtId="253" formatCode="mm/dd/yyyy"/>
    <numFmt numFmtId="254" formatCode="&quot;$&quot;#,##0.0_)_);\(&quot;$&quot;#,##0.0\)_)_);_(&quot;$&quot;* &quot;-&quot;??_);_(@_)"/>
    <numFmt numFmtId="255" formatCode="&quot;RM&quot;#,##0.00;\-&quot;RM&quot;#,##0.00"/>
    <numFmt numFmtId="256" formatCode="&quot;$&quot;* \ #,###.000_);\(&quot;$&quot;* \ #,###.000\);;&quot;num required&quot;\)"/>
    <numFmt numFmtId="257" formatCode="#,##0.000_);\(#,##0.000\)"/>
    <numFmt numFmtId="258" formatCode="#,##0.000"/>
    <numFmt numFmtId="259" formatCode="_ &quot;\&quot;* #,##0.00_ ;_ &quot;\&quot;* &quot;\&quot;\-#,##0.00_ ;_ &quot;\&quot;* &quot;-&quot;??_ ;_ @_ "/>
    <numFmt numFmtId="260" formatCode="&quot;$&quot;#,##0.0\ \ \ ;\(&quot;$&quot;#,##0.0\)\ \ "/>
    <numFmt numFmtId="261" formatCode="&quot;$&quot;* \ #,###.00_);&quot;$&quot;* \ \(#,###.00\);;&quot;num required&quot;\)"/>
    <numFmt numFmtId="262" formatCode="\ \ \ \ &quot;$&quot;* #,##0.0"/>
    <numFmt numFmtId="263" formatCode="\ \ &quot;$&quot;* #,##0.0_);&quot;$&quot;* \(#,##0.0\);;&quot;num required&quot;\)"/>
    <numFmt numFmtId="264" formatCode="&quot;$&quot;* #,##0.00"/>
    <numFmt numFmtId="265" formatCode="\ \ &quot;$&quot;* #,##0.00"/>
    <numFmt numFmtId="266" formatCode="\ \ &quot;$&quot;* #,###.000_);\(\ \ &quot;$&quot;* #,###.000\);;&quot;num required&quot;\)"/>
    <numFmt numFmtId="267" formatCode="#,###.0_);\(#,###.0\)"/>
    <numFmt numFmtId="268" formatCode="#,###.##_);\(#,###.##\);"/>
    <numFmt numFmtId="269" formatCode="&quot;$&quot;* #,##0.#_);&quot;$&quot;* \(#,##0.#\);;&quot;num required&quot;\)"/>
    <numFmt numFmtId="270" formatCode="_([$€-2]* #,##0.00_);_([$€-2]* \(#,##0.00\);_([$€-2]* &quot;-&quot;??_)"/>
    <numFmt numFmtId="271" formatCode="_(* #,##0_);_(* \(#,##0\);_(* &quot; - &quot;_);_(@_)"/>
    <numFmt numFmtId="272" formatCode="#,##0;\(#,##0\);&quot;-&quot;"/>
    <numFmt numFmtId="273" formatCode="\+\ #\ ??/??;[Red]\ \-\ #\ ??/??"/>
    <numFmt numFmtId="274" formatCode="0.0%"/>
    <numFmt numFmtId="275" formatCode="#"/>
    <numFmt numFmtId="276" formatCode="&quot;$&quot;#,##0.0;\(&quot;$&quot;#,##0.0\)"/>
    <numFmt numFmtId="277" formatCode="&quot;$&quot;#,##0.0_)\ \ ;\(&quot;$&quot;#,##0.0\)\ \ "/>
    <numFmt numFmtId="278" formatCode="0.0\ \x\ \ \ \ ;&quot;NM      &quot;;\ 0.0\ \x\ \ \ \ "/>
    <numFmt numFmtId="279" formatCode="0.0%_)\ \ ;\(0.0%\)\ \ "/>
    <numFmt numFmtId="280" formatCode="_-* #,##0\ _$_-;\-* #,##0\ _$_-;_-* &quot;-&quot;\ _$_-;_-@_-"/>
    <numFmt numFmtId="281" formatCode="_-* #,##0\ _F_-;\-* #,##0\ _F_-;_-* &quot;-&quot;\ _F_-;_-@_-"/>
    <numFmt numFmtId="282" formatCode="&quot;Cr$&quot;\ #,##0_);[Red]\(&quot;Cr$&quot;\ #,##0\)"/>
    <numFmt numFmtId="283" formatCode="_(&quot;R$&quot;* #,##0.00_);_(&quot;R$&quot;* \(#,##0.00\);_(&quot;R$&quot;* &quot;-&quot;??_);_(@_)"/>
    <numFmt numFmtId="284" formatCode="_ &quot;S/&quot;* #,##0_ ;_ &quot;S/&quot;* \-#,##0_ ;_ &quot;S/&quot;* &quot;-&quot;_ ;_ @_ "/>
    <numFmt numFmtId="285" formatCode="_ &quot;S/&quot;* #,##0.00_ ;_ &quot;S/&quot;* \-#,##0.00_ ;_ &quot;S/&quot;* &quot;-&quot;??_ ;_ @_ "/>
    <numFmt numFmtId="286" formatCode="_-* #,##0\ &quot;F&quot;_-;\-* #,##0\ &quot;F&quot;_-;_-* &quot;-&quot;\ &quot;F&quot;_-;_-@_-"/>
    <numFmt numFmtId="287" formatCode="_-* #,##0.00\ &quot;F&quot;_-;\-* #,##0.00\ &quot;F&quot;_-;_-* &quot;-&quot;??\ &quot;F&quot;_-;_-@_-"/>
    <numFmt numFmtId="288" formatCode="#,##0.0_x_)_);&quot;NM&quot;_x_)_);#,##0.0_x_)_);@_x_)_)"/>
    <numFmt numFmtId="289" formatCode="_-* ###\ ###\ ##0_-;_-* \-###\ ###\ ##0_-;_-* &quot;－&quot;_-;_-@_-"/>
    <numFmt numFmtId="290" formatCode="_-* ###\ ##0.0_-;_-* \-###\ ##0.0_-;_-* &quot;－&quot;_-;_-@_-"/>
    <numFmt numFmtId="291" formatCode="_-* ###\ ##0.00_-;_-* \-###\ ##0.00_-;_-* &quot;－&quot;_-;_-@_-"/>
    <numFmt numFmtId="292" formatCode="_-* ###\ ##0.000_-;_-* \-###\ ##0.000_-;_-* &quot;－&quot;_-;_-@_-"/>
    <numFmt numFmtId="293" formatCode="_(* #,##0.0_);_(* \(#,##0.0\);_(* &quot;-&quot;?_);_(@_)"/>
    <numFmt numFmtId="294" formatCode="#,##0.0000000000_);\(#,##0.0000000000\)"/>
    <numFmt numFmtId="295" formatCode="#,##0.00_)\ \ ;\(#,##0.00\)\ \ "/>
    <numFmt numFmtId="296" formatCode="#,##0.000;\(#,##0.000\)"/>
    <numFmt numFmtId="297" formatCode="&quot;£&quot;#,##0.00;\-&quot;£&quot;#,##0.00"/>
    <numFmt numFmtId="298" formatCode="#,##0.0\x;\(#,##0.0\)\x"/>
    <numFmt numFmtId="299" formatCode="#,##0.0\ \ \ ;\(#,##0.0\)\ \ "/>
    <numFmt numFmtId="300" formatCode="0%_);\(0%\)"/>
    <numFmt numFmtId="301" formatCode="\60\4\7\:"/>
    <numFmt numFmtId="302" formatCode="0%;\(0%\)"/>
    <numFmt numFmtId="303" formatCode="&quot;$&quot;#,##0.0;[Red]&quot;$&quot;#,##0.0"/>
    <numFmt numFmtId="304" formatCode="0.0%_);\(0.0%\);**;@_%_)"/>
    <numFmt numFmtId="305" formatCode="#,##0.00000_);[Red]\(#,##0.00000\)"/>
    <numFmt numFmtId="306" formatCode="#,##0.0\x"/>
    <numFmt numFmtId="307" formatCode="#,##0&quot;   &quot;;[Red]\-#,##0&quot;   &quot;"/>
    <numFmt numFmtId="308" formatCode="_(* #,##0,_);_(* \(#,##0,\);_(* &quot;-&quot;_);_(@_)"/>
    <numFmt numFmtId="309" formatCode="\1000"/>
    <numFmt numFmtId="310" formatCode="#,##0.00;\(#,##0.00\);_(* &quot;-&quot;_)"/>
    <numFmt numFmtId="311" formatCode="#,##0;\(#,##0\);_(* &quot;-&quot;_)"/>
    <numFmt numFmtId="312" formatCode="_(&quot;$&quot;* #,##0.00_);_(&quot;$&quot;* \(#,##0.00\);_(* &quot;-&quot;_);_(@_)"/>
    <numFmt numFmtId="313" formatCode="#,##0.00_);\(#,##0.00\);_(* &quot;-&quot;_)"/>
    <numFmt numFmtId="314" formatCode="#,##0.0_);\(#,##0.0\);_(* &quot;-&quot;_)"/>
    <numFmt numFmtId="315" formatCode="#,##0_);\(#,##0\);_(* &quot;-&quot;_);_(* &quot;-&quot;_)"/>
    <numFmt numFmtId="316" formatCode="_(###.##%_);\(* &quot;-&quot;_);_(@_)"/>
    <numFmt numFmtId="317" formatCode="#,##0.00%"/>
    <numFmt numFmtId="318" formatCode="#,##0.0"/>
    <numFmt numFmtId="319" formatCode="_(&quot;$&quot;* #,##0.0_);_(&quot;$&quot;* \(#,##0.0\);_(* &quot;-&quot;_);_(@_)"/>
    <numFmt numFmtId="320" formatCode="#,##0.00\x"/>
    <numFmt numFmtId="321" formatCode="_(* #,##0.0_);_(* \(#,##0.0\);_(* &quot;-&quot;_);_(@_)"/>
    <numFmt numFmtId="322" formatCode="0.0\x"/>
    <numFmt numFmtId="323" formatCode="m/d/yy"/>
    <numFmt numFmtId="324" formatCode="&quot;fl&quot;#,##0.00_);[Red]\(&quot;fl&quot;#,##0.00\)"/>
    <numFmt numFmtId="325" formatCode="#,##0.00&quot; F&quot;_);\(#,##0.00&quot; F&quot;\)"/>
    <numFmt numFmtId="326" formatCode="_(&quot;fl&quot;* #,##0_);_(&quot;fl&quot;* \(#,##0\);_(&quot;fl&quot;* &quot;-&quot;_);_(@_)"/>
    <numFmt numFmtId="327" formatCode="#,##0.00&quot; F&quot;_);[Red]\(#,##0.00&quot; F&quot;\)"/>
    <numFmt numFmtId="328" formatCode="&quot;$&quot;* #,##0.0_);&quot;$&quot;* \(#,##0.0\);;&quot;num required&quot;\)"/>
    <numFmt numFmtId="329" formatCode="[White]General;[White]General;[White]General;[White]General"/>
    <numFmt numFmtId="330" formatCode="0\ \ ;\(0\)\ \ \ "/>
    <numFmt numFmtId="331" formatCode="0.0%_);\(0.0%\);0.0%_);@_%_)"/>
    <numFmt numFmtId="332" formatCode="_-* #,##0,_);[Red]\(#,##0,\)"/>
    <numFmt numFmtId="333" formatCode="_-&quot;$&quot;* #,##0.00_-;\-&quot;$&quot;* #,##0.00_-;_-&quot;$&quot;* &quot;-&quot;??_-;_-@_-"/>
    <numFmt numFmtId="334" formatCode="000000"/>
    <numFmt numFmtId="335" formatCode="0000000000"/>
    <numFmt numFmtId="336" formatCode="_(* #,##0_);_(* \(#,##0\);_(* &quot;-&quot;??_);_(@_)"/>
    <numFmt numFmtId="337" formatCode="_(&quot;$&quot;* #,##0_);_(&quot;$&quot;* \(#,##0\);_(&quot;$&quot;* &quot;-&quot;??_);_(@_)"/>
    <numFmt numFmtId="338" formatCode="0_ ;\-0\ "/>
    <numFmt numFmtId="339" formatCode="[$-409]d\-mmm;@"/>
    <numFmt numFmtId="340" formatCode="[$$-409]#,##0.00;[$$-409]#,##0.00"/>
    <numFmt numFmtId="341" formatCode="_-[$$-409]* #,##0.00_ ;_-[$$-409]* \-#,##0.00\ ;_-[$$-409]* &quot;-&quot;??_ ;_-@_ "/>
    <numFmt numFmtId="342" formatCode="&quot;$&quot;#,##0.0000"/>
  </numFmts>
  <fonts count="325">
    <font>
      <sz val="11"/>
      <color theme="1"/>
      <name val="Calibri"/>
      <family val="2"/>
      <scheme val="minor"/>
    </font>
    <font>
      <sz val="11"/>
      <color indexed="8"/>
      <name val="Calibri"/>
      <family val="2"/>
    </font>
    <font>
      <b/>
      <sz val="8"/>
      <color indexed="9"/>
      <name val="Calibri"/>
      <family val="2"/>
    </font>
    <font>
      <sz val="11"/>
      <color indexed="8"/>
      <name val="Calibri"/>
      <family val="2"/>
    </font>
    <font>
      <sz val="8"/>
      <name val="Calibri"/>
      <family val="2"/>
    </font>
    <font>
      <b/>
      <sz val="11"/>
      <color indexed="8"/>
      <name val="Calibri"/>
      <family val="2"/>
    </font>
    <font>
      <b/>
      <sz val="8"/>
      <name val="Calibri"/>
      <family val="2"/>
    </font>
    <font>
      <b/>
      <sz val="9"/>
      <color indexed="9"/>
      <name val="Calibri"/>
      <family val="2"/>
    </font>
    <font>
      <sz val="11"/>
      <color indexed="10"/>
      <name val="Calibri"/>
      <family val="2"/>
    </font>
    <font>
      <sz val="10"/>
      <name val="Arial"/>
      <family val="2"/>
    </font>
    <font>
      <b/>
      <sz val="10"/>
      <name val="Arial"/>
      <family val="2"/>
    </font>
    <font>
      <sz val="10"/>
      <color indexed="8"/>
      <name val="Arial"/>
      <family val="2"/>
    </font>
    <font>
      <sz val="12"/>
      <color indexed="8"/>
      <name val="Times New Roman"/>
      <family val="1"/>
    </font>
    <font>
      <sz val="10"/>
      <color indexed="10"/>
      <name val="Arial"/>
      <family val="2"/>
    </font>
    <font>
      <sz val="9"/>
      <color indexed="81"/>
      <name val="Tahoma"/>
      <family val="2"/>
    </font>
    <font>
      <b/>
      <sz val="9"/>
      <color indexed="81"/>
      <name val="Tahoma"/>
      <family val="2"/>
    </font>
    <font>
      <sz val="11"/>
      <color theme="1"/>
      <name val="Calibri"/>
      <family val="2"/>
      <scheme val="minor"/>
    </font>
    <font>
      <b/>
      <sz val="11"/>
      <color theme="0"/>
      <name val="Calibri"/>
      <family val="2"/>
      <scheme val="minor"/>
    </font>
    <font>
      <u/>
      <sz val="9.35"/>
      <color theme="10"/>
      <name val="Calibri"/>
      <family val="2"/>
    </font>
    <font>
      <b/>
      <sz val="11"/>
      <color theme="1"/>
      <name val="Calibri"/>
      <family val="2"/>
      <scheme val="minor"/>
    </font>
    <font>
      <b/>
      <i/>
      <u/>
      <sz val="11"/>
      <color rgb="FFFF0000"/>
      <name val="Calibri"/>
      <family val="2"/>
    </font>
    <font>
      <sz val="11"/>
      <name val="Calibri"/>
      <family val="2"/>
      <scheme val="minor"/>
    </font>
    <font>
      <b/>
      <sz val="8"/>
      <color rgb="FFFF0000"/>
      <name val="Calibri"/>
      <family val="2"/>
    </font>
    <font>
      <b/>
      <sz val="10"/>
      <color theme="0"/>
      <name val="Arial"/>
      <family val="2"/>
    </font>
    <font>
      <sz val="8"/>
      <color theme="1"/>
      <name val="Calibri"/>
      <family val="2"/>
      <scheme val="minor"/>
    </font>
    <font>
      <b/>
      <sz val="14"/>
      <color theme="1"/>
      <name val="Calibri"/>
      <family val="2"/>
      <scheme val="minor"/>
    </font>
    <font>
      <b/>
      <sz val="11"/>
      <name val="Calibri"/>
      <family val="2"/>
      <scheme val="minor"/>
    </font>
    <font>
      <sz val="10"/>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8"/>
      <color indexed="81"/>
      <name val="Tahoma"/>
      <family val="2"/>
    </font>
    <font>
      <b/>
      <sz val="8"/>
      <color indexed="81"/>
      <name val="Tahoma"/>
      <family val="2"/>
    </font>
    <font>
      <sz val="8"/>
      <color theme="1"/>
      <name val="Arial"/>
      <family val="2"/>
    </font>
    <font>
      <sz val="9"/>
      <name val="MS Sans Serif"/>
      <family val="2"/>
    </font>
    <font>
      <b/>
      <sz val="10"/>
      <color indexed="9"/>
      <name val="Arial"/>
      <family val="2"/>
    </font>
    <font>
      <sz val="9"/>
      <color indexed="8"/>
      <name val="Arial"/>
      <family val="2"/>
    </font>
    <font>
      <sz val="10"/>
      <name val="Geneva"/>
      <family val="2"/>
    </font>
    <font>
      <sz val="10"/>
      <name val="Courier"/>
      <family val="3"/>
    </font>
    <font>
      <sz val="12"/>
      <name val="Arial"/>
      <family val="2"/>
    </font>
    <font>
      <sz val="11"/>
      <name val="Book Antiqua"/>
      <family val="1"/>
    </font>
    <font>
      <sz val="10"/>
      <name val="Times New Roman"/>
      <family val="1"/>
    </font>
    <font>
      <sz val="10"/>
      <name val="MS Sans Serif"/>
      <family val="2"/>
    </font>
    <font>
      <sz val="8"/>
      <name val="Arial"/>
      <family val="2"/>
    </font>
    <font>
      <sz val="10"/>
      <name val="Helv"/>
      <family val="2"/>
    </font>
    <font>
      <sz val="10"/>
      <name val="Helv"/>
    </font>
    <font>
      <sz val="10"/>
      <name val="Helv"/>
      <charset val="204"/>
    </font>
    <font>
      <sz val="12"/>
      <name val="Times New Roman"/>
      <family val="1"/>
    </font>
    <font>
      <b/>
      <sz val="22"/>
      <color indexed="18"/>
      <name val="Arial"/>
      <family val="2"/>
    </font>
    <font>
      <b/>
      <sz val="22"/>
      <color indexed="30"/>
      <name val="Arial"/>
      <family val="2"/>
    </font>
    <font>
      <sz val="8"/>
      <name val="Helv"/>
    </font>
    <font>
      <sz val="12"/>
      <name val="Palatino"/>
      <family val="1"/>
    </font>
    <font>
      <b/>
      <sz val="14"/>
      <color indexed="18"/>
      <name val="Arial"/>
      <family val="2"/>
    </font>
    <font>
      <b/>
      <sz val="14"/>
      <color indexed="30"/>
      <name val="Arial"/>
      <family val="2"/>
    </font>
    <font>
      <b/>
      <sz val="10"/>
      <color indexed="18"/>
      <name val="Arial"/>
      <family val="2"/>
    </font>
    <font>
      <b/>
      <sz val="10"/>
      <color indexed="30"/>
      <name val="Arial"/>
      <family val="2"/>
    </font>
    <font>
      <b/>
      <u val="singleAccounting"/>
      <sz val="10"/>
      <color indexed="18"/>
      <name val="Arial"/>
      <family val="2"/>
    </font>
    <font>
      <b/>
      <u/>
      <sz val="10"/>
      <color indexed="30"/>
      <name val="Arial"/>
      <family val="2"/>
    </font>
    <font>
      <u/>
      <sz val="8.1"/>
      <color indexed="36"/>
      <name val="Arial"/>
      <family val="2"/>
    </font>
    <font>
      <sz val="12"/>
      <name val="DTMLetterRegular"/>
    </font>
    <font>
      <u/>
      <sz val="10"/>
      <color indexed="12"/>
      <name val="Arial"/>
      <family val="2"/>
    </font>
    <font>
      <u/>
      <sz val="10"/>
      <color indexed="36"/>
      <name val="MS Sans Serif"/>
      <family val="2"/>
    </font>
    <font>
      <sz val="10"/>
      <name val="lr SVbN"/>
    </font>
    <font>
      <sz val="14"/>
      <name val="¾©"/>
      <family val="3"/>
    </font>
    <font>
      <sz val="12"/>
      <name val="¾©"/>
      <family val="1"/>
    </font>
    <font>
      <sz val="10"/>
      <name val="lr SVbN"/>
      <family val="3"/>
    </font>
    <font>
      <sz val="10"/>
      <name val="Verdana"/>
      <family val="2"/>
    </font>
    <font>
      <sz val="11"/>
      <color indexed="9"/>
      <name val="Calibri"/>
      <family val="2"/>
    </font>
    <font>
      <sz val="10"/>
      <name val="ＭＳ Ｐゴシック"/>
      <family val="3"/>
      <charset val="128"/>
    </font>
    <font>
      <sz val="12"/>
      <name val="Book Antiqua"/>
      <family val="1"/>
    </font>
    <font>
      <sz val="12"/>
      <name val="Helv"/>
    </font>
    <font>
      <sz val="11"/>
      <name val="돋움"/>
      <family val="3"/>
      <charset val="129"/>
    </font>
    <font>
      <sz val="12"/>
      <name val="¸iA¶"/>
      <family val="3"/>
      <charset val="129"/>
    </font>
    <font>
      <sz val="11"/>
      <name val="돋움"/>
      <family val="3"/>
    </font>
    <font>
      <sz val="12"/>
      <name val="¹ÙÅÁÃ¼"/>
      <family val="3"/>
      <charset val="255"/>
    </font>
    <font>
      <u/>
      <sz val="10"/>
      <color indexed="36"/>
      <name val="Arial"/>
      <family val="2"/>
    </font>
    <font>
      <sz val="8"/>
      <name val="Times New Roman"/>
      <family val="1"/>
    </font>
    <font>
      <sz val="8"/>
      <color indexed="14"/>
      <name val="Helv"/>
    </font>
    <font>
      <sz val="11"/>
      <color indexed="20"/>
      <name val="Calibri"/>
      <family val="2"/>
    </font>
    <font>
      <b/>
      <sz val="11"/>
      <color indexed="9"/>
      <name val="Arial"/>
      <family val="2"/>
    </font>
    <font>
      <b/>
      <sz val="8"/>
      <name val="Times New Roman"/>
      <family val="1"/>
    </font>
    <font>
      <b/>
      <sz val="8"/>
      <color indexed="8"/>
      <name val="Times New Roman"/>
      <family val="1"/>
    </font>
    <font>
      <b/>
      <sz val="8"/>
      <color indexed="12"/>
      <name val="Times New Roman"/>
      <family val="1"/>
    </font>
    <font>
      <b/>
      <sz val="10"/>
      <color indexed="12"/>
      <name val="Arial"/>
      <family val="2"/>
    </font>
    <font>
      <sz val="12"/>
      <name val="Tms Rmn"/>
    </font>
    <font>
      <b/>
      <sz val="18"/>
      <name val="Geneva"/>
      <family val="2"/>
    </font>
    <font>
      <b/>
      <sz val="12"/>
      <name val="Times New Roman"/>
      <family val="1"/>
    </font>
    <font>
      <sz val="8"/>
      <name val="SwitzerlandLight"/>
    </font>
    <font>
      <sz val="7"/>
      <name val="SwitzerlandLight"/>
    </font>
    <font>
      <b/>
      <sz val="10"/>
      <name val="MS Sans Serif"/>
      <family val="2"/>
    </font>
    <font>
      <sz val="9"/>
      <name val="Arial"/>
      <family val="2"/>
    </font>
    <font>
      <sz val="7"/>
      <name val="Arial"/>
      <family val="2"/>
    </font>
    <font>
      <sz val="9"/>
      <name val="Times New Roman"/>
      <family val="1"/>
    </font>
    <font>
      <b/>
      <sz val="10"/>
      <color indexed="8"/>
      <name val="Times New Roman"/>
      <family val="1"/>
    </font>
    <font>
      <sz val="10"/>
      <name val="±¼¸²Ã¼"/>
      <family val="3"/>
    </font>
    <font>
      <sz val="12"/>
      <name val="±¼¸²A¼"/>
      <family val="3"/>
      <charset val="129"/>
    </font>
    <font>
      <b/>
      <sz val="11"/>
      <color indexed="52"/>
      <name val="Calibri"/>
      <family val="2"/>
    </font>
    <font>
      <b/>
      <sz val="10"/>
      <name val="Helv"/>
      <family val="2"/>
    </font>
    <font>
      <b/>
      <sz val="11"/>
      <name val="Arial"/>
      <family val="2"/>
    </font>
    <font>
      <b/>
      <sz val="11"/>
      <color indexed="9"/>
      <name val="Calibri"/>
      <family val="2"/>
    </font>
    <font>
      <u/>
      <sz val="8.1"/>
      <color indexed="12"/>
      <name val="Arial"/>
      <family val="2"/>
    </font>
    <font>
      <sz val="8"/>
      <color indexed="8"/>
      <name val="Times New Roman"/>
      <family val="1"/>
    </font>
    <font>
      <b/>
      <sz val="10"/>
      <name val="Geneva"/>
      <family val="2"/>
    </font>
    <font>
      <b/>
      <sz val="8"/>
      <name val="Arial"/>
      <family val="2"/>
    </font>
    <font>
      <b/>
      <sz val="12"/>
      <name val="Arial"/>
      <family val="2"/>
    </font>
    <font>
      <b/>
      <u val="singleAccounting"/>
      <sz val="8"/>
      <name val="Arial"/>
      <family val="2"/>
    </font>
    <font>
      <b/>
      <u val="singleAccounting"/>
      <sz val="8"/>
      <color indexed="8"/>
      <name val="Arial"/>
      <family val="2"/>
    </font>
    <font>
      <sz val="11"/>
      <name val="Tms Rmn"/>
      <family val="1"/>
    </font>
    <font>
      <sz val="8"/>
      <color indexed="12"/>
      <name val="Times New Roman"/>
      <family val="1"/>
    </font>
    <font>
      <sz val="8"/>
      <name val="Palatino"/>
      <family val="1"/>
    </font>
    <font>
      <sz val="11"/>
      <name val="돋움"/>
      <family val="2"/>
      <charset val="129"/>
    </font>
    <font>
      <sz val="10"/>
      <color indexed="24"/>
      <name val="Arial"/>
      <family val="2"/>
    </font>
    <font>
      <i/>
      <sz val="9"/>
      <name val="Arial"/>
      <family val="2"/>
    </font>
    <font>
      <b/>
      <sz val="14"/>
      <name val="Arial"/>
      <family val="2"/>
    </font>
    <font>
      <b/>
      <sz val="9"/>
      <color indexed="12"/>
      <name val="Arial"/>
      <family val="2"/>
    </font>
    <font>
      <sz val="10"/>
      <name val="MS Serif"/>
      <family val="1"/>
    </font>
    <font>
      <sz val="14"/>
      <name val="Palatino"/>
      <family val="1"/>
    </font>
    <font>
      <sz val="16"/>
      <name val="Palatino"/>
      <family val="1"/>
    </font>
    <font>
      <sz val="32"/>
      <name val="Helvetica-Black"/>
    </font>
    <font>
      <sz val="8"/>
      <color indexed="16"/>
      <name val="Palatino"/>
      <family val="1"/>
    </font>
    <font>
      <sz val="11"/>
      <name val="Arial"/>
      <family val="2"/>
    </font>
    <font>
      <sz val="12"/>
      <name val="Helv"/>
      <family val="2"/>
    </font>
    <font>
      <sz val="10"/>
      <color indexed="12"/>
      <name val="Arial"/>
      <family val="2"/>
    </font>
    <font>
      <b/>
      <sz val="9"/>
      <name val="Times New Roman"/>
      <family val="1"/>
    </font>
    <font>
      <shadow/>
      <sz val="10"/>
      <name val="Times New Roman"/>
      <family val="1"/>
    </font>
    <font>
      <i/>
      <sz val="9"/>
      <color indexed="8"/>
      <name val="Arial"/>
      <family val="2"/>
    </font>
    <font>
      <sz val="1"/>
      <color indexed="8"/>
      <name val="Courier"/>
      <family val="3"/>
    </font>
    <font>
      <sz val="11"/>
      <name val="Times New Roman"/>
      <family val="1"/>
    </font>
    <font>
      <sz val="8"/>
      <color indexed="14"/>
      <name val="Times New Roman"/>
      <family val="1"/>
    </font>
    <font>
      <sz val="10"/>
      <color indexed="8"/>
      <name val="Arial CE"/>
      <charset val="238"/>
    </font>
    <font>
      <b/>
      <sz val="1"/>
      <color indexed="8"/>
      <name val="Courier"/>
      <family val="3"/>
    </font>
    <font>
      <sz val="10"/>
      <color indexed="16"/>
      <name val="MS Serif"/>
      <family val="1"/>
    </font>
    <font>
      <i/>
      <sz val="11"/>
      <color indexed="23"/>
      <name val="Calibri"/>
      <family val="2"/>
    </font>
    <font>
      <b/>
      <u val="singleAccounting"/>
      <sz val="9"/>
      <name val="Times New Roman"/>
      <family val="1"/>
    </font>
    <font>
      <b/>
      <sz val="16"/>
      <name val="Arial"/>
      <family val="2"/>
    </font>
    <font>
      <sz val="12"/>
      <color indexed="24"/>
      <name val="Arial"/>
      <family val="2"/>
    </font>
    <font>
      <b/>
      <sz val="9"/>
      <color indexed="20"/>
      <name val="Arial"/>
      <family val="2"/>
    </font>
    <font>
      <b/>
      <i/>
      <sz val="10"/>
      <name val="Arial"/>
      <family val="2"/>
    </font>
    <font>
      <u/>
      <sz val="10"/>
      <color indexed="12"/>
      <name val="MS Sans Serif"/>
      <family val="2"/>
    </font>
    <font>
      <sz val="6"/>
      <color indexed="23"/>
      <name val="Helvetica-Black"/>
    </font>
    <font>
      <sz val="9.5"/>
      <color indexed="23"/>
      <name val="Helvetica-Black"/>
    </font>
    <font>
      <sz val="7"/>
      <name val="Palatino"/>
      <family val="1"/>
    </font>
    <font>
      <sz val="8"/>
      <color indexed="8"/>
      <name val="Helvetica"/>
      <family val="2"/>
    </font>
    <font>
      <sz val="11"/>
      <color indexed="17"/>
      <name val="Calibri"/>
      <family val="2"/>
    </font>
    <font>
      <i/>
      <sz val="8"/>
      <color indexed="12"/>
      <name val="Times New Roman"/>
      <family val="1"/>
    </font>
    <font>
      <sz val="6"/>
      <color indexed="16"/>
      <name val="Palatino"/>
      <family val="1"/>
    </font>
    <font>
      <sz val="6"/>
      <name val="Palatino"/>
      <family val="1"/>
    </font>
    <font>
      <b/>
      <sz val="8"/>
      <name val="Palatino"/>
      <family val="1"/>
    </font>
    <font>
      <b/>
      <sz val="15"/>
      <color indexed="62"/>
      <name val="Calibri"/>
      <family val="2"/>
    </font>
    <font>
      <sz val="10"/>
      <name val="Helvetica-Black"/>
    </font>
    <font>
      <sz val="28"/>
      <name val="Helvetica-Black"/>
    </font>
    <font>
      <b/>
      <sz val="13"/>
      <color indexed="62"/>
      <name val="Calibri"/>
      <family val="2"/>
    </font>
    <font>
      <sz val="10"/>
      <name val="Palatino"/>
      <family val="1"/>
    </font>
    <font>
      <sz val="18"/>
      <name val="Palatino"/>
      <family val="1"/>
    </font>
    <font>
      <b/>
      <sz val="11"/>
      <color indexed="62"/>
      <name val="Calibri"/>
      <family val="2"/>
    </font>
    <font>
      <i/>
      <sz val="14"/>
      <name val="Palatino"/>
      <family val="1"/>
    </font>
    <font>
      <b/>
      <i/>
      <sz val="20"/>
      <name val="Times New Roman"/>
      <family val="1"/>
    </font>
    <font>
      <b/>
      <sz val="1"/>
      <color indexed="16"/>
      <name val="Courier"/>
      <family val="3"/>
    </font>
    <font>
      <b/>
      <sz val="9"/>
      <name val="Arial"/>
      <family val="2"/>
    </font>
    <font>
      <b/>
      <sz val="7"/>
      <name val="Arial"/>
      <family val="2"/>
    </font>
    <font>
      <b/>
      <sz val="8"/>
      <name val="MS Sans Serif"/>
      <family val="2"/>
    </font>
    <font>
      <sz val="11"/>
      <color indexed="62"/>
      <name val="Calibri"/>
      <family val="2"/>
    </font>
    <font>
      <sz val="12"/>
      <color indexed="12"/>
      <name val="Times New Roman"/>
      <family val="1"/>
    </font>
    <font>
      <sz val="8"/>
      <color indexed="12"/>
      <name val="Palatino"/>
      <family val="1"/>
    </font>
    <font>
      <sz val="1"/>
      <color indexed="9"/>
      <name val="Symbol"/>
      <family val="1"/>
      <charset val="2"/>
    </font>
    <font>
      <b/>
      <sz val="12"/>
      <name val="Helv"/>
      <family val="2"/>
    </font>
    <font>
      <sz val="10"/>
      <color indexed="14"/>
      <name val="Arial"/>
      <family val="2"/>
    </font>
    <font>
      <sz val="11"/>
      <color indexed="52"/>
      <name val="Calibri"/>
      <family val="2"/>
    </font>
    <font>
      <sz val="12"/>
      <name val="MicroBoston"/>
    </font>
    <font>
      <b/>
      <sz val="11"/>
      <name val="Helv"/>
      <family val="2"/>
    </font>
    <font>
      <sz val="9"/>
      <name val="華康細明體"/>
      <family val="3"/>
      <charset val="136"/>
    </font>
    <font>
      <sz val="11"/>
      <color indexed="60"/>
      <name val="Calibri"/>
      <family val="2"/>
    </font>
    <font>
      <b/>
      <u val="singleAccounting"/>
      <sz val="8"/>
      <color indexed="8"/>
      <name val="Verdana"/>
      <family val="2"/>
    </font>
    <font>
      <b/>
      <sz val="12"/>
      <color indexed="8"/>
      <name val="Verdana"/>
      <family val="2"/>
    </font>
    <font>
      <u val="singleAccounting"/>
      <sz val="11"/>
      <name val="Times New Roman"/>
      <family val="1"/>
    </font>
    <font>
      <sz val="10"/>
      <name val="Arial CE"/>
    </font>
    <font>
      <u/>
      <sz val="11"/>
      <name val="Arial"/>
      <family val="2"/>
    </font>
    <font>
      <sz val="8"/>
      <color indexed="18"/>
      <name val="Arial"/>
      <family val="2"/>
    </font>
    <font>
      <b/>
      <i/>
      <sz val="9"/>
      <name val="Arial"/>
      <family val="2"/>
    </font>
    <font>
      <b/>
      <sz val="11"/>
      <color indexed="63"/>
      <name val="Calibri"/>
      <family val="2"/>
    </font>
    <font>
      <sz val="11"/>
      <color indexed="8"/>
      <name val="Times New Roman"/>
      <family val="1"/>
    </font>
    <font>
      <b/>
      <i/>
      <sz val="10"/>
      <color indexed="9"/>
      <name val="Arial"/>
      <family val="2"/>
    </font>
    <font>
      <b/>
      <sz val="11"/>
      <color indexed="16"/>
      <name val="Times New Roman"/>
      <family val="1"/>
    </font>
    <font>
      <b/>
      <sz val="22"/>
      <color indexed="8"/>
      <name val="Times New Roman"/>
      <family val="1"/>
    </font>
    <font>
      <sz val="10"/>
      <color indexed="16"/>
      <name val="Helvetica-Black"/>
    </font>
    <font>
      <sz val="18"/>
      <name val="Helvetica-Black"/>
      <family val="2"/>
    </font>
    <font>
      <sz val="11"/>
      <name val="ＭＳ Ｐゴシック"/>
      <family val="3"/>
      <charset val="128"/>
    </font>
    <font>
      <b/>
      <sz val="8"/>
      <color indexed="10"/>
      <name val="Arial"/>
      <family val="2"/>
    </font>
    <font>
      <sz val="10"/>
      <name val="Arial Narrow"/>
      <family val="2"/>
    </font>
    <font>
      <sz val="8"/>
      <color indexed="10"/>
      <name val="Helv"/>
      <family val="2"/>
    </font>
    <font>
      <b/>
      <sz val="8"/>
      <color indexed="10"/>
      <name val="Times New Roman"/>
      <family val="1"/>
    </font>
    <font>
      <b/>
      <sz val="10"/>
      <name val="SunSans-Demi"/>
    </font>
    <font>
      <sz val="8"/>
      <name val="Wingdings"/>
      <charset val="2"/>
    </font>
    <font>
      <sz val="10"/>
      <name val="Arial Narrow MT"/>
      <family val="2"/>
    </font>
    <font>
      <sz val="7"/>
      <name val="Times New Roman"/>
      <family val="1"/>
    </font>
    <font>
      <sz val="10"/>
      <color indexed="8"/>
      <name val="Times New Roman"/>
      <family val="1"/>
    </font>
    <font>
      <b/>
      <sz val="8"/>
      <color indexed="9"/>
      <name val="Verdana"/>
      <family val="2"/>
    </font>
    <font>
      <b/>
      <sz val="9"/>
      <color indexed="12"/>
      <name val="Times New Roman"/>
      <family val="1"/>
    </font>
    <font>
      <sz val="8"/>
      <name val="Comic Sans MS"/>
      <family val="4"/>
    </font>
    <font>
      <sz val="8"/>
      <name val="MS Sans Serif"/>
      <family val="2"/>
    </font>
    <font>
      <b/>
      <sz val="8"/>
      <color indexed="9"/>
      <name val="Arial"/>
      <family val="2"/>
    </font>
    <font>
      <b/>
      <sz val="8"/>
      <color indexed="8"/>
      <name val="Arial"/>
      <family val="2"/>
    </font>
    <font>
      <sz val="8"/>
      <color indexed="8"/>
      <name val="Arial"/>
      <family val="2"/>
    </font>
    <font>
      <sz val="8"/>
      <color indexed="39"/>
      <name val="Arial"/>
      <family val="2"/>
    </font>
    <font>
      <u/>
      <sz val="8"/>
      <name val="Arial"/>
      <family val="2"/>
    </font>
    <font>
      <i/>
      <sz val="8"/>
      <name val="Arial"/>
      <family val="2"/>
    </font>
    <font>
      <b/>
      <i/>
      <sz val="8"/>
      <name val="Arial"/>
      <family val="2"/>
    </font>
    <font>
      <b/>
      <sz val="12"/>
      <color indexed="8"/>
      <name val="Times New Roman"/>
      <family val="1"/>
    </font>
    <font>
      <b/>
      <sz val="14"/>
      <color indexed="8"/>
      <name val="Arial"/>
      <family val="2"/>
    </font>
    <font>
      <b/>
      <sz val="16"/>
      <name val="Arial                         "/>
    </font>
    <font>
      <b/>
      <sz val="14"/>
      <name val="Arial                         "/>
    </font>
    <font>
      <vertAlign val="subscript"/>
      <sz val="8"/>
      <color indexed="8"/>
      <name val="Arial"/>
      <family val="2"/>
    </font>
    <font>
      <b/>
      <sz val="8"/>
      <color indexed="8"/>
      <name val="Helv"/>
    </font>
    <font>
      <vertAlign val="superscript"/>
      <sz val="8"/>
      <color indexed="8"/>
      <name val="Arial"/>
      <family val="2"/>
    </font>
    <font>
      <sz val="8"/>
      <color indexed="8"/>
      <name val="MS Sans Serif"/>
      <family val="2"/>
    </font>
    <font>
      <b/>
      <sz val="9"/>
      <name val="Palatino"/>
      <family val="1"/>
    </font>
    <font>
      <sz val="9"/>
      <color indexed="21"/>
      <name val="Helvetica-Black"/>
    </font>
    <font>
      <b/>
      <sz val="10"/>
      <name val="Palatino"/>
      <family val="1"/>
    </font>
    <font>
      <sz val="9"/>
      <name val="Helvetica-Black"/>
    </font>
    <font>
      <b/>
      <sz val="10"/>
      <name val="Times New Roman"/>
      <family val="1"/>
    </font>
    <font>
      <sz val="12"/>
      <color indexed="8"/>
      <name val="Palatino"/>
      <family val="1"/>
    </font>
    <font>
      <sz val="11"/>
      <name val="Helvetica-Black"/>
    </font>
    <font>
      <sz val="11"/>
      <color indexed="8"/>
      <name val="Helvetica-Black"/>
    </font>
    <font>
      <sz val="11"/>
      <name val="Helvetica-Black"/>
      <family val="2"/>
    </font>
    <font>
      <i/>
      <sz val="8"/>
      <color indexed="8"/>
      <name val="Arial"/>
      <family val="2"/>
    </font>
    <font>
      <b/>
      <sz val="10"/>
      <color indexed="10"/>
      <name val="Arial"/>
      <family val="2"/>
    </font>
    <font>
      <sz val="12"/>
      <color indexed="13"/>
      <name val="Helv"/>
      <family val="2"/>
    </font>
    <font>
      <b/>
      <sz val="18"/>
      <color indexed="62"/>
      <name val="Cambria"/>
      <family val="2"/>
    </font>
    <font>
      <b/>
      <sz val="13"/>
      <color indexed="8"/>
      <name val="Verdana"/>
      <family val="2"/>
    </font>
    <font>
      <b/>
      <sz val="14"/>
      <name val="Times New Roman"/>
      <family val="1"/>
    </font>
    <font>
      <i/>
      <sz val="10"/>
      <name val="Times New Roman"/>
      <family val="1"/>
    </font>
    <font>
      <u val="double"/>
      <sz val="8"/>
      <color indexed="8"/>
      <name val="Arial"/>
      <family val="2"/>
    </font>
    <font>
      <i/>
      <sz val="10"/>
      <name val="Arial"/>
      <family val="2"/>
    </font>
    <font>
      <b/>
      <sz val="9"/>
      <color indexed="10"/>
      <name val="Wingdings"/>
      <charset val="2"/>
    </font>
    <font>
      <b/>
      <sz val="14"/>
      <color indexed="53"/>
      <name val="Arial"/>
      <family val="2"/>
    </font>
    <font>
      <b/>
      <i/>
      <sz val="8"/>
      <name val="Helv"/>
    </font>
    <font>
      <u/>
      <sz val="9"/>
      <color indexed="12"/>
      <name val="굴림"/>
      <family val="3"/>
      <charset val="255"/>
    </font>
    <font>
      <u/>
      <sz val="9"/>
      <color indexed="36"/>
      <name val="굴림"/>
      <family val="3"/>
      <charset val="255"/>
    </font>
    <font>
      <sz val="12"/>
      <name val="뼻뮝"/>
      <family val="1"/>
      <charset val="129"/>
    </font>
    <font>
      <sz val="11"/>
      <name val="굴림체"/>
      <family val="3"/>
      <charset val="129"/>
    </font>
    <font>
      <sz val="14"/>
      <name val="ＭＳ 明朝"/>
      <family val="1"/>
      <charset val="128"/>
    </font>
    <font>
      <u/>
      <sz val="11"/>
      <color indexed="36"/>
      <name val="ＭＳ Ｐゴシック"/>
      <family val="3"/>
      <charset val="255"/>
    </font>
    <font>
      <u/>
      <sz val="7.8"/>
      <color indexed="12"/>
      <name val="Arial"/>
      <family val="2"/>
    </font>
    <font>
      <u/>
      <sz val="6"/>
      <color indexed="36"/>
      <name val="Arial"/>
      <family val="2"/>
    </font>
    <font>
      <b/>
      <sz val="16"/>
      <color theme="3" tint="-0.249977111117893"/>
      <name val="Arial"/>
      <family val="2"/>
    </font>
    <font>
      <b/>
      <sz val="8"/>
      <color indexed="9"/>
      <name val="Calibri"/>
      <family val="2"/>
    </font>
    <font>
      <b/>
      <sz val="16"/>
      <color theme="1"/>
      <name val="Calibri"/>
      <family val="2"/>
      <scheme val="minor"/>
    </font>
    <font>
      <sz val="10"/>
      <color theme="1"/>
      <name val="Arial"/>
      <family val="2"/>
    </font>
    <font>
      <b/>
      <sz val="12"/>
      <color theme="0"/>
      <name val="Calibri"/>
      <family val="2"/>
      <scheme val="minor"/>
    </font>
    <font>
      <b/>
      <sz val="18"/>
      <color theme="0"/>
      <name val="Calibri"/>
      <family val="2"/>
      <scheme val="minor"/>
    </font>
    <font>
      <b/>
      <sz val="9"/>
      <color indexed="9"/>
      <name val="Calibri"/>
      <family val="2"/>
      <scheme val="minor"/>
    </font>
    <font>
      <sz val="20"/>
      <color theme="1"/>
      <name val="Calibri"/>
      <family val="2"/>
      <scheme val="minor"/>
    </font>
    <font>
      <i/>
      <sz val="10"/>
      <color theme="1"/>
      <name val="Calibri"/>
      <family val="2"/>
      <scheme val="minor"/>
    </font>
    <font>
      <sz val="10"/>
      <color theme="1"/>
      <name val="Arial"/>
      <family val="2"/>
    </font>
    <font>
      <sz val="10"/>
      <name val="Arial"/>
      <family val="2"/>
      <charset val="238"/>
    </font>
    <font>
      <sz val="11"/>
      <color indexed="8"/>
      <name val="맑은 고딕"/>
      <family val="3"/>
      <charset val="129"/>
    </font>
    <font>
      <sz val="11"/>
      <color indexed="9"/>
      <name val="맑은 고딕"/>
      <family val="3"/>
      <charset val="129"/>
    </font>
    <font>
      <u/>
      <sz val="9"/>
      <color indexed="12"/>
      <name val="Arial"/>
      <family val="2"/>
    </font>
    <font>
      <sz val="8"/>
      <name val="Helv"/>
      <family val="2"/>
    </font>
    <font>
      <b/>
      <sz val="8"/>
      <color indexed="8"/>
      <name val="Helv"/>
      <family val="2"/>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b/>
      <sz val="16"/>
      <color theme="0"/>
      <name val="Calibri"/>
      <family val="2"/>
      <scheme val="minor"/>
    </font>
    <font>
      <b/>
      <sz val="9"/>
      <color indexed="9"/>
      <name val="Calibri"/>
      <family val="2"/>
    </font>
    <font>
      <sz val="11"/>
      <color theme="1"/>
      <name val="Calibri"/>
      <family val="2"/>
      <scheme val="minor"/>
    </font>
    <font>
      <sz val="10"/>
      <color theme="1"/>
      <name val="Arial"/>
      <family val="2"/>
    </font>
    <font>
      <sz val="10"/>
      <name val="Arial"/>
      <family val="2"/>
    </font>
    <font>
      <b/>
      <sz val="9"/>
      <color indexed="9"/>
      <name val="Calibri"/>
      <family val="2"/>
    </font>
    <font>
      <sz val="11"/>
      <color theme="1"/>
      <name val="Calibri"/>
      <family val="2"/>
      <scheme val="minor"/>
    </font>
    <font>
      <b/>
      <sz val="14"/>
      <color indexed="8"/>
      <name val="Calibri"/>
      <family val="2"/>
    </font>
    <font>
      <b/>
      <vertAlign val="superscript"/>
      <sz val="9"/>
      <color indexed="81"/>
      <name val="Tahoma"/>
      <family val="2"/>
    </font>
    <font>
      <b/>
      <sz val="26"/>
      <color rgb="FFFF0000"/>
      <name val="Calibri"/>
      <family val="2"/>
      <scheme val="minor"/>
    </font>
    <font>
      <sz val="10"/>
      <name val="Arial"/>
      <family val="2"/>
    </font>
    <font>
      <sz val="9"/>
      <color indexed="9"/>
      <name val="Calibri"/>
      <family val="2"/>
    </font>
    <font>
      <b/>
      <sz val="9"/>
      <color theme="0"/>
      <name val="Arial"/>
      <family val="2"/>
    </font>
    <font>
      <sz val="9"/>
      <color theme="1"/>
      <name val="Arial"/>
      <family val="2"/>
    </font>
    <font>
      <sz val="9"/>
      <color rgb="FF000000"/>
      <name val="Calibri"/>
      <family val="2"/>
      <scheme val="minor"/>
    </font>
    <font>
      <sz val="11"/>
      <color indexed="8"/>
      <name val="Arial"/>
      <family val="2"/>
    </font>
    <font>
      <b/>
      <sz val="11"/>
      <color theme="5" tint="-0.249977111117893"/>
      <name val="Calibri"/>
      <family val="2"/>
      <scheme val="minor"/>
    </font>
    <font>
      <b/>
      <sz val="9"/>
      <name val="Calibri"/>
      <family val="2"/>
    </font>
    <font>
      <sz val="10"/>
      <color theme="1"/>
      <name val="Arial"/>
      <family val="2"/>
    </font>
    <font>
      <b/>
      <sz val="11"/>
      <color rgb="FFFF0000"/>
      <name val="Calibri"/>
      <family val="2"/>
      <scheme val="minor"/>
    </font>
    <font>
      <b/>
      <vertAlign val="superscript"/>
      <sz val="11"/>
      <color rgb="FFFF0000"/>
      <name val="Calibri"/>
      <family val="2"/>
      <scheme val="minor"/>
    </font>
    <font>
      <b/>
      <u/>
      <sz val="11"/>
      <color theme="1"/>
      <name val="Calibri"/>
      <family val="2"/>
      <scheme val="minor"/>
    </font>
    <font>
      <b/>
      <i/>
      <sz val="11"/>
      <color theme="1"/>
      <name val="Calibri"/>
      <family val="2"/>
      <scheme val="minor"/>
    </font>
    <font>
      <sz val="8"/>
      <color indexed="9"/>
      <name val="Calibri"/>
      <family val="2"/>
    </font>
    <font>
      <i/>
      <sz val="11"/>
      <color theme="1"/>
      <name val="Calibri"/>
      <family val="2"/>
      <scheme val="minor"/>
    </font>
    <font>
      <sz val="11"/>
      <color theme="1"/>
      <name val="Calibri"/>
      <family val="2"/>
      <charset val="128"/>
      <scheme val="minor"/>
    </font>
    <font>
      <b/>
      <sz val="12"/>
      <color theme="1"/>
      <name val="Arial"/>
      <family val="2"/>
    </font>
    <font>
      <sz val="8"/>
      <name val="Calibri"/>
      <family val="2"/>
    </font>
    <font>
      <sz val="8"/>
      <name val="Calibri"/>
      <family val="2"/>
      <scheme val="minor"/>
    </font>
    <font>
      <b/>
      <sz val="8"/>
      <name val="Calibri"/>
      <family val="2"/>
    </font>
    <font>
      <sz val="11"/>
      <name val="Marlett"/>
      <charset val="2"/>
    </font>
    <font>
      <sz val="8"/>
      <color theme="1"/>
      <name val="Calibri"/>
      <family val="2"/>
      <scheme val="minor"/>
    </font>
    <font>
      <b/>
      <sz val="10"/>
      <color rgb="FFFF0000"/>
      <name val="Calibri"/>
      <family val="2"/>
    </font>
    <font>
      <b/>
      <sz val="10"/>
      <name val="Calibri"/>
      <family val="2"/>
    </font>
    <font>
      <b/>
      <sz val="9"/>
      <name val="Calibri"/>
      <family val="2"/>
    </font>
    <font>
      <sz val="11"/>
      <color indexed="8"/>
      <name val="Calibri"/>
      <family val="2"/>
    </font>
    <font>
      <sz val="11"/>
      <name val="Calibri"/>
      <family val="2"/>
      <scheme val="minor"/>
    </font>
    <font>
      <sz val="11"/>
      <color theme="1"/>
      <name val="Calibri"/>
      <family val="2"/>
      <scheme val="minor"/>
    </font>
    <font>
      <b/>
      <sz val="8"/>
      <name val="Calibri"/>
      <family val="2"/>
      <scheme val="minor"/>
    </font>
  </fonts>
  <fills count="15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1" tint="0.499984740745262"/>
        <bgColor indexed="64"/>
      </patternFill>
    </fill>
    <fill>
      <patternFill patternType="solid">
        <fgColor theme="3" tint="0.39997558519241921"/>
        <bgColor indexed="64"/>
      </patternFill>
    </fill>
    <fill>
      <patternFill patternType="solid">
        <fgColor theme="6"/>
        <bgColor indexed="64"/>
      </patternFill>
    </fill>
    <fill>
      <patternFill patternType="solid">
        <fgColor theme="4"/>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patternFill>
    </fill>
    <fill>
      <patternFill patternType="solid">
        <fgColor indexed="44"/>
        <bgColor indexed="22"/>
      </patternFill>
    </fill>
    <fill>
      <patternFill patternType="solid">
        <fgColor indexed="47"/>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27"/>
      </patternFill>
    </fill>
    <fill>
      <patternFill patternType="solid">
        <fgColor indexed="44"/>
      </patternFill>
    </fill>
    <fill>
      <patternFill patternType="solid">
        <fgColor indexed="22"/>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27"/>
        <bgColor indexed="64"/>
      </patternFill>
    </fill>
    <fill>
      <patternFill patternType="solid">
        <fgColor indexed="26"/>
        <bgColor indexed="64"/>
      </patternFill>
    </fill>
    <fill>
      <patternFill patternType="solid">
        <fgColor indexed="23"/>
        <bgColor indexed="64"/>
      </patternFill>
    </fill>
    <fill>
      <patternFill patternType="solid">
        <fgColor indexed="9"/>
      </patternFill>
    </fill>
    <fill>
      <patternFill patternType="solid">
        <fgColor indexed="55"/>
      </patternFill>
    </fill>
    <fill>
      <patternFill patternType="solid">
        <fgColor indexed="60"/>
        <bgColor indexed="64"/>
      </patternFill>
    </fill>
    <fill>
      <patternFill patternType="gray0625">
        <fgColor indexed="13"/>
        <bgColor indexed="9"/>
      </patternFill>
    </fill>
    <fill>
      <patternFill patternType="solid">
        <fgColor indexed="16"/>
        <bgColor indexed="64"/>
      </patternFill>
    </fill>
    <fill>
      <patternFill patternType="solid">
        <fgColor indexed="9"/>
        <bgColor indexed="9"/>
      </patternFill>
    </fill>
    <fill>
      <patternFill patternType="solid">
        <fgColor indexed="13"/>
      </patternFill>
    </fill>
    <fill>
      <patternFill patternType="solid">
        <fgColor indexed="62"/>
        <bgColor indexed="64"/>
      </patternFill>
    </fill>
    <fill>
      <patternFill patternType="solid">
        <fgColor indexed="63"/>
        <bgColor indexed="64"/>
      </patternFill>
    </fill>
    <fill>
      <patternFill patternType="solid">
        <fgColor indexed="9"/>
        <bgColor indexed="64"/>
      </patternFill>
    </fill>
    <fill>
      <patternFill patternType="solid">
        <fgColor indexed="54"/>
        <bgColor indexed="64"/>
      </patternFill>
    </fill>
    <fill>
      <patternFill patternType="solid">
        <fgColor indexed="30"/>
        <bgColor indexed="64"/>
      </patternFill>
    </fill>
    <fill>
      <patternFill patternType="mediumGray">
        <fgColor indexed="22"/>
      </patternFill>
    </fill>
    <fill>
      <patternFill patternType="solid">
        <fgColor indexed="30"/>
        <bgColor indexed="21"/>
      </patternFill>
    </fill>
    <fill>
      <patternFill patternType="darkVertical"/>
    </fill>
    <fill>
      <patternFill patternType="solid">
        <fgColor indexed="56"/>
        <bgColor indexed="64"/>
      </patternFill>
    </fill>
    <fill>
      <patternFill patternType="solid">
        <fgColor indexed="21"/>
        <bgColor indexed="64"/>
      </patternFill>
    </fill>
    <fill>
      <patternFill patternType="gray125">
        <fgColor indexed="22"/>
      </patternFill>
    </fill>
    <fill>
      <patternFill patternType="solid">
        <fgColor indexed="15"/>
        <bgColor indexed="64"/>
      </patternFill>
    </fill>
    <fill>
      <patternFill patternType="solid">
        <fgColor indexed="8"/>
      </patternFill>
    </fill>
    <fill>
      <patternFill patternType="solid">
        <fgColor indexed="8"/>
        <bgColor indexed="64"/>
      </patternFill>
    </fill>
    <fill>
      <patternFill patternType="solid">
        <fgColor indexed="12"/>
      </patternFill>
    </fill>
    <fill>
      <patternFill patternType="solid">
        <fgColor indexed="21"/>
      </patternFill>
    </fill>
    <fill>
      <patternFill patternType="lightGray"/>
    </fill>
    <fill>
      <patternFill patternType="solid">
        <fgColor theme="1"/>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5" tint="0.39997558519241921"/>
        <bgColor indexed="64"/>
      </patternFill>
    </fill>
    <fill>
      <patternFill patternType="solid">
        <fgColor theme="6" tint="0.79998168889431442"/>
        <bgColor indexed="64"/>
      </patternFill>
    </fill>
    <fill>
      <patternFill patternType="solid">
        <fgColor theme="6" tint="0.79998168889431442"/>
        <bgColor theme="4" tint="0.59999389629810485"/>
      </patternFill>
    </fill>
    <fill>
      <patternFill patternType="solid">
        <fgColor theme="6" tint="0.79998168889431442"/>
        <bgColor theme="4" tint="0.79998168889431442"/>
      </patternFill>
    </fill>
    <fill>
      <patternFill patternType="solid">
        <fgColor theme="6" tint="0.59999389629810485"/>
        <bgColor theme="4" tint="0.79998168889431442"/>
      </patternFill>
    </fill>
    <fill>
      <patternFill patternType="solid">
        <fgColor theme="6" tint="0.59999389629810485"/>
        <bgColor theme="4" tint="0.59999389629810485"/>
      </patternFill>
    </fill>
    <fill>
      <patternFill patternType="solid">
        <fgColor theme="6" tint="0.39997558519241921"/>
        <bgColor indexed="64"/>
      </patternFill>
    </fill>
    <fill>
      <patternFill patternType="solid">
        <fgColor theme="6" tint="0.39997558519241921"/>
        <bgColor theme="4" tint="0.79998168889431442"/>
      </patternFill>
    </fill>
    <fill>
      <patternFill patternType="solid">
        <fgColor theme="6" tint="0.39997558519241921"/>
        <bgColor theme="4" tint="0.59999389629810485"/>
      </patternFill>
    </fill>
    <fill>
      <patternFill patternType="solid">
        <fgColor theme="7" tint="0.59999389629810485"/>
        <bgColor theme="4" tint="0.59999389629810485"/>
      </patternFill>
    </fill>
    <fill>
      <patternFill patternType="solid">
        <fgColor theme="5" tint="0.59999389629810485"/>
        <bgColor theme="4" tint="0.79998168889431442"/>
      </patternFill>
    </fill>
    <fill>
      <patternFill patternType="solid">
        <fgColor theme="8" tint="0.59999389629810485"/>
        <bgColor theme="4" tint="0.79998168889431442"/>
      </patternFill>
    </fill>
    <fill>
      <patternFill patternType="solid">
        <fgColor theme="7" tint="0.39997558519241921"/>
        <bgColor theme="4" tint="0.79998168889431442"/>
      </patternFill>
    </fill>
    <fill>
      <patternFill patternType="solid">
        <fgColor theme="9" tint="0.59999389629810485"/>
        <bgColor theme="4" tint="0.79998168889431442"/>
      </patternFill>
    </fill>
    <fill>
      <patternFill patternType="solid">
        <fgColor theme="9" tint="0.39997558519241921"/>
        <bgColor theme="4" tint="0.79998168889431442"/>
      </patternFill>
    </fill>
    <fill>
      <patternFill patternType="solid">
        <fgColor theme="5" tint="0.39997558519241921"/>
        <bgColor theme="4" tint="0.79998168889431442"/>
      </patternFill>
    </fill>
    <fill>
      <patternFill patternType="solid">
        <fgColor theme="0" tint="-0.249977111117893"/>
        <bgColor theme="4" tint="0.79998168889431442"/>
      </patternFill>
    </fill>
    <fill>
      <patternFill patternType="solid">
        <fgColor theme="0" tint="-0.14999847407452621"/>
        <bgColor theme="4" tint="0.79998168889431442"/>
      </patternFill>
    </fill>
    <fill>
      <patternFill patternType="solid">
        <fgColor theme="2" tint="-0.499984740745262"/>
        <bgColor indexed="64"/>
      </patternFill>
    </fill>
    <fill>
      <patternFill patternType="solid">
        <fgColor theme="2" tint="-0.499984740745262"/>
        <bgColor theme="4" tint="0.79998168889431442"/>
      </patternFill>
    </fill>
    <fill>
      <patternFill patternType="solid">
        <fgColor theme="2" tint="-0.249977111117893"/>
        <bgColor indexed="64"/>
      </patternFill>
    </fill>
    <fill>
      <patternFill patternType="solid">
        <fgColor theme="2" tint="-0.249977111117893"/>
        <bgColor theme="4" tint="0.79998168889431442"/>
      </patternFill>
    </fill>
    <fill>
      <patternFill patternType="solid">
        <fgColor theme="3" tint="0.59999389629810485"/>
        <bgColor theme="4" tint="0.79998168889431442"/>
      </patternFill>
    </fill>
    <fill>
      <patternFill patternType="solid">
        <fgColor theme="3" tint="0.59999389629810485"/>
        <bgColor theme="4" tint="0.59999389629810485"/>
      </patternFill>
    </fill>
    <fill>
      <patternFill patternType="solid">
        <fgColor theme="5" tint="0.39997558519241921"/>
        <bgColor theme="4" tint="0.59999389629810485"/>
      </patternFill>
    </fill>
    <fill>
      <patternFill patternType="solid">
        <fgColor theme="7" tint="0.39997558519241921"/>
        <bgColor theme="4" tint="0.59999389629810485"/>
      </patternFill>
    </fill>
    <fill>
      <patternFill patternType="solid">
        <fgColor theme="5" tint="0.59999389629810485"/>
        <bgColor theme="4" tint="0.59999389629810485"/>
      </patternFill>
    </fill>
    <fill>
      <patternFill patternType="solid">
        <fgColor theme="8" tint="0.39997558519241921"/>
        <bgColor theme="4" tint="0.59999389629810485"/>
      </patternFill>
    </fill>
    <fill>
      <patternFill patternType="solid">
        <fgColor theme="8" tint="0.39997558519241921"/>
        <bgColor theme="4" tint="0.79998168889431442"/>
      </patternFill>
    </fill>
    <fill>
      <patternFill patternType="solid">
        <fgColor theme="9" tint="0.39997558519241921"/>
        <bgColor theme="4" tint="0.59999389629810485"/>
      </patternFill>
    </fill>
    <fill>
      <patternFill patternType="solid">
        <fgColor theme="0" tint="-0.249977111117893"/>
        <bgColor theme="4" tint="0.59999389629810485"/>
      </patternFill>
    </fill>
    <fill>
      <patternFill patternType="solid">
        <fgColor theme="2" tint="-0.499984740745262"/>
        <bgColor theme="4" tint="0.59999389629810485"/>
      </patternFill>
    </fill>
    <fill>
      <patternFill patternType="solid">
        <fgColor theme="8" tint="0.59999389629810485"/>
        <bgColor theme="4" tint="0.59999389629810485"/>
      </patternFill>
    </fill>
    <fill>
      <patternFill patternType="solid">
        <fgColor theme="9" tint="0.59999389629810485"/>
        <bgColor theme="4" tint="0.59999389629810485"/>
      </patternFill>
    </fill>
    <fill>
      <patternFill patternType="solid">
        <fgColor theme="0" tint="-0.14999847407452621"/>
        <bgColor theme="4" tint="0.59999389629810485"/>
      </patternFill>
    </fill>
    <fill>
      <patternFill patternType="solid">
        <fgColor theme="2" tint="-0.249977111117893"/>
        <bgColor theme="4" tint="0.59999389629810485"/>
      </patternFill>
    </fill>
    <fill>
      <patternFill patternType="solid">
        <fgColor rgb="FF0070C0"/>
        <bgColor indexed="64"/>
      </patternFill>
    </fill>
    <fill>
      <patternFill patternType="solid">
        <fgColor indexed="31"/>
      </patternFill>
    </fill>
    <fill>
      <patternFill patternType="solid">
        <fgColor indexed="46"/>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theme="4" tint="-0.249977111117893"/>
        <bgColor theme="4" tint="-0.249977111117893"/>
      </patternFill>
    </fill>
    <fill>
      <patternFill patternType="solid">
        <fgColor rgb="FF00B050"/>
        <bgColor indexed="64"/>
      </patternFill>
    </fill>
    <fill>
      <patternFill patternType="solid">
        <fgColor theme="4"/>
        <bgColor theme="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9" tint="0.79998168889431442"/>
        <bgColor theme="4" tint="0.79998168889431442"/>
      </patternFill>
    </fill>
    <fill>
      <patternFill patternType="solid">
        <fgColor theme="1" tint="0.34998626667073579"/>
        <bgColor indexed="64"/>
      </patternFill>
    </fill>
    <fill>
      <patternFill patternType="solid">
        <fgColor rgb="FF002060"/>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theme="3" tint="0.79995117038483843"/>
        <bgColor indexed="64"/>
      </patternFill>
    </fill>
    <fill>
      <patternFill patternType="solid">
        <fgColor theme="3"/>
        <bgColor indexed="64"/>
      </patternFill>
    </fill>
    <fill>
      <patternFill patternType="gray125">
        <bgColor rgb="FFFFFF00"/>
      </patternFill>
    </fill>
    <fill>
      <patternFill patternType="lightGray">
        <bgColor rgb="FFFFFF00"/>
      </patternFill>
    </fill>
  </fills>
  <borders count="10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dashed">
        <color indexed="64"/>
      </right>
      <top/>
      <bottom/>
      <diagonal/>
    </border>
    <border>
      <left/>
      <right/>
      <top style="hair">
        <color indexed="8"/>
      </top>
      <bottom style="hair">
        <color indexed="8"/>
      </bottom>
      <diagonal/>
    </border>
    <border>
      <left/>
      <right/>
      <top style="thin">
        <color indexed="8"/>
      </top>
      <bottom style="thin">
        <color indexed="8"/>
      </bottom>
      <diagonal/>
    </border>
    <border>
      <left/>
      <right/>
      <top/>
      <bottom style="medium">
        <color indexed="18"/>
      </bottom>
      <diagonal/>
    </border>
    <border>
      <left/>
      <right/>
      <top/>
      <bottom style="medium">
        <color indexed="30"/>
      </bottom>
      <diagonal/>
    </border>
    <border>
      <left/>
      <right style="hair">
        <color indexed="64"/>
      </right>
      <top/>
      <bottom/>
      <diagonal/>
    </border>
    <border>
      <left/>
      <right/>
      <top style="thin">
        <color indexed="64"/>
      </top>
      <bottom/>
      <diagonal/>
    </border>
    <border>
      <left/>
      <right/>
      <top/>
      <bottom style="thin">
        <color indexed="44"/>
      </bottom>
      <diagonal/>
    </border>
    <border>
      <left/>
      <right/>
      <top style="thin">
        <color indexed="8"/>
      </top>
      <bottom/>
      <diagonal/>
    </border>
    <border>
      <left/>
      <right/>
      <top/>
      <bottom style="thick">
        <color indexed="64"/>
      </bottom>
      <diagonal/>
    </border>
    <border>
      <left style="thin">
        <color indexed="23"/>
      </left>
      <right style="thin">
        <color indexed="23"/>
      </right>
      <top style="thin">
        <color indexed="23"/>
      </top>
      <bottom style="thin">
        <color indexed="23"/>
      </bottom>
      <diagonal/>
    </border>
    <border>
      <left/>
      <right/>
      <top/>
      <bottom style="thin">
        <color indexed="8"/>
      </bottom>
      <diagonal/>
    </border>
    <border>
      <left style="double">
        <color indexed="63"/>
      </left>
      <right style="double">
        <color indexed="63"/>
      </right>
      <top style="double">
        <color indexed="63"/>
      </top>
      <bottom style="double">
        <color indexed="63"/>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21"/>
      </left>
      <right style="thin">
        <color indexed="21"/>
      </right>
      <top style="thin">
        <color indexed="21"/>
      </top>
      <bottom style="thin">
        <color indexed="21"/>
      </bottom>
      <diagonal/>
    </border>
    <border>
      <left/>
      <right/>
      <top style="double">
        <color indexed="64"/>
      </top>
      <bottom style="double">
        <color indexed="64"/>
      </bottom>
      <diagonal/>
    </border>
    <border>
      <left/>
      <right/>
      <top/>
      <bottom style="double">
        <color indexed="64"/>
      </bottom>
      <diagonal/>
    </border>
    <border>
      <left/>
      <right/>
      <top/>
      <bottom style="dotted">
        <color indexed="64"/>
      </bottom>
      <diagonal/>
    </border>
    <border>
      <left style="hair">
        <color indexed="64"/>
      </left>
      <right style="hair">
        <color indexed="64"/>
      </right>
      <top style="hair">
        <color indexed="64"/>
      </top>
      <bottom style="hair">
        <color indexed="64"/>
      </bottom>
      <diagonal/>
    </border>
    <border>
      <left style="thin">
        <color indexed="9"/>
      </left>
      <right style="thin">
        <color indexed="9"/>
      </right>
      <top style="thin">
        <color indexed="9"/>
      </top>
      <bottom style="thin">
        <color indexed="9"/>
      </bottom>
      <diagonal/>
    </border>
    <border>
      <left style="medium">
        <color indexed="10"/>
      </left>
      <right style="medium">
        <color indexed="10"/>
      </right>
      <top style="hair">
        <color indexed="10"/>
      </top>
      <bottom style="hair">
        <color indexed="10"/>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8"/>
      </left>
      <right/>
      <top/>
      <bottom/>
      <diagonal/>
    </border>
    <border>
      <left/>
      <right/>
      <top/>
      <bottom style="double">
        <color indexed="52"/>
      </bottom>
      <diagonal/>
    </border>
    <border>
      <left/>
      <right/>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DashDotDot">
        <color indexed="37"/>
      </left>
      <right style="mediumDashDotDot">
        <color indexed="37"/>
      </right>
      <top style="mediumDashDotDot">
        <color indexed="37"/>
      </top>
      <bottom style="mediumDashDotDot">
        <color indexed="37"/>
      </bottom>
      <diagonal/>
    </border>
    <border>
      <left/>
      <right/>
      <top style="medium">
        <color indexed="23"/>
      </top>
      <bottom style="medium">
        <color indexed="23"/>
      </bottom>
      <diagonal/>
    </border>
    <border>
      <left style="thin">
        <color indexed="22"/>
      </left>
      <right style="thin">
        <color indexed="61"/>
      </right>
      <top style="thin">
        <color indexed="22"/>
      </top>
      <bottom style="thin">
        <color indexed="61"/>
      </bottom>
      <diagonal/>
    </border>
    <border>
      <left style="thin">
        <color indexed="64"/>
      </left>
      <right/>
      <top style="thin">
        <color indexed="64"/>
      </top>
      <bottom/>
      <diagonal/>
    </border>
    <border>
      <left/>
      <right/>
      <top style="thin">
        <color indexed="49"/>
      </top>
      <bottom style="double">
        <color indexed="49"/>
      </bottom>
      <diagonal/>
    </border>
    <border>
      <left/>
      <right/>
      <top style="double">
        <color indexed="8"/>
      </top>
      <bottom/>
      <diagonal/>
    </border>
    <border>
      <left style="thin">
        <color indexed="8"/>
      </left>
      <right style="thin">
        <color indexed="8"/>
      </right>
      <top style="double">
        <color indexed="8"/>
      </top>
      <bottom style="thin">
        <color indexed="8"/>
      </bottom>
      <diagonal/>
    </border>
    <border>
      <left style="medium">
        <color indexed="9"/>
      </left>
      <right style="medium">
        <color indexed="49"/>
      </right>
      <top/>
      <bottom/>
      <diagonal/>
    </border>
    <border>
      <left style="medium">
        <color auto="1"/>
      </left>
      <right/>
      <top/>
      <bottom/>
      <diagonal/>
    </border>
    <border>
      <left style="medium">
        <color auto="1"/>
      </left>
      <right style="thin">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auto="1"/>
      </left>
      <right style="thin">
        <color indexed="64"/>
      </right>
      <top style="medium">
        <color indexed="64"/>
      </top>
      <bottom/>
      <diagonal/>
    </border>
    <border>
      <left style="thin">
        <color indexed="64"/>
      </left>
      <right/>
      <top style="medium">
        <color indexed="64"/>
      </top>
      <bottom/>
      <diagonal/>
    </border>
    <border>
      <left/>
      <right/>
      <top/>
      <bottom style="thick">
        <color indexed="62"/>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theme="4" tint="0.39997558519241921"/>
      </right>
      <top/>
      <bottom style="thin">
        <color theme="4" tint="0.39997558519241921"/>
      </bottom>
      <diagonal/>
    </border>
    <border>
      <left style="thin">
        <color indexed="64"/>
      </left>
      <right style="thin">
        <color indexed="64"/>
      </right>
      <top style="thin">
        <color indexed="64"/>
      </top>
      <bottom style="thick">
        <color theme="0"/>
      </bottom>
      <diagonal/>
    </border>
    <border>
      <left style="thin">
        <color theme="0"/>
      </left>
      <right style="thin">
        <color indexed="64"/>
      </right>
      <top style="thin">
        <color indexed="64"/>
      </top>
      <bottom style="thick">
        <color theme="0"/>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theme="3" tint="0.39994506668294322"/>
      </bottom>
      <diagonal/>
    </border>
    <border>
      <left style="thin">
        <color theme="4" tint="0.39997558519241921"/>
      </left>
      <right style="thin">
        <color theme="4" tint="0.39997558519241921"/>
      </right>
      <top/>
      <bottom style="thin">
        <color theme="4" tint="0.39997558519241921"/>
      </bottom>
      <diagonal/>
    </border>
    <border>
      <left style="medium">
        <color auto="1"/>
      </left>
      <right style="thin">
        <color indexed="64"/>
      </right>
      <top/>
      <bottom style="thin">
        <color indexed="64"/>
      </bottom>
      <diagonal/>
    </border>
    <border>
      <left style="thin">
        <color indexed="64"/>
      </left>
      <right style="medium">
        <color auto="1"/>
      </right>
      <top style="medium">
        <color indexed="64"/>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diagonal/>
    </border>
  </borders>
  <cellStyleXfs count="2104">
    <xf numFmtId="0" fontId="0" fillId="0" borderId="0"/>
    <xf numFmtId="44" fontId="16" fillId="0" borderId="0" applyFont="0" applyFill="0" applyBorder="0" applyAlignment="0" applyProtection="0"/>
    <xf numFmtId="0" fontId="18" fillId="0" borderId="0" applyNumberFormat="0" applyFill="0" applyBorder="0" applyAlignment="0" applyProtection="0">
      <alignment vertical="top"/>
      <protection locked="0"/>
    </xf>
    <xf numFmtId="9" fontId="16" fillId="0" borderId="0" applyFont="0" applyFill="0" applyBorder="0" applyAlignment="0" applyProtection="0"/>
    <xf numFmtId="0" fontId="9" fillId="0" borderId="0"/>
    <xf numFmtId="0" fontId="9" fillId="0" borderId="0"/>
    <xf numFmtId="0" fontId="9" fillId="0" borderId="0"/>
    <xf numFmtId="0" fontId="9" fillId="0" borderId="0"/>
    <xf numFmtId="169" fontId="48" fillId="0" borderId="0"/>
    <xf numFmtId="170" fontId="9" fillId="0" borderId="28" applyFill="0" applyBorder="0"/>
    <xf numFmtId="170" fontId="9" fillId="0" borderId="28" applyFill="0" applyBorder="0"/>
    <xf numFmtId="170" fontId="9" fillId="0" borderId="28" applyFill="0" applyBorder="0"/>
    <xf numFmtId="170" fontId="9" fillId="0" borderId="28" applyFill="0" applyBorder="0"/>
    <xf numFmtId="171" fontId="9" fillId="0" borderId="2" applyFill="0" applyBorder="0"/>
    <xf numFmtId="171" fontId="9" fillId="0" borderId="2" applyFill="0" applyBorder="0"/>
    <xf numFmtId="171" fontId="9" fillId="0" borderId="2" applyFill="0" applyBorder="0"/>
    <xf numFmtId="171" fontId="9" fillId="0" borderId="2" applyFill="0" applyBorder="0"/>
    <xf numFmtId="0" fontId="49" fillId="0" borderId="0"/>
    <xf numFmtId="172" fontId="9" fillId="0" borderId="0" applyFont="0" applyFill="0" applyBorder="0" applyAlignment="0" applyProtection="0"/>
    <xf numFmtId="173" fontId="48" fillId="0" borderId="0">
      <alignment horizontal="left"/>
    </xf>
    <xf numFmtId="174" fontId="50" fillId="0" borderId="0" applyFont="0" applyFill="0" applyBorder="0" applyAlignment="0" applyProtection="0"/>
    <xf numFmtId="173" fontId="48" fillId="0" borderId="0">
      <alignment horizontal="left"/>
    </xf>
    <xf numFmtId="169" fontId="48" fillId="0" borderId="0">
      <alignment horizontal="left"/>
    </xf>
    <xf numFmtId="0" fontId="51" fillId="0" borderId="0"/>
    <xf numFmtId="175" fontId="9" fillId="0" borderId="0">
      <alignment horizontal="center"/>
    </xf>
    <xf numFmtId="0" fontId="52" fillId="0" borderId="0" applyFont="0" applyFill="0" applyBorder="0" applyAlignment="0"/>
    <xf numFmtId="44" fontId="9" fillId="0" borderId="0" applyFont="0" applyFill="0" applyBorder="0" applyAlignment="0" applyProtection="0"/>
    <xf numFmtId="42"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51" fillId="0" borderId="0"/>
    <xf numFmtId="176" fontId="53" fillId="0" borderId="0" applyFont="0" applyFill="0" applyBorder="0" applyAlignment="0" applyProtection="0"/>
    <xf numFmtId="177" fontId="54" fillId="0" borderId="0" applyFill="0" applyBorder="0" applyAlignment="0" applyProtection="0"/>
    <xf numFmtId="178" fontId="53" fillId="0" borderId="0" applyFont="0" applyFill="0" applyBorder="0" applyAlignment="0" applyProtection="0"/>
    <xf numFmtId="178" fontId="54" fillId="0" borderId="0" applyFill="0" applyBorder="0" applyAlignment="0" applyProtection="0"/>
    <xf numFmtId="0" fontId="55" fillId="0" borderId="0"/>
    <xf numFmtId="0" fontId="56" fillId="0" borderId="0"/>
    <xf numFmtId="0" fontId="55" fillId="0" borderId="0"/>
    <xf numFmtId="0" fontId="55" fillId="0" borderId="0"/>
    <xf numFmtId="0" fontId="55" fillId="0" borderId="0"/>
    <xf numFmtId="0" fontId="56"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6" fillId="0" borderId="0"/>
    <xf numFmtId="0" fontId="56" fillId="0" borderId="0"/>
    <xf numFmtId="0" fontId="55" fillId="0" borderId="0"/>
    <xf numFmtId="0" fontId="55" fillId="0" borderId="0"/>
    <xf numFmtId="0" fontId="55" fillId="0" borderId="0"/>
    <xf numFmtId="0" fontId="57" fillId="0" borderId="0"/>
    <xf numFmtId="0" fontId="58" fillId="0" borderId="0" applyNumberFormat="0" applyFill="0" applyBorder="0" applyAlignment="0" applyProtection="0"/>
    <xf numFmtId="0" fontId="58" fillId="0" borderId="0" applyNumberFormat="0" applyFill="0" applyBorder="0" applyAlignment="0" applyProtection="0"/>
    <xf numFmtId="0" fontId="56" fillId="0" borderId="0"/>
    <xf numFmtId="0" fontId="56" fillId="0" borderId="0"/>
    <xf numFmtId="0" fontId="55" fillId="0" borderId="0"/>
    <xf numFmtId="0" fontId="9" fillId="0" borderId="0" applyNumberFormat="0" applyFill="0" applyBorder="0" applyAlignment="0" applyProtection="0"/>
    <xf numFmtId="0" fontId="9" fillId="0" borderId="0"/>
    <xf numFmtId="0" fontId="55" fillId="0" borderId="0"/>
    <xf numFmtId="0" fontId="55" fillId="0" borderId="0"/>
    <xf numFmtId="0" fontId="55" fillId="0" borderId="0"/>
    <xf numFmtId="0" fontId="56"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9" fillId="0" borderId="0"/>
    <xf numFmtId="0" fontId="56" fillId="0" borderId="0"/>
    <xf numFmtId="0" fontId="55"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55" fillId="0" borderId="0"/>
    <xf numFmtId="0" fontId="56" fillId="0" borderId="0"/>
    <xf numFmtId="0" fontId="56"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7" fillId="0" borderId="0"/>
    <xf numFmtId="0" fontId="55" fillId="0" borderId="0"/>
    <xf numFmtId="0" fontId="9" fillId="0" borderId="0">
      <alignment vertical="top"/>
    </xf>
    <xf numFmtId="0" fontId="56" fillId="0" borderId="0"/>
    <xf numFmtId="0" fontId="55" fillId="0" borderId="0"/>
    <xf numFmtId="0" fontId="9"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9" fillId="0" borderId="0"/>
    <xf numFmtId="0" fontId="9" fillId="0" borderId="0"/>
    <xf numFmtId="0" fontId="9" fillId="0" borderId="0"/>
    <xf numFmtId="0" fontId="9" fillId="0" borderId="0"/>
    <xf numFmtId="0" fontId="55" fillId="0" borderId="0"/>
    <xf numFmtId="0" fontId="11" fillId="0" borderId="0">
      <alignment vertical="top"/>
    </xf>
    <xf numFmtId="0" fontId="9" fillId="0" borderId="0"/>
    <xf numFmtId="0" fontId="55" fillId="0" borderId="0"/>
    <xf numFmtId="41" fontId="9" fillId="0" borderId="0" applyFont="0" applyFill="0" applyBorder="0" applyAlignment="0" applyProtection="0"/>
    <xf numFmtId="179" fontId="9" fillId="0" borderId="0" applyFont="0" applyFill="0" applyBorder="0" applyAlignment="0" applyProtection="0"/>
    <xf numFmtId="0" fontId="56" fillId="0" borderId="0"/>
    <xf numFmtId="0" fontId="55" fillId="0" borderId="0"/>
    <xf numFmtId="0" fontId="9" fillId="0" borderId="0"/>
    <xf numFmtId="41" fontId="9" fillId="0" borderId="0" applyFont="0" applyFill="0" applyBorder="0" applyAlignment="0" applyProtection="0"/>
    <xf numFmtId="41" fontId="9" fillId="0" borderId="0" applyFont="0" applyFill="0" applyBorder="0" applyAlignment="0" applyProtection="0"/>
    <xf numFmtId="179" fontId="9" fillId="0" borderId="0" applyFont="0" applyFill="0" applyBorder="0" applyAlignment="0" applyProtection="0"/>
    <xf numFmtId="41" fontId="9" fillId="0" borderId="0" applyFont="0" applyFill="0" applyBorder="0" applyAlignment="0" applyProtection="0"/>
    <xf numFmtId="179" fontId="9" fillId="0" borderId="0" applyFont="0" applyFill="0" applyBorder="0" applyAlignment="0" applyProtection="0"/>
    <xf numFmtId="179" fontId="9" fillId="0" borderId="0" applyFont="0" applyFill="0" applyBorder="0" applyAlignment="0" applyProtection="0"/>
    <xf numFmtId="0" fontId="55" fillId="0" borderId="0"/>
    <xf numFmtId="180" fontId="53" fillId="0" borderId="0" applyFont="0" applyFill="0" applyBorder="0" applyAlignment="0" applyProtection="0"/>
    <xf numFmtId="180" fontId="54" fillId="0" borderId="0" applyFill="0" applyBorder="0" applyAlignment="0" applyProtection="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9" fillId="0" borderId="0"/>
    <xf numFmtId="0" fontId="55" fillId="0" borderId="0"/>
    <xf numFmtId="0" fontId="57" fillId="0" borderId="0"/>
    <xf numFmtId="0" fontId="55" fillId="0" borderId="0"/>
    <xf numFmtId="0" fontId="55" fillId="0" borderId="0"/>
    <xf numFmtId="0" fontId="56" fillId="0" borderId="0"/>
    <xf numFmtId="0" fontId="55" fillId="0" borderId="0"/>
    <xf numFmtId="0" fontId="56" fillId="0" borderId="0"/>
    <xf numFmtId="0" fontId="56" fillId="0" borderId="0"/>
    <xf numFmtId="0" fontId="55" fillId="0" borderId="0"/>
    <xf numFmtId="181" fontId="9" fillId="0" borderId="0" applyFont="0" applyFill="0" applyBorder="0" applyAlignment="0" applyProtection="0"/>
    <xf numFmtId="182" fontId="54" fillId="0" borderId="0" applyFill="0" applyBorder="0" applyAlignment="0" applyProtection="0"/>
    <xf numFmtId="183" fontId="9" fillId="0" borderId="0" applyFont="0" applyFill="0" applyBorder="0" applyAlignment="0" applyProtection="0"/>
    <xf numFmtId="184" fontId="54" fillId="0" borderId="0" applyFont="0" applyFill="0" applyBorder="0" applyAlignment="0" applyProtection="0"/>
    <xf numFmtId="185" fontId="53" fillId="0" borderId="0" applyFont="0" applyFill="0" applyBorder="0" applyAlignment="0" applyProtection="0"/>
    <xf numFmtId="185" fontId="54" fillId="0" borderId="0" applyFill="0" applyBorder="0" applyAlignment="0" applyProtection="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6" fillId="0" borderId="0"/>
    <xf numFmtId="0" fontId="55" fillId="0" borderId="0"/>
    <xf numFmtId="0" fontId="56" fillId="0" borderId="0"/>
    <xf numFmtId="0" fontId="55" fillId="0" borderId="0"/>
    <xf numFmtId="0" fontId="55" fillId="0" borderId="0"/>
    <xf numFmtId="0" fontId="56" fillId="0" borderId="0"/>
    <xf numFmtId="0" fontId="56" fillId="0" borderId="0"/>
    <xf numFmtId="0" fontId="55" fillId="0" borderId="0"/>
    <xf numFmtId="0" fontId="57" fillId="0" borderId="0"/>
    <xf numFmtId="0" fontId="56" fillId="0" borderId="0"/>
    <xf numFmtId="0" fontId="55" fillId="0" borderId="0"/>
    <xf numFmtId="0" fontId="55" fillId="0" borderId="0"/>
    <xf numFmtId="0" fontId="55" fillId="0" borderId="0"/>
    <xf numFmtId="0" fontId="55" fillId="0" borderId="0"/>
    <xf numFmtId="0" fontId="56" fillId="0" borderId="0"/>
    <xf numFmtId="0" fontId="55" fillId="0" borderId="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8" fontId="54" fillId="0" borderId="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0" fontId="56" fillId="0" borderId="0"/>
    <xf numFmtId="0" fontId="11" fillId="0" borderId="0">
      <alignment vertical="top"/>
    </xf>
    <xf numFmtId="0" fontId="11" fillId="0" borderId="0">
      <alignment vertical="top"/>
    </xf>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6" fillId="0" borderId="0"/>
    <xf numFmtId="0" fontId="55" fillId="0" borderId="0"/>
    <xf numFmtId="0" fontId="55" fillId="0" borderId="0"/>
    <xf numFmtId="0" fontId="9" fillId="0" borderId="0">
      <alignment vertical="top"/>
    </xf>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11" fillId="0" borderId="0">
      <alignment vertical="top"/>
    </xf>
    <xf numFmtId="0" fontId="9" fillId="0" borderId="0"/>
    <xf numFmtId="0" fontId="55" fillId="0" borderId="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3" fillId="50" borderId="0" applyNumberFormat="0" applyFont="0" applyAlignment="0" applyProtection="0"/>
    <xf numFmtId="0" fontId="54" fillId="51" borderId="0" applyNumberFormat="0" applyAlignment="0" applyProtection="0"/>
    <xf numFmtId="0" fontId="55" fillId="0" borderId="0"/>
    <xf numFmtId="0" fontId="9" fillId="0" borderId="0"/>
    <xf numFmtId="0" fontId="55" fillId="0" borderId="0"/>
    <xf numFmtId="0" fontId="55" fillId="0" borderId="0"/>
    <xf numFmtId="0" fontId="11" fillId="0" borderId="0">
      <alignment vertical="top"/>
    </xf>
    <xf numFmtId="0" fontId="11" fillId="0" borderId="0">
      <alignment vertical="top"/>
    </xf>
    <xf numFmtId="0" fontId="56" fillId="0" borderId="0"/>
    <xf numFmtId="0" fontId="55" fillId="0" borderId="0"/>
    <xf numFmtId="0" fontId="9" fillId="0" borderId="0"/>
    <xf numFmtId="0" fontId="9" fillId="0" borderId="0"/>
    <xf numFmtId="0" fontId="55" fillId="0" borderId="0"/>
    <xf numFmtId="0" fontId="56" fillId="0" borderId="0"/>
    <xf numFmtId="0" fontId="55" fillId="0" borderId="0"/>
    <xf numFmtId="0" fontId="56" fillId="0" borderId="0"/>
    <xf numFmtId="0" fontId="55" fillId="0" borderId="0"/>
    <xf numFmtId="0" fontId="9" fillId="0" borderId="0">
      <alignment vertical="top"/>
    </xf>
    <xf numFmtId="0" fontId="55" fillId="0" borderId="0"/>
    <xf numFmtId="0" fontId="56" fillId="0" borderId="0"/>
    <xf numFmtId="0" fontId="55" fillId="0" borderId="0"/>
    <xf numFmtId="0" fontId="56" fillId="0" borderId="0"/>
    <xf numFmtId="0" fontId="55" fillId="0" borderId="0"/>
    <xf numFmtId="0" fontId="11" fillId="0" borderId="0">
      <alignment vertical="top"/>
    </xf>
    <xf numFmtId="0" fontId="56"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6" fillId="0" borderId="0"/>
    <xf numFmtId="41" fontId="9" fillId="0" borderId="0" applyFont="0" applyFill="0" applyBorder="0" applyAlignment="0" applyProtection="0"/>
    <xf numFmtId="179" fontId="9" fillId="0" borderId="0" applyFont="0" applyFill="0" applyBorder="0" applyAlignment="0" applyProtection="0"/>
    <xf numFmtId="41" fontId="9" fillId="0" borderId="0" applyFont="0" applyFill="0" applyBorder="0" applyAlignment="0" applyProtection="0"/>
    <xf numFmtId="179" fontId="9" fillId="0" borderId="0" applyFont="0" applyFill="0" applyBorder="0" applyAlignment="0" applyProtection="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189" fontId="61" fillId="0" borderId="0"/>
    <xf numFmtId="0" fontId="56" fillId="0" borderId="0"/>
    <xf numFmtId="0" fontId="55" fillId="0" borderId="0"/>
    <xf numFmtId="0" fontId="56" fillId="0" borderId="0"/>
    <xf numFmtId="0" fontId="55" fillId="0" borderId="0"/>
    <xf numFmtId="0" fontId="56" fillId="0" borderId="0"/>
    <xf numFmtId="0" fontId="55" fillId="0" borderId="0"/>
    <xf numFmtId="0" fontId="58" fillId="0" borderId="0" applyNumberFormat="0" applyFill="0" applyBorder="0" applyAlignment="0" applyProtection="0"/>
    <xf numFmtId="0" fontId="56" fillId="0" borderId="0"/>
    <xf numFmtId="0" fontId="55" fillId="0" borderId="0"/>
    <xf numFmtId="0" fontId="9" fillId="0" borderId="0"/>
    <xf numFmtId="0" fontId="55" fillId="0" borderId="0"/>
    <xf numFmtId="0" fontId="55" fillId="0" borderId="0"/>
    <xf numFmtId="0" fontId="9" fillId="0" borderId="0"/>
    <xf numFmtId="0" fontId="55" fillId="0" borderId="0"/>
    <xf numFmtId="0" fontId="9" fillId="0" borderId="0"/>
    <xf numFmtId="0" fontId="56" fillId="0" borderId="0"/>
    <xf numFmtId="190" fontId="53" fillId="0" borderId="0" applyFont="0" applyFill="0" applyBorder="0" applyAlignment="0" applyProtection="0"/>
    <xf numFmtId="190" fontId="53" fillId="0" borderId="0" applyFont="0" applyFill="0" applyBorder="0" applyAlignment="0" applyProtection="0"/>
    <xf numFmtId="191" fontId="9" fillId="0" borderId="0" applyFont="0" applyFill="0" applyBorder="0" applyAlignment="0" applyProtection="0"/>
    <xf numFmtId="192" fontId="54" fillId="0" borderId="0" applyFill="0" applyBorder="0" applyAlignment="0" applyProtection="0"/>
    <xf numFmtId="190" fontId="9" fillId="0" borderId="0" applyFont="0" applyFill="0" applyBorder="0" applyAlignment="0" applyProtection="0"/>
    <xf numFmtId="193" fontId="53" fillId="0" borderId="0" applyFont="0" applyFill="0" applyBorder="0" applyProtection="0">
      <alignment horizontal="right"/>
    </xf>
    <xf numFmtId="193" fontId="53" fillId="0" borderId="0" applyFont="0" applyFill="0" applyBorder="0" applyProtection="0">
      <alignment horizontal="right"/>
    </xf>
    <xf numFmtId="194" fontId="9" fillId="0" borderId="0" applyFont="0" applyFill="0" applyBorder="0" applyAlignment="0" applyProtection="0"/>
    <xf numFmtId="193" fontId="54" fillId="0" borderId="0" applyFill="0" applyBorder="0" applyProtection="0">
      <alignment horizontal="right"/>
    </xf>
    <xf numFmtId="193" fontId="9" fillId="0" borderId="0" applyFont="0" applyFill="0" applyBorder="0" applyProtection="0">
      <alignment horizontal="right"/>
    </xf>
    <xf numFmtId="0" fontId="55" fillId="0" borderId="0"/>
    <xf numFmtId="0" fontId="9" fillId="0" borderId="0"/>
    <xf numFmtId="0" fontId="55" fillId="0" borderId="0"/>
    <xf numFmtId="0" fontId="56" fillId="0" borderId="0"/>
    <xf numFmtId="0" fontId="56" fillId="0" borderId="0"/>
    <xf numFmtId="0" fontId="55"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9" fillId="0" borderId="0"/>
    <xf numFmtId="0" fontId="9" fillId="0" borderId="0"/>
    <xf numFmtId="0" fontId="9" fillId="0" borderId="0"/>
    <xf numFmtId="0" fontId="55" fillId="0" borderId="0"/>
    <xf numFmtId="0" fontId="55" fillId="0" borderId="0"/>
    <xf numFmtId="176" fontId="9" fillId="0" borderId="0" applyFont="0" applyFill="0" applyBorder="0" applyProtection="0">
      <alignment horizontal="right"/>
    </xf>
    <xf numFmtId="176" fontId="9" fillId="0" borderId="0" applyFont="0" applyFill="0" applyBorder="0" applyProtection="0">
      <alignment horizontal="right"/>
    </xf>
    <xf numFmtId="176" fontId="9" fillId="0" borderId="0" applyFont="0" applyFill="0" applyBorder="0" applyAlignment="0" applyProtection="0"/>
    <xf numFmtId="177" fontId="54" fillId="0" borderId="0" applyFill="0" applyBorder="0" applyProtection="0">
      <alignment horizontal="right"/>
    </xf>
    <xf numFmtId="176" fontId="9" fillId="0" borderId="0" applyFont="0" applyFill="0" applyBorder="0" applyProtection="0">
      <alignment horizontal="right"/>
    </xf>
    <xf numFmtId="178" fontId="9" fillId="0" borderId="0" applyFont="0" applyFill="0" applyBorder="0" applyProtection="0">
      <alignment horizontal="right"/>
    </xf>
    <xf numFmtId="178" fontId="9" fillId="0" borderId="0" applyFont="0" applyFill="0" applyBorder="0" applyProtection="0">
      <alignment horizontal="right"/>
    </xf>
    <xf numFmtId="178" fontId="9" fillId="0" borderId="0" applyFont="0" applyFill="0" applyBorder="0" applyAlignment="0" applyProtection="0"/>
    <xf numFmtId="0" fontId="55" fillId="0" borderId="0"/>
    <xf numFmtId="41" fontId="9" fillId="0" borderId="0" applyFont="0" applyFill="0" applyBorder="0" applyAlignment="0" applyProtection="0"/>
    <xf numFmtId="0" fontId="9" fillId="0" borderId="0" applyNumberFormat="0" applyAlignment="0" applyProtection="0"/>
    <xf numFmtId="179" fontId="9" fillId="0" borderId="0" applyFont="0" applyFill="0" applyBorder="0" applyAlignment="0" applyProtection="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6" fillId="0" borderId="0"/>
    <xf numFmtId="0" fontId="55" fillId="0" borderId="0"/>
    <xf numFmtId="0" fontId="56"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62" fillId="0" borderId="0" applyNumberFormat="0" applyAlignment="0" applyProtection="0"/>
    <xf numFmtId="0" fontId="9" fillId="0" borderId="0"/>
    <xf numFmtId="0" fontId="9" fillId="0" borderId="0"/>
    <xf numFmtId="0" fontId="63" fillId="0" borderId="0" applyNumberFormat="0" applyFill="0" applyBorder="0" applyProtection="0">
      <alignment vertical="top"/>
    </xf>
    <xf numFmtId="0" fontId="63" fillId="0" borderId="0" applyNumberFormat="0" applyFill="0" applyBorder="0" applyProtection="0">
      <alignment vertical="top"/>
    </xf>
    <xf numFmtId="0" fontId="63" fillId="0" borderId="0" applyNumberFormat="0" applyFill="0" applyBorder="0" applyProtection="0">
      <alignment vertical="top"/>
    </xf>
    <xf numFmtId="0" fontId="63" fillId="0" borderId="0" applyNumberFormat="0" applyFill="0" applyBorder="0" applyProtection="0">
      <alignment vertical="top"/>
    </xf>
    <xf numFmtId="0" fontId="63" fillId="0" borderId="0" applyNumberFormat="0" applyFill="0" applyBorder="0" applyProtection="0">
      <alignment vertical="top"/>
    </xf>
    <xf numFmtId="0" fontId="64" fillId="0" borderId="0" applyNumberFormat="0" applyFill="0" applyBorder="0" applyProtection="0">
      <alignment vertical="top"/>
    </xf>
    <xf numFmtId="0" fontId="11" fillId="0" borderId="0">
      <alignment vertical="top"/>
    </xf>
    <xf numFmtId="41" fontId="9" fillId="0" borderId="0" applyFont="0" applyFill="0" applyBorder="0" applyAlignment="0" applyProtection="0"/>
    <xf numFmtId="0" fontId="47" fillId="0" borderId="29" applyNumberFormat="0" applyFill="0" applyAlignment="0" applyProtection="0"/>
    <xf numFmtId="0" fontId="47" fillId="0" borderId="29" applyNumberFormat="0" applyFill="0" applyAlignment="0" applyProtection="0"/>
    <xf numFmtId="0" fontId="47" fillId="0" borderId="29" applyNumberFormat="0" applyFill="0" applyAlignment="0" applyProtection="0"/>
    <xf numFmtId="0" fontId="47" fillId="0" borderId="29" applyNumberFormat="0" applyFill="0" applyAlignment="0" applyProtection="0"/>
    <xf numFmtId="0" fontId="47" fillId="0" borderId="30" applyNumberFormat="0" applyFill="0" applyAlignment="0" applyProtection="0"/>
    <xf numFmtId="0" fontId="47" fillId="0" borderId="29" applyNumberFormat="0" applyFill="0" applyAlignment="0" applyProtection="0"/>
    <xf numFmtId="0" fontId="47" fillId="0" borderId="29" applyNumberFormat="0" applyFill="0" applyAlignment="0" applyProtection="0"/>
    <xf numFmtId="0" fontId="65" fillId="0" borderId="31" applyNumberFormat="0" applyFill="0" applyProtection="0">
      <alignment horizontal="center"/>
    </xf>
    <xf numFmtId="0" fontId="65" fillId="0" borderId="31" applyNumberFormat="0" applyFill="0" applyProtection="0">
      <alignment horizontal="center"/>
    </xf>
    <xf numFmtId="0" fontId="65" fillId="0" borderId="31" applyNumberFormat="0" applyFill="0" applyProtection="0">
      <alignment horizontal="center"/>
    </xf>
    <xf numFmtId="0" fontId="66" fillId="0" borderId="32" applyNumberFormat="0" applyFill="0" applyProtection="0">
      <alignment horizontal="center"/>
    </xf>
    <xf numFmtId="0" fontId="65" fillId="0" borderId="0" applyNumberFormat="0" applyFill="0" applyBorder="0" applyProtection="0">
      <alignment horizontal="left"/>
    </xf>
    <xf numFmtId="0" fontId="65" fillId="0" borderId="0" applyNumberFormat="0" applyFill="0" applyBorder="0" applyProtection="0">
      <alignment horizontal="left"/>
    </xf>
    <xf numFmtId="0" fontId="65" fillId="0" borderId="0" applyNumberFormat="0" applyFill="0" applyBorder="0" applyProtection="0">
      <alignment horizontal="left"/>
    </xf>
    <xf numFmtId="0" fontId="66" fillId="0" borderId="0" applyNumberFormat="0" applyFill="0" applyBorder="0" applyProtection="0">
      <alignment horizontal="left"/>
    </xf>
    <xf numFmtId="0" fontId="67" fillId="0" borderId="0" applyNumberFormat="0" applyFill="0" applyBorder="0" applyProtection="0">
      <alignment horizontal="centerContinuous"/>
    </xf>
    <xf numFmtId="0" fontId="67" fillId="0" borderId="0" applyNumberFormat="0" applyFill="0" applyBorder="0" applyProtection="0">
      <alignment horizontal="centerContinuous"/>
    </xf>
    <xf numFmtId="0" fontId="67" fillId="0" borderId="0" applyNumberFormat="0" applyFill="0" applyBorder="0" applyProtection="0">
      <alignment horizontal="centerContinuous"/>
    </xf>
    <xf numFmtId="0" fontId="67" fillId="0" borderId="0" applyNumberFormat="0" applyFill="0" applyBorder="0" applyProtection="0">
      <alignment horizontal="centerContinuous"/>
    </xf>
    <xf numFmtId="0" fontId="67" fillId="0" borderId="0" applyNumberFormat="0" applyFill="0" applyProtection="0">
      <alignment horizontal="centerContinuous"/>
    </xf>
    <xf numFmtId="0" fontId="68" fillId="0" borderId="0" applyNumberFormat="0" applyFill="0" applyBorder="0" applyProtection="0">
      <alignment horizontal="center"/>
    </xf>
    <xf numFmtId="0" fontId="67" fillId="0" borderId="0" applyNumberFormat="0" applyFill="0" applyBorder="0" applyProtection="0">
      <alignment horizontal="centerContinuous"/>
    </xf>
    <xf numFmtId="41" fontId="9" fillId="0" borderId="0" applyFont="0" applyFill="0" applyBorder="0" applyAlignment="0" applyProtection="0"/>
    <xf numFmtId="0" fontId="55" fillId="0" borderId="0"/>
    <xf numFmtId="0" fontId="56" fillId="0" borderId="0"/>
    <xf numFmtId="0" fontId="55" fillId="0" borderId="0"/>
    <xf numFmtId="0" fontId="56" fillId="0" borderId="0"/>
    <xf numFmtId="0" fontId="9" fillId="0" borderId="0">
      <alignment horizontal="left" wrapText="1"/>
    </xf>
    <xf numFmtId="0" fontId="9" fillId="0" borderId="0">
      <alignment horizontal="left" wrapText="1"/>
    </xf>
    <xf numFmtId="0" fontId="56" fillId="0" borderId="0"/>
    <xf numFmtId="0" fontId="9" fillId="0" borderId="0"/>
    <xf numFmtId="0" fontId="58" fillId="0" borderId="0" applyNumberFormat="0" applyFill="0" applyBorder="0" applyAlignment="0" applyProtection="0"/>
    <xf numFmtId="0" fontId="62" fillId="0" borderId="0" applyNumberFormat="0" applyAlignment="0" applyProtection="0"/>
    <xf numFmtId="0" fontId="69" fillId="0" borderId="0" applyNumberFormat="0" applyFill="0" applyBorder="0" applyAlignment="0" applyProtection="0">
      <alignment vertical="top"/>
      <protection locked="0"/>
    </xf>
    <xf numFmtId="195" fontId="58" fillId="0" borderId="0" applyFont="0" applyFill="0" applyBorder="0" applyAlignment="0" applyProtection="0"/>
    <xf numFmtId="0" fontId="51" fillId="0" borderId="0"/>
    <xf numFmtId="196" fontId="58" fillId="0" borderId="0" applyFont="0" applyFill="0" applyBorder="0" applyAlignment="0" applyProtection="0"/>
    <xf numFmtId="0" fontId="9" fillId="0" borderId="0"/>
    <xf numFmtId="0" fontId="70" fillId="0" borderId="0"/>
    <xf numFmtId="0" fontId="71"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53" fillId="0" borderId="0"/>
    <xf numFmtId="0" fontId="73" fillId="0" borderId="0"/>
    <xf numFmtId="40" fontId="74" fillId="0" borderId="0" applyFont="0" applyFill="0" applyBorder="0" applyAlignment="0" applyProtection="0"/>
    <xf numFmtId="38"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0" fontId="75" fillId="0" borderId="0"/>
    <xf numFmtId="0" fontId="76" fillId="0" borderId="0"/>
    <xf numFmtId="0" fontId="58" fillId="0" borderId="0"/>
    <xf numFmtId="197" fontId="77" fillId="0" borderId="0">
      <alignment horizontal="right" vertical="center"/>
    </xf>
    <xf numFmtId="198" fontId="77" fillId="0" borderId="0">
      <alignment horizontal="right" vertical="center"/>
    </xf>
    <xf numFmtId="0" fontId="49" fillId="0" borderId="0"/>
    <xf numFmtId="0" fontId="49" fillId="0" borderId="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 fillId="52" borderId="0" applyNumberFormat="0" applyBorder="0" applyAlignment="0" applyProtection="0"/>
    <xf numFmtId="0" fontId="16" fillId="31" borderId="0" applyNumberFormat="0" applyBorder="0" applyAlignment="0" applyProtection="0"/>
    <xf numFmtId="0" fontId="16" fillId="31" borderId="0" applyNumberFormat="0" applyBorder="0" applyAlignment="0" applyProtection="0"/>
    <xf numFmtId="0" fontId="16" fillId="31" borderId="0" applyNumberFormat="0" applyBorder="0" applyAlignment="0" applyProtection="0"/>
    <xf numFmtId="0" fontId="1" fillId="54" borderId="0" applyNumberFormat="0" applyBorder="0" applyAlignment="0" applyProtection="0"/>
    <xf numFmtId="0" fontId="16" fillId="35" borderId="0" applyNumberFormat="0" applyBorder="0" applyAlignment="0" applyProtection="0"/>
    <xf numFmtId="0" fontId="16" fillId="35" borderId="0" applyNumberFormat="0" applyBorder="0" applyAlignment="0" applyProtection="0"/>
    <xf numFmtId="0" fontId="16" fillId="35" borderId="0" applyNumberFormat="0" applyBorder="0" applyAlignment="0" applyProtection="0"/>
    <xf numFmtId="0" fontId="1" fillId="56"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 fillId="52"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6" fillId="43" borderId="0" applyNumberFormat="0" applyBorder="0" applyAlignment="0" applyProtection="0"/>
    <xf numFmtId="0" fontId="1" fillId="57" borderId="0" applyNumberFormat="0" applyBorder="0" applyAlignment="0" applyProtection="0"/>
    <xf numFmtId="0" fontId="16" fillId="47" borderId="0" applyNumberFormat="0" applyBorder="0" applyAlignment="0" applyProtection="0"/>
    <xf numFmtId="0" fontId="16" fillId="47" borderId="0" applyNumberFormat="0" applyBorder="0" applyAlignment="0" applyProtection="0"/>
    <xf numFmtId="0" fontId="16" fillId="47" borderId="0" applyNumberFormat="0" applyBorder="0" applyAlignment="0" applyProtection="0"/>
    <xf numFmtId="0" fontId="1" fillId="56" borderId="0" applyNumberFormat="0" applyBorder="0" applyAlignment="0" applyProtection="0"/>
    <xf numFmtId="42" fontId="58" fillId="0" borderId="0" applyFont="0" applyFill="0" applyBorder="0" applyAlignment="0" applyProtection="0"/>
    <xf numFmtId="199" fontId="9" fillId="0" borderId="0" applyFont="0" applyFill="0" applyBorder="0" applyAlignment="0" applyProtection="0"/>
    <xf numFmtId="44" fontId="58" fillId="0" borderId="0" applyFont="0" applyFill="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 fillId="59"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 fillId="54"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6" fillId="36" borderId="0" applyNumberFormat="0" applyBorder="0" applyAlignment="0" applyProtection="0"/>
    <xf numFmtId="0" fontId="1" fillId="5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 fillId="59"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6" fillId="44" borderId="0" applyNumberFormat="0" applyBorder="0" applyAlignment="0" applyProtection="0"/>
    <xf numFmtId="0" fontId="1" fillId="58" borderId="0" applyNumberFormat="0" applyBorder="0" applyAlignment="0" applyProtection="0"/>
    <xf numFmtId="0" fontId="16" fillId="48" borderId="0" applyNumberFormat="0" applyBorder="0" applyAlignment="0" applyProtection="0"/>
    <xf numFmtId="0" fontId="16" fillId="48" borderId="0" applyNumberFormat="0" applyBorder="0" applyAlignment="0" applyProtection="0"/>
    <xf numFmtId="0" fontId="16" fillId="48" borderId="0" applyNumberFormat="0" applyBorder="0" applyAlignment="0" applyProtection="0"/>
    <xf numFmtId="0" fontId="1" fillId="50" borderId="0" applyNumberFormat="0" applyBorder="0" applyAlignment="0" applyProtection="0"/>
    <xf numFmtId="0" fontId="41" fillId="29" borderId="0" applyNumberFormat="0" applyBorder="0" applyAlignment="0" applyProtection="0"/>
    <xf numFmtId="0" fontId="41" fillId="29" borderId="0" applyNumberFormat="0" applyBorder="0" applyAlignment="0" applyProtection="0"/>
    <xf numFmtId="0" fontId="78" fillId="60" borderId="0" applyNumberFormat="0" applyBorder="0" applyAlignment="0" applyProtection="0"/>
    <xf numFmtId="0" fontId="41" fillId="33" borderId="0" applyNumberFormat="0" applyBorder="0" applyAlignment="0" applyProtection="0"/>
    <xf numFmtId="0" fontId="41" fillId="33" borderId="0" applyNumberFormat="0" applyBorder="0" applyAlignment="0" applyProtection="0"/>
    <xf numFmtId="0" fontId="78" fillId="54" borderId="0" applyNumberFormat="0" applyBorder="0" applyAlignment="0" applyProtection="0"/>
    <xf numFmtId="0" fontId="41" fillId="37" borderId="0" applyNumberFormat="0" applyBorder="0" applyAlignment="0" applyProtection="0"/>
    <xf numFmtId="0" fontId="41" fillId="37" borderId="0" applyNumberFormat="0" applyBorder="0" applyAlignment="0" applyProtection="0"/>
    <xf numFmtId="0" fontId="78" fillId="50"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78" fillId="59"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78" fillId="60" borderId="0" applyNumberFormat="0" applyBorder="0" applyAlignment="0" applyProtection="0"/>
    <xf numFmtId="0" fontId="41" fillId="49" borderId="0" applyNumberFormat="0" applyBorder="0" applyAlignment="0" applyProtection="0"/>
    <xf numFmtId="0" fontId="41" fillId="49" borderId="0" applyNumberFormat="0" applyBorder="0" applyAlignment="0" applyProtection="0"/>
    <xf numFmtId="0" fontId="78" fillId="54" borderId="0" applyNumberFormat="0" applyBorder="0" applyAlignment="0" applyProtection="0"/>
    <xf numFmtId="200" fontId="79" fillId="0" borderId="1" applyFont="0" applyFill="0" applyBorder="0" applyAlignment="0" applyProtection="0"/>
    <xf numFmtId="201" fontId="80" fillId="0" borderId="0" applyFont="0" applyFill="0" applyBorder="0" applyAlignment="0" applyProtection="0"/>
    <xf numFmtId="202" fontId="80" fillId="0" borderId="0" applyFont="0" applyFill="0" applyBorder="0" applyAlignment="0" applyProtection="0"/>
    <xf numFmtId="0" fontId="81" fillId="0" borderId="12" applyBorder="0"/>
    <xf numFmtId="0" fontId="41" fillId="26" borderId="0" applyNumberFormat="0" applyBorder="0" applyAlignment="0" applyProtection="0"/>
    <xf numFmtId="0" fontId="41" fillId="26" borderId="0" applyNumberFormat="0" applyBorder="0" applyAlignment="0" applyProtection="0"/>
    <xf numFmtId="0" fontId="78" fillId="60" borderId="0" applyNumberFormat="0" applyBorder="0" applyAlignment="0" applyProtection="0"/>
    <xf numFmtId="0" fontId="41" fillId="30" borderId="0" applyNumberFormat="0" applyBorder="0" applyAlignment="0" applyProtection="0"/>
    <xf numFmtId="0" fontId="41" fillId="30" borderId="0" applyNumberFormat="0" applyBorder="0" applyAlignment="0" applyProtection="0"/>
    <xf numFmtId="0" fontId="78" fillId="61" borderId="0" applyNumberFormat="0" applyBorder="0" applyAlignment="0" applyProtection="0"/>
    <xf numFmtId="0" fontId="41" fillId="34" borderId="0" applyNumberFormat="0" applyBorder="0" applyAlignment="0" applyProtection="0"/>
    <xf numFmtId="0" fontId="41" fillId="34" borderId="0" applyNumberFormat="0" applyBorder="0" applyAlignment="0" applyProtection="0"/>
    <xf numFmtId="0" fontId="78" fillId="62"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78" fillId="63"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78" fillId="60" borderId="0" applyNumberFormat="0" applyBorder="0" applyAlignment="0" applyProtection="0"/>
    <xf numFmtId="0" fontId="41" fillId="46" borderId="0" applyNumberFormat="0" applyBorder="0" applyAlignment="0" applyProtection="0"/>
    <xf numFmtId="0" fontId="41" fillId="46" borderId="0" applyNumberFormat="0" applyBorder="0" applyAlignment="0" applyProtection="0"/>
    <xf numFmtId="0" fontId="78" fillId="64" borderId="0" applyNumberFormat="0" applyBorder="0" applyAlignment="0" applyProtection="0"/>
    <xf numFmtId="3" fontId="9" fillId="65" borderId="3" applyBorder="0">
      <protection locked="0"/>
    </xf>
    <xf numFmtId="203" fontId="82" fillId="0" borderId="0" applyFont="0" applyFill="0" applyBorder="0" applyAlignment="0" applyProtection="0"/>
    <xf numFmtId="204" fontId="83" fillId="0" borderId="0" applyFont="0" applyFill="0" applyBorder="0" applyAlignment="0" applyProtection="0"/>
    <xf numFmtId="205" fontId="84" fillId="0" borderId="0" applyFont="0" applyFill="0" applyBorder="0" applyAlignment="0" applyProtection="0"/>
    <xf numFmtId="206" fontId="82" fillId="0" borderId="0" applyFont="0" applyFill="0" applyBorder="0" applyAlignment="0" applyProtection="0"/>
    <xf numFmtId="207" fontId="83" fillId="0" borderId="0" applyFont="0" applyFill="0" applyBorder="0" applyAlignment="0" applyProtection="0"/>
    <xf numFmtId="0" fontId="85" fillId="0" borderId="0" applyFont="0" applyFill="0" applyBorder="0" applyAlignment="0" applyProtection="0"/>
    <xf numFmtId="208" fontId="80" fillId="0" borderId="0" applyFont="0" applyFill="0" applyBorder="0" applyAlignment="0" applyProtection="0"/>
    <xf numFmtId="209" fontId="80" fillId="0" borderId="0" applyFont="0" applyFill="0" applyBorder="0" applyAlignment="0" applyProtection="0"/>
    <xf numFmtId="0" fontId="86" fillId="0" borderId="0" applyNumberFormat="0" applyFill="0" applyBorder="0" applyAlignment="0" applyProtection="0">
      <alignment vertical="top"/>
      <protection locked="0"/>
    </xf>
    <xf numFmtId="0" fontId="87" fillId="0" borderId="0">
      <alignment horizontal="center" wrapText="1"/>
      <protection locked="0"/>
    </xf>
    <xf numFmtId="9" fontId="9" fillId="66" borderId="1" applyNumberFormat="0" applyFont="0" applyAlignment="0" applyProtection="0"/>
    <xf numFmtId="210" fontId="82" fillId="0" borderId="0" applyFont="0" applyFill="0" applyBorder="0" applyAlignment="0" applyProtection="0"/>
    <xf numFmtId="211" fontId="83" fillId="0" borderId="0" applyFont="0" applyFill="0" applyBorder="0" applyAlignment="0" applyProtection="0"/>
    <xf numFmtId="179" fontId="85" fillId="0" borderId="0" applyFont="0" applyFill="0" applyBorder="0" applyAlignment="0" applyProtection="0"/>
    <xf numFmtId="212" fontId="82" fillId="0" borderId="0" applyFont="0" applyFill="0" applyBorder="0" applyAlignment="0" applyProtection="0"/>
    <xf numFmtId="213" fontId="83" fillId="0" borderId="0" applyFont="0" applyFill="0" applyBorder="0" applyAlignment="0" applyProtection="0"/>
    <xf numFmtId="214" fontId="85" fillId="0" borderId="0" applyFont="0" applyFill="0" applyBorder="0" applyAlignment="0" applyProtection="0"/>
    <xf numFmtId="37" fontId="88" fillId="0" borderId="0"/>
    <xf numFmtId="37" fontId="9" fillId="59" borderId="0"/>
    <xf numFmtId="0" fontId="33" fillId="20" borderId="0" applyNumberFormat="0" applyBorder="0" applyAlignment="0" applyProtection="0"/>
    <xf numFmtId="0" fontId="33" fillId="20" borderId="0" applyNumberFormat="0" applyBorder="0" applyAlignment="0" applyProtection="0"/>
    <xf numFmtId="0" fontId="89" fillId="53" borderId="0" applyNumberFormat="0" applyBorder="0" applyAlignment="0" applyProtection="0"/>
    <xf numFmtId="0" fontId="90" fillId="67" borderId="0" applyNumberFormat="0" applyFont="0"/>
    <xf numFmtId="1" fontId="91" fillId="0" borderId="0" applyFill="0" applyBorder="0" applyProtection="0">
      <alignment horizontal="right" wrapText="1"/>
      <protection locked="0"/>
    </xf>
    <xf numFmtId="215" fontId="92" fillId="0" borderId="0" applyFill="0" applyBorder="0" applyProtection="0">
      <alignment horizontal="right"/>
      <protection locked="0"/>
    </xf>
    <xf numFmtId="0" fontId="93" fillId="0" borderId="0" applyNumberFormat="0" applyFill="0" applyBorder="0" applyProtection="0">
      <protection locked="0"/>
    </xf>
    <xf numFmtId="215" fontId="94" fillId="0" borderId="0">
      <protection locked="0"/>
    </xf>
    <xf numFmtId="216" fontId="61" fillId="0" borderId="0" applyBorder="0" applyProtection="0"/>
    <xf numFmtId="217" fontId="61" fillId="0" borderId="0"/>
    <xf numFmtId="0" fontId="95" fillId="0" borderId="0" applyNumberFormat="0" applyFill="0" applyBorder="0" applyAlignment="0" applyProtection="0"/>
    <xf numFmtId="173" fontId="96" fillId="0" borderId="0"/>
    <xf numFmtId="0" fontId="97" fillId="0" borderId="12" applyNumberFormat="0" applyFill="0" applyAlignment="0" applyProtection="0"/>
    <xf numFmtId="189" fontId="98" fillId="0" borderId="0">
      <alignment vertical="top"/>
    </xf>
    <xf numFmtId="218" fontId="99" fillId="0" borderId="33"/>
    <xf numFmtId="5" fontId="100" fillId="0" borderId="34" applyAlignment="0" applyProtection="0"/>
    <xf numFmtId="0" fontId="87" fillId="0" borderId="5" applyNumberFormat="0" applyFont="0" applyFill="0" applyAlignment="0" applyProtection="0"/>
    <xf numFmtId="0" fontId="87" fillId="0" borderId="35" applyNumberFormat="0" applyFont="0" applyFill="0" applyAlignment="0" applyProtection="0"/>
    <xf numFmtId="5" fontId="100" fillId="0" borderId="34" applyAlignment="0" applyProtection="0"/>
    <xf numFmtId="0" fontId="9" fillId="0" borderId="36" applyFill="0" applyProtection="0">
      <alignment horizontal="right"/>
    </xf>
    <xf numFmtId="219" fontId="101" fillId="0" borderId="0" applyAlignment="0" applyProtection="0"/>
    <xf numFmtId="184" fontId="58" fillId="0" borderId="0" applyFont="0" applyFill="0" applyBorder="0" applyAlignment="0" applyProtection="0"/>
    <xf numFmtId="0" fontId="9" fillId="0" borderId="0" applyNumberFormat="0" applyFill="0" applyBorder="0" applyAlignment="0" applyProtection="0"/>
    <xf numFmtId="0" fontId="102" fillId="0" borderId="0"/>
    <xf numFmtId="220" fontId="103" fillId="0" borderId="37" applyFont="0" applyFill="0" applyBorder="0" applyAlignment="0" applyProtection="0"/>
    <xf numFmtId="0" fontId="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80" fillId="0" borderId="0"/>
    <xf numFmtId="0" fontId="105" fillId="0" borderId="0"/>
    <xf numFmtId="0" fontId="106" fillId="0" borderId="0"/>
    <xf numFmtId="0" fontId="85" fillId="0" borderId="0"/>
    <xf numFmtId="0" fontId="9" fillId="0" borderId="0" applyNumberFormat="0" applyFill="0" applyBorder="0" applyAlignment="0" applyProtection="0"/>
    <xf numFmtId="0" fontId="9" fillId="0" borderId="0" applyNumberFormat="0" applyFill="0" applyBorder="0" applyAlignment="0" applyProtection="0"/>
    <xf numFmtId="221" fontId="9" fillId="0" borderId="0" applyFill="0" applyBorder="0" applyAlignment="0"/>
    <xf numFmtId="165" fontId="52" fillId="0" borderId="0" applyFill="0" applyBorder="0" applyAlignment="0"/>
    <xf numFmtId="165" fontId="52" fillId="0" borderId="0" applyFill="0" applyBorder="0" applyAlignment="0"/>
    <xf numFmtId="165" fontId="52"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172" fontId="103" fillId="0" borderId="0" applyFill="0" applyBorder="0" applyAlignment="0"/>
    <xf numFmtId="223" fontId="9" fillId="0" borderId="0" applyFill="0" applyBorder="0" applyAlignment="0"/>
    <xf numFmtId="223" fontId="9" fillId="0" borderId="0" applyFill="0" applyBorder="0" applyAlignment="0"/>
    <xf numFmtId="223" fontId="9" fillId="0" borderId="0" applyFill="0" applyBorder="0" applyAlignment="0"/>
    <xf numFmtId="224" fontId="103" fillId="0" borderId="0" applyFill="0" applyBorder="0" applyAlignment="0"/>
    <xf numFmtId="225" fontId="9" fillId="0" borderId="0" applyFill="0" applyBorder="0" applyAlignment="0"/>
    <xf numFmtId="225" fontId="9" fillId="0" borderId="0" applyFill="0" applyBorder="0" applyAlignment="0"/>
    <xf numFmtId="225" fontId="9" fillId="0" borderId="0" applyFill="0" applyBorder="0" applyAlignment="0"/>
    <xf numFmtId="226" fontId="103" fillId="0" borderId="0" applyFill="0" applyBorder="0" applyAlignment="0"/>
    <xf numFmtId="227" fontId="9" fillId="0" borderId="0" applyFill="0" applyBorder="0" applyAlignment="0"/>
    <xf numFmtId="227" fontId="9" fillId="0" borderId="0" applyFill="0" applyBorder="0" applyAlignment="0"/>
    <xf numFmtId="227" fontId="9" fillId="0" borderId="0" applyFill="0" applyBorder="0" applyAlignment="0"/>
    <xf numFmtId="228" fontId="103" fillId="0" borderId="0" applyFill="0" applyBorder="0" applyAlignment="0"/>
    <xf numFmtId="229" fontId="11" fillId="0" borderId="0" applyFill="0" applyBorder="0" applyAlignment="0"/>
    <xf numFmtId="229" fontId="11" fillId="0" borderId="0" applyFill="0" applyBorder="0" applyAlignment="0"/>
    <xf numFmtId="229" fontId="11" fillId="0" borderId="0" applyFill="0" applyBorder="0" applyAlignment="0"/>
    <xf numFmtId="230" fontId="103" fillId="0" borderId="0" applyFill="0" applyBorder="0" applyAlignment="0"/>
    <xf numFmtId="231" fontId="9" fillId="0" borderId="0" applyFill="0" applyBorder="0" applyAlignment="0"/>
    <xf numFmtId="231" fontId="9" fillId="0" borderId="0" applyFill="0" applyBorder="0" applyAlignment="0"/>
    <xf numFmtId="231" fontId="9"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0" fontId="37" fillId="23" borderId="22" applyNumberFormat="0" applyAlignment="0" applyProtection="0"/>
    <xf numFmtId="0" fontId="37" fillId="23" borderId="22" applyNumberFormat="0" applyAlignment="0" applyProtection="0"/>
    <xf numFmtId="0" fontId="107" fillId="68" borderId="38" applyNumberFormat="0" applyAlignment="0" applyProtection="0"/>
    <xf numFmtId="0" fontId="53" fillId="0" borderId="0"/>
    <xf numFmtId="0" fontId="108" fillId="0" borderId="0"/>
    <xf numFmtId="0" fontId="109" fillId="0" borderId="0" applyFill="0" applyBorder="0" applyProtection="0">
      <alignment horizontal="center"/>
      <protection locked="0"/>
    </xf>
    <xf numFmtId="8" fontId="9" fillId="0" borderId="39" applyFont="0" applyFill="0" applyBorder="0" applyProtection="0">
      <alignment horizontal="right"/>
    </xf>
    <xf numFmtId="232" fontId="52" fillId="0" borderId="0"/>
    <xf numFmtId="233" fontId="5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 fillId="0" borderId="0"/>
    <xf numFmtId="214" fontId="9" fillId="0" borderId="0" applyBorder="0" applyProtection="0"/>
    <xf numFmtId="0" fontId="17" fillId="24" borderId="25" applyNumberFormat="0" applyAlignment="0" applyProtection="0"/>
    <xf numFmtId="0" fontId="17" fillId="24" borderId="25" applyNumberFormat="0" applyAlignment="0" applyProtection="0"/>
    <xf numFmtId="0" fontId="110" fillId="69" borderId="40" applyNumberFormat="0" applyAlignment="0" applyProtection="0"/>
    <xf numFmtId="0" fontId="111" fillId="0" borderId="0" applyNumberFormat="0" applyFill="0" applyBorder="0" applyAlignment="0" applyProtection="0">
      <alignment vertical="top"/>
      <protection locked="0"/>
    </xf>
    <xf numFmtId="1" fontId="112" fillId="0" borderId="0">
      <protection locked="0"/>
    </xf>
    <xf numFmtId="234" fontId="100" fillId="0" borderId="15">
      <alignment horizontal="left"/>
    </xf>
    <xf numFmtId="0" fontId="54" fillId="0" borderId="0" applyNumberFormat="0" applyFill="0" applyBorder="0" applyAlignment="0" applyProtection="0"/>
    <xf numFmtId="0" fontId="113" fillId="0" borderId="0">
      <alignment horizontal="right"/>
    </xf>
    <xf numFmtId="0" fontId="9" fillId="0" borderId="3">
      <alignment horizontal="center"/>
    </xf>
    <xf numFmtId="0" fontId="114" fillId="0" borderId="0" applyNumberFormat="0" applyFill="0" applyBorder="0" applyProtection="0">
      <alignment wrapText="1"/>
    </xf>
    <xf numFmtId="0" fontId="115" fillId="0" borderId="0" applyNumberFormat="0" applyFill="0" applyBorder="0" applyProtection="0"/>
    <xf numFmtId="0" fontId="116" fillId="0" borderId="0" applyNumberFormat="0" applyFill="0" applyBorder="0" applyProtection="0">
      <alignment horizontal="center" wrapText="1"/>
    </xf>
    <xf numFmtId="0" fontId="114" fillId="0" borderId="12" applyNumberFormat="0" applyFill="0" applyProtection="0">
      <alignment horizontal="right" wrapText="1"/>
    </xf>
    <xf numFmtId="0" fontId="114" fillId="0" borderId="12" applyNumberFormat="0" applyFill="0" applyProtection="0">
      <alignment horizontal="left" wrapText="1"/>
    </xf>
    <xf numFmtId="0" fontId="117" fillId="70" borderId="0"/>
    <xf numFmtId="43" fontId="9" fillId="0" borderId="0" applyFont="0" applyFill="0" applyBorder="0" applyAlignment="0" applyProtection="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235" fontId="58" fillId="0" borderId="0"/>
    <xf numFmtId="228" fontId="103" fillId="0" borderId="0" applyFont="0" applyFill="0" applyBorder="0" applyAlignment="0" applyProtection="0"/>
    <xf numFmtId="229" fontId="9" fillId="0" borderId="0" applyFont="0" applyFill="0" applyBorder="0" applyAlignment="0" applyProtection="0"/>
    <xf numFmtId="229" fontId="9" fillId="0" borderId="0" applyFont="0" applyFill="0" applyBorder="0" applyAlignment="0" applyProtection="0"/>
    <xf numFmtId="229" fontId="9" fillId="0" borderId="0" applyFont="0" applyFill="0" applyBorder="0" applyAlignment="0" applyProtection="0"/>
    <xf numFmtId="167" fontId="119" fillId="0" borderId="0" applyFont="0" applyFill="0" applyBorder="0" applyAlignment="0" applyProtection="0"/>
    <xf numFmtId="0" fontId="120" fillId="0" borderId="0" applyFont="0" applyFill="0" applyBorder="0" applyAlignment="0" applyProtection="0">
      <alignment horizontal="right"/>
    </xf>
    <xf numFmtId="236" fontId="120" fillId="0" borderId="0" applyFont="0" applyFill="0" applyBorder="0" applyAlignment="0" applyProtection="0"/>
    <xf numFmtId="237" fontId="120" fillId="0" borderId="0" applyFont="0" applyFill="0" applyBorder="0" applyAlignment="0" applyProtection="0">
      <alignment horizontal="right"/>
    </xf>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43" fontId="44"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238" fontId="120" fillId="0" borderId="0" applyFont="0" applyFill="0" applyBorder="0" applyAlignment="0" applyProtection="0"/>
    <xf numFmtId="43"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21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239" fontId="120"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0" fontId="9" fillId="0" borderId="0" applyFont="0" applyFill="0" applyBorder="0" applyProtection="0">
      <alignment horizontal="right"/>
    </xf>
    <xf numFmtId="240" fontId="121" fillId="0" borderId="0"/>
    <xf numFmtId="241" fontId="120" fillId="0" borderId="0" applyFont="0" applyFill="0" applyBorder="0" applyAlignment="0" applyProtection="0"/>
    <xf numFmtId="189" fontId="95" fillId="0" borderId="41"/>
    <xf numFmtId="3" fontId="122" fillId="0" borderId="0" applyFont="0" applyFill="0" applyBorder="0" applyAlignment="0" applyProtection="0"/>
    <xf numFmtId="0" fontId="9" fillId="0" borderId="0"/>
    <xf numFmtId="0" fontId="9" fillId="0" borderId="0"/>
    <xf numFmtId="242" fontId="9" fillId="0" borderId="0">
      <protection locked="0"/>
    </xf>
    <xf numFmtId="0" fontId="9" fillId="0" borderId="0"/>
    <xf numFmtId="0" fontId="9" fillId="0" borderId="0"/>
    <xf numFmtId="0" fontId="123" fillId="2" borderId="0" applyNumberFormat="0" applyFill="0" applyBorder="0" applyAlignment="0"/>
    <xf numFmtId="0" fontId="9" fillId="0" borderId="1" applyNumberFormat="0" applyFont="0" applyFill="0" applyAlignment="0" applyProtection="0">
      <alignment horizontal="center"/>
    </xf>
    <xf numFmtId="0" fontId="124" fillId="0" borderId="0" applyFill="0" applyBorder="0" applyAlignment="0" applyProtection="0">
      <protection locked="0"/>
    </xf>
    <xf numFmtId="189" fontId="9" fillId="0" borderId="0" applyFill="0" applyBorder="0">
      <alignment horizontal="left"/>
    </xf>
    <xf numFmtId="0" fontId="125" fillId="2" borderId="0" applyFill="0" applyBorder="0"/>
    <xf numFmtId="0" fontId="9" fillId="0" borderId="0"/>
    <xf numFmtId="0" fontId="9" fillId="0" borderId="0"/>
    <xf numFmtId="0" fontId="9" fillId="0" borderId="0"/>
    <xf numFmtId="0" fontId="9" fillId="0" borderId="0"/>
    <xf numFmtId="0" fontId="9" fillId="0" borderId="0"/>
    <xf numFmtId="0" fontId="9" fillId="0" borderId="0"/>
    <xf numFmtId="0" fontId="10" fillId="0" borderId="0">
      <alignment horizontal="left" indent="3"/>
    </xf>
    <xf numFmtId="0" fontId="10" fillId="0" borderId="0">
      <alignment horizontal="left" indent="5"/>
    </xf>
    <xf numFmtId="0" fontId="126" fillId="0" borderId="0" applyNumberFormat="0" applyAlignment="0">
      <alignment horizontal="left"/>
    </xf>
    <xf numFmtId="0" fontId="127" fillId="0" borderId="0">
      <alignment horizontal="left"/>
    </xf>
    <xf numFmtId="0" fontId="128" fillId="0" borderId="0"/>
    <xf numFmtId="0" fontId="129" fillId="0" borderId="0">
      <alignment horizontal="left"/>
    </xf>
    <xf numFmtId="243" fontId="9" fillId="0" borderId="0" applyFill="0" applyBorder="0" applyAlignment="0" applyProtection="0">
      <alignment horizontal="left"/>
    </xf>
    <xf numFmtId="243" fontId="61" fillId="0" borderId="0" applyFill="0" applyBorder="0" applyAlignment="0" applyProtection="0">
      <alignment horizontal="left"/>
    </xf>
    <xf numFmtId="244" fontId="52" fillId="0" borderId="0" applyFont="0" applyFill="0" applyBorder="0" applyAlignment="0" applyProtection="0"/>
    <xf numFmtId="189" fontId="103" fillId="0" borderId="0" applyFont="0" applyFill="0" applyBorder="0" applyAlignment="0" applyProtection="0"/>
    <xf numFmtId="222" fontId="9" fillId="0" borderId="0" applyFont="0" applyFill="0" applyBorder="0" applyAlignment="0" applyProtection="0"/>
    <xf numFmtId="222" fontId="9" fillId="0" borderId="0" applyFont="0" applyFill="0" applyBorder="0" applyAlignment="0" applyProtection="0"/>
    <xf numFmtId="222" fontId="9" fillId="0" borderId="0" applyFont="0" applyFill="0" applyBorder="0" applyAlignment="0" applyProtection="0"/>
    <xf numFmtId="245" fontId="9" fillId="0" borderId="0" applyFont="0" applyFill="0" applyBorder="0" applyAlignment="0" applyProtection="0"/>
    <xf numFmtId="8" fontId="9" fillId="0" borderId="0" applyBorder="0"/>
    <xf numFmtId="0" fontId="120" fillId="0" borderId="0" applyFont="0" applyFill="0" applyBorder="0" applyAlignment="0" applyProtection="0">
      <alignment horizontal="right"/>
    </xf>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0" fontId="120" fillId="0" borderId="0" applyFont="0" applyFill="0" applyBorder="0" applyAlignment="0" applyProtection="0">
      <alignment horizontal="right"/>
    </xf>
    <xf numFmtId="246" fontId="130" fillId="0" borderId="0" applyFont="0" applyFill="0" applyBorder="0" applyAlignment="0" applyProtection="0"/>
    <xf numFmtId="0" fontId="120" fillId="0" borderId="0" applyFont="0" applyFill="0" applyBorder="0" applyAlignment="0" applyProtection="0">
      <alignment horizontal="right"/>
    </xf>
    <xf numFmtId="44" fontId="44" fillId="0" borderId="0" applyFont="0" applyFill="0" applyBorder="0" applyAlignment="0" applyProtection="0"/>
    <xf numFmtId="247" fontId="130"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44"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248" fontId="120" fillId="0" borderId="0" applyFont="0" applyFill="0" applyBorder="0" applyAlignment="0" applyProtection="0"/>
    <xf numFmtId="44" fontId="45" fillId="0" borderId="0" applyFont="0" applyFill="0" applyBorder="0" applyAlignment="0" applyProtection="0"/>
    <xf numFmtId="249" fontId="122" fillId="0" borderId="0" applyFont="0" applyFill="0" applyBorder="0" applyAlignment="0" applyProtection="0"/>
    <xf numFmtId="250" fontId="121" fillId="0" borderId="0"/>
    <xf numFmtId="251" fontId="120" fillId="0" borderId="0" applyFill="0" applyBorder="0" applyProtection="0">
      <alignment vertical="center"/>
    </xf>
    <xf numFmtId="164" fontId="131" fillId="0" borderId="0" applyFont="0" applyBorder="0" applyAlignment="0"/>
    <xf numFmtId="252" fontId="103" fillId="0" borderId="0" applyFont="0" applyFill="0" applyBorder="0" applyAlignment="0" applyProtection="0"/>
    <xf numFmtId="0" fontId="132" fillId="0" borderId="0"/>
    <xf numFmtId="242" fontId="58" fillId="0" borderId="0" applyFont="0" applyFill="0" applyBorder="0" applyAlignment="0" applyProtection="0"/>
    <xf numFmtId="49" fontId="54" fillId="0" borderId="0" applyNumberFormat="0" applyFill="0" applyBorder="0" applyAlignment="0" applyProtection="0">
      <alignment horizontal="left"/>
    </xf>
    <xf numFmtId="0" fontId="132" fillId="0" borderId="42"/>
    <xf numFmtId="37" fontId="133" fillId="0" borderId="43" applyAlignment="0">
      <protection locked="0"/>
    </xf>
    <xf numFmtId="10" fontId="133" fillId="0" borderId="43" applyAlignment="0">
      <protection locked="0"/>
    </xf>
    <xf numFmtId="0" fontId="122" fillId="0" borderId="0" applyFont="0" applyFill="0" applyBorder="0" applyAlignment="0" applyProtection="0"/>
    <xf numFmtId="253" fontId="9" fillId="0" borderId="0" applyFont="0" applyAlignment="0"/>
    <xf numFmtId="253" fontId="9" fillId="0" borderId="0" applyFont="0" applyAlignment="0"/>
    <xf numFmtId="253" fontId="9" fillId="0" borderId="0" applyFont="0" applyAlignment="0"/>
    <xf numFmtId="0" fontId="120" fillId="0" borderId="0" applyFont="0" applyFill="0" applyBorder="0" applyAlignment="0" applyProtection="0"/>
    <xf numFmtId="254" fontId="9" fillId="0" borderId="0" applyFont="0" applyFill="0" applyBorder="0" applyAlignment="0" applyProtection="0"/>
    <xf numFmtId="0" fontId="120" fillId="0" borderId="0" applyFont="0" applyFill="0" applyBorder="0" applyAlignment="0" applyProtection="0"/>
    <xf numFmtId="14" fontId="11" fillId="0" borderId="0" applyFill="0" applyBorder="0" applyAlignment="0"/>
    <xf numFmtId="17" fontId="134" fillId="0" borderId="34" applyFont="0" applyFill="0" applyBorder="0" applyAlignment="0" applyProtection="0"/>
    <xf numFmtId="255" fontId="9" fillId="0" borderId="0">
      <protection locked="0"/>
    </xf>
    <xf numFmtId="38" fontId="53" fillId="0" borderId="44">
      <alignment vertical="center"/>
    </xf>
    <xf numFmtId="0" fontId="135" fillId="69" borderId="0"/>
    <xf numFmtId="2" fontId="114" fillId="0" borderId="0"/>
    <xf numFmtId="0" fontId="136" fillId="2" borderId="0"/>
    <xf numFmtId="43" fontId="9" fillId="0" borderId="0" applyFont="0" applyFill="0" applyBorder="0" applyAlignment="0" applyProtection="0"/>
    <xf numFmtId="0" fontId="137" fillId="0" borderId="0">
      <protection locked="0"/>
    </xf>
    <xf numFmtId="9" fontId="9" fillId="0" borderId="0"/>
    <xf numFmtId="9" fontId="9" fillId="0" borderId="0"/>
    <xf numFmtId="0" fontId="9" fillId="0" borderId="0"/>
    <xf numFmtId="0" fontId="9" fillId="0" borderId="0"/>
    <xf numFmtId="256" fontId="52" fillId="0" borderId="45" applyFont="0" applyFill="0" applyBorder="0" applyAlignment="0" applyProtection="0"/>
    <xf numFmtId="257" fontId="138" fillId="0" borderId="0" applyFill="0" applyBorder="0" applyAlignment="0" applyProtection="0"/>
    <xf numFmtId="258" fontId="52" fillId="0" borderId="0"/>
    <xf numFmtId="259" fontId="121" fillId="0" borderId="0"/>
    <xf numFmtId="260" fontId="9" fillId="0" borderId="0" applyBorder="0" applyProtection="0"/>
    <xf numFmtId="164" fontId="139" fillId="0" borderId="0" applyFont="0" applyFill="0" applyBorder="0" applyAlignment="0" applyProtection="0"/>
    <xf numFmtId="0" fontId="101" fillId="0" borderId="0"/>
    <xf numFmtId="0" fontId="120" fillId="0" borderId="46" applyNumberFormat="0" applyFont="0" applyFill="0" applyAlignment="0" applyProtection="0"/>
    <xf numFmtId="41" fontId="140" fillId="0" borderId="0" applyFont="0" applyFill="0" applyBorder="0" applyAlignment="0" applyProtection="0"/>
    <xf numFmtId="43" fontId="140" fillId="0" borderId="0" applyFont="0" applyFill="0" applyBorder="0" applyAlignment="0" applyProtection="0"/>
    <xf numFmtId="0" fontId="141" fillId="0" borderId="0">
      <protection locked="0"/>
    </xf>
    <xf numFmtId="0" fontId="141" fillId="0" borderId="0">
      <protection locked="0"/>
    </xf>
    <xf numFmtId="228" fontId="103" fillId="0" borderId="0" applyFill="0" applyBorder="0" applyAlignment="0"/>
    <xf numFmtId="229" fontId="133" fillId="0" borderId="0" applyFill="0" applyBorder="0" applyAlignment="0"/>
    <xf numFmtId="229" fontId="133" fillId="0" borderId="0" applyFill="0" applyBorder="0" applyAlignment="0"/>
    <xf numFmtId="229" fontId="133"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228" fontId="103" fillId="0" borderId="0" applyFill="0" applyBorder="0" applyAlignment="0"/>
    <xf numFmtId="229" fontId="133" fillId="0" borderId="0" applyFill="0" applyBorder="0" applyAlignment="0"/>
    <xf numFmtId="229" fontId="133" fillId="0" borderId="0" applyFill="0" applyBorder="0" applyAlignment="0"/>
    <xf numFmtId="229" fontId="133" fillId="0" borderId="0" applyFill="0" applyBorder="0" applyAlignment="0"/>
    <xf numFmtId="230" fontId="103" fillId="0" borderId="0" applyFill="0" applyBorder="0" applyAlignment="0"/>
    <xf numFmtId="231" fontId="9" fillId="0" borderId="0" applyFill="0" applyBorder="0" applyAlignment="0"/>
    <xf numFmtId="231" fontId="9" fillId="0" borderId="0" applyFill="0" applyBorder="0" applyAlignment="0"/>
    <xf numFmtId="231" fontId="9"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0" fontId="142" fillId="0" borderId="0" applyNumberFormat="0" applyAlignment="0">
      <alignment horizontal="left"/>
    </xf>
    <xf numFmtId="0" fontId="87" fillId="71" borderId="47" applyNumberFormat="0" applyFont="0" applyAlignment="0">
      <protection locked="0"/>
    </xf>
    <xf numFmtId="261" fontId="52" fillId="0" borderId="45" applyFont="0" applyFill="0" applyBorder="0" applyAlignment="0" applyProtection="0"/>
    <xf numFmtId="262" fontId="52" fillId="0" borderId="0" applyFont="0" applyFill="0" applyBorder="0" applyAlignment="0" applyProtection="0"/>
    <xf numFmtId="263" fontId="52" fillId="0" borderId="0" applyFont="0" applyFill="0" applyBorder="0" applyAlignment="0" applyProtection="0"/>
    <xf numFmtId="264" fontId="52" fillId="0" borderId="0"/>
    <xf numFmtId="263" fontId="52" fillId="0" borderId="0" applyFont="0" applyFill="0" applyBorder="0" applyAlignment="0" applyProtection="0"/>
    <xf numFmtId="265" fontId="52" fillId="0" borderId="0" applyFont="0" applyFill="0" applyBorder="0" applyAlignment="0" applyProtection="0"/>
    <xf numFmtId="266" fontId="58" fillId="0" borderId="45" applyFont="0" applyFill="0" applyBorder="0" applyAlignment="0" applyProtection="0"/>
    <xf numFmtId="243" fontId="103" fillId="0" borderId="0" applyFill="0" applyAlignment="0" applyProtection="0"/>
    <xf numFmtId="267" fontId="52" fillId="0" borderId="0" applyFont="0" applyFill="0" applyBorder="0" applyAlignment="0" applyProtection="0"/>
    <xf numFmtId="268" fontId="52" fillId="0" borderId="0"/>
    <xf numFmtId="269" fontId="52" fillId="0" borderId="0"/>
    <xf numFmtId="270" fontId="53" fillId="0" borderId="0" applyFont="0" applyFill="0" applyBorder="0" applyAlignment="0" applyProtection="0"/>
    <xf numFmtId="0" fontId="9" fillId="0" borderId="0"/>
    <xf numFmtId="0" fontId="40" fillId="0" borderId="0" applyNumberFormat="0" applyFill="0" applyBorder="0" applyAlignment="0" applyProtection="0"/>
    <xf numFmtId="0" fontId="40" fillId="0" borderId="0" applyNumberFormat="0" applyFill="0" applyBorder="0" applyAlignment="0" applyProtection="0"/>
    <xf numFmtId="0" fontId="143" fillId="0" borderId="0" applyNumberFormat="0" applyFill="0" applyBorder="0" applyAlignment="0" applyProtection="0"/>
    <xf numFmtId="253" fontId="9" fillId="72" borderId="48" applyFont="0" applyAlignment="0"/>
    <xf numFmtId="271" fontId="103" fillId="0" borderId="0" applyFill="0" applyBorder="0">
      <alignment horizontal="right" vertical="top"/>
    </xf>
    <xf numFmtId="0" fontId="144" fillId="0" borderId="0">
      <alignment horizontal="center" wrapText="1"/>
    </xf>
    <xf numFmtId="179" fontId="103" fillId="0" borderId="0" applyFill="0" applyBorder="0" applyAlignment="0" applyProtection="0">
      <alignment horizontal="right" vertical="top"/>
    </xf>
    <xf numFmtId="272" fontId="145" fillId="0" borderId="0"/>
    <xf numFmtId="0" fontId="103" fillId="0" borderId="0" applyFill="0" applyBorder="0">
      <alignment horizontal="left" vertical="top"/>
    </xf>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6" fillId="0" borderId="0" applyNumberFormat="0" applyFont="0" applyFill="0" applyBorder="0" applyAlignment="0" applyProtection="0"/>
    <xf numFmtId="0" fontId="147" fillId="0" borderId="0" applyFill="0" applyAlignment="0"/>
    <xf numFmtId="0" fontId="9" fillId="0" borderId="0" applyFont="0" applyFill="0" applyBorder="0" applyAlignment="0" applyProtection="0"/>
    <xf numFmtId="2" fontId="9" fillId="0" borderId="0" applyFont="0" applyFill="0" applyBorder="0" applyAlignment="0" applyProtection="0"/>
    <xf numFmtId="0" fontId="137" fillId="0" borderId="0">
      <protection locked="0"/>
    </xf>
    <xf numFmtId="2" fontId="122" fillId="0" borderId="0" applyFont="0" applyFill="0" applyBorder="0" applyAlignment="0" applyProtection="0"/>
    <xf numFmtId="0" fontId="148" fillId="0" borderId="0"/>
    <xf numFmtId="0" fontId="149" fillId="0" borderId="0" applyNumberFormat="0" applyFill="0" applyBorder="0" applyAlignment="0" applyProtection="0">
      <alignment vertical="top"/>
      <protection locked="0"/>
    </xf>
    <xf numFmtId="0" fontId="49" fillId="0" borderId="0">
      <alignment vertical="center"/>
    </xf>
    <xf numFmtId="0" fontId="9" fillId="0" borderId="14"/>
    <xf numFmtId="0" fontId="150" fillId="0" borderId="0">
      <alignment horizontal="left"/>
    </xf>
    <xf numFmtId="0" fontId="151" fillId="0" borderId="0">
      <alignment horizontal="left"/>
    </xf>
    <xf numFmtId="0" fontId="152" fillId="0" borderId="0" applyFill="0" applyBorder="0" applyProtection="0">
      <alignment horizontal="left"/>
    </xf>
    <xf numFmtId="0" fontId="152" fillId="0" borderId="0" applyNumberFormat="0" applyFill="0" applyBorder="0" applyProtection="0">
      <alignment horizontal="left"/>
    </xf>
    <xf numFmtId="0" fontId="152" fillId="0" borderId="0">
      <alignment horizontal="left"/>
    </xf>
    <xf numFmtId="0" fontId="9" fillId="0" borderId="0" applyNumberFormat="0" applyFill="0" applyBorder="0" applyAlignment="0" applyProtection="0"/>
    <xf numFmtId="0" fontId="153" fillId="73" borderId="49" applyNumberFormat="0" applyAlignment="0">
      <protection locked="0"/>
    </xf>
    <xf numFmtId="273" fontId="103" fillId="0" borderId="0" applyFont="0" applyFill="0" applyBorder="0" applyAlignment="0" applyProtection="0">
      <protection locked="0"/>
    </xf>
    <xf numFmtId="13" fontId="103" fillId="0" borderId="0" applyFont="0" applyFill="0" applyBorder="0" applyAlignment="0" applyProtection="0">
      <protection locked="0"/>
    </xf>
    <xf numFmtId="0" fontId="9" fillId="0" borderId="0"/>
    <xf numFmtId="0" fontId="9" fillId="0" borderId="12">
      <alignment horizontal="center"/>
    </xf>
    <xf numFmtId="0" fontId="32" fillId="19" borderId="0" applyNumberFormat="0" applyBorder="0" applyAlignment="0" applyProtection="0"/>
    <xf numFmtId="0" fontId="32" fillId="19" borderId="0" applyNumberFormat="0" applyBorder="0" applyAlignment="0" applyProtection="0"/>
    <xf numFmtId="0" fontId="154" fillId="55" borderId="0" applyNumberFormat="0" applyBorder="0" applyAlignment="0" applyProtection="0"/>
    <xf numFmtId="0" fontId="54" fillId="0" borderId="0" applyNumberFormat="0" applyFill="0" applyBorder="0" applyProtection="0">
      <alignment wrapText="1"/>
    </xf>
    <xf numFmtId="0" fontId="50" fillId="0" borderId="0" applyNumberFormat="0" applyFill="0" applyBorder="0" applyProtection="0">
      <alignment wrapText="1"/>
    </xf>
    <xf numFmtId="38" fontId="54" fillId="2" borderId="0" applyNumberFormat="0" applyBorder="0" applyAlignment="0" applyProtection="0"/>
    <xf numFmtId="0" fontId="9" fillId="0" borderId="0"/>
    <xf numFmtId="0" fontId="9" fillId="0" borderId="0"/>
    <xf numFmtId="0" fontId="9" fillId="0" borderId="0"/>
    <xf numFmtId="274" fontId="155" fillId="0" borderId="0" applyFill="0" applyBorder="0" applyProtection="0">
      <alignment horizontal="right"/>
      <protection locked="0"/>
    </xf>
    <xf numFmtId="0" fontId="120" fillId="0" borderId="0" applyFont="0" applyFill="0" applyBorder="0" applyAlignment="0" applyProtection="0">
      <alignment horizontal="right"/>
    </xf>
    <xf numFmtId="0" fontId="156" fillId="0" borderId="0" applyProtection="0">
      <alignment horizontal="right"/>
    </xf>
    <xf numFmtId="0" fontId="157" fillId="0" borderId="0">
      <alignment horizontal="left"/>
    </xf>
    <xf numFmtId="0" fontId="157" fillId="0" borderId="0">
      <alignment horizontal="left"/>
    </xf>
    <xf numFmtId="0" fontId="115" fillId="0" borderId="17" applyNumberFormat="0" applyAlignment="0" applyProtection="0">
      <alignment horizontal="left" vertical="center"/>
    </xf>
    <xf numFmtId="0" fontId="115" fillId="0" borderId="8">
      <alignment horizontal="left" vertical="center"/>
    </xf>
    <xf numFmtId="0" fontId="158" fillId="0" borderId="0">
      <alignment horizontal="center"/>
    </xf>
    <xf numFmtId="14" fontId="10" fillId="65" borderId="5">
      <alignment horizontal="center" vertical="center" wrapText="1"/>
    </xf>
    <xf numFmtId="0" fontId="29" fillId="0" borderId="19" applyNumberFormat="0" applyFill="0" applyAlignment="0" applyProtection="0"/>
    <xf numFmtId="0" fontId="29" fillId="0" borderId="19" applyNumberFormat="0" applyFill="0" applyAlignment="0" applyProtection="0"/>
    <xf numFmtId="0" fontId="159" fillId="0" borderId="50" applyNumberFormat="0" applyFill="0" applyAlignment="0" applyProtection="0"/>
    <xf numFmtId="0" fontId="160" fillId="0" borderId="0">
      <alignment horizontal="left"/>
    </xf>
    <xf numFmtId="0" fontId="161" fillId="0" borderId="13">
      <alignment horizontal="left" vertical="top"/>
    </xf>
    <xf numFmtId="0" fontId="30" fillId="0" borderId="20" applyNumberFormat="0" applyFill="0" applyAlignment="0" applyProtection="0"/>
    <xf numFmtId="0" fontId="30" fillId="0" borderId="20" applyNumberFormat="0" applyFill="0" applyAlignment="0" applyProtection="0"/>
    <xf numFmtId="0" fontId="162" fillId="0" borderId="51" applyNumberFormat="0" applyFill="0" applyAlignment="0" applyProtection="0"/>
    <xf numFmtId="0" fontId="163" fillId="0" borderId="0">
      <alignment horizontal="left"/>
    </xf>
    <xf numFmtId="0" fontId="164" fillId="0" borderId="13">
      <alignment horizontal="left" vertical="top"/>
    </xf>
    <xf numFmtId="0" fontId="31" fillId="0" borderId="21" applyNumberFormat="0" applyFill="0" applyAlignment="0" applyProtection="0"/>
    <xf numFmtId="0" fontId="31" fillId="0" borderId="21" applyNumberFormat="0" applyFill="0" applyAlignment="0" applyProtection="0"/>
    <xf numFmtId="0" fontId="165" fillId="0" borderId="52" applyNumberFormat="0" applyFill="0" applyAlignment="0" applyProtection="0"/>
    <xf numFmtId="0" fontId="166" fillId="0" borderId="0">
      <alignment horizontal="left"/>
    </xf>
    <xf numFmtId="0" fontId="31" fillId="0" borderId="0" applyNumberFormat="0" applyFill="0" applyBorder="0" applyAlignment="0" applyProtection="0"/>
    <xf numFmtId="0" fontId="31" fillId="0" borderId="0" applyNumberFormat="0" applyFill="0" applyBorder="0" applyAlignment="0" applyProtection="0"/>
    <xf numFmtId="0" fontId="165" fillId="0" borderId="0" applyNumberFormat="0" applyFill="0" applyBorder="0" applyAlignment="0" applyProtection="0"/>
    <xf numFmtId="0" fontId="109" fillId="0" borderId="0" applyFill="0" applyAlignment="0" applyProtection="0">
      <protection locked="0"/>
    </xf>
    <xf numFmtId="0" fontId="109" fillId="0" borderId="12" applyFill="0" applyAlignment="0" applyProtection="0">
      <protection locked="0"/>
    </xf>
    <xf numFmtId="0" fontId="167" fillId="0" borderId="0"/>
    <xf numFmtId="275" fontId="168" fillId="0" borderId="0">
      <protection locked="0"/>
    </xf>
    <xf numFmtId="255" fontId="9" fillId="0" borderId="0">
      <protection locked="0"/>
    </xf>
    <xf numFmtId="255" fontId="9" fillId="0" borderId="0">
      <protection locked="0"/>
    </xf>
    <xf numFmtId="255" fontId="9" fillId="0" borderId="0">
      <protection locked="0"/>
    </xf>
    <xf numFmtId="255" fontId="9" fillId="0" borderId="0">
      <protection locked="0"/>
    </xf>
    <xf numFmtId="0" fontId="10" fillId="0" borderId="0"/>
    <xf numFmtId="255" fontId="9" fillId="0" borderId="0">
      <protection locked="0"/>
    </xf>
    <xf numFmtId="255" fontId="9" fillId="0" borderId="0">
      <protection locked="0"/>
    </xf>
    <xf numFmtId="255" fontId="9" fillId="0" borderId="0">
      <protection locked="0"/>
    </xf>
    <xf numFmtId="0" fontId="169" fillId="0" borderId="0"/>
    <xf numFmtId="0" fontId="170" fillId="0" borderId="0"/>
    <xf numFmtId="0" fontId="170" fillId="0" borderId="0"/>
    <xf numFmtId="0" fontId="171" fillId="0" borderId="5">
      <alignment horizontal="center"/>
    </xf>
    <xf numFmtId="0" fontId="171" fillId="0" borderId="0">
      <alignment horizontal="center"/>
    </xf>
    <xf numFmtId="0" fontId="9" fillId="0" borderId="0" applyNumberFormat="0" applyFill="0" applyBorder="0" applyProtection="0">
      <alignment wrapText="1"/>
    </xf>
    <xf numFmtId="0" fontId="9" fillId="0" borderId="0" applyNumberFormat="0" applyFill="0" applyBorder="0" applyProtection="0">
      <alignment horizontal="justify" vertical="top" wrapText="1"/>
    </xf>
    <xf numFmtId="0" fontId="71" fillId="0" borderId="0" applyNumberFormat="0" applyFill="0" applyBorder="0" applyAlignment="0" applyProtection="0">
      <alignment vertical="top"/>
      <protection locked="0"/>
    </xf>
    <xf numFmtId="0" fontId="71" fillId="0" borderId="0" applyNumberFormat="0" applyFill="0" applyBorder="0" applyAlignment="0" applyProtection="0">
      <alignment vertical="top"/>
      <protection locked="0"/>
    </xf>
    <xf numFmtId="0" fontId="10" fillId="0" borderId="0">
      <alignment horizontal="center"/>
    </xf>
    <xf numFmtId="0" fontId="86" fillId="0" borderId="0" applyNumberFormat="0" applyFill="0" applyBorder="0" applyAlignment="0" applyProtection="0">
      <alignment vertical="top"/>
      <protection locked="0"/>
    </xf>
    <xf numFmtId="0" fontId="49" fillId="0" borderId="0"/>
    <xf numFmtId="10" fontId="54" fillId="66" borderId="1" applyNumberFormat="0" applyBorder="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35" fillId="22" borderId="22" applyNumberFormat="0" applyAlignment="0" applyProtection="0"/>
    <xf numFmtId="0" fontId="172" fillId="50" borderId="38" applyNumberFormat="0" applyAlignment="0" applyProtection="0"/>
    <xf numFmtId="0" fontId="35" fillId="22" borderId="22" applyNumberFormat="0" applyAlignment="0" applyProtection="0"/>
    <xf numFmtId="0" fontId="35" fillId="22" borderId="22" applyNumberFormat="0" applyAlignment="0" applyProtection="0"/>
    <xf numFmtId="0" fontId="35" fillId="22" borderId="22"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0" fontId="172" fillId="50" borderId="38" applyNumberFormat="0" applyAlignment="0" applyProtection="0"/>
    <xf numFmtId="13" fontId="91" fillId="0" borderId="47" applyNumberFormat="0" applyFont="0" applyFill="0" applyAlignment="0" applyProtection="0">
      <alignment horizontal="right" wrapText="1"/>
      <protection locked="0"/>
    </xf>
    <xf numFmtId="0" fontId="130" fillId="0" borderId="0" applyFill="0" applyBorder="0" applyProtection="0"/>
    <xf numFmtId="0" fontId="130" fillId="0" borderId="0" applyFill="0" applyBorder="0" applyProtection="0"/>
    <xf numFmtId="276" fontId="54" fillId="0" borderId="0" applyFill="0" applyBorder="0" applyProtection="0"/>
    <xf numFmtId="0" fontId="130" fillId="0" borderId="0" applyFill="0" applyBorder="0" applyProtection="0"/>
    <xf numFmtId="0" fontId="130" fillId="0" borderId="0" applyFill="0" applyBorder="0" applyProtection="0"/>
    <xf numFmtId="0" fontId="173" fillId="0" borderId="0" applyNumberFormat="0" applyFill="0" applyBorder="0" applyAlignment="0">
      <protection locked="0"/>
    </xf>
    <xf numFmtId="0" fontId="133" fillId="0" borderId="0" applyNumberFormat="0" applyFill="0" applyBorder="0" applyAlignment="0"/>
    <xf numFmtId="277" fontId="174" fillId="0" borderId="0" applyFill="0" applyBorder="0" applyProtection="0">
      <alignment vertical="center"/>
    </xf>
    <xf numFmtId="251" fontId="174" fillId="0" borderId="0" applyFill="0" applyBorder="0" applyProtection="0">
      <alignment vertical="center"/>
    </xf>
    <xf numFmtId="37" fontId="114" fillId="59" borderId="0"/>
    <xf numFmtId="278" fontId="174" fillId="0" borderId="0" applyFill="0" applyBorder="0" applyProtection="0">
      <alignment vertical="center"/>
    </xf>
    <xf numFmtId="279" fontId="174" fillId="0" borderId="0" applyFill="0" applyBorder="0" applyProtection="0">
      <alignment vertical="center"/>
    </xf>
    <xf numFmtId="200" fontId="58" fillId="0" borderId="0"/>
    <xf numFmtId="0" fontId="115" fillId="0" borderId="0" applyFont="0" applyAlignment="0">
      <alignment horizontal="justify" vertical="top" wrapText="1"/>
    </xf>
    <xf numFmtId="0" fontId="175"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5" fillId="0" borderId="0" applyNumberFormat="0" applyFill="0" applyBorder="0" applyAlignment="0" applyProtection="0"/>
    <xf numFmtId="0" fontId="52" fillId="0" borderId="0"/>
    <xf numFmtId="0" fontId="176" fillId="74" borderId="42"/>
    <xf numFmtId="0" fontId="54" fillId="0" borderId="0" applyNumberFormat="0" applyFill="0" applyBorder="0" applyProtection="0">
      <alignment horizontal="left"/>
    </xf>
    <xf numFmtId="0" fontId="114" fillId="0" borderId="0" applyNumberFormat="0" applyFill="0" applyBorder="0" applyProtection="0">
      <alignment horizontal="left"/>
    </xf>
    <xf numFmtId="0" fontId="9" fillId="0" borderId="0"/>
    <xf numFmtId="0" fontId="9" fillId="0" borderId="0"/>
    <xf numFmtId="0" fontId="149"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81" fillId="0" borderId="39"/>
    <xf numFmtId="0" fontId="81" fillId="0" borderId="53"/>
    <xf numFmtId="228" fontId="103" fillId="0" borderId="0" applyFill="0" applyBorder="0" applyAlignment="0"/>
    <xf numFmtId="229" fontId="177" fillId="0" borderId="0" applyFill="0" applyBorder="0" applyAlignment="0"/>
    <xf numFmtId="229" fontId="177" fillId="0" borderId="0" applyFill="0" applyBorder="0" applyAlignment="0"/>
    <xf numFmtId="229" fontId="177"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228" fontId="103" fillId="0" borderId="0" applyFill="0" applyBorder="0" applyAlignment="0"/>
    <xf numFmtId="229" fontId="177" fillId="0" borderId="0" applyFill="0" applyBorder="0" applyAlignment="0"/>
    <xf numFmtId="229" fontId="177" fillId="0" borderId="0" applyFill="0" applyBorder="0" applyAlignment="0"/>
    <xf numFmtId="229" fontId="177" fillId="0" borderId="0" applyFill="0" applyBorder="0" applyAlignment="0"/>
    <xf numFmtId="230" fontId="103" fillId="0" borderId="0" applyFill="0" applyBorder="0" applyAlignment="0"/>
    <xf numFmtId="231" fontId="9" fillId="0" borderId="0" applyFill="0" applyBorder="0" applyAlignment="0"/>
    <xf numFmtId="231" fontId="9" fillId="0" borderId="0" applyFill="0" applyBorder="0" applyAlignment="0"/>
    <xf numFmtId="231" fontId="9"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0" fontId="38" fillId="0" borderId="24" applyNumberFormat="0" applyFill="0" applyAlignment="0" applyProtection="0"/>
    <xf numFmtId="0" fontId="38" fillId="0" borderId="24" applyNumberFormat="0" applyFill="0" applyAlignment="0" applyProtection="0"/>
    <xf numFmtId="0" fontId="178" fillId="0" borderId="54" applyNumberFormat="0" applyFill="0" applyAlignment="0" applyProtection="0"/>
    <xf numFmtId="0" fontId="138" fillId="0" borderId="55" applyNumberFormat="0" applyFont="0" applyAlignment="0">
      <alignment horizontal="left" vertical="center" indent="2"/>
    </xf>
    <xf numFmtId="0" fontId="171" fillId="3" borderId="0">
      <alignment horizontal="center"/>
    </xf>
    <xf numFmtId="0" fontId="179" fillId="0" borderId="0">
      <alignment horizontal="center" vertical="center"/>
    </xf>
    <xf numFmtId="280" fontId="9" fillId="0" borderId="0" applyFont="0" applyFill="0" applyBorder="0" applyAlignment="0" applyProtection="0"/>
    <xf numFmtId="43" fontId="9" fillId="0" borderId="0" applyFont="0" applyFill="0" applyBorder="0" applyAlignment="0" applyProtection="0"/>
    <xf numFmtId="281" fontId="9" fillId="0" borderId="0" applyFont="0" applyFill="0" applyBorder="0" applyAlignment="0" applyProtection="0"/>
    <xf numFmtId="43" fontId="9" fillId="0" borderId="0" applyFont="0" applyFill="0" applyBorder="0" applyAlignment="0" applyProtection="0"/>
    <xf numFmtId="0" fontId="180" fillId="0" borderId="5"/>
    <xf numFmtId="282" fontId="53" fillId="0" borderId="0" applyFont="0" applyFill="0" applyBorder="0" applyAlignment="0" applyProtection="0"/>
    <xf numFmtId="283" fontId="11" fillId="0" borderId="0" applyFont="0" applyFill="0" applyBorder="0" applyAlignment="0" applyProtection="0"/>
    <xf numFmtId="284" fontId="9" fillId="0" borderId="0" applyFont="0" applyFill="0" applyBorder="0" applyAlignment="0" applyProtection="0"/>
    <xf numFmtId="285" fontId="9" fillId="0" borderId="0" applyFont="0" applyFill="0" applyBorder="0" applyAlignment="0" applyProtection="0"/>
    <xf numFmtId="286" fontId="9" fillId="0" borderId="0" applyFont="0" applyFill="0" applyBorder="0" applyAlignment="0" applyProtection="0"/>
    <xf numFmtId="287" fontId="9" fillId="0" borderId="0" applyFont="0" applyFill="0" applyBorder="0" applyAlignment="0" applyProtection="0"/>
    <xf numFmtId="0" fontId="137" fillId="0" borderId="0">
      <protection locked="0"/>
    </xf>
    <xf numFmtId="0" fontId="9" fillId="0" borderId="0" applyFont="0" applyFill="0" applyBorder="0" applyAlignment="0" applyProtection="0"/>
    <xf numFmtId="0" fontId="120" fillId="0" borderId="0" applyFont="0" applyFill="0" applyBorder="0" applyAlignment="0" applyProtection="0">
      <alignment horizontal="right"/>
    </xf>
    <xf numFmtId="0" fontId="9" fillId="0" borderId="0" applyFont="0" applyFill="0" applyBorder="0" applyAlignment="0" applyProtection="0"/>
    <xf numFmtId="0" fontId="9" fillId="0" borderId="0"/>
    <xf numFmtId="0" fontId="120" fillId="0" borderId="0" applyFill="0" applyBorder="0" applyProtection="0"/>
    <xf numFmtId="278" fontId="120" fillId="0" borderId="0" applyFill="0" applyBorder="0" applyProtection="0">
      <alignment vertical="center"/>
    </xf>
    <xf numFmtId="288" fontId="120" fillId="0" borderId="0" applyFont="0" applyFill="0" applyBorder="0" applyAlignment="0" applyProtection="0">
      <alignment horizontal="right"/>
    </xf>
    <xf numFmtId="289" fontId="181" fillId="0" borderId="0"/>
    <xf numFmtId="290" fontId="181" fillId="0" borderId="34" applyBorder="0" applyAlignment="0"/>
    <xf numFmtId="291" fontId="181" fillId="0" borderId="0"/>
    <xf numFmtId="292" fontId="181" fillId="0" borderId="0"/>
    <xf numFmtId="0" fontId="34" fillId="21" borderId="0" applyNumberFormat="0" applyBorder="0" applyAlignment="0" applyProtection="0"/>
    <xf numFmtId="0" fontId="34" fillId="21" borderId="0" applyNumberFormat="0" applyBorder="0" applyAlignment="0" applyProtection="0"/>
    <xf numFmtId="0" fontId="182" fillId="50" borderId="0" applyNumberFormat="0" applyBorder="0" applyAlignment="0" applyProtection="0"/>
    <xf numFmtId="0" fontId="183" fillId="75" borderId="0"/>
    <xf numFmtId="0" fontId="46" fillId="76" borderId="0"/>
    <xf numFmtId="0" fontId="184" fillId="0" borderId="0"/>
    <xf numFmtId="293" fontId="185" fillId="0" borderId="0"/>
    <xf numFmtId="293" fontId="185" fillId="0" borderId="0"/>
    <xf numFmtId="37" fontId="9" fillId="0" borderId="0"/>
    <xf numFmtId="0" fontId="49" fillId="0" borderId="0"/>
    <xf numFmtId="0" fontId="163" fillId="0" borderId="0"/>
    <xf numFmtId="294" fontId="9" fillId="0" borderId="0"/>
    <xf numFmtId="0" fontId="52" fillId="0" borderId="0"/>
    <xf numFmtId="0" fontId="9" fillId="0" borderId="0"/>
    <xf numFmtId="0" fontId="52" fillId="0" borderId="0"/>
    <xf numFmtId="0" fontId="52"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20" fillId="0" borderId="0" applyFill="0" applyBorder="0" applyProtection="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44"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4"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4" fillId="0" borderId="0"/>
    <xf numFmtId="0" fontId="16" fillId="0" borderId="0"/>
    <xf numFmtId="0" fontId="16" fillId="0" borderId="0"/>
    <xf numFmtId="0" fontId="9" fillId="0" borderId="0"/>
    <xf numFmtId="0" fontId="9" fillId="0" borderId="0"/>
    <xf numFmtId="0" fontId="9" fillId="0" borderId="0"/>
    <xf numFmtId="0" fontId="9" fillId="0" borderId="0"/>
    <xf numFmtId="0" fontId="16" fillId="0" borderId="0"/>
    <xf numFmtId="0" fontId="45" fillId="0" borderId="0"/>
    <xf numFmtId="295" fontId="120" fillId="0" borderId="0" applyFill="0" applyBorder="0" applyProtection="0">
      <alignment vertical="center"/>
    </xf>
    <xf numFmtId="0" fontId="9" fillId="0" borderId="0"/>
    <xf numFmtId="0" fontId="163" fillId="0" borderId="0"/>
    <xf numFmtId="0" fontId="186" fillId="0" borderId="0"/>
    <xf numFmtId="243" fontId="138" fillId="0" borderId="0"/>
    <xf numFmtId="0" fontId="16" fillId="25" borderId="26" applyNumberFormat="0" applyFont="0" applyAlignment="0" applyProtection="0"/>
    <xf numFmtId="0" fontId="16" fillId="25" borderId="26" applyNumberFormat="0" applyFont="0" applyAlignment="0" applyProtection="0"/>
    <xf numFmtId="0" fontId="16" fillId="25" borderId="26" applyNumberFormat="0" applyFont="0" applyAlignment="0" applyProtection="0"/>
    <xf numFmtId="0" fontId="9" fillId="56" borderId="56" applyNumberFormat="0" applyFont="0" applyAlignment="0" applyProtection="0"/>
    <xf numFmtId="37" fontId="52" fillId="0" borderId="0" applyFont="0" applyFill="0" applyBorder="0" applyProtection="0">
      <alignment vertical="top"/>
    </xf>
    <xf numFmtId="243" fontId="52" fillId="0" borderId="0" applyFont="0" applyFill="0" applyBorder="0" applyAlignment="0" applyProtection="0">
      <alignment vertical="top"/>
      <protection locked="0"/>
    </xf>
    <xf numFmtId="39" fontId="52" fillId="0" borderId="0" applyFont="0" applyFill="0" applyBorder="0" applyAlignment="0" applyProtection="0">
      <alignment vertical="top"/>
    </xf>
    <xf numFmtId="37" fontId="52" fillId="0" borderId="0" applyFont="0" applyFill="0" applyBorder="0" applyProtection="0">
      <alignment vertical="top"/>
    </xf>
    <xf numFmtId="169" fontId="54" fillId="0" borderId="0" applyFill="0" applyBorder="0" applyProtection="0">
      <alignment horizontal="right" wrapText="1"/>
    </xf>
    <xf numFmtId="169" fontId="114" fillId="0" borderId="0" applyFill="0" applyBorder="0" applyProtection="0">
      <alignment horizontal="right" wrapText="1"/>
    </xf>
    <xf numFmtId="296" fontId="54" fillId="0" borderId="0" applyFill="0" applyBorder="0" applyProtection="0">
      <alignment horizontal="right" wrapText="1"/>
    </xf>
    <xf numFmtId="296" fontId="114" fillId="0" borderId="0" applyFill="0" applyBorder="0" applyProtection="0">
      <alignment horizontal="right" wrapText="1"/>
    </xf>
    <xf numFmtId="243" fontId="187" fillId="0" borderId="0"/>
    <xf numFmtId="297"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169" fontId="54" fillId="0" borderId="0" applyFill="0" applyBorder="0" applyProtection="0">
      <alignment horizontal="right" wrapText="1"/>
    </xf>
    <xf numFmtId="169" fontId="114" fillId="0" borderId="0" applyFill="0" applyBorder="0" applyProtection="0">
      <alignment horizontal="right" wrapText="1"/>
    </xf>
    <xf numFmtId="298" fontId="54" fillId="0" borderId="0" applyFill="0" applyBorder="0" applyProtection="0">
      <alignment horizontal="right" wrapText="1"/>
    </xf>
    <xf numFmtId="298" fontId="114" fillId="0" borderId="0" applyFill="0" applyBorder="0" applyProtection="0">
      <alignment horizontal="right" wrapText="1"/>
    </xf>
    <xf numFmtId="0" fontId="86" fillId="0" borderId="0" applyNumberFormat="0" applyFill="0" applyBorder="0" applyAlignment="0" applyProtection="0">
      <alignment vertical="top"/>
      <protection locked="0"/>
    </xf>
    <xf numFmtId="40" fontId="53" fillId="0" borderId="0" applyFont="0" applyFill="0" applyBorder="0" applyAlignment="0" applyProtection="0"/>
    <xf numFmtId="38" fontId="53" fillId="0" borderId="0" applyFont="0" applyFill="0" applyBorder="0" applyAlignment="0" applyProtection="0"/>
    <xf numFmtId="299" fontId="61" fillId="0" borderId="0" applyBorder="0" applyProtection="0"/>
    <xf numFmtId="0" fontId="9" fillId="0" borderId="0">
      <alignment horizontal="justify" wrapText="1"/>
    </xf>
    <xf numFmtId="0" fontId="188" fillId="0" borderId="0">
      <alignment wrapText="1"/>
    </xf>
    <xf numFmtId="0" fontId="188" fillId="0" borderId="0">
      <alignment wrapText="1"/>
    </xf>
    <xf numFmtId="0" fontId="188" fillId="0" borderId="0">
      <alignment wrapText="1"/>
    </xf>
    <xf numFmtId="0" fontId="189" fillId="0" borderId="0"/>
    <xf numFmtId="0" fontId="189" fillId="0" borderId="0"/>
    <xf numFmtId="3" fontId="9" fillId="0" borderId="0" applyFont="0" applyFill="0" applyBorder="0" applyAlignment="0" applyProtection="0"/>
    <xf numFmtId="3" fontId="9" fillId="0" borderId="0" applyFont="0" applyFill="0" applyBorder="0" applyAlignment="0" applyProtection="0"/>
    <xf numFmtId="0" fontId="36" fillId="23" borderId="23" applyNumberFormat="0" applyAlignment="0" applyProtection="0"/>
    <xf numFmtId="0" fontId="36" fillId="23" borderId="23" applyNumberFormat="0" applyAlignment="0" applyProtection="0"/>
    <xf numFmtId="0" fontId="190" fillId="68" borderId="57" applyNumberFormat="0" applyAlignment="0" applyProtection="0"/>
    <xf numFmtId="40" fontId="191" fillId="77" borderId="0">
      <alignment horizontal="right"/>
    </xf>
    <xf numFmtId="0" fontId="192" fillId="78" borderId="0">
      <alignment horizontal="right"/>
    </xf>
    <xf numFmtId="0" fontId="46" fillId="79" borderId="11"/>
    <xf numFmtId="0" fontId="193" fillId="0" borderId="0" applyBorder="0">
      <alignment horizontal="centerContinuous"/>
    </xf>
    <xf numFmtId="0" fontId="194" fillId="0" borderId="0" applyBorder="0">
      <alignment horizontal="centerContinuous"/>
    </xf>
    <xf numFmtId="37" fontId="133" fillId="0" borderId="43">
      <protection locked="0"/>
    </xf>
    <xf numFmtId="1" fontId="195" fillId="0" borderId="0" applyProtection="0">
      <alignment horizontal="right" vertical="center"/>
    </xf>
    <xf numFmtId="0" fontId="196" fillId="0" borderId="53">
      <alignment vertical="top"/>
    </xf>
    <xf numFmtId="14" fontId="87" fillId="0" borderId="0">
      <alignment horizontal="center" wrapText="1"/>
      <protection locked="0"/>
    </xf>
    <xf numFmtId="300" fontId="9" fillId="0" borderId="0" applyFont="0" applyFill="0" applyBorder="0" applyAlignment="0" applyProtection="0"/>
    <xf numFmtId="226" fontId="103"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9" fontId="58" fillId="0" borderId="0" applyFont="0" applyFill="0" applyBorder="0" applyAlignment="0" applyProtection="0"/>
    <xf numFmtId="301" fontId="103" fillId="0" borderId="0" applyFont="0" applyFill="0" applyBorder="0" applyAlignment="0" applyProtection="0"/>
    <xf numFmtId="302" fontId="9" fillId="0" borderId="0" applyFont="0" applyFill="0" applyBorder="0" applyAlignment="0" applyProtection="0"/>
    <xf numFmtId="302" fontId="9" fillId="0" borderId="0" applyFont="0" applyFill="0" applyBorder="0" applyAlignment="0" applyProtection="0"/>
    <xf numFmtId="302" fontId="9" fillId="0" borderId="0" applyFont="0" applyFill="0" applyBorder="0" applyAlignment="0" applyProtection="0"/>
    <xf numFmtId="274" fontId="58"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10" fontId="9" fillId="0" borderId="0" applyFont="0" applyFill="0" applyBorder="0" applyAlignment="0" applyProtection="0"/>
    <xf numFmtId="9" fontId="1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97" fillId="0" borderId="0" applyFont="0" applyFill="0" applyBorder="0" applyAlignment="0" applyProtection="0">
      <alignment vertical="center"/>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6" fillId="0" borderId="0" applyFont="0" applyFill="0" applyBorder="0" applyAlignment="0" applyProtection="0"/>
    <xf numFmtId="303" fontId="120" fillId="0" borderId="0" applyFont="0" applyFill="0" applyBorder="0" applyProtection="0">
      <alignment horizontal="right"/>
    </xf>
    <xf numFmtId="304" fontId="130" fillId="0" borderId="0" applyFont="0" applyFill="0" applyBorder="0" applyAlignment="0" applyProtection="0"/>
    <xf numFmtId="279" fontId="120" fillId="0" borderId="0" applyFill="0" applyBorder="0" applyProtection="0">
      <alignment vertical="center"/>
    </xf>
    <xf numFmtId="10" fontId="131" fillId="0" borderId="0"/>
    <xf numFmtId="0" fontId="9" fillId="0" borderId="42"/>
    <xf numFmtId="0" fontId="137" fillId="0" borderId="0">
      <protection locked="0"/>
    </xf>
    <xf numFmtId="10" fontId="9" fillId="0" borderId="0" applyFont="0" applyFill="0" applyBorder="0" applyAlignment="0" applyProtection="0"/>
    <xf numFmtId="228" fontId="103" fillId="0" borderId="0" applyFill="0" applyBorder="0" applyAlignment="0"/>
    <xf numFmtId="229" fontId="13" fillId="0" borderId="0" applyFill="0" applyBorder="0" applyAlignment="0"/>
    <xf numFmtId="229" fontId="13" fillId="0" borderId="0" applyFill="0" applyBorder="0" applyAlignment="0"/>
    <xf numFmtId="229" fontId="13"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228" fontId="103" fillId="0" borderId="0" applyFill="0" applyBorder="0" applyAlignment="0"/>
    <xf numFmtId="229" fontId="13" fillId="0" borderId="0" applyFill="0" applyBorder="0" applyAlignment="0"/>
    <xf numFmtId="229" fontId="13" fillId="0" borderId="0" applyFill="0" applyBorder="0" applyAlignment="0"/>
    <xf numFmtId="229" fontId="13" fillId="0" borderId="0" applyFill="0" applyBorder="0" applyAlignment="0"/>
    <xf numFmtId="230" fontId="103" fillId="0" borderId="0" applyFill="0" applyBorder="0" applyAlignment="0"/>
    <xf numFmtId="231" fontId="9" fillId="0" borderId="0" applyFill="0" applyBorder="0" applyAlignment="0"/>
    <xf numFmtId="231" fontId="9" fillId="0" borderId="0" applyFill="0" applyBorder="0" applyAlignment="0"/>
    <xf numFmtId="231" fontId="9" fillId="0" borderId="0" applyFill="0" applyBorder="0" applyAlignment="0"/>
    <xf numFmtId="189" fontId="103" fillId="0" borderId="0" applyFill="0" applyBorder="0" applyAlignment="0"/>
    <xf numFmtId="222" fontId="9" fillId="0" borderId="0" applyFill="0" applyBorder="0" applyAlignment="0"/>
    <xf numFmtId="222" fontId="9" fillId="0" borderId="0" applyFill="0" applyBorder="0" applyAlignment="0"/>
    <xf numFmtId="222" fontId="9" fillId="0" borderId="0" applyFill="0" applyBorder="0" applyAlignment="0"/>
    <xf numFmtId="0" fontId="9" fillId="0" borderId="0"/>
    <xf numFmtId="0" fontId="9" fillId="0" borderId="0"/>
    <xf numFmtId="0" fontId="9" fillId="0" borderId="0"/>
    <xf numFmtId="0" fontId="54" fillId="0" borderId="0"/>
    <xf numFmtId="0" fontId="53" fillId="0" borderId="0" applyNumberFormat="0" applyFont="0" applyFill="0" applyBorder="0" applyAlignment="0" applyProtection="0">
      <alignment horizontal="left"/>
    </xf>
    <xf numFmtId="15" fontId="53" fillId="0" borderId="0" applyFont="0" applyFill="0" applyBorder="0" applyAlignment="0" applyProtection="0"/>
    <xf numFmtId="4" fontId="53" fillId="0" borderId="0" applyFont="0" applyFill="0" applyBorder="0" applyAlignment="0" applyProtection="0"/>
    <xf numFmtId="37" fontId="45" fillId="0" borderId="0" applyFont="0" applyBorder="0" applyAlignment="0"/>
    <xf numFmtId="0" fontId="100" fillId="0" borderId="5">
      <alignment horizontal="center"/>
    </xf>
    <xf numFmtId="3" fontId="53" fillId="0" borderId="0" applyFont="0" applyFill="0" applyBorder="0" applyAlignment="0" applyProtection="0"/>
    <xf numFmtId="0" fontId="53" fillId="80" borderId="0" applyNumberFormat="0" applyFont="0" applyBorder="0" applyAlignment="0" applyProtection="0"/>
    <xf numFmtId="3" fontId="9" fillId="0" borderId="0" applyFont="0" applyFill="0" applyBorder="0" applyAlignment="0" applyProtection="0"/>
    <xf numFmtId="0" fontId="198" fillId="0" borderId="0" applyNumberFormat="0" applyFill="0" applyBorder="0" applyAlignment="0" applyProtection="0">
      <alignment horizontal="left"/>
    </xf>
    <xf numFmtId="0" fontId="9" fillId="0" borderId="58" applyNumberFormat="0" applyFont="0" applyAlignment="0"/>
    <xf numFmtId="305" fontId="199" fillId="0" borderId="0">
      <alignment horizontal="center"/>
      <protection locked="0"/>
    </xf>
    <xf numFmtId="306" fontId="9" fillId="0" borderId="0" applyFont="0" applyFill="0" applyBorder="0" applyProtection="0">
      <alignment horizontal="right"/>
    </xf>
    <xf numFmtId="164" fontId="9" fillId="0" borderId="0" applyFont="0" applyFill="0" applyBorder="0" applyProtection="0">
      <alignment horizontal="right"/>
    </xf>
    <xf numFmtId="276" fontId="120" fillId="0" borderId="0" applyFont="0" applyFill="0" applyBorder="0" applyProtection="0">
      <alignment horizontal="right"/>
    </xf>
    <xf numFmtId="0" fontId="9" fillId="0" borderId="0"/>
    <xf numFmtId="0" fontId="9" fillId="0" borderId="0"/>
    <xf numFmtId="0" fontId="200" fillId="0" borderId="0"/>
    <xf numFmtId="0" fontId="201" fillId="0" borderId="0" applyNumberFormat="0" applyFill="0" applyBorder="0" applyProtection="0">
      <protection locked="0"/>
    </xf>
    <xf numFmtId="307" fontId="202" fillId="81" borderId="0" applyBorder="0" applyAlignment="0" applyProtection="0"/>
    <xf numFmtId="0" fontId="203" fillId="82" borderId="0" applyNumberFormat="0" applyFont="0" applyBorder="0" applyAlignment="0">
      <alignment horizontal="center"/>
    </xf>
    <xf numFmtId="0" fontId="54" fillId="0" borderId="0"/>
    <xf numFmtId="0" fontId="132" fillId="0" borderId="0"/>
    <xf numFmtId="37" fontId="9" fillId="83" borderId="48" applyFont="0" applyAlignment="0">
      <protection locked="0"/>
    </xf>
    <xf numFmtId="200" fontId="61" fillId="0" borderId="0" applyNumberFormat="0" applyFill="0" applyBorder="0" applyAlignment="0" applyProtection="0">
      <alignment horizontal="left"/>
    </xf>
    <xf numFmtId="38" fontId="61" fillId="0" borderId="0"/>
    <xf numFmtId="0" fontId="204" fillId="0" borderId="0"/>
    <xf numFmtId="189" fontId="205" fillId="0" borderId="0"/>
    <xf numFmtId="253" fontId="9" fillId="84" borderId="48" applyFont="0" applyAlignment="0"/>
    <xf numFmtId="308" fontId="9" fillId="0" borderId="0"/>
    <xf numFmtId="0" fontId="9" fillId="0" borderId="39">
      <alignment horizontal="centerContinuous"/>
    </xf>
    <xf numFmtId="243" fontId="9" fillId="0" borderId="0"/>
    <xf numFmtId="0" fontId="9"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206" fillId="0" borderId="39">
      <protection locked="0"/>
    </xf>
    <xf numFmtId="0" fontId="9"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243"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0"/>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206" fillId="0" borderId="39">
      <alignment horizontal="centerContinuous"/>
    </xf>
    <xf numFmtId="0" fontId="151" fillId="0" borderId="59">
      <alignment vertical="center"/>
    </xf>
    <xf numFmtId="0" fontId="9" fillId="0" borderId="0"/>
    <xf numFmtId="0" fontId="115" fillId="0" borderId="0" applyFill="0" applyBorder="0" applyProtection="0">
      <alignment horizontal="left"/>
    </xf>
    <xf numFmtId="0" fontId="207" fillId="83" borderId="0"/>
    <xf numFmtId="0" fontId="9" fillId="66" borderId="60"/>
    <xf numFmtId="0" fontId="9" fillId="66" borderId="60"/>
    <xf numFmtId="0" fontId="9" fillId="66" borderId="60"/>
    <xf numFmtId="0" fontId="9" fillId="66" borderId="60"/>
    <xf numFmtId="38" fontId="53"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0" fontId="203" fillId="1" borderId="8" applyNumberFormat="0" applyFont="0" applyAlignment="0">
      <alignment horizontal="center"/>
    </xf>
    <xf numFmtId="215" fontId="208" fillId="85" borderId="0" applyNumberFormat="0" applyFont="0" applyBorder="0" applyAlignment="0" applyProtection="0">
      <protection locked="0"/>
    </xf>
    <xf numFmtId="0" fontId="9" fillId="0" borderId="0"/>
    <xf numFmtId="243" fontId="54" fillId="0" borderId="0" applyFont="0" applyFill="0" applyBorder="0" applyProtection="0"/>
    <xf numFmtId="0" fontId="9" fillId="0" borderId="14"/>
    <xf numFmtId="309" fontId="209" fillId="0" borderId="4">
      <alignment horizontal="justify" vertical="top" wrapText="1"/>
    </xf>
    <xf numFmtId="0" fontId="210" fillId="0" borderId="0" applyNumberFormat="0" applyFill="0" applyBorder="0" applyAlignment="0">
      <alignment horizontal="center"/>
    </xf>
    <xf numFmtId="0" fontId="50" fillId="0" borderId="0"/>
    <xf numFmtId="0" fontId="9" fillId="0" borderId="0"/>
    <xf numFmtId="12" fontId="9" fillId="0" borderId="0" applyFont="0" applyFill="0" applyBorder="0" applyProtection="0">
      <alignment horizontal="right"/>
    </xf>
    <xf numFmtId="234" fontId="120" fillId="86" borderId="0" applyFont="0" applyFill="0" applyBorder="0" applyProtection="0">
      <alignment horizontal="right"/>
    </xf>
    <xf numFmtId="0" fontId="56" fillId="0" borderId="0"/>
    <xf numFmtId="0" fontId="9" fillId="0" borderId="0"/>
    <xf numFmtId="0" fontId="9" fillId="0" borderId="0">
      <alignment vertical="top"/>
    </xf>
    <xf numFmtId="0" fontId="211" fillId="76" borderId="0" applyNumberFormat="0" applyBorder="0" applyProtection="0"/>
    <xf numFmtId="310" fontId="54" fillId="0" borderId="0" applyFill="0" applyBorder="0" applyProtection="0">
      <alignment horizontal="right" wrapText="1"/>
    </xf>
    <xf numFmtId="310" fontId="54" fillId="0" borderId="0" applyFill="0" applyBorder="0" applyProtection="0">
      <alignment horizontal="right" wrapText="1"/>
    </xf>
    <xf numFmtId="310" fontId="54" fillId="0" borderId="0" applyFill="0" applyBorder="0" applyProtection="0">
      <alignment horizontal="right" wrapText="1"/>
    </xf>
    <xf numFmtId="311" fontId="54" fillId="0" borderId="0" applyFill="0" applyBorder="0" applyProtection="0">
      <alignment horizontal="right" wrapText="1"/>
    </xf>
    <xf numFmtId="0" fontId="212" fillId="76" borderId="0" applyNumberFormat="0" applyBorder="0" applyProtection="0"/>
    <xf numFmtId="0" fontId="213" fillId="0" borderId="0" applyNumberFormat="0" applyFill="0" applyBorder="0" applyProtection="0">
      <alignment vertical="top"/>
    </xf>
    <xf numFmtId="312" fontId="54" fillId="0" borderId="0" applyFill="0" applyBorder="0" applyProtection="0">
      <alignment horizontal="right"/>
    </xf>
    <xf numFmtId="312" fontId="54" fillId="0" borderId="0" applyFill="0" applyBorder="0" applyProtection="0">
      <alignment horizontal="right"/>
    </xf>
    <xf numFmtId="0" fontId="9" fillId="0" borderId="0" applyNumberFormat="0" applyFont="0" applyFill="0" applyBorder="0" applyAlignment="0" applyProtection="0"/>
    <xf numFmtId="0" fontId="54" fillId="0" borderId="0" applyNumberFormat="0" applyFill="0" applyBorder="0" applyProtection="0">
      <alignment horizontal="left" vertical="top" wrapText="1"/>
    </xf>
    <xf numFmtId="164" fontId="54" fillId="0" borderId="0" applyFill="0" applyBorder="0" applyProtection="0">
      <alignment horizontal="right" wrapText="1"/>
    </xf>
    <xf numFmtId="164" fontId="54" fillId="0" borderId="0" applyFill="0" applyBorder="0" applyProtection="0">
      <alignment horizontal="right" wrapText="1"/>
    </xf>
    <xf numFmtId="164" fontId="54" fillId="0" borderId="0" applyFill="0" applyBorder="0" applyProtection="0">
      <alignment horizontal="right" wrapText="1"/>
    </xf>
    <xf numFmtId="4" fontId="54" fillId="0" borderId="0" applyFill="0" applyBorder="0" applyProtection="0">
      <alignment wrapText="1"/>
    </xf>
    <xf numFmtId="0" fontId="9" fillId="0" borderId="0"/>
    <xf numFmtId="0" fontId="54" fillId="0" borderId="0" applyNumberFormat="0" applyFill="0" applyBorder="0" applyProtection="0">
      <alignment horizontal="left" vertical="top" wrapText="1"/>
    </xf>
    <xf numFmtId="0" fontId="114" fillId="0" borderId="0" applyNumberFormat="0" applyFill="0" applyBorder="0" applyProtection="0">
      <alignment horizontal="left" vertical="top" wrapText="1"/>
    </xf>
    <xf numFmtId="313" fontId="214" fillId="0" borderId="0" applyFill="0" applyBorder="0" applyProtection="0">
      <alignment horizontal="center" wrapText="1"/>
    </xf>
    <xf numFmtId="306" fontId="214" fillId="0" borderId="0" applyFill="0" applyBorder="0" applyProtection="0">
      <alignment horizontal="right" wrapText="1"/>
    </xf>
    <xf numFmtId="314" fontId="214" fillId="0" borderId="0" applyFill="0" applyBorder="0" applyProtection="0">
      <alignment horizontal="right" wrapText="1"/>
    </xf>
    <xf numFmtId="315" fontId="214" fillId="0" borderId="0" applyFill="0" applyBorder="0" applyProtection="0">
      <alignment horizontal="right" wrapText="1"/>
    </xf>
    <xf numFmtId="37" fontId="214" fillId="0" borderId="0" applyFill="0" applyBorder="0" applyProtection="0">
      <alignment horizontal="center" wrapText="1"/>
    </xf>
    <xf numFmtId="312" fontId="214" fillId="0" borderId="0" applyFill="0" applyBorder="0" applyProtection="0">
      <alignment horizontal="right"/>
    </xf>
    <xf numFmtId="316" fontId="214" fillId="0" borderId="0" applyFill="0" applyBorder="0" applyProtection="0">
      <alignment horizontal="right"/>
    </xf>
    <xf numFmtId="0" fontId="114" fillId="0" borderId="0" applyNumberFormat="0" applyFill="0" applyBorder="0" applyProtection="0">
      <alignment wrapText="1"/>
    </xf>
    <xf numFmtId="0" fontId="9" fillId="0" borderId="0">
      <alignment vertical="top"/>
    </xf>
    <xf numFmtId="0" fontId="54" fillId="0" borderId="0" applyNumberFormat="0" applyFill="0" applyBorder="0" applyProtection="0">
      <alignment wrapText="1"/>
    </xf>
    <xf numFmtId="3" fontId="54" fillId="0" borderId="0" applyFill="0" applyBorder="0" applyProtection="0">
      <alignment horizontal="right" vertical="top" wrapText="1"/>
    </xf>
    <xf numFmtId="0" fontId="54" fillId="0" borderId="0" applyNumberFormat="0" applyFill="0" applyBorder="0" applyProtection="0">
      <alignment horizontal="right" wrapText="1"/>
    </xf>
    <xf numFmtId="0" fontId="54" fillId="0" borderId="0" applyNumberFormat="0" applyFill="0" applyBorder="0" applyProtection="0">
      <alignment horizontal="right" wrapText="1"/>
    </xf>
    <xf numFmtId="0" fontId="54" fillId="0" borderId="0" applyNumberFormat="0" applyFill="0" applyBorder="0" applyProtection="0">
      <alignment horizontal="right" wrapText="1"/>
    </xf>
    <xf numFmtId="0" fontId="54" fillId="0" borderId="0" applyNumberFormat="0" applyFill="0" applyBorder="0" applyProtection="0">
      <alignment horizontal="left" vertical="top" wrapText="1"/>
    </xf>
    <xf numFmtId="0" fontId="169" fillId="0" borderId="37" applyNumberFormat="0" applyFill="0" applyProtection="0">
      <alignment horizontal="left" wrapText="1"/>
    </xf>
    <xf numFmtId="0" fontId="169" fillId="0" borderId="0" applyNumberFormat="0" applyFill="0" applyBorder="0" applyProtection="0">
      <alignment horizontal="right" wrapText="1"/>
    </xf>
    <xf numFmtId="317" fontId="54" fillId="0" borderId="0" applyFill="0" applyBorder="0" applyProtection="0">
      <alignment horizontal="right" wrapText="1"/>
    </xf>
    <xf numFmtId="318" fontId="54" fillId="0" borderId="0" applyFill="0" applyBorder="0" applyProtection="0">
      <alignment horizontal="right" wrapText="1"/>
    </xf>
    <xf numFmtId="0" fontId="54" fillId="0" borderId="0" applyNumberFormat="0" applyFill="0" applyBorder="0" applyProtection="0">
      <alignment horizontal="left" vertical="top"/>
    </xf>
    <xf numFmtId="4" fontId="54" fillId="0" borderId="0" applyFill="0" applyBorder="0" applyProtection="0">
      <alignment horizontal="right" wrapText="1"/>
    </xf>
    <xf numFmtId="4" fontId="54" fillId="0" borderId="0" applyFill="0" applyBorder="0" applyProtection="0">
      <alignment horizontal="right" wrapText="1"/>
    </xf>
    <xf numFmtId="4" fontId="54" fillId="0" borderId="0" applyFill="0" applyBorder="0" applyProtection="0">
      <alignment horizontal="right" wrapText="1"/>
    </xf>
    <xf numFmtId="318" fontId="54" fillId="0" borderId="0" applyFill="0" applyBorder="0" applyProtection="0">
      <alignment horizontal="right" wrapText="1"/>
    </xf>
    <xf numFmtId="3" fontId="54" fillId="0" borderId="0" applyFill="0" applyBorder="0" applyProtection="0">
      <alignment horizontal="right" wrapText="1"/>
    </xf>
    <xf numFmtId="0" fontId="9" fillId="0" borderId="0">
      <alignment vertical="top"/>
    </xf>
    <xf numFmtId="44" fontId="54" fillId="0" borderId="0" applyFill="0" applyBorder="0" applyProtection="0">
      <alignment horizontal="right" wrapText="1"/>
    </xf>
    <xf numFmtId="44" fontId="114" fillId="0" borderId="0" applyFill="0" applyBorder="0" applyProtection="0">
      <alignment horizontal="right" wrapText="1"/>
    </xf>
    <xf numFmtId="319" fontId="54" fillId="0" borderId="0" applyFill="0" applyBorder="0" applyProtection="0">
      <alignment horizontal="right" wrapText="1"/>
    </xf>
    <xf numFmtId="319" fontId="114" fillId="0" borderId="0" applyFill="0" applyBorder="0" applyProtection="0">
      <alignment horizontal="right" wrapText="1"/>
    </xf>
    <xf numFmtId="44" fontId="215" fillId="0" borderId="0" applyFill="0" applyBorder="0" applyProtection="0">
      <alignment horizontal="right" wrapText="1"/>
    </xf>
    <xf numFmtId="320" fontId="54" fillId="0" borderId="0" applyFill="0" applyBorder="0" applyProtection="0">
      <alignment horizontal="right" wrapText="1"/>
    </xf>
    <xf numFmtId="0" fontId="216" fillId="0" borderId="0" applyNumberFormat="0" applyFill="0" applyBorder="0" applyProtection="0">
      <alignment horizontal="center" vertical="top" wrapText="1"/>
    </xf>
    <xf numFmtId="0" fontId="216" fillId="0" borderId="0" applyNumberFormat="0" applyFill="0" applyBorder="0" applyProtection="0">
      <alignment horizontal="center" wrapText="1"/>
    </xf>
    <xf numFmtId="0" fontId="217" fillId="0" borderId="0" applyNumberFormat="0" applyFill="0" applyBorder="0" applyProtection="0">
      <alignment horizontal="left" vertical="top" wrapText="1"/>
    </xf>
    <xf numFmtId="0" fontId="211" fillId="75" borderId="0" applyNumberFormat="0" applyBorder="0" applyProtection="0">
      <alignment horizontal="left" wrapText="1"/>
    </xf>
    <xf numFmtId="0" fontId="211" fillId="75" borderId="0" applyNumberFormat="0" applyBorder="0" applyProtection="0">
      <alignment horizontal="left"/>
    </xf>
    <xf numFmtId="0" fontId="211" fillId="75" borderId="0" applyNumberFormat="0" applyBorder="0" applyProtection="0">
      <alignment horizontal="right"/>
    </xf>
    <xf numFmtId="0" fontId="212" fillId="76" borderId="0" applyNumberFormat="0" applyBorder="0" applyProtection="0">
      <alignment vertical="top" wrapText="1"/>
    </xf>
    <xf numFmtId="258" fontId="212" fillId="76" borderId="0" applyBorder="0" applyProtection="0">
      <alignment vertical="top" wrapText="1"/>
    </xf>
    <xf numFmtId="4" fontId="54" fillId="0" borderId="0" applyFill="0" applyBorder="0" applyProtection="0">
      <alignment horizontal="left" vertical="top"/>
    </xf>
    <xf numFmtId="258" fontId="54" fillId="0" borderId="0" applyFill="0" applyBorder="0" applyProtection="0">
      <alignment horizontal="right"/>
    </xf>
    <xf numFmtId="3" fontId="54" fillId="0" borderId="0" applyFill="0" applyBorder="0" applyProtection="0">
      <alignment horizontal="right"/>
    </xf>
    <xf numFmtId="3" fontId="54" fillId="0" borderId="0" applyFill="0" applyBorder="0" applyProtection="0">
      <alignment horizontal="center"/>
    </xf>
    <xf numFmtId="318" fontId="54" fillId="0" borderId="0" applyFill="0" applyBorder="0" applyProtection="0">
      <alignment horizontal="right"/>
    </xf>
    <xf numFmtId="318" fontId="114" fillId="0" borderId="0" applyFill="0" applyBorder="0" applyProtection="0">
      <alignment horizontal="right"/>
    </xf>
    <xf numFmtId="318" fontId="216" fillId="0" borderId="0" applyFill="0" applyBorder="0" applyProtection="0">
      <alignment horizontal="right"/>
    </xf>
    <xf numFmtId="318" fontId="217" fillId="0" borderId="0" applyFill="0" applyBorder="0" applyProtection="0">
      <alignment horizontal="right"/>
    </xf>
    <xf numFmtId="4" fontId="114" fillId="0" borderId="0" applyFill="0" applyBorder="0" applyProtection="0">
      <alignment horizontal="right"/>
    </xf>
    <xf numFmtId="4" fontId="216" fillId="0" borderId="0" applyFill="0" applyBorder="0" applyProtection="0">
      <alignment horizontal="right"/>
    </xf>
    <xf numFmtId="4" fontId="217" fillId="0" borderId="0" applyFill="0" applyBorder="0" applyProtection="0">
      <alignment horizontal="right"/>
    </xf>
    <xf numFmtId="253" fontId="54" fillId="0" borderId="0" applyFill="0" applyBorder="0" applyProtection="0">
      <alignment horizontal="right" vertical="top" wrapText="1"/>
    </xf>
    <xf numFmtId="0" fontId="124" fillId="0" borderId="37" applyNumberFormat="0" applyFill="0" applyProtection="0">
      <alignment horizontal="left" vertical="top"/>
    </xf>
    <xf numFmtId="4" fontId="54" fillId="0" borderId="0" applyFill="0" applyBorder="0" applyProtection="0">
      <alignment horizontal="left"/>
    </xf>
    <xf numFmtId="4" fontId="54" fillId="0" borderId="0" applyFill="0" applyBorder="0" applyProtection="0">
      <alignment horizontal="right"/>
    </xf>
    <xf numFmtId="4" fontId="54" fillId="0" borderId="0" applyFill="0" applyBorder="0" applyProtection="0">
      <alignment horizontal="center"/>
    </xf>
    <xf numFmtId="312" fontId="54" fillId="0" borderId="0" applyFill="0" applyBorder="0" applyProtection="0">
      <alignment horizontal="right"/>
    </xf>
    <xf numFmtId="319" fontId="54" fillId="0" borderId="0" applyFill="0" applyBorder="0" applyProtection="0">
      <alignment horizontal="right"/>
    </xf>
    <xf numFmtId="321" fontId="54" fillId="0" borderId="0" applyFill="0" applyBorder="0" applyProtection="0">
      <alignment horizontal="right"/>
    </xf>
    <xf numFmtId="200" fontId="54" fillId="0" borderId="0" applyFill="0" applyBorder="0" applyProtection="0">
      <alignment horizontal="right"/>
    </xf>
    <xf numFmtId="322" fontId="54" fillId="0" borderId="0" applyFill="0" applyBorder="0" applyProtection="0">
      <alignment horizontal="right"/>
    </xf>
    <xf numFmtId="4" fontId="54" fillId="0" borderId="0" applyFill="0" applyBorder="0" applyProtection="0">
      <alignment horizontal="center"/>
    </xf>
    <xf numFmtId="318" fontId="54" fillId="0" borderId="0" applyFill="0" applyBorder="0" applyProtection="0">
      <alignment horizontal="center"/>
    </xf>
    <xf numFmtId="0" fontId="54" fillId="0" borderId="0" applyNumberFormat="0" applyFill="0" applyBorder="0" applyProtection="0">
      <alignment horizontal="left" vertical="top" wrapText="1"/>
    </xf>
    <xf numFmtId="319" fontId="214" fillId="0" borderId="0" applyFill="0" applyBorder="0" applyProtection="0">
      <alignment horizontal="right"/>
    </xf>
    <xf numFmtId="312" fontId="214" fillId="0" borderId="0" applyFill="0" applyBorder="0" applyProtection="0">
      <alignment horizontal="right"/>
    </xf>
    <xf numFmtId="321" fontId="214" fillId="0" borderId="0" applyFill="0" applyBorder="0" applyProtection="0">
      <alignment horizontal="right"/>
    </xf>
    <xf numFmtId="323" fontId="214" fillId="0" borderId="0" applyFill="0" applyBorder="0" applyProtection="0">
      <alignment horizontal="right"/>
    </xf>
    <xf numFmtId="0" fontId="102" fillId="0" borderId="0" applyNumberFormat="0" applyFill="0" applyBorder="0" applyProtection="0">
      <alignment horizontal="left"/>
    </xf>
    <xf numFmtId="0" fontId="114" fillId="0" borderId="37" applyNumberFormat="0" applyFill="0" applyProtection="0"/>
    <xf numFmtId="0" fontId="10" fillId="0" borderId="0" applyNumberFormat="0" applyFill="0" applyBorder="0" applyProtection="0"/>
    <xf numFmtId="0" fontId="114" fillId="0" borderId="37" applyNumberFormat="0" applyFill="0" applyProtection="0">
      <alignment horizontal="center" wrapText="1"/>
    </xf>
    <xf numFmtId="0" fontId="114" fillId="0" borderId="0" applyNumberFormat="0" applyFill="0" applyBorder="0" applyProtection="0">
      <alignment horizontal="center"/>
    </xf>
    <xf numFmtId="0" fontId="114" fillId="0" borderId="0" applyNumberFormat="0" applyFill="0" applyBorder="0" applyProtection="0"/>
    <xf numFmtId="0" fontId="11" fillId="0" borderId="0" applyNumberFormat="0" applyBorder="0" applyAlignment="0"/>
    <xf numFmtId="0" fontId="218" fillId="59" borderId="0" applyNumberFormat="0" applyBorder="0" applyAlignment="0"/>
    <xf numFmtId="0" fontId="218" fillId="0" borderId="0" applyNumberFormat="0" applyBorder="0" applyAlignment="0"/>
    <xf numFmtId="0" fontId="12" fillId="0" borderId="0" applyNumberFormat="0" applyBorder="0" applyAlignment="0"/>
    <xf numFmtId="0" fontId="12" fillId="0" borderId="0" applyNumberFormat="0" applyBorder="0" applyAlignment="0"/>
    <xf numFmtId="0" fontId="219" fillId="0" borderId="0" applyNumberFormat="0" applyBorder="0" applyAlignment="0"/>
    <xf numFmtId="0" fontId="219" fillId="0" borderId="0" applyNumberFormat="0" applyBorder="0" applyAlignment="0"/>
    <xf numFmtId="0" fontId="97" fillId="87" borderId="0">
      <alignment horizontal="center"/>
    </xf>
    <xf numFmtId="0" fontId="9" fillId="0" borderId="6"/>
    <xf numFmtId="0" fontId="220" fillId="59" borderId="0">
      <alignment horizontal="centerContinuous"/>
    </xf>
    <xf numFmtId="0" fontId="221" fillId="59" borderId="0">
      <alignment horizontal="centerContinuous"/>
    </xf>
    <xf numFmtId="0" fontId="180" fillId="0" borderId="0"/>
    <xf numFmtId="0" fontId="222" fillId="0" borderId="0"/>
    <xf numFmtId="40" fontId="223" fillId="0" borderId="0" applyBorder="0">
      <alignment horizontal="right"/>
    </xf>
    <xf numFmtId="37" fontId="9" fillId="0" borderId="0" applyFont="0" applyFill="0" applyBorder="0" applyAlignment="0"/>
    <xf numFmtId="0" fontId="224" fillId="0" borderId="0"/>
    <xf numFmtId="0" fontId="225" fillId="0" borderId="1">
      <alignment horizontal="left" vertical="top"/>
      <protection locked="0"/>
    </xf>
    <xf numFmtId="0" fontId="132" fillId="0" borderId="42"/>
    <xf numFmtId="0" fontId="226" fillId="0" borderId="0" applyBorder="0" applyProtection="0">
      <alignment vertical="center"/>
    </xf>
    <xf numFmtId="0" fontId="226" fillId="0" borderId="12" applyBorder="0" applyProtection="0">
      <alignment horizontal="right" vertical="center"/>
    </xf>
    <xf numFmtId="0" fontId="227" fillId="72" borderId="0" applyBorder="0" applyProtection="0">
      <alignment horizontal="centerContinuous" vertical="center"/>
    </xf>
    <xf numFmtId="0" fontId="227" fillId="88" borderId="12" applyBorder="0" applyProtection="0">
      <alignment horizontal="centerContinuous" vertical="center"/>
    </xf>
    <xf numFmtId="0" fontId="228" fillId="0" borderId="0" applyNumberFormat="0" applyFill="0" applyBorder="0" applyProtection="0">
      <alignment horizontal="left"/>
    </xf>
    <xf numFmtId="0" fontId="114" fillId="0" borderId="0" applyBorder="0" applyProtection="0">
      <alignment horizontal="left"/>
    </xf>
    <xf numFmtId="0" fontId="152" fillId="0" borderId="0" applyNumberFormat="0" applyFill="0" applyBorder="0" applyProtection="0">
      <alignment horizontal="left"/>
    </xf>
    <xf numFmtId="0" fontId="169" fillId="0" borderId="0" applyFill="0" applyBorder="0" applyProtection="0"/>
    <xf numFmtId="0" fontId="163" fillId="0" borderId="0"/>
    <xf numFmtId="0" fontId="229" fillId="0" borderId="0" applyFill="0" applyBorder="0" applyProtection="0">
      <alignment horizontal="left"/>
    </xf>
    <xf numFmtId="0" fontId="152" fillId="0" borderId="13" applyFill="0" applyBorder="0" applyProtection="0">
      <alignment horizontal="left" vertical="top"/>
    </xf>
    <xf numFmtId="0" fontId="230" fillId="0" borderId="0">
      <alignment horizontal="centerContinuous"/>
    </xf>
    <xf numFmtId="0" fontId="9" fillId="0" borderId="0"/>
    <xf numFmtId="0" fontId="9" fillId="0" borderId="0"/>
    <xf numFmtId="0" fontId="54" fillId="0" borderId="0"/>
    <xf numFmtId="49" fontId="9" fillId="0" borderId="0" applyFont="0" applyAlignment="0"/>
    <xf numFmtId="0" fontId="231" fillId="0" borderId="0"/>
    <xf numFmtId="0" fontId="62" fillId="0" borderId="0" applyNumberFormat="0" applyFill="0" applyBorder="0" applyProtection="0"/>
    <xf numFmtId="0" fontId="232" fillId="0" borderId="0" applyFill="0" applyBorder="0" applyProtection="0"/>
    <xf numFmtId="0" fontId="233" fillId="0" borderId="0"/>
    <xf numFmtId="0" fontId="232" fillId="0" borderId="0" applyNumberFormat="0" applyFill="0" applyBorder="0" applyProtection="0"/>
    <xf numFmtId="0" fontId="234" fillId="0" borderId="0" applyFill="0" applyBorder="0" applyProtection="0"/>
    <xf numFmtId="0" fontId="62" fillId="0" borderId="0" applyNumberFormat="0" applyFill="0" applyBorder="0" applyProtection="0"/>
    <xf numFmtId="0" fontId="62" fillId="0" borderId="0"/>
    <xf numFmtId="49" fontId="11" fillId="0" borderId="0" applyFill="0" applyBorder="0" applyAlignment="0"/>
    <xf numFmtId="324" fontId="103" fillId="0" borderId="0" applyFill="0" applyBorder="0" applyAlignment="0"/>
    <xf numFmtId="325" fontId="9" fillId="0" borderId="0" applyFill="0" applyBorder="0" applyAlignment="0"/>
    <xf numFmtId="325" fontId="9" fillId="0" borderId="0" applyFill="0" applyBorder="0" applyAlignment="0"/>
    <xf numFmtId="325" fontId="9" fillId="0" borderId="0" applyFill="0" applyBorder="0" applyAlignment="0"/>
    <xf numFmtId="326" fontId="103" fillId="0" borderId="0" applyFill="0" applyBorder="0" applyAlignment="0"/>
    <xf numFmtId="327" fontId="9" fillId="0" borderId="0" applyFill="0" applyBorder="0" applyAlignment="0"/>
    <xf numFmtId="327" fontId="9" fillId="0" borderId="0" applyFill="0" applyBorder="0" applyAlignment="0"/>
    <xf numFmtId="327" fontId="9" fillId="0" borderId="0" applyFill="0" applyBorder="0" applyAlignment="0"/>
    <xf numFmtId="0" fontId="231" fillId="0" borderId="13" applyFill="0" applyBorder="0" applyProtection="0"/>
    <xf numFmtId="0" fontId="212" fillId="0" borderId="0">
      <alignment vertical="top"/>
    </xf>
    <xf numFmtId="0" fontId="235" fillId="0" borderId="0"/>
    <xf numFmtId="0" fontId="213" fillId="0" borderId="0">
      <alignment vertical="top"/>
    </xf>
    <xf numFmtId="0" fontId="9" fillId="0" borderId="0"/>
    <xf numFmtId="0" fontId="9" fillId="0" borderId="0"/>
    <xf numFmtId="0" fontId="236" fillId="0" borderId="0" applyFill="0" applyBorder="0" applyProtection="0">
      <alignment horizontal="left" vertical="top"/>
    </xf>
    <xf numFmtId="0" fontId="58" fillId="0" borderId="0" applyNumberFormat="0" applyFill="0" applyBorder="0" applyAlignment="0" applyProtection="0"/>
    <xf numFmtId="0" fontId="52" fillId="0" borderId="0">
      <alignment horizontal="center"/>
    </xf>
    <xf numFmtId="0" fontId="237" fillId="89" borderId="0"/>
    <xf numFmtId="0" fontId="9" fillId="0" borderId="0" applyNumberFormat="0" applyFill="0" applyBorder="0" applyAlignment="0" applyProtection="0"/>
    <xf numFmtId="0" fontId="9"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238" fillId="0" borderId="0" applyNumberFormat="0" applyFill="0" applyBorder="0" applyAlignment="0" applyProtection="0"/>
    <xf numFmtId="0" fontId="46" fillId="90" borderId="0" applyNumberFormat="0" applyBorder="0"/>
    <xf numFmtId="0" fontId="239" fillId="0" borderId="0">
      <alignment vertical="top"/>
    </xf>
    <xf numFmtId="0" fontId="9" fillId="0" borderId="0" applyNumberFormat="0" applyFill="0" applyBorder="0" applyAlignment="0" applyProtection="0"/>
    <xf numFmtId="0" fontId="9" fillId="0" borderId="0" applyNumberFormat="0" applyFill="0" applyBorder="0" applyAlignment="0" applyProtection="0"/>
    <xf numFmtId="189" fontId="240" fillId="0" borderId="61"/>
    <xf numFmtId="243" fontId="9" fillId="91" borderId="0" applyFill="0" applyBorder="0" applyAlignment="0" applyProtection="0">
      <alignment horizontal="left"/>
    </xf>
    <xf numFmtId="243" fontId="9" fillId="0" borderId="0" applyFill="0" applyBorder="0" applyAlignment="0" applyProtection="0">
      <alignment horizontal="left"/>
    </xf>
    <xf numFmtId="0" fontId="232" fillId="0" borderId="0"/>
    <xf numFmtId="0" fontId="62" fillId="0" borderId="0"/>
    <xf numFmtId="0" fontId="241" fillId="0" borderId="0" applyFill="0" applyBorder="0" applyAlignment="0" applyProtection="0"/>
    <xf numFmtId="0" fontId="19" fillId="0" borderId="27" applyNumberFormat="0" applyFill="0" applyAlignment="0" applyProtection="0"/>
    <xf numFmtId="0" fontId="19" fillId="0" borderId="27" applyNumberFormat="0" applyFill="0" applyAlignment="0" applyProtection="0"/>
    <xf numFmtId="0" fontId="5" fillId="0" borderId="62" applyNumberFormat="0" applyFill="0" applyAlignment="0" applyProtection="0"/>
    <xf numFmtId="0" fontId="158" fillId="0" borderId="0" applyFill="0" applyBorder="0" applyProtection="0"/>
    <xf numFmtId="0" fontId="158" fillId="0" borderId="0" applyFill="0" applyBorder="0" applyProtection="0"/>
    <xf numFmtId="328" fontId="52" fillId="0" borderId="0" applyFill="0" applyAlignment="0" applyProtection="0"/>
    <xf numFmtId="0" fontId="81" fillId="0" borderId="63"/>
    <xf numFmtId="277" fontId="158" fillId="0" borderId="46" applyFill="0" applyBorder="0" applyProtection="0">
      <alignment vertical="center"/>
    </xf>
    <xf numFmtId="0" fontId="176" fillId="0" borderId="64"/>
    <xf numFmtId="0" fontId="176" fillId="0" borderId="42"/>
    <xf numFmtId="0" fontId="9" fillId="0" borderId="0"/>
    <xf numFmtId="0" fontId="9" fillId="0" borderId="0"/>
    <xf numFmtId="189" fontId="9" fillId="0" borderId="0">
      <alignment horizontal="left"/>
      <protection locked="0"/>
    </xf>
    <xf numFmtId="0" fontId="242" fillId="0" borderId="0">
      <alignment horizontal="fill"/>
    </xf>
    <xf numFmtId="0" fontId="9" fillId="0" borderId="0"/>
    <xf numFmtId="0" fontId="9" fillId="0" borderId="0"/>
    <xf numFmtId="0" fontId="9" fillId="0" borderId="0"/>
    <xf numFmtId="0" fontId="9" fillId="0" borderId="0"/>
    <xf numFmtId="0" fontId="243" fillId="65" borderId="65">
      <alignment horizontal="left"/>
    </xf>
    <xf numFmtId="0" fontId="9" fillId="0" borderId="0"/>
    <xf numFmtId="0" fontId="101" fillId="2" borderId="0" applyFont="0" applyFill="0">
      <alignment horizontal="center"/>
    </xf>
    <xf numFmtId="0" fontId="101" fillId="2" borderId="0" applyFont="0" applyFill="0">
      <alignment horizontal="center"/>
    </xf>
    <xf numFmtId="0" fontId="101" fillId="2" borderId="0" applyFont="0" applyFill="0">
      <alignment horizontal="center"/>
    </xf>
    <xf numFmtId="0" fontId="169" fillId="0" borderId="0">
      <alignment horizontal="center" textRotation="90"/>
    </xf>
    <xf numFmtId="42" fontId="140" fillId="0" borderId="0" applyFont="0" applyFill="0" applyBorder="0" applyAlignment="0" applyProtection="0"/>
    <xf numFmtId="44" fontId="140" fillId="0" borderId="0" applyFon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8" fillId="0" borderId="0" applyNumberFormat="0" applyFill="0" applyBorder="0" applyAlignment="0" applyProtection="0"/>
    <xf numFmtId="329" fontId="213" fillId="0" borderId="0"/>
    <xf numFmtId="0" fontId="244" fillId="2" borderId="0">
      <alignment horizontal="center"/>
    </xf>
    <xf numFmtId="49" fontId="245" fillId="0" borderId="0" applyFill="0" applyBorder="0" applyAlignment="0" applyProtection="0"/>
    <xf numFmtId="330" fontId="246" fillId="0" borderId="12" applyBorder="0" applyProtection="0">
      <alignment horizontal="right"/>
    </xf>
    <xf numFmtId="0" fontId="103" fillId="74" borderId="0" applyNumberFormat="0" applyFont="0" applyBorder="0" applyAlignment="0" applyProtection="0"/>
    <xf numFmtId="0" fontId="247" fillId="0" borderId="0" applyNumberFormat="0" applyFill="0" applyBorder="0" applyAlignment="0" applyProtection="0">
      <alignment vertical="top"/>
      <protection locked="0"/>
    </xf>
    <xf numFmtId="0" fontId="51" fillId="0" borderId="0"/>
    <xf numFmtId="0" fontId="248" fillId="0" borderId="0" applyNumberFormat="0" applyFill="0" applyBorder="0" applyAlignment="0" applyProtection="0">
      <alignment vertical="top"/>
      <protection locked="0"/>
    </xf>
    <xf numFmtId="189" fontId="132" fillId="0" borderId="0"/>
    <xf numFmtId="43" fontId="9" fillId="0" borderId="0" applyFont="0" applyFill="0" applyBorder="0" applyAlignment="0" applyProtection="0"/>
    <xf numFmtId="245" fontId="9" fillId="0" borderId="0" applyFill="0" applyBorder="0" applyAlignment="0"/>
    <xf numFmtId="0" fontId="86" fillId="0" borderId="0" applyNumberFormat="0" applyFill="0" applyBorder="0" applyAlignment="0" applyProtection="0">
      <alignment vertical="top"/>
      <protection locked="0"/>
    </xf>
    <xf numFmtId="331" fontId="120" fillId="0" borderId="0" applyFont="0" applyFill="0" applyBorder="0" applyAlignment="0" applyProtection="0">
      <alignment horizontal="right"/>
    </xf>
    <xf numFmtId="0" fontId="249" fillId="0" borderId="0"/>
    <xf numFmtId="0" fontId="9" fillId="0" borderId="0" applyFont="0" applyFill="0" applyBorder="0" applyAlignment="0" applyProtection="0"/>
    <xf numFmtId="43" fontId="9" fillId="0" borderId="0" applyFont="0" applyFill="0" applyBorder="0" applyAlignment="0" applyProtection="0"/>
    <xf numFmtId="179" fontId="84" fillId="0" borderId="0" applyFont="0" applyFill="0" applyBorder="0" applyAlignment="0" applyProtection="0"/>
    <xf numFmtId="214" fontId="84" fillId="0" borderId="0" applyFont="0" applyFill="0" applyBorder="0" applyAlignment="0" applyProtection="0"/>
    <xf numFmtId="199" fontId="120" fillId="0" borderId="0" applyFont="0" applyFill="0" applyBorder="0" applyAlignment="0" applyProtection="0"/>
    <xf numFmtId="332" fontId="120" fillId="0" borderId="0" applyFont="0" applyFill="0" applyBorder="0" applyAlignment="0" applyProtection="0"/>
    <xf numFmtId="0" fontId="250" fillId="0" borderId="0"/>
    <xf numFmtId="0" fontId="58" fillId="0" borderId="0"/>
    <xf numFmtId="179" fontId="50" fillId="0" borderId="0" applyFont="0" applyFill="0" applyBorder="0" applyAlignment="0" applyProtection="0"/>
    <xf numFmtId="214" fontId="50" fillId="0" borderId="0" applyFont="0" applyFill="0" applyBorder="0" applyAlignment="0" applyProtection="0"/>
    <xf numFmtId="0" fontId="9" fillId="0" borderId="0" applyBorder="0"/>
    <xf numFmtId="0" fontId="251" fillId="0" borderId="0"/>
    <xf numFmtId="40" fontId="9" fillId="0" borderId="0" applyFont="0" applyFill="0" applyBorder="0" applyAlignment="0" applyProtection="0"/>
    <xf numFmtId="38" fontId="9" fillId="0" borderId="0" applyFont="0" applyFill="0" applyBorder="0" applyAlignment="0" applyProtection="0"/>
    <xf numFmtId="0" fontId="9" fillId="0" borderId="0"/>
    <xf numFmtId="0" fontId="252" fillId="0" borderId="0" applyNumberFormat="0" applyFill="0" applyBorder="0" applyAlignment="0" applyProtection="0">
      <alignment vertical="top"/>
      <protection locked="0"/>
    </xf>
    <xf numFmtId="199" fontId="50" fillId="0" borderId="0" applyFont="0" applyFill="0" applyBorder="0" applyAlignment="0" applyProtection="0"/>
    <xf numFmtId="6" fontId="53" fillId="0" borderId="0" applyFont="0" applyFill="0" applyBorder="0" applyAlignment="0" applyProtection="0"/>
    <xf numFmtId="333" fontId="50" fillId="0" borderId="0" applyFont="0" applyFill="0" applyBorder="0" applyAlignment="0" applyProtection="0"/>
    <xf numFmtId="0" fontId="253" fillId="0" borderId="0" applyNumberFormat="0" applyFill="0" applyBorder="0" applyAlignment="0" applyProtection="0">
      <alignment vertical="top"/>
      <protection locked="0"/>
    </xf>
    <xf numFmtId="334" fontId="9" fillId="0" borderId="0" applyFont="0" applyFill="0" applyBorder="0" applyAlignment="0" applyProtection="0"/>
    <xf numFmtId="335" fontId="9" fillId="0" borderId="0" applyFont="0" applyFill="0" applyBorder="0" applyAlignment="0" applyProtection="0"/>
    <xf numFmtId="0" fontId="254" fillId="0" borderId="0" applyNumberFormat="0" applyFill="0" applyBorder="0" applyAlignment="0" applyProtection="0">
      <alignment vertical="top"/>
      <protection locked="0"/>
    </xf>
    <xf numFmtId="0" fontId="44" fillId="0" borderId="0"/>
    <xf numFmtId="0" fontId="44" fillId="0" borderId="0"/>
    <xf numFmtId="43" fontId="44" fillId="0" borderId="0" applyFont="0" applyFill="0" applyBorder="0" applyAlignment="0" applyProtection="0"/>
    <xf numFmtId="44" fontId="44" fillId="0" borderId="0" applyFont="0" applyFill="0" applyBorder="0" applyAlignment="0" applyProtection="0"/>
    <xf numFmtId="0" fontId="44" fillId="0" borderId="0"/>
    <xf numFmtId="43" fontId="44" fillId="0" borderId="0" applyFont="0" applyFill="0" applyBorder="0" applyAlignment="0" applyProtection="0"/>
    <xf numFmtId="44" fontId="44" fillId="0" borderId="0" applyFont="0" applyFill="0" applyBorder="0" applyAlignment="0" applyProtection="0"/>
    <xf numFmtId="0" fontId="9"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0" fontId="9" fillId="0" borderId="0"/>
    <xf numFmtId="9" fontId="1" fillId="0" borderId="0" applyFont="0" applyFill="0" applyBorder="0" applyAlignment="0" applyProtection="0"/>
    <xf numFmtId="0" fontId="9" fillId="0" borderId="0"/>
    <xf numFmtId="0" fontId="56" fillId="0" borderId="0"/>
    <xf numFmtId="0" fontId="265" fillId="0" borderId="0"/>
    <xf numFmtId="0" fontId="58" fillId="0" borderId="0"/>
    <xf numFmtId="0" fontId="9" fillId="0" borderId="0"/>
    <xf numFmtId="0" fontId="57"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266" fillId="135" borderId="0" applyNumberFormat="0" applyBorder="0" applyAlignment="0" applyProtection="0">
      <alignment vertical="center"/>
    </xf>
    <xf numFmtId="0" fontId="266" fillId="53" borderId="0" applyNumberFormat="0" applyBorder="0" applyAlignment="0" applyProtection="0">
      <alignment vertical="center"/>
    </xf>
    <xf numFmtId="0" fontId="266" fillId="55" borderId="0" applyNumberFormat="0" applyBorder="0" applyAlignment="0" applyProtection="0">
      <alignment vertical="center"/>
    </xf>
    <xf numFmtId="0" fontId="266" fillId="136" borderId="0" applyNumberFormat="0" applyBorder="0" applyAlignment="0" applyProtection="0">
      <alignment vertical="center"/>
    </xf>
    <xf numFmtId="0" fontId="266" fillId="57" borderId="0" applyNumberFormat="0" applyBorder="0" applyAlignment="0" applyProtection="0">
      <alignment vertical="center"/>
    </xf>
    <xf numFmtId="0" fontId="266" fillId="52" borderId="0" applyNumberFormat="0" applyBorder="0" applyAlignment="0" applyProtection="0">
      <alignment vertical="center"/>
    </xf>
    <xf numFmtId="0" fontId="266" fillId="58" borderId="0" applyNumberFormat="0" applyBorder="0" applyAlignment="0" applyProtection="0">
      <alignment vertical="center"/>
    </xf>
    <xf numFmtId="0" fontId="266" fillId="54" borderId="0" applyNumberFormat="0" applyBorder="0" applyAlignment="0" applyProtection="0">
      <alignment vertical="center"/>
    </xf>
    <xf numFmtId="0" fontId="266" fillId="137" borderId="0" applyNumberFormat="0" applyBorder="0" applyAlignment="0" applyProtection="0">
      <alignment vertical="center"/>
    </xf>
    <xf numFmtId="0" fontId="266" fillId="136" borderId="0" applyNumberFormat="0" applyBorder="0" applyAlignment="0" applyProtection="0">
      <alignment vertical="center"/>
    </xf>
    <xf numFmtId="0" fontId="266" fillId="58" borderId="0" applyNumberFormat="0" applyBorder="0" applyAlignment="0" applyProtection="0">
      <alignment vertical="center"/>
    </xf>
    <xf numFmtId="0" fontId="266" fillId="138" borderId="0" applyNumberFormat="0" applyBorder="0" applyAlignment="0" applyProtection="0">
      <alignment vertical="center"/>
    </xf>
    <xf numFmtId="0" fontId="267" fillId="139" borderId="0" applyNumberFormat="0" applyBorder="0" applyAlignment="0" applyProtection="0">
      <alignment vertical="center"/>
    </xf>
    <xf numFmtId="0" fontId="267" fillId="54" borderId="0" applyNumberFormat="0" applyBorder="0" applyAlignment="0" applyProtection="0">
      <alignment vertical="center"/>
    </xf>
    <xf numFmtId="0" fontId="267" fillId="137" borderId="0" applyNumberFormat="0" applyBorder="0" applyAlignment="0" applyProtection="0">
      <alignment vertical="center"/>
    </xf>
    <xf numFmtId="0" fontId="267" fillId="140" borderId="0" applyNumberFormat="0" applyBorder="0" applyAlignment="0" applyProtection="0">
      <alignment vertical="center"/>
    </xf>
    <xf numFmtId="0" fontId="267" fillId="60" borderId="0" applyNumberFormat="0" applyBorder="0" applyAlignment="0" applyProtection="0">
      <alignment vertical="center"/>
    </xf>
    <xf numFmtId="0" fontId="267" fillId="141" borderId="0" applyNumberFormat="0" applyBorder="0" applyAlignment="0" applyProtection="0">
      <alignment vertical="center"/>
    </xf>
    <xf numFmtId="228" fontId="103" fillId="0" borderId="0" applyFill="0" applyBorder="0" applyAlignment="0"/>
    <xf numFmtId="43" fontId="1" fillId="0" borderId="0" applyFont="0" applyFill="0" applyBorder="0" applyAlignment="0" applyProtection="0"/>
    <xf numFmtId="43"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1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268" fillId="0" borderId="0" applyNumberFormat="0" applyFill="0" applyBorder="0" applyAlignment="0" applyProtection="0">
      <alignment vertical="top"/>
      <protection locked="0"/>
    </xf>
    <xf numFmtId="0" fontId="58" fillId="68" borderId="0"/>
    <xf numFmtId="0" fontId="9" fillId="0" borderId="0"/>
    <xf numFmtId="0" fontId="50" fillId="0" borderId="0"/>
    <xf numFmtId="0" fontId="50" fillId="0" borderId="0"/>
    <xf numFmtId="0" fontId="50" fillId="0" borderId="0"/>
    <xf numFmtId="0" fontId="50" fillId="0" borderId="0"/>
    <xf numFmtId="0" fontId="50" fillId="0" borderId="0"/>
    <xf numFmtId="0" fontId="9" fillId="0" borderId="0" applyNumberFormat="0" applyFill="0" applyBorder="0" applyAlignment="0" applyProtection="0"/>
    <xf numFmtId="0" fontId="9" fillId="0" borderId="0" applyNumberFormat="0" applyFill="0" applyBorder="0" applyAlignment="0" applyProtection="0"/>
    <xf numFmtId="0" fontId="50" fillId="0" borderId="0"/>
    <xf numFmtId="0" fontId="50" fillId="0" borderId="0"/>
    <xf numFmtId="0" fontId="50" fillId="0" borderId="0"/>
    <xf numFmtId="0" fontId="50"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50" fillId="0" borderId="0"/>
    <xf numFmtId="0" fontId="9" fillId="0" borderId="0" quotePrefix="1">
      <alignment horizontal="justify" vertical="justify" wrapText="1"/>
      <protection hidden="1"/>
    </xf>
    <xf numFmtId="0" fontId="1" fillId="0" borderId="0"/>
    <xf numFmtId="0" fontId="9" fillId="0" borderId="0" applyNumberFormat="0" applyFill="0" applyBorder="0" applyAlignment="0" applyProtection="0"/>
    <xf numFmtId="0" fontId="16"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9" fontId="1" fillId="0" borderId="0" applyFont="0" applyFill="0" applyBorder="0" applyAlignment="0" applyProtection="0"/>
    <xf numFmtId="0" fontId="269" fillId="0" borderId="0" applyNumberFormat="0" applyFill="0" applyBorder="0" applyAlignment="0" applyProtection="0">
      <alignment horizontal="left"/>
    </xf>
    <xf numFmtId="0" fontId="55" fillId="0" borderId="0"/>
    <xf numFmtId="40" fontId="270" fillId="0" borderId="0" applyBorder="0">
      <alignment horizontal="right"/>
    </xf>
    <xf numFmtId="0" fontId="267" fillId="142" borderId="0" applyNumberFormat="0" applyBorder="0" applyAlignment="0" applyProtection="0">
      <alignment vertical="center"/>
    </xf>
    <xf numFmtId="0" fontId="267" fillId="61" borderId="0" applyNumberFormat="0" applyBorder="0" applyAlignment="0" applyProtection="0">
      <alignment vertical="center"/>
    </xf>
    <xf numFmtId="0" fontId="267" fillId="62" borderId="0" applyNumberFormat="0" applyBorder="0" applyAlignment="0" applyProtection="0">
      <alignment vertical="center"/>
    </xf>
    <xf numFmtId="0" fontId="267" fillId="140" borderId="0" applyNumberFormat="0" applyBorder="0" applyAlignment="0" applyProtection="0">
      <alignment vertical="center"/>
    </xf>
    <xf numFmtId="0" fontId="267" fillId="60" borderId="0" applyNumberFormat="0" applyBorder="0" applyAlignment="0" applyProtection="0">
      <alignment vertical="center"/>
    </xf>
    <xf numFmtId="0" fontId="267" fillId="64" borderId="0" applyNumberFormat="0" applyBorder="0" applyAlignment="0" applyProtection="0">
      <alignment vertical="center"/>
    </xf>
    <xf numFmtId="0" fontId="271" fillId="0" borderId="0" applyNumberFormat="0" applyFill="0" applyBorder="0" applyAlignment="0" applyProtection="0">
      <alignment vertical="center"/>
    </xf>
    <xf numFmtId="0" fontId="272" fillId="59" borderId="38" applyNumberFormat="0" applyAlignment="0" applyProtection="0">
      <alignment vertical="center"/>
    </xf>
    <xf numFmtId="0" fontId="273" fillId="53" borderId="0" applyNumberFormat="0" applyBorder="0" applyAlignment="0" applyProtection="0">
      <alignment vertical="center"/>
    </xf>
    <xf numFmtId="0" fontId="266" fillId="56" borderId="56" applyNumberFormat="0" applyFont="0" applyAlignment="0" applyProtection="0">
      <alignment vertical="center"/>
    </xf>
    <xf numFmtId="0" fontId="274" fillId="50" borderId="0" applyNumberFormat="0" applyBorder="0" applyAlignment="0" applyProtection="0">
      <alignment vertical="center"/>
    </xf>
    <xf numFmtId="0" fontId="275" fillId="0" borderId="0" applyNumberFormat="0" applyFill="0" applyBorder="0" applyAlignment="0" applyProtection="0">
      <alignment vertical="center"/>
    </xf>
    <xf numFmtId="0" fontId="276" fillId="69" borderId="40" applyNumberFormat="0" applyAlignment="0" applyProtection="0">
      <alignment vertical="center"/>
    </xf>
    <xf numFmtId="179" fontId="266" fillId="0" borderId="0" applyFont="0" applyFill="0" applyBorder="0" applyAlignment="0" applyProtection="0">
      <alignment vertical="center"/>
    </xf>
    <xf numFmtId="179" fontId="82" fillId="0" borderId="0" applyFont="0" applyFill="0" applyBorder="0" applyAlignment="0" applyProtection="0"/>
    <xf numFmtId="179" fontId="82" fillId="0" borderId="0" applyFont="0" applyFill="0" applyBorder="0" applyAlignment="0" applyProtection="0"/>
    <xf numFmtId="179" fontId="82" fillId="0" borderId="0" applyFont="0" applyFill="0" applyBorder="0" applyAlignment="0" applyProtection="0"/>
    <xf numFmtId="179" fontId="266" fillId="0" borderId="0" applyFont="0" applyFill="0" applyBorder="0" applyAlignment="0" applyProtection="0">
      <alignment vertical="center"/>
    </xf>
    <xf numFmtId="179" fontId="266" fillId="0" borderId="0" applyFont="0" applyFill="0" applyBorder="0" applyAlignment="0" applyProtection="0">
      <alignment vertical="center"/>
    </xf>
    <xf numFmtId="0" fontId="277" fillId="0" borderId="54" applyNumberFormat="0" applyFill="0" applyAlignment="0" applyProtection="0">
      <alignment vertical="center"/>
    </xf>
    <xf numFmtId="0" fontId="278" fillId="0" borderId="74" applyNumberFormat="0" applyFill="0" applyAlignment="0" applyProtection="0">
      <alignment vertical="center"/>
    </xf>
    <xf numFmtId="0" fontId="279" fillId="52" borderId="38" applyNumberFormat="0" applyAlignment="0" applyProtection="0">
      <alignment vertical="center"/>
    </xf>
    <xf numFmtId="0" fontId="280" fillId="0" borderId="0" applyNumberFormat="0" applyFill="0" applyBorder="0" applyAlignment="0" applyProtection="0">
      <alignment vertical="center"/>
    </xf>
    <xf numFmtId="0" fontId="281" fillId="0" borderId="73" applyNumberFormat="0" applyFill="0" applyAlignment="0" applyProtection="0">
      <alignment vertical="center"/>
    </xf>
    <xf numFmtId="0" fontId="282" fillId="0" borderId="51" applyNumberFormat="0" applyFill="0" applyAlignment="0" applyProtection="0">
      <alignment vertical="center"/>
    </xf>
    <xf numFmtId="0" fontId="283" fillId="0" borderId="32" applyNumberFormat="0" applyFill="0" applyAlignment="0" applyProtection="0">
      <alignment vertical="center"/>
    </xf>
    <xf numFmtId="0" fontId="283" fillId="0" borderId="0" applyNumberFormat="0" applyFill="0" applyBorder="0" applyAlignment="0" applyProtection="0">
      <alignment vertical="center"/>
    </xf>
    <xf numFmtId="0" fontId="284" fillId="55" borderId="0" applyNumberFormat="0" applyBorder="0" applyAlignment="0" applyProtection="0">
      <alignment vertical="center"/>
    </xf>
    <xf numFmtId="0" fontId="285" fillId="59" borderId="57" applyNumberFormat="0" applyAlignment="0" applyProtection="0">
      <alignment vertical="center"/>
    </xf>
    <xf numFmtId="0" fontId="266" fillId="0" borderId="0">
      <alignment vertical="center"/>
    </xf>
    <xf numFmtId="0" fontId="82" fillId="0" borderId="0"/>
    <xf numFmtId="0" fontId="82" fillId="0" borderId="0"/>
    <xf numFmtId="0" fontId="82" fillId="0" borderId="0"/>
    <xf numFmtId="0" fontId="266" fillId="0" borderId="0">
      <alignment vertical="center"/>
    </xf>
    <xf numFmtId="0" fontId="266" fillId="0" borderId="0">
      <alignment vertical="center"/>
    </xf>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90" fillId="0" borderId="0"/>
    <xf numFmtId="43" fontId="290" fillId="0" borderId="0" applyFont="0" applyFill="0" applyBorder="0" applyAlignment="0" applyProtection="0"/>
    <xf numFmtId="44" fontId="290" fillId="0" borderId="0" applyFont="0" applyFill="0" applyBorder="0" applyAlignment="0" applyProtection="0"/>
    <xf numFmtId="0" fontId="11"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quotePrefix="1">
      <alignment horizontal="justify" vertical="justify" wrapText="1"/>
      <protection hidden="1"/>
    </xf>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268" fillId="0" borderId="0" applyNumberFormat="0" applyFill="0" applyBorder="0" applyAlignment="0" applyProtection="0">
      <alignment vertical="top"/>
      <protection locked="0"/>
    </xf>
    <xf numFmtId="0" fontId="50" fillId="0" borderId="0"/>
    <xf numFmtId="0" fontId="9" fillId="0" borderId="0" quotePrefix="1">
      <alignment horizontal="justify" vertical="justify" wrapText="1"/>
      <protection hidden="1"/>
    </xf>
    <xf numFmtId="0" fontId="1" fillId="0" borderId="0"/>
    <xf numFmtId="0" fontId="50" fillId="0" borderId="0"/>
    <xf numFmtId="0" fontId="50" fillId="0" borderId="0"/>
    <xf numFmtId="0" fontId="50" fillId="0" borderId="0"/>
    <xf numFmtId="0" fontId="50" fillId="0" borderId="0"/>
    <xf numFmtId="0" fontId="50" fillId="0" borderId="0"/>
    <xf numFmtId="44" fontId="9" fillId="0" borderId="0" applyFont="0" applyFill="0" applyBorder="0" applyAlignment="0" applyProtection="0"/>
    <xf numFmtId="43" fontId="9" fillId="0" borderId="0" applyFont="0" applyFill="0" applyBorder="0" applyAlignment="0" applyProtection="0"/>
    <xf numFmtId="0" fontId="9" fillId="0" borderId="0" quotePrefix="1">
      <alignment horizontal="justify" vertical="justify" wrapText="1"/>
      <protection hidden="1"/>
    </xf>
    <xf numFmtId="0" fontId="9" fillId="0" borderId="0" quotePrefix="1">
      <alignment horizontal="justify" vertical="justify" wrapText="1"/>
      <protection hidden="1"/>
    </xf>
    <xf numFmtId="0" fontId="9" fillId="0" borderId="0" quotePrefix="1">
      <alignment horizontal="justify" vertical="justify" wrapText="1"/>
      <protection hidden="1"/>
    </xf>
    <xf numFmtId="0" fontId="9" fillId="0" borderId="0" quotePrefix="1">
      <alignment horizontal="justify" vertical="justify" wrapText="1"/>
      <protection hidden="1"/>
    </xf>
    <xf numFmtId="43" fontId="9" fillId="0" borderId="0" applyFont="0" applyFill="0" applyBorder="0" applyAlignment="0" applyProtection="0"/>
    <xf numFmtId="44" fontId="9"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44" fontId="1"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0" fontId="9" fillId="0" borderId="0"/>
    <xf numFmtId="0" fontId="296" fillId="0" borderId="0"/>
    <xf numFmtId="43" fontId="16" fillId="0" borderId="0" applyFont="0" applyFill="0" applyBorder="0" applyAlignment="0" applyProtection="0"/>
    <xf numFmtId="43" fontId="311" fillId="0" borderId="0" applyFont="0" applyFill="0" applyBorder="0" applyAlignment="0" applyProtection="0"/>
    <xf numFmtId="0" fontId="311" fillId="0" borderId="0">
      <alignment vertical="center"/>
    </xf>
    <xf numFmtId="44" fontId="311" fillId="0" borderId="0" applyFont="0" applyFill="0" applyBorder="0" applyAlignment="0" applyProtection="0"/>
  </cellStyleXfs>
  <cellXfs count="642">
    <xf numFmtId="0" fontId="0" fillId="0" borderId="0" xfId="0"/>
    <xf numFmtId="0" fontId="3" fillId="0" borderId="0" xfId="0" applyFont="1" applyFill="1" applyAlignment="1">
      <alignment horizontal="center" vertical="center"/>
    </xf>
    <xf numFmtId="0" fontId="0" fillId="0" borderId="0" xfId="0" applyAlignment="1">
      <alignment horizontal="right"/>
    </xf>
    <xf numFmtId="0" fontId="0" fillId="0" borderId="0" xfId="0" applyBorder="1"/>
    <xf numFmtId="0" fontId="19" fillId="0" borderId="0" xfId="0" applyFont="1" applyAlignment="1">
      <alignment horizontal="right"/>
    </xf>
    <xf numFmtId="0" fontId="18" fillId="0" borderId="0" xfId="2" applyAlignment="1" applyProtection="1"/>
    <xf numFmtId="0" fontId="20" fillId="0" borderId="0" xfId="0" applyFont="1" applyAlignment="1"/>
    <xf numFmtId="0" fontId="0" fillId="5" borderId="1" xfId="0" applyFill="1" applyBorder="1"/>
    <xf numFmtId="0" fontId="2" fillId="11" borderId="11"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2" fillId="12" borderId="11" xfId="0" applyFont="1" applyFill="1" applyBorder="1" applyAlignment="1">
      <alignment horizontal="center" vertical="center" wrapText="1"/>
    </xf>
    <xf numFmtId="0" fontId="7" fillId="12" borderId="3" xfId="0" applyFont="1" applyFill="1" applyBorder="1" applyAlignment="1">
      <alignment horizontal="center" vertical="center" wrapText="1"/>
    </xf>
    <xf numFmtId="0" fontId="7" fillId="15" borderId="3" xfId="0" applyFont="1" applyFill="1" applyBorder="1" applyAlignment="1">
      <alignment horizontal="center" vertical="center" wrapText="1"/>
    </xf>
    <xf numFmtId="0" fontId="0" fillId="0" borderId="0" xfId="0" applyAlignment="1">
      <alignment horizontal="center"/>
    </xf>
    <xf numFmtId="44" fontId="0" fillId="0" borderId="0" xfId="0" applyNumberFormat="1"/>
    <xf numFmtId="0" fontId="0" fillId="17" borderId="0" xfId="0" applyFill="1"/>
    <xf numFmtId="44" fontId="16" fillId="0" borderId="0" xfId="1" applyFont="1"/>
    <xf numFmtId="44" fontId="16" fillId="18" borderId="0" xfId="1" applyFont="1" applyFill="1"/>
    <xf numFmtId="0" fontId="7" fillId="12" borderId="1" xfId="0" applyFont="1" applyFill="1" applyBorder="1" applyAlignment="1">
      <alignment horizontal="center" vertical="center" wrapText="1"/>
    </xf>
    <xf numFmtId="0" fontId="0" fillId="0" borderId="0" xfId="0" applyAlignment="1">
      <alignment vertical="center"/>
    </xf>
    <xf numFmtId="0" fontId="9" fillId="0" borderId="0" xfId="1362"/>
    <xf numFmtId="0" fontId="46" fillId="92" borderId="14" xfId="1371" applyFont="1" applyFill="1" applyBorder="1" applyAlignment="1"/>
    <xf numFmtId="0" fontId="46" fillId="92" borderId="14" xfId="1371" applyFont="1" applyFill="1" applyBorder="1" applyAlignment="1">
      <alignment horizontal="left"/>
    </xf>
    <xf numFmtId="0" fontId="46" fillId="92" borderId="14" xfId="1016" quotePrefix="1" applyNumberFormat="1" applyFont="1" applyFill="1" applyBorder="1" applyAlignment="1">
      <alignment horizontal="center"/>
    </xf>
    <xf numFmtId="9" fontId="46" fillId="92" borderId="14" xfId="3" applyFont="1" applyFill="1" applyBorder="1" applyAlignment="1">
      <alignment horizontal="center" wrapText="1"/>
    </xf>
    <xf numFmtId="44" fontId="0" fillId="0" borderId="0" xfId="1" applyFont="1"/>
    <xf numFmtId="44" fontId="9" fillId="16" borderId="1" xfId="1" applyFont="1" applyFill="1" applyBorder="1" applyAlignment="1">
      <alignment vertical="center"/>
    </xf>
    <xf numFmtId="0" fontId="9" fillId="16" borderId="1" xfId="1369" applyFont="1" applyFill="1" applyBorder="1" applyAlignment="1">
      <alignment vertical="center"/>
    </xf>
    <xf numFmtId="0" fontId="0" fillId="0" borderId="0" xfId="0"/>
    <xf numFmtId="0" fontId="0" fillId="0" borderId="0" xfId="0"/>
    <xf numFmtId="0" fontId="0" fillId="0" borderId="0" xfId="0"/>
    <xf numFmtId="0" fontId="23" fillId="7" borderId="13" xfId="0" applyFont="1" applyFill="1" applyBorder="1" applyAlignment="1">
      <alignment horizontal="center" vertical="center"/>
    </xf>
    <xf numFmtId="0" fontId="2" fillId="97" borderId="13" xfId="0" applyFont="1" applyFill="1" applyBorder="1" applyAlignment="1">
      <alignment horizontal="center" vertical="center" wrapText="1"/>
    </xf>
    <xf numFmtId="0" fontId="0" fillId="0" borderId="0" xfId="0" applyAlignment="1">
      <alignment horizontal="center" vertical="center" wrapText="1"/>
    </xf>
    <xf numFmtId="0" fontId="0" fillId="0" borderId="0" xfId="0" applyFill="1" applyBorder="1"/>
    <xf numFmtId="0" fontId="0" fillId="99" borderId="0" xfId="0" applyFill="1"/>
    <xf numFmtId="0" fontId="0" fillId="93" borderId="0" xfId="0" applyFill="1"/>
    <xf numFmtId="0" fontId="0" fillId="104" borderId="0" xfId="0" applyFill="1"/>
    <xf numFmtId="0" fontId="0" fillId="13" borderId="0" xfId="0" applyFill="1"/>
    <xf numFmtId="0" fontId="0" fillId="6" borderId="0" xfId="0" applyFill="1"/>
    <xf numFmtId="0" fontId="0" fillId="16" borderId="0" xfId="0" applyFill="1"/>
    <xf numFmtId="0" fontId="0" fillId="94" borderId="0" xfId="0" applyFill="1"/>
    <xf numFmtId="0" fontId="0" fillId="8" borderId="0" xfId="0" applyFill="1"/>
    <xf numFmtId="0" fontId="0" fillId="96" borderId="0" xfId="0" applyFill="1"/>
    <xf numFmtId="0" fontId="0" fillId="98" borderId="0" xfId="0" applyFill="1"/>
    <xf numFmtId="0" fontId="0" fillId="18" borderId="0" xfId="0" applyFill="1"/>
    <xf numFmtId="0" fontId="0" fillId="116" borderId="0" xfId="0" applyFill="1"/>
    <xf numFmtId="0" fontId="0" fillId="118" borderId="0" xfId="0" applyFill="1"/>
    <xf numFmtId="0" fontId="0" fillId="7" borderId="0" xfId="0" applyFill="1"/>
    <xf numFmtId="0" fontId="0" fillId="7" borderId="0" xfId="0" applyFill="1" applyBorder="1"/>
    <xf numFmtId="0" fontId="0" fillId="98" borderId="0" xfId="0" applyFill="1" applyBorder="1"/>
    <xf numFmtId="0" fontId="0" fillId="104" borderId="0" xfId="0" applyFill="1" applyBorder="1"/>
    <xf numFmtId="0" fontId="0" fillId="94" borderId="0" xfId="0" applyFill="1" applyBorder="1"/>
    <xf numFmtId="0" fontId="0" fillId="6" borderId="0" xfId="0" applyFill="1" applyBorder="1"/>
    <xf numFmtId="0" fontId="0" fillId="93" borderId="0" xfId="0" applyFill="1" applyBorder="1"/>
    <xf numFmtId="0" fontId="0" fillId="95" borderId="0" xfId="0" applyFill="1"/>
    <xf numFmtId="0" fontId="0" fillId="95" borderId="0" xfId="0" applyFill="1" applyBorder="1"/>
    <xf numFmtId="0" fontId="0" fillId="96" borderId="0" xfId="0" applyFill="1" applyBorder="1"/>
    <xf numFmtId="0" fontId="0" fillId="17" borderId="0" xfId="0" applyFill="1" applyBorder="1"/>
    <xf numFmtId="0" fontId="0" fillId="116" borderId="0" xfId="0" applyFill="1" applyBorder="1"/>
    <xf numFmtId="0" fontId="0" fillId="13" borderId="0" xfId="0" applyFill="1" applyBorder="1"/>
    <xf numFmtId="0" fontId="0" fillId="16" borderId="0" xfId="0" applyFill="1" applyBorder="1"/>
    <xf numFmtId="0" fontId="0" fillId="8" borderId="0" xfId="0" applyFill="1" applyBorder="1"/>
    <xf numFmtId="0" fontId="0" fillId="18" borderId="0" xfId="0" applyFill="1" applyBorder="1"/>
    <xf numFmtId="0" fontId="0" fillId="118" borderId="0" xfId="0" applyFill="1" applyBorder="1"/>
    <xf numFmtId="164" fontId="9" fillId="100" borderId="0" xfId="0" applyNumberFormat="1" applyFont="1" applyFill="1" applyBorder="1" applyAlignment="1">
      <alignment horizontal="center"/>
    </xf>
    <xf numFmtId="164" fontId="9" fillId="101" borderId="0" xfId="0" applyNumberFormat="1" applyFont="1" applyFill="1" applyBorder="1" applyAlignment="1">
      <alignment horizontal="center"/>
    </xf>
    <xf numFmtId="44" fontId="0" fillId="0" borderId="0" xfId="1" applyFont="1" applyAlignment="1">
      <alignment horizontal="center" vertical="center"/>
    </xf>
    <xf numFmtId="44" fontId="0" fillId="0" borderId="0" xfId="1" applyFont="1" applyAlignment="1">
      <alignment horizontal="center"/>
    </xf>
    <xf numFmtId="44" fontId="0" fillId="0" borderId="0" xfId="1" applyFont="1" applyAlignment="1">
      <alignment horizontal="center" vertical="center" wrapText="1"/>
    </xf>
    <xf numFmtId="164" fontId="258" fillId="99" borderId="0" xfId="1" applyNumberFormat="1" applyFont="1" applyFill="1" applyAlignment="1">
      <alignment horizontal="center"/>
    </xf>
    <xf numFmtId="164" fontId="0" fillId="13" borderId="0" xfId="0" applyNumberFormat="1" applyFill="1" applyAlignment="1">
      <alignment horizontal="center"/>
    </xf>
    <xf numFmtId="164" fontId="258" fillId="13" borderId="0" xfId="1" applyNumberFormat="1" applyFont="1" applyFill="1" applyAlignment="1">
      <alignment horizontal="center"/>
    </xf>
    <xf numFmtId="164" fontId="0" fillId="16" borderId="0" xfId="0" applyNumberFormat="1" applyFill="1" applyAlignment="1">
      <alignment horizontal="center"/>
    </xf>
    <xf numFmtId="164" fontId="258" fillId="16" borderId="0" xfId="1" applyNumberFormat="1" applyFont="1" applyFill="1" applyAlignment="1">
      <alignment horizontal="center"/>
    </xf>
    <xf numFmtId="164" fontId="0" fillId="8" borderId="0" xfId="0" applyNumberFormat="1" applyFill="1" applyAlignment="1">
      <alignment horizontal="center"/>
    </xf>
    <xf numFmtId="164" fontId="258" fillId="8" borderId="0" xfId="1" applyNumberFormat="1" applyFont="1" applyFill="1" applyAlignment="1">
      <alignment horizontal="center"/>
    </xf>
    <xf numFmtId="164" fontId="0" fillId="17" borderId="0" xfId="0" applyNumberFormat="1" applyFill="1" applyAlignment="1">
      <alignment horizontal="center"/>
    </xf>
    <xf numFmtId="164" fontId="258" fillId="17" borderId="0" xfId="1" applyNumberFormat="1" applyFont="1" applyFill="1" applyAlignment="1">
      <alignment horizontal="center"/>
    </xf>
    <xf numFmtId="164" fontId="0" fillId="118" borderId="0" xfId="0" applyNumberFormat="1" applyFill="1" applyAlignment="1">
      <alignment horizontal="center"/>
    </xf>
    <xf numFmtId="164" fontId="258" fillId="118" borderId="0" xfId="1" applyNumberFormat="1" applyFont="1" applyFill="1" applyAlignment="1">
      <alignment horizontal="center"/>
    </xf>
    <xf numFmtId="164" fontId="0" fillId="7" borderId="0" xfId="0" applyNumberFormat="1" applyFill="1" applyAlignment="1">
      <alignment horizontal="center"/>
    </xf>
    <xf numFmtId="164" fontId="258" fillId="7" borderId="0" xfId="1" applyNumberFormat="1" applyFont="1" applyFill="1" applyAlignment="1">
      <alignment horizontal="center"/>
    </xf>
    <xf numFmtId="164" fontId="0" fillId="98" borderId="0" xfId="0" applyNumberFormat="1" applyFill="1" applyAlignment="1">
      <alignment horizontal="center"/>
    </xf>
    <xf numFmtId="164" fontId="258" fillId="98" borderId="0" xfId="1" applyNumberFormat="1" applyFont="1" applyFill="1" applyAlignment="1">
      <alignment horizontal="center"/>
    </xf>
    <xf numFmtId="164" fontId="0" fillId="104" borderId="0" xfId="0" applyNumberFormat="1" applyFill="1" applyAlignment="1">
      <alignment horizontal="center"/>
    </xf>
    <xf numFmtId="164" fontId="258" fillId="104" borderId="0" xfId="1" applyNumberFormat="1" applyFont="1" applyFill="1" applyAlignment="1">
      <alignment horizontal="center"/>
    </xf>
    <xf numFmtId="164" fontId="0" fillId="94" borderId="0" xfId="0" applyNumberFormat="1" applyFill="1" applyAlignment="1">
      <alignment horizontal="center"/>
    </xf>
    <xf numFmtId="164" fontId="258" fillId="94" borderId="0" xfId="1" applyNumberFormat="1" applyFont="1" applyFill="1" applyAlignment="1">
      <alignment horizontal="center"/>
    </xf>
    <xf numFmtId="164" fontId="0" fillId="95" borderId="0" xfId="0" applyNumberFormat="1" applyFill="1" applyAlignment="1">
      <alignment horizontal="center"/>
    </xf>
    <xf numFmtId="164" fontId="258" fillId="95" borderId="0" xfId="1" applyNumberFormat="1" applyFont="1" applyFill="1" applyAlignment="1">
      <alignment horizontal="center"/>
    </xf>
    <xf numFmtId="164" fontId="0" fillId="96" borderId="0" xfId="0" applyNumberFormat="1" applyFill="1" applyAlignment="1">
      <alignment horizontal="center"/>
    </xf>
    <xf numFmtId="164" fontId="258" fillId="96" borderId="0" xfId="1" applyNumberFormat="1" applyFont="1" applyFill="1" applyAlignment="1">
      <alignment horizontal="center"/>
    </xf>
    <xf numFmtId="164" fontId="0" fillId="116" borderId="0" xfId="0" applyNumberFormat="1" applyFill="1" applyAlignment="1">
      <alignment horizontal="center"/>
    </xf>
    <xf numFmtId="164" fontId="258" fillId="116" borderId="0" xfId="1" applyNumberFormat="1" applyFont="1" applyFill="1" applyAlignment="1">
      <alignment horizontal="center"/>
    </xf>
    <xf numFmtId="164" fontId="0" fillId="6" borderId="0" xfId="0" applyNumberFormat="1" applyFill="1" applyAlignment="1">
      <alignment horizontal="center"/>
    </xf>
    <xf numFmtId="164" fontId="258" fillId="6" borderId="0" xfId="1" applyNumberFormat="1" applyFont="1" applyFill="1" applyAlignment="1">
      <alignment horizontal="center"/>
    </xf>
    <xf numFmtId="164" fontId="0" fillId="93" borderId="0" xfId="0" applyNumberFormat="1" applyFill="1" applyAlignment="1">
      <alignment horizontal="center"/>
    </xf>
    <xf numFmtId="164" fontId="258" fillId="93" borderId="0" xfId="1" applyNumberFormat="1" applyFont="1" applyFill="1" applyAlignment="1">
      <alignment horizontal="center"/>
    </xf>
    <xf numFmtId="164" fontId="0" fillId="18" borderId="0" xfId="0" applyNumberFormat="1" applyFill="1" applyAlignment="1">
      <alignment horizontal="center"/>
    </xf>
    <xf numFmtId="164" fontId="258" fillId="18" borderId="0" xfId="1" applyNumberFormat="1" applyFont="1" applyFill="1" applyAlignment="1">
      <alignment horizontal="center"/>
    </xf>
    <xf numFmtId="0" fontId="9" fillId="16" borderId="1" xfId="1371" applyFont="1" applyFill="1" applyBorder="1" applyAlignment="1">
      <alignment vertical="center"/>
    </xf>
    <xf numFmtId="0" fontId="9" fillId="16" borderId="1" xfId="1" applyNumberFormat="1" applyFont="1" applyFill="1" applyBorder="1" applyAlignment="1">
      <alignment vertical="center" wrapText="1"/>
    </xf>
    <xf numFmtId="44" fontId="9" fillId="16" borderId="1" xfId="1" applyFont="1" applyFill="1" applyBorder="1" applyAlignment="1">
      <alignment horizontal="center" vertical="center"/>
    </xf>
    <xf numFmtId="164" fontId="0" fillId="0" borderId="0" xfId="0" applyNumberFormat="1" applyAlignment="1">
      <alignment horizontal="center"/>
    </xf>
    <xf numFmtId="0" fontId="0" fillId="0" borderId="0" xfId="0" applyAlignment="1">
      <alignment horizontal="center" vertical="center"/>
    </xf>
    <xf numFmtId="44" fontId="16" fillId="0" borderId="0" xfId="1" applyFont="1"/>
    <xf numFmtId="3" fontId="0" fillId="0" borderId="0" xfId="0" applyNumberFormat="1"/>
    <xf numFmtId="0" fontId="19" fillId="0" borderId="0" xfId="0" applyFont="1"/>
    <xf numFmtId="0" fontId="0" fillId="99" borderId="0" xfId="0" applyFill="1"/>
    <xf numFmtId="0" fontId="0" fillId="93" borderId="0" xfId="0" applyFill="1"/>
    <xf numFmtId="164" fontId="258" fillId="99" borderId="0" xfId="1" applyNumberFormat="1" applyFont="1" applyFill="1" applyAlignment="1">
      <alignment horizontal="center"/>
    </xf>
    <xf numFmtId="164" fontId="0" fillId="93" borderId="0" xfId="0" applyNumberFormat="1" applyFill="1" applyAlignment="1">
      <alignment horizontal="center"/>
    </xf>
    <xf numFmtId="164" fontId="258" fillId="93" borderId="0" xfId="1" applyNumberFormat="1" applyFont="1" applyFill="1" applyAlignment="1">
      <alignment horizontal="center"/>
    </xf>
    <xf numFmtId="164" fontId="0" fillId="99" borderId="0" xfId="0" applyNumberFormat="1" applyFill="1" applyAlignment="1">
      <alignment horizontal="center"/>
    </xf>
    <xf numFmtId="0" fontId="0" fillId="7" borderId="0" xfId="0" applyFill="1"/>
    <xf numFmtId="164" fontId="258" fillId="7" borderId="0" xfId="1" applyNumberFormat="1" applyFont="1" applyFill="1" applyAlignment="1">
      <alignment horizontal="center"/>
    </xf>
    <xf numFmtId="0" fontId="0" fillId="0" borderId="0" xfId="0"/>
    <xf numFmtId="0" fontId="7" fillId="12" borderId="3" xfId="0" applyFont="1" applyFill="1" applyBorder="1" applyAlignment="1">
      <alignment horizontal="center" vertical="center" wrapText="1"/>
    </xf>
    <xf numFmtId="44" fontId="16" fillId="0" borderId="0" xfId="1" applyFont="1"/>
    <xf numFmtId="0" fontId="0" fillId="16" borderId="0" xfId="0" applyFill="1"/>
    <xf numFmtId="0" fontId="0" fillId="16" borderId="0" xfId="0" applyFill="1" applyBorder="1"/>
    <xf numFmtId="164" fontId="0" fillId="16" borderId="0" xfId="0" applyNumberFormat="1" applyFill="1" applyAlignment="1">
      <alignment horizontal="center"/>
    </xf>
    <xf numFmtId="164" fontId="258" fillId="16" borderId="0" xfId="1" applyNumberFormat="1" applyFont="1" applyFill="1" applyAlignment="1">
      <alignment horizontal="center"/>
    </xf>
    <xf numFmtId="0" fontId="0" fillId="9" borderId="0" xfId="0" applyFill="1"/>
    <xf numFmtId="0" fontId="0" fillId="9" borderId="0" xfId="0" applyFill="1" applyBorder="1"/>
    <xf numFmtId="164" fontId="0" fillId="9" borderId="0" xfId="0" applyNumberFormat="1" applyFill="1" applyAlignment="1">
      <alignment horizontal="center"/>
    </xf>
    <xf numFmtId="164" fontId="258" fillId="9" borderId="0" xfId="1" applyNumberFormat="1" applyFont="1" applyFill="1" applyAlignment="1">
      <alignment horizontal="center"/>
    </xf>
    <xf numFmtId="164" fontId="264" fillId="17" borderId="0" xfId="1" applyNumberFormat="1" applyFont="1" applyFill="1" applyAlignment="1">
      <alignment horizontal="center"/>
    </xf>
    <xf numFmtId="0" fontId="0" fillId="0" borderId="0" xfId="0"/>
    <xf numFmtId="0" fontId="0" fillId="0" borderId="0" xfId="0"/>
    <xf numFmtId="44" fontId="16" fillId="0" borderId="0" xfId="1" applyFont="1"/>
    <xf numFmtId="44" fontId="0" fillId="0" borderId="0" xfId="1" applyFont="1"/>
    <xf numFmtId="0" fontId="23" fillId="7" borderId="13" xfId="0" applyFont="1" applyFill="1" applyBorder="1" applyAlignment="1">
      <alignment horizontal="center" vertical="center"/>
    </xf>
    <xf numFmtId="44" fontId="16" fillId="0" borderId="0" xfId="1" applyFont="1" applyAlignment="1">
      <alignment vertical="center"/>
    </xf>
    <xf numFmtId="0" fontId="0" fillId="0" borderId="0" xfId="0"/>
    <xf numFmtId="0" fontId="0" fillId="0" borderId="0" xfId="0" applyAlignment="1">
      <alignment horizontal="center" vertical="center"/>
    </xf>
    <xf numFmtId="0" fontId="19" fillId="0" borderId="0" xfId="0" applyFont="1"/>
    <xf numFmtId="0" fontId="0" fillId="0" borderId="0" xfId="0"/>
    <xf numFmtId="166" fontId="0" fillId="0" borderId="0" xfId="0" applyNumberFormat="1"/>
    <xf numFmtId="1" fontId="0" fillId="0" borderId="0" xfId="0" applyNumberFormat="1"/>
    <xf numFmtId="0" fontId="19" fillId="104" borderId="0" xfId="0" applyFont="1" applyFill="1"/>
    <xf numFmtId="0" fontId="0" fillId="0" borderId="0" xfId="0"/>
    <xf numFmtId="164" fontId="0" fillId="0" borderId="0" xfId="0" applyNumberFormat="1" applyAlignment="1">
      <alignment horizontal="center"/>
    </xf>
    <xf numFmtId="0" fontId="0" fillId="0" borderId="0" xfId="0" applyNumberFormat="1"/>
    <xf numFmtId="44" fontId="288" fillId="0" borderId="0" xfId="1" applyFont="1"/>
    <xf numFmtId="164" fontId="289" fillId="99" borderId="0" xfId="1" applyNumberFormat="1" applyFont="1" applyFill="1" applyAlignment="1">
      <alignment horizontal="center"/>
    </xf>
    <xf numFmtId="164" fontId="9" fillId="100" borderId="0" xfId="1" applyNumberFormat="1" applyFont="1" applyFill="1" applyBorder="1" applyAlignment="1">
      <alignment horizontal="center"/>
    </xf>
    <xf numFmtId="164" fontId="258" fillId="99" borderId="0" xfId="1" applyNumberFormat="1" applyFont="1" applyFill="1" applyAlignment="1">
      <alignment horizontal="center"/>
    </xf>
    <xf numFmtId="164" fontId="9" fillId="101" borderId="0" xfId="1" applyNumberFormat="1" applyFont="1" applyFill="1" applyBorder="1" applyAlignment="1">
      <alignment horizontal="center"/>
    </xf>
    <xf numFmtId="164" fontId="9" fillId="109" borderId="0" xfId="1" applyNumberFormat="1" applyFont="1" applyFill="1" applyBorder="1" applyAlignment="1">
      <alignment horizontal="center"/>
    </xf>
    <xf numFmtId="164" fontId="258" fillId="16" borderId="0" xfId="1" applyNumberFormat="1" applyFont="1" applyFill="1" applyAlignment="1">
      <alignment horizontal="center"/>
    </xf>
    <xf numFmtId="164" fontId="9" fillId="111" borderId="0" xfId="1" applyNumberFormat="1" applyFont="1" applyFill="1" applyBorder="1" applyAlignment="1">
      <alignment horizontal="center"/>
    </xf>
    <xf numFmtId="164" fontId="9" fillId="114" borderId="0" xfId="1" applyNumberFormat="1" applyFont="1" applyFill="1" applyBorder="1" applyAlignment="1">
      <alignment horizontal="center"/>
    </xf>
    <xf numFmtId="164" fontId="258" fillId="17" borderId="0" xfId="1" applyNumberFormat="1" applyFont="1" applyFill="1" applyAlignment="1">
      <alignment horizontal="center"/>
    </xf>
    <xf numFmtId="164" fontId="9" fillId="119" borderId="0" xfId="1" applyNumberFormat="1" applyFont="1" applyFill="1" applyBorder="1" applyAlignment="1">
      <alignment horizontal="center"/>
    </xf>
    <xf numFmtId="164" fontId="9" fillId="120" borderId="0" xfId="1" applyNumberFormat="1" applyFont="1" applyFill="1" applyBorder="1" applyAlignment="1">
      <alignment horizontal="center"/>
    </xf>
    <xf numFmtId="164" fontId="9" fillId="122" borderId="0" xfId="1" applyNumberFormat="1" applyFont="1" applyFill="1" applyBorder="1" applyAlignment="1">
      <alignment horizontal="center"/>
    </xf>
    <xf numFmtId="164" fontId="9" fillId="113" borderId="0" xfId="1" applyNumberFormat="1" applyFont="1" applyFill="1" applyBorder="1" applyAlignment="1">
      <alignment horizontal="center"/>
    </xf>
    <xf numFmtId="164" fontId="9" fillId="106" borderId="0" xfId="1" applyNumberFormat="1" applyFont="1" applyFill="1" applyBorder="1" applyAlignment="1">
      <alignment horizontal="center"/>
    </xf>
    <xf numFmtId="164" fontId="9" fillId="105" borderId="0" xfId="1" applyNumberFormat="1" applyFont="1" applyFill="1" applyBorder="1" applyAlignment="1">
      <alignment horizontal="center"/>
    </xf>
    <xf numFmtId="164" fontId="9" fillId="123" borderId="0" xfId="1" applyNumberFormat="1" applyFont="1" applyFill="1" applyBorder="1" applyAlignment="1">
      <alignment horizontal="center"/>
    </xf>
    <xf numFmtId="164" fontId="9" fillId="110" borderId="0" xfId="1" applyNumberFormat="1" applyFont="1" applyFill="1" applyBorder="1" applyAlignment="1">
      <alignment horizontal="center"/>
    </xf>
    <xf numFmtId="164" fontId="9" fillId="125" borderId="0" xfId="1" applyNumberFormat="1" applyFont="1" applyFill="1" applyBorder="1" applyAlignment="1">
      <alignment horizontal="center"/>
    </xf>
    <xf numFmtId="164" fontId="9" fillId="126" borderId="0" xfId="1" applyNumberFormat="1" applyFont="1" applyFill="1" applyBorder="1" applyAlignment="1">
      <alignment horizontal="center"/>
    </xf>
    <xf numFmtId="164" fontId="9" fillId="127" borderId="0" xfId="1" applyNumberFormat="1" applyFont="1" applyFill="1" applyBorder="1" applyAlignment="1">
      <alignment horizontal="center"/>
    </xf>
    <xf numFmtId="164" fontId="9" fillId="112" borderId="0" xfId="1" applyNumberFormat="1" applyFont="1" applyFill="1" applyBorder="1" applyAlignment="1">
      <alignment horizontal="center"/>
    </xf>
    <xf numFmtId="164" fontId="9" fillId="128" borderId="0" xfId="1" applyNumberFormat="1" applyFont="1" applyFill="1" applyBorder="1" applyAlignment="1">
      <alignment horizontal="center"/>
    </xf>
    <xf numFmtId="164" fontId="9" fillId="129" borderId="0" xfId="1" applyNumberFormat="1" applyFont="1" applyFill="1" applyBorder="1" applyAlignment="1">
      <alignment horizontal="center"/>
    </xf>
    <xf numFmtId="164" fontId="9" fillId="117" borderId="0" xfId="1" applyNumberFormat="1" applyFont="1" applyFill="1" applyBorder="1" applyAlignment="1">
      <alignment horizontal="center"/>
    </xf>
    <xf numFmtId="164" fontId="9" fillId="121" borderId="0" xfId="1" applyNumberFormat="1" applyFont="1" applyFill="1" applyBorder="1" applyAlignment="1">
      <alignment horizontal="center"/>
    </xf>
    <xf numFmtId="164" fontId="9" fillId="124" borderId="0" xfId="1" applyNumberFormat="1" applyFont="1" applyFill="1" applyBorder="1" applyAlignment="1">
      <alignment horizontal="center"/>
    </xf>
    <xf numFmtId="164" fontId="9" fillId="108" borderId="0" xfId="1" applyNumberFormat="1" applyFont="1" applyFill="1" applyBorder="1" applyAlignment="1">
      <alignment horizontal="center"/>
    </xf>
    <xf numFmtId="164" fontId="9" fillId="103" borderId="0" xfId="1" applyNumberFormat="1" applyFont="1" applyFill="1" applyBorder="1" applyAlignment="1">
      <alignment horizontal="center"/>
    </xf>
    <xf numFmtId="164" fontId="258" fillId="93" borderId="0" xfId="1" applyNumberFormat="1" applyFont="1" applyFill="1" applyAlignment="1">
      <alignment horizontal="center"/>
    </xf>
    <xf numFmtId="164" fontId="9" fillId="102" borderId="0" xfId="1" applyNumberFormat="1" applyFont="1" applyFill="1" applyBorder="1" applyAlignment="1">
      <alignment horizontal="center"/>
    </xf>
    <xf numFmtId="164" fontId="9" fillId="130" borderId="0" xfId="1" applyNumberFormat="1" applyFont="1" applyFill="1" applyBorder="1" applyAlignment="1">
      <alignment horizontal="center"/>
    </xf>
    <xf numFmtId="164" fontId="9" fillId="131" borderId="0" xfId="1" applyNumberFormat="1" applyFont="1" applyFill="1" applyBorder="1" applyAlignment="1">
      <alignment horizontal="center"/>
    </xf>
    <xf numFmtId="164" fontId="9" fillId="132" borderId="0" xfId="1" applyNumberFormat="1" applyFont="1" applyFill="1" applyBorder="1" applyAlignment="1">
      <alignment horizontal="center"/>
    </xf>
    <xf numFmtId="164" fontId="9" fillId="115" borderId="0" xfId="1" applyNumberFormat="1" applyFont="1" applyFill="1" applyBorder="1" applyAlignment="1">
      <alignment horizontal="center"/>
    </xf>
    <xf numFmtId="164" fontId="9" fillId="133" borderId="0" xfId="1" applyNumberFormat="1" applyFont="1" applyFill="1" applyBorder="1" applyAlignment="1">
      <alignment horizontal="center"/>
    </xf>
    <xf numFmtId="164" fontId="258" fillId="17" borderId="0" xfId="0" applyNumberFormat="1" applyFont="1" applyFill="1" applyAlignment="1">
      <alignment horizontal="center"/>
    </xf>
    <xf numFmtId="164" fontId="9" fillId="107" borderId="0" xfId="1" applyNumberFormat="1" applyFont="1" applyFill="1" applyBorder="1" applyAlignment="1">
      <alignment horizontal="center"/>
    </xf>
    <xf numFmtId="164" fontId="258" fillId="9" borderId="0" xfId="1" applyNumberFormat="1" applyFont="1" applyFill="1" applyAlignment="1">
      <alignment horizontal="center"/>
    </xf>
    <xf numFmtId="0" fontId="0" fillId="0" borderId="0" xfId="0" applyAlignment="1">
      <alignment vertical="center"/>
    </xf>
    <xf numFmtId="0" fontId="2" fillId="11" borderId="2" xfId="0" applyFont="1" applyFill="1" applyBorder="1" applyAlignment="1">
      <alignment horizontal="center" vertical="center" wrapText="1"/>
    </xf>
    <xf numFmtId="0" fontId="7" fillId="12" borderId="3" xfId="0" applyFont="1" applyFill="1" applyBorder="1" applyAlignment="1">
      <alignment horizontal="center" vertical="center" wrapText="1"/>
    </xf>
    <xf numFmtId="0" fontId="0" fillId="7" borderId="0" xfId="0" applyFill="1" applyBorder="1"/>
    <xf numFmtId="0" fontId="0" fillId="0" borderId="0" xfId="0"/>
    <xf numFmtId="0" fontId="2" fillId="12" borderId="2" xfId="0" applyFont="1" applyFill="1" applyBorder="1" applyAlignment="1">
      <alignment horizontal="center" vertical="center" wrapText="1"/>
    </xf>
    <xf numFmtId="44" fontId="9" fillId="16" borderId="1" xfId="1" applyFont="1" applyFill="1" applyBorder="1" applyAlignment="1">
      <alignment vertical="center"/>
    </xf>
    <xf numFmtId="0" fontId="9" fillId="16" borderId="1" xfId="1369" applyFont="1" applyFill="1" applyBorder="1" applyAlignment="1">
      <alignment vertical="center"/>
    </xf>
    <xf numFmtId="0" fontId="9" fillId="16" borderId="1" xfId="1371" applyFont="1" applyFill="1" applyBorder="1" applyAlignment="1">
      <alignment vertical="center"/>
    </xf>
    <xf numFmtId="0" fontId="9" fillId="16" borderId="1" xfId="1" applyNumberFormat="1" applyFont="1" applyFill="1" applyBorder="1" applyAlignment="1">
      <alignment vertical="center" wrapText="1"/>
    </xf>
    <xf numFmtId="44" fontId="9" fillId="16" borderId="1" xfId="1" applyFont="1" applyFill="1" applyBorder="1" applyAlignment="1">
      <alignment horizontal="center" vertical="center"/>
    </xf>
    <xf numFmtId="0" fontId="0" fillId="0" borderId="0" xfId="0" applyAlignment="1">
      <alignment horizontal="center" vertical="top"/>
    </xf>
    <xf numFmtId="0" fontId="0" fillId="0" borderId="0" xfId="0"/>
    <xf numFmtId="0" fontId="0" fillId="0" borderId="0" xfId="0" applyAlignment="1">
      <alignment horizontal="center" vertical="center"/>
    </xf>
    <xf numFmtId="16" fontId="0" fillId="0" borderId="0" xfId="0" applyNumberFormat="1" applyAlignment="1">
      <alignment horizontal="center" vertical="center"/>
    </xf>
    <xf numFmtId="0" fontId="0" fillId="0" borderId="0" xfId="0" applyAlignment="1">
      <alignment horizontal="left" vertical="top" wrapText="1"/>
    </xf>
    <xf numFmtId="0" fontId="0" fillId="0" borderId="0" xfId="0" applyBorder="1" applyAlignment="1">
      <alignment horizontal="center" vertical="center"/>
    </xf>
    <xf numFmtId="16" fontId="0" fillId="0" borderId="0" xfId="0" applyNumberFormat="1" applyBorder="1" applyAlignment="1">
      <alignment horizontal="center" vertical="center"/>
    </xf>
    <xf numFmtId="16" fontId="0" fillId="0" borderId="0" xfId="0" applyNumberFormat="1" applyAlignment="1">
      <alignment horizontal="center" vertical="top"/>
    </xf>
    <xf numFmtId="0" fontId="0" fillId="0" borderId="0" xfId="0" applyAlignment="1">
      <alignment horizontal="left" vertical="top"/>
    </xf>
    <xf numFmtId="0" fontId="0" fillId="0" borderId="0" xfId="0" quotePrefix="1" applyAlignment="1">
      <alignment horizontal="left" vertical="top" wrapText="1"/>
    </xf>
    <xf numFmtId="0" fontId="0" fillId="0" borderId="0" xfId="0" applyAlignment="1">
      <alignment vertical="top" wrapText="1"/>
    </xf>
    <xf numFmtId="166" fontId="0" fillId="0" borderId="0" xfId="0" applyNumberFormat="1" applyAlignment="1">
      <alignment horizontal="center" vertical="center"/>
    </xf>
    <xf numFmtId="0" fontId="259" fillId="134" borderId="0" xfId="0" applyFont="1" applyFill="1" applyAlignment="1">
      <alignment horizontal="center"/>
    </xf>
    <xf numFmtId="0" fontId="0" fillId="0" borderId="0" xfId="0" applyAlignment="1">
      <alignment horizontal="center" vertical="top" wrapText="1"/>
    </xf>
    <xf numFmtId="0" fontId="17" fillId="145" borderId="79" xfId="0" applyFont="1" applyFill="1" applyBorder="1" applyAlignment="1">
      <alignment horizontal="center" vertical="center"/>
    </xf>
    <xf numFmtId="0" fontId="0" fillId="0" borderId="0" xfId="0" applyAlignment="1">
      <alignment horizontal="center" vertical="center"/>
    </xf>
    <xf numFmtId="0" fontId="0" fillId="0" borderId="0" xfId="0" applyNumberFormat="1"/>
    <xf numFmtId="0" fontId="0" fillId="0" borderId="0" xfId="0" applyBorder="1" applyAlignment="1">
      <alignment vertical="top" wrapText="1"/>
    </xf>
    <xf numFmtId="0" fontId="0" fillId="0" borderId="0" xfId="0" applyAlignment="1">
      <alignment vertical="center" wrapText="1"/>
    </xf>
    <xf numFmtId="0" fontId="19" fillId="0" borderId="0" xfId="0" applyFont="1" applyAlignment="1">
      <alignment horizontal="center"/>
    </xf>
    <xf numFmtId="0" fontId="0" fillId="7" borderId="0" xfId="0" applyFill="1"/>
    <xf numFmtId="0" fontId="0" fillId="7" borderId="0" xfId="0" applyFill="1" applyBorder="1"/>
    <xf numFmtId="164" fontId="0" fillId="7" borderId="0" xfId="0" applyNumberFormat="1" applyFill="1" applyAlignment="1">
      <alignment horizontal="center"/>
    </xf>
    <xf numFmtId="164" fontId="258" fillId="7" borderId="0" xfId="1" applyNumberFormat="1" applyFont="1" applyFill="1" applyAlignment="1">
      <alignment horizontal="center"/>
    </xf>
    <xf numFmtId="164" fontId="9" fillId="120" borderId="0" xfId="1" applyNumberFormat="1" applyFont="1" applyFill="1" applyBorder="1" applyAlignment="1">
      <alignment horizontal="center"/>
    </xf>
    <xf numFmtId="0" fontId="0" fillId="0" borderId="0" xfId="0"/>
    <xf numFmtId="0" fontId="7" fillId="12" borderId="3" xfId="0" applyFont="1" applyFill="1" applyBorder="1" applyAlignment="1">
      <alignment horizontal="center" vertical="center" wrapText="1"/>
    </xf>
    <xf numFmtId="44" fontId="16" fillId="0" borderId="0" xfId="1" applyFont="1"/>
    <xf numFmtId="44" fontId="16" fillId="0" borderId="0" xfId="1" applyFont="1" applyAlignment="1">
      <alignment vertical="center"/>
    </xf>
    <xf numFmtId="44" fontId="292" fillId="0" borderId="0" xfId="1" applyFont="1"/>
    <xf numFmtId="0" fontId="291" fillId="12" borderId="3" xfId="0" applyFont="1" applyFill="1" applyBorder="1" applyAlignment="1">
      <alignment horizontal="center" vertical="center" wrapText="1"/>
    </xf>
    <xf numFmtId="44" fontId="292" fillId="0" borderId="0" xfId="1" applyFont="1"/>
    <xf numFmtId="0" fontId="0" fillId="0" borderId="0" xfId="0"/>
    <xf numFmtId="164" fontId="0" fillId="0" borderId="0" xfId="0" applyNumberFormat="1"/>
    <xf numFmtId="0" fontId="2" fillId="12" borderId="2"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165" fontId="0" fillId="0" borderId="0" xfId="0" applyNumberFormat="1"/>
    <xf numFmtId="0" fontId="0" fillId="0" borderId="0" xfId="0" applyNumberFormat="1"/>
    <xf numFmtId="0" fontId="19" fillId="0" borderId="0" xfId="0" applyFont="1" applyAlignment="1">
      <alignment horizontal="center" vertical="center"/>
    </xf>
    <xf numFmtId="0" fontId="291" fillId="12" borderId="3" xfId="0" applyFont="1" applyFill="1" applyBorder="1" applyAlignment="1">
      <alignment horizontal="center" vertical="center" wrapText="1"/>
    </xf>
    <xf numFmtId="44" fontId="292" fillId="0" borderId="0" xfId="1" applyFont="1"/>
    <xf numFmtId="0" fontId="2" fillId="12" borderId="80" xfId="0" applyFont="1" applyFill="1" applyBorder="1" applyAlignment="1">
      <alignment horizontal="center" vertical="center" wrapText="1"/>
    </xf>
    <xf numFmtId="0" fontId="2" fillId="11" borderId="81" xfId="0" applyFont="1" applyFill="1" applyBorder="1" applyAlignment="1">
      <alignment horizontal="center" vertical="center" wrapText="1"/>
    </xf>
    <xf numFmtId="0" fontId="2" fillId="11" borderId="80" xfId="0" applyFont="1" applyFill="1" applyBorder="1" applyAlignment="1">
      <alignment horizontal="center" vertical="center" wrapText="1"/>
    </xf>
    <xf numFmtId="0" fontId="2" fillId="12" borderId="81" xfId="0" applyFont="1" applyFill="1" applyBorder="1" applyAlignment="1">
      <alignment horizontal="center" vertical="center" wrapText="1"/>
    </xf>
    <xf numFmtId="0" fontId="22" fillId="14" borderId="81" xfId="0" applyFont="1" applyFill="1" applyBorder="1" applyAlignment="1">
      <alignment horizontal="center" vertical="center" wrapText="1"/>
    </xf>
    <xf numFmtId="0" fontId="7" fillId="12" borderId="80" xfId="0" applyFont="1" applyFill="1" applyBorder="1" applyAlignment="1">
      <alignment horizontal="center" vertical="center" textRotation="90" wrapText="1"/>
    </xf>
    <xf numFmtId="0" fontId="0" fillId="0" borderId="0" xfId="0" applyAlignment="1">
      <alignment vertical="top"/>
    </xf>
    <xf numFmtId="0" fontId="25" fillId="0" borderId="0" xfId="0" applyFont="1" applyAlignment="1"/>
    <xf numFmtId="0" fontId="2" fillId="12" borderId="0" xfId="0" applyFont="1" applyFill="1" applyBorder="1" applyAlignment="1">
      <alignment horizontal="center" vertical="center" wrapText="1"/>
    </xf>
    <xf numFmtId="2" fontId="0" fillId="0" borderId="0" xfId="0" applyNumberFormat="1"/>
    <xf numFmtId="0" fontId="19" fillId="7" borderId="82" xfId="0" applyFont="1" applyFill="1" applyBorder="1" applyAlignment="1">
      <alignment horizontal="left"/>
    </xf>
    <xf numFmtId="165" fontId="19" fillId="7" borderId="83" xfId="0" applyNumberFormat="1" applyFont="1" applyFill="1" applyBorder="1"/>
    <xf numFmtId="337" fontId="0" fillId="0" borderId="0" xfId="1" applyNumberFormat="1" applyFont="1"/>
    <xf numFmtId="0" fontId="2" fillId="12" borderId="13" xfId="0" applyFont="1" applyFill="1" applyBorder="1" applyAlignment="1">
      <alignment horizontal="center" vertical="center" wrapText="1"/>
    </xf>
    <xf numFmtId="0" fontId="2" fillId="12" borderId="84" xfId="0" applyFont="1" applyFill="1" applyBorder="1" applyAlignment="1">
      <alignment horizontal="center" vertical="center" wrapText="1"/>
    </xf>
    <xf numFmtId="0" fontId="2" fillId="11" borderId="13" xfId="0" applyFont="1" applyFill="1" applyBorder="1" applyAlignment="1">
      <alignment horizontal="center" vertical="center" wrapText="1"/>
    </xf>
    <xf numFmtId="0" fontId="0" fillId="0" borderId="0" xfId="0" applyBorder="1" applyAlignment="1">
      <alignment horizontal="center" vertical="center" wrapText="1"/>
    </xf>
    <xf numFmtId="0" fontId="0" fillId="147" borderId="0" xfId="0" applyFill="1"/>
    <xf numFmtId="0" fontId="0" fillId="147" borderId="0" xfId="0" applyFill="1" applyBorder="1"/>
    <xf numFmtId="164" fontId="9" fillId="148" borderId="0" xfId="1" applyNumberFormat="1" applyFont="1" applyFill="1" applyAlignment="1">
      <alignment horizontal="center" vertical="top"/>
    </xf>
    <xf numFmtId="164" fontId="0" fillId="147" borderId="0" xfId="0" applyNumberFormat="1" applyFill="1" applyAlignment="1">
      <alignment horizontal="center"/>
    </xf>
    <xf numFmtId="164" fontId="258" fillId="147" borderId="0" xfId="1" applyNumberFormat="1" applyFont="1" applyFill="1" applyAlignment="1">
      <alignment horizontal="center"/>
    </xf>
    <xf numFmtId="0" fontId="0" fillId="0" borderId="0" xfId="0" quotePrefix="1"/>
    <xf numFmtId="0" fontId="2" fillId="97" borderId="85" xfId="0" applyFont="1" applyFill="1" applyBorder="1" applyAlignment="1">
      <alignment horizontal="center" vertical="center" wrapText="1"/>
    </xf>
    <xf numFmtId="0" fontId="0" fillId="0" borderId="0" xfId="0"/>
    <xf numFmtId="0" fontId="0" fillId="0" borderId="0" xfId="0" applyAlignment="1"/>
    <xf numFmtId="164" fontId="0" fillId="0" borderId="0" xfId="0" applyNumberFormat="1"/>
    <xf numFmtId="0" fontId="0" fillId="0" borderId="0" xfId="0" applyAlignment="1">
      <alignment horizontal="center" vertical="center" wrapText="1"/>
    </xf>
    <xf numFmtId="164" fontId="0" fillId="0" borderId="0" xfId="0" applyNumberFormat="1" applyAlignment="1">
      <alignment horizontal="center"/>
    </xf>
    <xf numFmtId="0" fontId="0" fillId="0" borderId="0" xfId="0" applyAlignment="1">
      <alignment horizontal="center" vertical="center"/>
    </xf>
    <xf numFmtId="165" fontId="0" fillId="0" borderId="0" xfId="0" applyNumberFormat="1"/>
    <xf numFmtId="166" fontId="0" fillId="0" borderId="0" xfId="0" applyNumberFormat="1"/>
    <xf numFmtId="0" fontId="0" fillId="0" borderId="0" xfId="0" applyNumberFormat="1"/>
    <xf numFmtId="166" fontId="0" fillId="0" borderId="0" xfId="0" applyNumberFormat="1" applyAlignment="1">
      <alignment horizontal="center" vertical="center"/>
    </xf>
    <xf numFmtId="0" fontId="0" fillId="0" borderId="0" xfId="0" applyNumberFormat="1" applyAlignment="1">
      <alignment horizontal="center"/>
    </xf>
    <xf numFmtId="0" fontId="19" fillId="0" borderId="0" xfId="0" applyFont="1" applyAlignment="1">
      <alignment horizontal="center" vertical="center"/>
    </xf>
    <xf numFmtId="0" fontId="0" fillId="0" borderId="0" xfId="0" applyNumberFormat="1" applyAlignment="1">
      <alignment horizontal="center" vertical="center"/>
    </xf>
    <xf numFmtId="43" fontId="0" fillId="0" borderId="0" xfId="0" applyNumberFormat="1"/>
    <xf numFmtId="0" fontId="0" fillId="0" borderId="0" xfId="0" applyAlignment="1">
      <alignment horizontal="left" indent="1"/>
    </xf>
    <xf numFmtId="0" fontId="0" fillId="0" borderId="0" xfId="0" pivotButton="1" applyAlignment="1"/>
    <xf numFmtId="0" fontId="261" fillId="12" borderId="0" xfId="0" applyFont="1" applyFill="1" applyAlignment="1">
      <alignment horizontal="center" vertical="center" textRotation="90" wrapText="1"/>
    </xf>
    <xf numFmtId="0" fontId="0" fillId="0" borderId="0" xfId="0" pivotButton="1"/>
    <xf numFmtId="0" fontId="0" fillId="0" borderId="0" xfId="0" pivotButton="1" applyAlignment="1">
      <alignment horizontal="center" vertical="center"/>
    </xf>
    <xf numFmtId="0" fontId="0" fillId="0" borderId="0" xfId="0" applyAlignment="1">
      <alignment horizontal="left"/>
    </xf>
    <xf numFmtId="0" fontId="0" fillId="0" borderId="0" xfId="0" applyAlignment="1">
      <alignment horizontal="center" wrapText="1"/>
    </xf>
    <xf numFmtId="165" fontId="0" fillId="93" borderId="0" xfId="0" applyNumberFormat="1" applyFill="1"/>
    <xf numFmtId="0" fontId="0" fillId="93" borderId="0" xfId="0" applyFill="1" applyAlignment="1">
      <alignment horizontal="left"/>
    </xf>
    <xf numFmtId="164" fontId="0" fillId="93" borderId="0" xfId="0" applyNumberFormat="1" applyFill="1"/>
    <xf numFmtId="0" fontId="0" fillId="0" borderId="66" xfId="0" applyBorder="1"/>
    <xf numFmtId="165" fontId="0" fillId="0" borderId="66" xfId="0" applyNumberFormat="1" applyBorder="1"/>
    <xf numFmtId="165" fontId="0" fillId="93" borderId="66" xfId="0" applyNumberFormat="1" applyFill="1" applyBorder="1"/>
    <xf numFmtId="0" fontId="0" fillId="0" borderId="66" xfId="0" applyBorder="1" applyAlignment="1">
      <alignment horizontal="center" vertical="center" wrapText="1"/>
    </xf>
    <xf numFmtId="164" fontId="0" fillId="0" borderId="66" xfId="0" applyNumberFormat="1" applyBorder="1"/>
    <xf numFmtId="164" fontId="0" fillId="93" borderId="66" xfId="0" applyNumberFormat="1" applyFill="1" applyBorder="1"/>
    <xf numFmtId="0" fontId="0" fillId="0" borderId="0" xfId="0" applyFont="1" applyAlignment="1">
      <alignment horizontal="center" vertical="center"/>
    </xf>
    <xf numFmtId="0" fontId="1" fillId="0" borderId="0" xfId="0" applyFont="1" applyFill="1" applyAlignment="1">
      <alignment vertical="center"/>
    </xf>
    <xf numFmtId="0" fontId="295" fillId="0" borderId="0" xfId="0" applyFont="1"/>
    <xf numFmtId="0" fontId="1" fillId="0" borderId="0" xfId="0" applyFont="1" applyFill="1" applyAlignment="1">
      <alignment horizontal="center" vertical="center"/>
    </xf>
    <xf numFmtId="0" fontId="291" fillId="12" borderId="1" xfId="0" applyFont="1" applyFill="1" applyBorder="1" applyAlignment="1">
      <alignment horizontal="center" vertical="center" wrapText="1"/>
    </xf>
    <xf numFmtId="0" fontId="7" fillId="15" borderId="1" xfId="0" applyFont="1" applyFill="1" applyBorder="1" applyAlignment="1">
      <alignment horizontal="center" vertical="center" wrapText="1"/>
    </xf>
    <xf numFmtId="0" fontId="287" fillId="12" borderId="1" xfId="0" applyFont="1" applyFill="1" applyBorder="1" applyAlignment="1">
      <alignment horizontal="center" vertical="center" wrapText="1"/>
    </xf>
    <xf numFmtId="0" fontId="0" fillId="0" borderId="0" xfId="0" quotePrefix="1" applyAlignment="1">
      <alignment wrapText="1"/>
    </xf>
    <xf numFmtId="165" fontId="0" fillId="0" borderId="0" xfId="0" quotePrefix="1" applyNumberFormat="1"/>
    <xf numFmtId="0" fontId="2" fillId="98" borderId="11" xfId="0" applyFont="1" applyFill="1" applyBorder="1" applyAlignment="1">
      <alignment horizontal="center" vertical="center" textRotation="90" wrapText="1"/>
    </xf>
    <xf numFmtId="0" fontId="297" fillId="98" borderId="11" xfId="0" applyFont="1" applyFill="1" applyBorder="1" applyAlignment="1">
      <alignment horizontal="center" vertical="center" textRotation="90" wrapText="1"/>
    </xf>
    <xf numFmtId="0" fontId="2" fillId="149" borderId="67" xfId="0" applyFont="1" applyFill="1" applyBorder="1" applyAlignment="1">
      <alignment horizontal="center" vertical="center" wrapText="1"/>
    </xf>
    <xf numFmtId="0" fontId="2" fillId="149" borderId="2" xfId="0" applyFont="1" applyFill="1" applyBorder="1" applyAlignment="1">
      <alignment horizontal="center" vertical="center" wrapText="1"/>
    </xf>
    <xf numFmtId="0" fontId="2" fillId="149" borderId="11" xfId="0" applyFont="1" applyFill="1" applyBorder="1" applyAlignment="1">
      <alignment horizontal="center" vertical="center" wrapText="1"/>
    </xf>
    <xf numFmtId="0" fontId="2" fillId="149" borderId="13" xfId="0" applyFont="1" applyFill="1" applyBorder="1" applyAlignment="1">
      <alignment horizontal="center" vertical="center" wrapText="1"/>
    </xf>
    <xf numFmtId="0" fontId="7" fillId="12" borderId="1" xfId="0" applyNumberFormat="1" applyFont="1" applyFill="1" applyBorder="1" applyAlignment="1">
      <alignment horizontal="center" vertical="center" wrapText="1"/>
    </xf>
    <xf numFmtId="44" fontId="0" fillId="0" borderId="0" xfId="1" applyFont="1" applyAlignment="1">
      <alignment vertical="center"/>
    </xf>
    <xf numFmtId="0" fontId="101" fillId="0" borderId="1" xfId="0" applyFont="1" applyFill="1" applyBorder="1" applyAlignment="1">
      <alignment horizontal="left" vertical="center" wrapText="1"/>
    </xf>
    <xf numFmtId="49" fontId="101" fillId="0" borderId="1" xfId="0" applyNumberFormat="1" applyFont="1" applyFill="1" applyBorder="1" applyAlignment="1">
      <alignment horizontal="left" vertical="center" wrapText="1"/>
    </xf>
    <xf numFmtId="43" fontId="101" fillId="0" borderId="1" xfId="2100" applyFont="1" applyFill="1" applyBorder="1" applyAlignment="1">
      <alignment horizontal="left" vertical="center" wrapText="1"/>
    </xf>
    <xf numFmtId="0" fontId="101" fillId="0" borderId="1" xfId="1339" applyFont="1" applyFill="1" applyBorder="1" applyAlignment="1">
      <alignment horizontal="left" vertical="center"/>
    </xf>
    <xf numFmtId="49" fontId="101" fillId="0" borderId="1" xfId="0" applyNumberFormat="1" applyFont="1" applyFill="1" applyBorder="1" applyAlignment="1">
      <alignment horizontal="left" vertical="center"/>
    </xf>
    <xf numFmtId="0" fontId="101" fillId="0" borderId="1" xfId="0" applyFont="1" applyFill="1" applyBorder="1" applyAlignment="1">
      <alignment horizontal="left" vertical="center"/>
    </xf>
    <xf numFmtId="49" fontId="101" fillId="0" borderId="1" xfId="0" quotePrefix="1" applyNumberFormat="1" applyFont="1" applyFill="1" applyBorder="1" applyAlignment="1">
      <alignment horizontal="left" vertical="center"/>
    </xf>
    <xf numFmtId="49" fontId="101" fillId="0" borderId="1" xfId="1323" applyNumberFormat="1" applyFont="1" applyFill="1" applyBorder="1" applyAlignment="1">
      <alignment horizontal="left" vertical="center"/>
    </xf>
    <xf numFmtId="43" fontId="101" fillId="0" borderId="1" xfId="2100" applyFont="1" applyFill="1" applyBorder="1" applyAlignment="1">
      <alignment horizontal="left" vertical="center"/>
    </xf>
    <xf numFmtId="338" fontId="101" fillId="0" borderId="1" xfId="0" applyNumberFormat="1" applyFont="1" applyFill="1" applyBorder="1" applyAlignment="1">
      <alignment horizontal="left" vertical="center"/>
    </xf>
    <xf numFmtId="0" fontId="299" fillId="0" borderId="1" xfId="0" applyFont="1" applyBorder="1" applyAlignment="1">
      <alignment vertical="center" wrapText="1"/>
    </xf>
    <xf numFmtId="49" fontId="299" fillId="0" borderId="1" xfId="0" applyNumberFormat="1" applyFont="1" applyBorder="1" applyAlignment="1">
      <alignment horizontal="left" vertical="center" wrapText="1"/>
    </xf>
    <xf numFmtId="43" fontId="299" fillId="0" borderId="1" xfId="2100" applyFont="1" applyBorder="1" applyAlignment="1">
      <alignment vertical="center" wrapText="1"/>
    </xf>
    <xf numFmtId="0" fontId="101" fillId="0" borderId="1" xfId="1323" applyFont="1" applyFill="1" applyBorder="1" applyAlignment="1">
      <alignment horizontal="left" vertical="center"/>
    </xf>
    <xf numFmtId="49" fontId="300" fillId="0" borderId="1" xfId="0" applyNumberFormat="1" applyFont="1" applyBorder="1" applyAlignment="1">
      <alignment horizontal="left" vertical="center"/>
    </xf>
    <xf numFmtId="0" fontId="300" fillId="0" borderId="1" xfId="0" applyFont="1" applyBorder="1" applyAlignment="1">
      <alignment horizontal="left" vertical="center"/>
    </xf>
    <xf numFmtId="49" fontId="101" fillId="0" borderId="1" xfId="1323" quotePrefix="1" applyNumberFormat="1" applyFont="1" applyFill="1" applyBorder="1" applyAlignment="1">
      <alignment horizontal="left" vertical="center"/>
    </xf>
    <xf numFmtId="49" fontId="101" fillId="0" borderId="1" xfId="0" quotePrefix="1" applyNumberFormat="1" applyFont="1" applyFill="1" applyBorder="1" applyAlignment="1">
      <alignment horizontal="left" vertical="center" wrapText="1"/>
    </xf>
    <xf numFmtId="49" fontId="299" fillId="0" borderId="1" xfId="0" applyNumberFormat="1" applyFont="1" applyBorder="1" applyAlignment="1">
      <alignment horizontal="left" vertical="center"/>
    </xf>
    <xf numFmtId="0" fontId="299" fillId="0" borderId="1" xfId="0" applyFont="1" applyBorder="1" applyAlignment="1">
      <alignment horizontal="left" vertical="center" wrapText="1"/>
    </xf>
    <xf numFmtId="49" fontId="44" fillId="0" borderId="1" xfId="0" applyNumberFormat="1" applyFont="1" applyBorder="1" applyAlignment="1">
      <alignment horizontal="left" vertical="center"/>
    </xf>
    <xf numFmtId="0" fontId="101" fillId="0" borderId="1" xfId="0" applyFont="1" applyBorder="1" applyAlignment="1">
      <alignment horizontal="left" vertical="center" wrapText="1"/>
    </xf>
    <xf numFmtId="43" fontId="299" fillId="0" borderId="1" xfId="2100" applyFont="1" applyBorder="1" applyAlignment="1">
      <alignment horizontal="left" vertical="center" wrapText="1"/>
    </xf>
    <xf numFmtId="0" fontId="101" fillId="0" borderId="1" xfId="0" applyFont="1" applyFill="1" applyBorder="1" applyAlignment="1">
      <alignment vertical="center" wrapText="1"/>
    </xf>
    <xf numFmtId="0" fontId="101" fillId="0" borderId="0" xfId="0" applyFont="1" applyFill="1" applyAlignment="1">
      <alignment horizontal="left" vertical="center" wrapText="1"/>
    </xf>
    <xf numFmtId="0" fontId="101" fillId="0" borderId="9" xfId="0" applyFont="1" applyFill="1" applyBorder="1" applyAlignment="1">
      <alignment horizontal="left" vertical="center" wrapText="1"/>
    </xf>
    <xf numFmtId="0" fontId="101" fillId="0" borderId="9" xfId="1339" applyFont="1" applyFill="1" applyBorder="1" applyAlignment="1">
      <alignment horizontal="left" vertical="center"/>
    </xf>
    <xf numFmtId="0" fontId="299" fillId="0" borderId="9" xfId="0" applyFont="1" applyBorder="1" applyAlignment="1">
      <alignment vertical="center" wrapText="1"/>
    </xf>
    <xf numFmtId="0" fontId="299" fillId="0" borderId="9" xfId="0" applyFont="1" applyBorder="1" applyAlignment="1">
      <alignment horizontal="left" vertical="center" wrapText="1"/>
    </xf>
    <xf numFmtId="43" fontId="101" fillId="0" borderId="7" xfId="2100" applyFont="1" applyFill="1" applyBorder="1" applyAlignment="1">
      <alignment horizontal="left" vertical="center" wrapText="1"/>
    </xf>
    <xf numFmtId="336" fontId="101" fillId="0" borderId="7" xfId="2100" applyNumberFormat="1" applyFont="1" applyFill="1" applyBorder="1" applyAlignment="1">
      <alignment horizontal="left" vertical="center" wrapText="1"/>
    </xf>
    <xf numFmtId="43" fontId="299" fillId="0" borderId="7" xfId="2100" applyFont="1" applyBorder="1" applyAlignment="1">
      <alignment vertical="center" wrapText="1"/>
    </xf>
    <xf numFmtId="336" fontId="299" fillId="0" borderId="7" xfId="2100" applyNumberFormat="1" applyFont="1" applyBorder="1" applyAlignment="1">
      <alignment horizontal="left" vertical="center" wrapText="1"/>
    </xf>
    <xf numFmtId="0" fontId="298" fillId="150" borderId="88" xfId="0" applyFont="1" applyFill="1" applyBorder="1" applyAlignment="1">
      <alignment horizontal="left" vertical="center" wrapText="1"/>
    </xf>
    <xf numFmtId="0" fontId="298" fillId="150" borderId="4" xfId="0" applyFont="1" applyFill="1" applyBorder="1" applyAlignment="1">
      <alignment horizontal="left" vertical="center" wrapText="1"/>
    </xf>
    <xf numFmtId="49" fontId="298" fillId="150" borderId="4" xfId="0" applyNumberFormat="1" applyFont="1" applyFill="1" applyBorder="1" applyAlignment="1">
      <alignment horizontal="left" vertical="center" wrapText="1"/>
    </xf>
    <xf numFmtId="43" fontId="298" fillId="150" borderId="4" xfId="2100" applyFont="1" applyFill="1" applyBorder="1" applyAlignment="1">
      <alignment horizontal="left" vertical="center" wrapText="1"/>
    </xf>
    <xf numFmtId="43" fontId="298" fillId="150" borderId="87" xfId="2100" applyFont="1" applyFill="1" applyBorder="1" applyAlignment="1">
      <alignment horizontal="left" vertical="center" wrapText="1"/>
    </xf>
    <xf numFmtId="0" fontId="101" fillId="0" borderId="10" xfId="0" applyFont="1" applyFill="1" applyBorder="1" applyAlignment="1">
      <alignment horizontal="left" vertical="center" wrapText="1"/>
    </xf>
    <xf numFmtId="0" fontId="101" fillId="0" borderId="3" xfId="0" applyFont="1" applyFill="1" applyBorder="1" applyAlignment="1">
      <alignment horizontal="left" vertical="center" wrapText="1"/>
    </xf>
    <xf numFmtId="49" fontId="101" fillId="0" borderId="3" xfId="0" applyNumberFormat="1" applyFont="1" applyFill="1" applyBorder="1" applyAlignment="1">
      <alignment horizontal="left" vertical="center" wrapText="1"/>
    </xf>
    <xf numFmtId="43" fontId="101" fillId="0" borderId="3" xfId="2100" applyFont="1" applyFill="1" applyBorder="1" applyAlignment="1">
      <alignment horizontal="left" vertical="center" wrapText="1"/>
    </xf>
    <xf numFmtId="43" fontId="101" fillId="0" borderId="61" xfId="2100" applyFont="1" applyFill="1" applyBorder="1" applyAlignment="1">
      <alignment horizontal="left" vertical="center" wrapText="1"/>
    </xf>
    <xf numFmtId="0" fontId="298" fillId="150" borderId="4" xfId="0" applyFont="1" applyFill="1" applyBorder="1" applyAlignment="1">
      <alignment horizontal="center" vertical="center" wrapText="1"/>
    </xf>
    <xf numFmtId="0" fontId="0" fillId="0" borderId="0" xfId="0" applyAlignment="1">
      <alignment horizontal="left" vertical="center"/>
    </xf>
    <xf numFmtId="0" fontId="0" fillId="0" borderId="0" xfId="0" quotePrefix="1" applyAlignment="1"/>
    <xf numFmtId="0" fontId="2" fillId="11" borderId="3" xfId="0" applyFont="1" applyFill="1" applyBorder="1" applyAlignment="1">
      <alignment horizontal="center" vertical="center" wrapText="1"/>
    </xf>
    <xf numFmtId="44" fontId="256" fillId="98" borderId="67" xfId="1" applyFont="1" applyFill="1" applyBorder="1" applyAlignment="1">
      <alignment horizontal="center" vertical="center" wrapText="1"/>
    </xf>
    <xf numFmtId="44" fontId="256" fillId="98" borderId="13" xfId="1" applyFont="1" applyFill="1" applyBorder="1" applyAlignment="1">
      <alignment horizontal="center" vertical="center" wrapText="1"/>
    </xf>
    <xf numFmtId="44" fontId="2" fillId="116" borderId="2" xfId="1" applyFont="1" applyFill="1" applyBorder="1" applyAlignment="1">
      <alignment horizontal="center" vertical="center" wrapText="1"/>
    </xf>
    <xf numFmtId="44" fontId="2" fillId="144" borderId="13" xfId="1" applyFont="1" applyFill="1" applyBorder="1" applyAlignment="1">
      <alignment horizontal="center" vertical="center" wrapText="1"/>
    </xf>
    <xf numFmtId="0" fontId="4" fillId="99" borderId="9" xfId="0" applyFont="1" applyFill="1" applyBorder="1" applyAlignment="1" applyProtection="1">
      <alignment horizontal="center" vertical="center"/>
      <protection locked="0"/>
    </xf>
    <xf numFmtId="0" fontId="4" fillId="99" borderId="1" xfId="0" applyFont="1" applyFill="1" applyBorder="1" applyAlignment="1" applyProtection="1">
      <alignment horizontal="center" vertical="center"/>
      <protection locked="0"/>
    </xf>
    <xf numFmtId="0" fontId="4" fillId="5" borderId="1" xfId="2" applyFont="1" applyFill="1" applyBorder="1" applyAlignment="1" applyProtection="1">
      <alignment horizontal="center" vertical="center"/>
      <protection locked="0"/>
    </xf>
    <xf numFmtId="22" fontId="0" fillId="0" borderId="0" xfId="0" applyNumberFormat="1"/>
    <xf numFmtId="337" fontId="0" fillId="93" borderId="0" xfId="1" applyNumberFormat="1" applyFont="1" applyFill="1"/>
    <xf numFmtId="337" fontId="0" fillId="0" borderId="0" xfId="0" applyNumberFormat="1"/>
    <xf numFmtId="166" fontId="0" fillId="0" borderId="0" xfId="0" applyNumberFormat="1" applyAlignment="1">
      <alignment horizontal="center"/>
    </xf>
    <xf numFmtId="42" fontId="0" fillId="0" borderId="0" xfId="0" applyNumberFormat="1"/>
    <xf numFmtId="42" fontId="0" fillId="0" borderId="0" xfId="1" applyNumberFormat="1" applyFont="1"/>
    <xf numFmtId="42" fontId="0" fillId="14" borderId="0" xfId="1" applyNumberFormat="1" applyFont="1" applyFill="1"/>
    <xf numFmtId="0" fontId="5" fillId="0" borderId="0" xfId="0" applyFont="1" applyFill="1" applyAlignment="1">
      <alignment horizontal="right" vertical="center"/>
    </xf>
    <xf numFmtId="0" fontId="301" fillId="2" borderId="1" xfId="2040" applyFont="1" applyFill="1" applyBorder="1" applyAlignment="1">
      <alignment horizontal="center" vertical="center" wrapText="1"/>
    </xf>
    <xf numFmtId="0" fontId="301" fillId="2" borderId="77" xfId="2040" applyFont="1" applyFill="1" applyBorder="1" applyAlignment="1">
      <alignment horizontal="center" vertical="center"/>
    </xf>
    <xf numFmtId="0" fontId="16" fillId="0" borderId="0" xfId="0" applyFont="1" applyAlignment="1">
      <alignment vertical="center"/>
    </xf>
    <xf numFmtId="0" fontId="301" fillId="2" borderId="78" xfId="2040" applyFont="1" applyFill="1" applyBorder="1" applyAlignment="1">
      <alignment horizontal="center" vertical="center"/>
    </xf>
    <xf numFmtId="0" fontId="131" fillId="0" borderId="0" xfId="2041" applyFont="1"/>
    <xf numFmtId="164" fontId="131" fillId="0" borderId="0" xfId="2041" applyNumberFormat="1" applyFont="1" applyAlignment="1">
      <alignment horizontal="center"/>
    </xf>
    <xf numFmtId="0" fontId="16" fillId="0" borderId="0" xfId="0" applyFont="1"/>
    <xf numFmtId="0" fontId="131" fillId="0" borderId="0" xfId="2045" applyFont="1"/>
    <xf numFmtId="44" fontId="131" fillId="0" borderId="0" xfId="2046" applyFont="1"/>
    <xf numFmtId="43" fontId="101" fillId="14" borderId="1" xfId="2100" applyFont="1" applyFill="1" applyBorder="1" applyAlignment="1">
      <alignment horizontal="left" vertical="center" wrapText="1"/>
    </xf>
    <xf numFmtId="164" fontId="3" fillId="0" borderId="0" xfId="0" applyNumberFormat="1" applyFont="1" applyFill="1" applyAlignment="1">
      <alignment horizontal="center" vertical="center"/>
    </xf>
    <xf numFmtId="0" fontId="21" fillId="0" borderId="7" xfId="0" applyFont="1" applyFill="1" applyBorder="1" applyAlignment="1">
      <alignment vertical="center" wrapText="1"/>
    </xf>
    <xf numFmtId="0" fontId="21" fillId="0" borderId="7" xfId="0" applyFont="1" applyFill="1" applyBorder="1" applyAlignment="1"/>
    <xf numFmtId="0" fontId="0" fillId="151" borderId="0" xfId="0" applyFill="1" applyAlignment="1">
      <alignment horizontal="center" vertical="center"/>
    </xf>
    <xf numFmtId="0" fontId="17" fillId="151" borderId="89" xfId="0" applyFont="1" applyFill="1" applyBorder="1" applyAlignment="1">
      <alignment horizontal="center" vertical="center"/>
    </xf>
    <xf numFmtId="318" fontId="0" fillId="0" borderId="0" xfId="0" applyNumberFormat="1"/>
    <xf numFmtId="318" fontId="0" fillId="0" borderId="0" xfId="0" applyNumberFormat="1" applyAlignment="1">
      <alignment horizontal="center"/>
    </xf>
    <xf numFmtId="0" fontId="26" fillId="14" borderId="1" xfId="0" applyFont="1" applyFill="1" applyBorder="1" applyAlignment="1"/>
    <xf numFmtId="0" fontId="26" fillId="0" borderId="1" xfId="0" applyFont="1" applyFill="1" applyBorder="1" applyAlignment="1"/>
    <xf numFmtId="0" fontId="27" fillId="0" borderId="8" xfId="0" applyFont="1" applyFill="1" applyBorder="1" applyAlignment="1"/>
    <xf numFmtId="0" fontId="24" fillId="0" borderId="8" xfId="0" applyFont="1" applyFill="1" applyBorder="1" applyAlignment="1"/>
    <xf numFmtId="0" fontId="17" fillId="10" borderId="4" xfId="0" applyFont="1" applyFill="1" applyBorder="1" applyAlignment="1"/>
    <xf numFmtId="0" fontId="17" fillId="10" borderId="4" xfId="0" applyFont="1" applyFill="1" applyBorder="1" applyAlignment="1">
      <alignment horizontal="center"/>
    </xf>
    <xf numFmtId="0" fontId="24" fillId="0" borderId="34" xfId="0" applyFont="1" applyFill="1" applyBorder="1" applyAlignment="1"/>
    <xf numFmtId="0" fontId="17" fillId="10" borderId="9" xfId="0" applyFont="1" applyFill="1" applyBorder="1" applyAlignment="1">
      <alignment horizontal="center"/>
    </xf>
    <xf numFmtId="166" fontId="21" fillId="0" borderId="9" xfId="0" applyNumberFormat="1" applyFont="1" applyFill="1" applyBorder="1" applyAlignment="1">
      <alignment horizontal="right"/>
    </xf>
    <xf numFmtId="166" fontId="21" fillId="0" borderId="9" xfId="0" applyNumberFormat="1" applyFont="1" applyFill="1" applyBorder="1" applyAlignment="1">
      <alignment horizontal="right" vertical="center"/>
    </xf>
    <xf numFmtId="166" fontId="21" fillId="0" borderId="10" xfId="0" applyNumberFormat="1" applyFont="1" applyFill="1" applyBorder="1" applyAlignment="1">
      <alignment horizontal="right" vertical="center"/>
    </xf>
    <xf numFmtId="0" fontId="21" fillId="0" borderId="61" xfId="0" applyFont="1" applyFill="1" applyBorder="1" applyAlignment="1">
      <alignment vertical="center" wrapText="1"/>
    </xf>
    <xf numFmtId="166" fontId="26" fillId="96" borderId="88" xfId="0" applyNumberFormat="1" applyFont="1" applyFill="1" applyBorder="1" applyAlignment="1">
      <alignment horizontal="center"/>
    </xf>
    <xf numFmtId="0" fontId="293" fillId="96" borderId="1" xfId="0" applyFont="1" applyFill="1" applyBorder="1" applyAlignment="1">
      <alignment horizontal="center"/>
    </xf>
    <xf numFmtId="166" fontId="26" fillId="96" borderId="1" xfId="0" applyNumberFormat="1" applyFont="1" applyFill="1" applyBorder="1" applyAlignment="1">
      <alignment horizontal="center"/>
    </xf>
    <xf numFmtId="0" fontId="0" fillId="152" borderId="0" xfId="0" applyFill="1" applyAlignment="1">
      <alignment horizontal="left" vertical="center"/>
    </xf>
    <xf numFmtId="0" fontId="293" fillId="93" borderId="3" xfId="0" applyFont="1" applyFill="1" applyBorder="1" applyAlignment="1">
      <alignment horizontal="center"/>
    </xf>
    <xf numFmtId="0" fontId="21" fillId="0" borderId="7" xfId="0" applyFont="1" applyBorder="1" applyAlignment="1">
      <alignment horizontal="right"/>
    </xf>
    <xf numFmtId="0" fontId="21" fillId="0" borderId="1" xfId="0" applyFont="1" applyBorder="1" applyAlignment="1">
      <alignment horizontal="center"/>
    </xf>
    <xf numFmtId="0" fontId="303" fillId="93" borderId="2" xfId="0" applyFont="1" applyFill="1" applyBorder="1" applyAlignment="1">
      <alignment horizontal="center" vertical="center" textRotation="90" wrapText="1"/>
    </xf>
    <xf numFmtId="3" fontId="303" fillId="93" borderId="2" xfId="0" applyNumberFormat="1" applyFont="1" applyFill="1" applyBorder="1" applyAlignment="1">
      <alignment horizontal="center" vertical="center" textRotation="90" wrapText="1"/>
    </xf>
    <xf numFmtId="1" fontId="303" fillId="93" borderId="2" xfId="0" applyNumberFormat="1" applyFont="1" applyFill="1" applyBorder="1" applyAlignment="1">
      <alignment horizontal="center" vertical="center" textRotation="90" wrapText="1"/>
    </xf>
    <xf numFmtId="0" fontId="303" fillId="8" borderId="2" xfId="0" applyFont="1" applyFill="1" applyBorder="1" applyAlignment="1">
      <alignment horizontal="center" vertical="center" textRotation="90" wrapText="1"/>
    </xf>
    <xf numFmtId="1" fontId="303" fillId="8" borderId="2" xfId="0" applyNumberFormat="1" applyFont="1" applyFill="1" applyBorder="1" applyAlignment="1">
      <alignment horizontal="center" vertical="center" textRotation="90" wrapText="1"/>
    </xf>
    <xf numFmtId="0" fontId="303" fillId="6" borderId="2" xfId="0" applyFont="1" applyFill="1" applyBorder="1" applyAlignment="1">
      <alignment horizontal="center" vertical="center" textRotation="90" wrapText="1"/>
    </xf>
    <xf numFmtId="0" fontId="303" fillId="6" borderId="11" xfId="0" applyFont="1" applyFill="1" applyBorder="1" applyAlignment="1">
      <alignment horizontal="center" vertical="center" textRotation="90" wrapText="1"/>
    </xf>
    <xf numFmtId="164" fontId="304" fillId="16" borderId="0" xfId="1" applyNumberFormat="1" applyFont="1" applyFill="1" applyAlignment="1">
      <alignment horizontal="center"/>
    </xf>
    <xf numFmtId="0" fontId="0" fillId="0" borderId="0" xfId="0" applyAlignment="1">
      <alignment horizontal="left" vertical="center" wrapText="1"/>
    </xf>
    <xf numFmtId="164" fontId="9" fillId="111" borderId="0" xfId="1" applyNumberFormat="1" applyFont="1" applyFill="1" applyBorder="1" applyAlignment="1">
      <alignment horizontal="center" vertical="top"/>
    </xf>
    <xf numFmtId="0" fontId="0" fillId="4" borderId="0" xfId="0" applyFill="1"/>
    <xf numFmtId="164" fontId="258" fillId="4" borderId="0" xfId="1" applyNumberFormat="1" applyFont="1" applyFill="1" applyAlignment="1">
      <alignment horizontal="center"/>
    </xf>
    <xf numFmtId="164" fontId="0" fillId="4" borderId="0" xfId="0" applyNumberFormat="1" applyFill="1" applyAlignment="1">
      <alignment horizontal="center"/>
    </xf>
    <xf numFmtId="0" fontId="19" fillId="0" borderId="0" xfId="0" pivotButton="1" applyFont="1"/>
    <xf numFmtId="0" fontId="17" fillId="145" borderId="90" xfId="0" applyFont="1" applyFill="1" applyBorder="1" applyAlignment="1">
      <alignment horizontal="center" vertical="center"/>
    </xf>
    <xf numFmtId="0" fontId="0" fillId="93" borderId="0" xfId="0" applyNumberFormat="1" applyFill="1" applyBorder="1"/>
    <xf numFmtId="0" fontId="17" fillId="151" borderId="89" xfId="0" applyFont="1" applyFill="1" applyBorder="1" applyAlignment="1">
      <alignment horizontal="center" vertical="center" wrapText="1"/>
    </xf>
    <xf numFmtId="0" fontId="0" fillId="0" borderId="0" xfId="0" applyBorder="1" applyAlignment="1">
      <alignment horizontal="center"/>
    </xf>
    <xf numFmtId="14" fontId="0" fillId="0" borderId="0" xfId="0" applyNumberFormat="1" applyBorder="1" applyAlignment="1">
      <alignment horizontal="center"/>
    </xf>
    <xf numFmtId="235" fontId="0" fillId="0" borderId="0" xfId="0" applyNumberFormat="1"/>
    <xf numFmtId="42" fontId="0" fillId="0" borderId="0" xfId="0" applyNumberFormat="1" applyAlignment="1">
      <alignment horizontal="center"/>
    </xf>
    <xf numFmtId="42" fontId="0" fillId="14" borderId="0" xfId="0" applyNumberFormat="1" applyFill="1" applyAlignment="1">
      <alignment horizontal="center"/>
    </xf>
    <xf numFmtId="0" fontId="2" fillId="12" borderId="4" xfId="0" applyFont="1" applyFill="1" applyBorder="1" applyAlignment="1">
      <alignment horizontal="center" vertical="center" wrapText="1"/>
    </xf>
    <xf numFmtId="0" fontId="2" fillId="12" borderId="66" xfId="0" applyFont="1" applyFill="1" applyBorder="1" applyAlignment="1">
      <alignment horizontal="center" vertical="center" textRotation="90" wrapText="1"/>
    </xf>
    <xf numFmtId="0" fontId="2" fillId="11" borderId="84" xfId="0" applyFont="1" applyFill="1" applyBorder="1" applyAlignment="1">
      <alignment horizontal="center" vertical="center" wrapText="1"/>
    </xf>
    <xf numFmtId="166" fontId="6" fillId="99" borderId="76" xfId="0" applyNumberFormat="1" applyFont="1" applyFill="1" applyBorder="1" applyAlignment="1">
      <alignment horizontal="center" vertical="center"/>
    </xf>
    <xf numFmtId="0" fontId="2" fillId="12" borderId="91" xfId="0" applyFont="1" applyFill="1" applyBorder="1" applyAlignment="1">
      <alignment horizontal="center" vertical="center" wrapText="1"/>
    </xf>
    <xf numFmtId="0" fontId="2" fillId="12" borderId="1" xfId="0" applyFont="1" applyFill="1" applyBorder="1" applyAlignment="1">
      <alignment horizontal="center" vertical="center" textRotation="90" wrapText="1"/>
    </xf>
    <xf numFmtId="0" fontId="0" fillId="0" borderId="0" xfId="0" applyNumberFormat="1" applyBorder="1"/>
    <xf numFmtId="337" fontId="0" fillId="0" borderId="0" xfId="0" applyNumberFormat="1" applyBorder="1"/>
    <xf numFmtId="337" fontId="0" fillId="93" borderId="0" xfId="1" applyNumberFormat="1" applyFont="1" applyFill="1" applyBorder="1"/>
    <xf numFmtId="0" fontId="309" fillId="149" borderId="2"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1" fillId="0" borderId="0" xfId="0" applyFont="1" applyFill="1" applyAlignment="1">
      <alignment horizontal="left" vertical="center"/>
    </xf>
    <xf numFmtId="0" fontId="2" fillId="12" borderId="0" xfId="0" applyFont="1" applyFill="1" applyBorder="1" applyAlignment="1">
      <alignment horizontal="center" vertical="center" textRotation="90" wrapText="1"/>
    </xf>
    <xf numFmtId="1" fontId="312" fillId="0" borderId="0" xfId="2101" applyNumberFormat="1" applyFont="1" applyAlignment="1">
      <alignment horizontal="left"/>
    </xf>
    <xf numFmtId="0" fontId="299" fillId="0" borderId="0" xfId="2102" applyFont="1" applyAlignment="1"/>
    <xf numFmtId="0" fontId="299" fillId="0" borderId="0" xfId="2102" applyFont="1" applyAlignment="1">
      <alignment horizontal="left"/>
    </xf>
    <xf numFmtId="0" fontId="299" fillId="0" borderId="0" xfId="2102" applyFont="1" applyAlignment="1">
      <alignment horizontal="center"/>
    </xf>
    <xf numFmtId="164" fontId="299" fillId="0" borderId="0" xfId="2102" applyNumberFormat="1" applyFont="1" applyAlignment="1">
      <alignment horizontal="right"/>
    </xf>
    <xf numFmtId="4" fontId="299" fillId="0" borderId="0" xfId="2102" applyNumberFormat="1" applyFont="1" applyAlignment="1">
      <alignment horizontal="right"/>
    </xf>
    <xf numFmtId="164" fontId="299" fillId="0" borderId="0" xfId="2103" applyNumberFormat="1" applyFont="1" applyAlignment="1">
      <alignment horizontal="right"/>
    </xf>
    <xf numFmtId="0" fontId="299" fillId="0" borderId="0" xfId="2102" applyFont="1" applyAlignment="1">
      <alignment horizontal="center" vertical="center"/>
    </xf>
    <xf numFmtId="0" fontId="299" fillId="0" borderId="0" xfId="2102" applyFont="1" applyAlignment="1">
      <alignment horizontal="left" vertical="center"/>
    </xf>
    <xf numFmtId="0" fontId="299" fillId="0" borderId="0" xfId="2102" applyFont="1">
      <alignment vertical="center"/>
    </xf>
    <xf numFmtId="1" fontId="299" fillId="0" borderId="0" xfId="2101" applyNumberFormat="1" applyFont="1" applyAlignment="1">
      <alignment horizontal="center"/>
    </xf>
    <xf numFmtId="1" fontId="298" fillId="154" borderId="93" xfId="2101" applyNumberFormat="1" applyFont="1" applyFill="1" applyBorder="1" applyAlignment="1">
      <alignment horizontal="center" vertical="center" wrapText="1"/>
    </xf>
    <xf numFmtId="49" fontId="298" fillId="154" borderId="94" xfId="2102" applyNumberFormat="1" applyFont="1" applyFill="1" applyBorder="1" applyAlignment="1">
      <alignment vertical="center" wrapText="1"/>
    </xf>
    <xf numFmtId="49" fontId="298" fillId="154" borderId="94" xfId="2102" applyNumberFormat="1" applyFont="1" applyFill="1" applyBorder="1" applyAlignment="1">
      <alignment horizontal="left" vertical="center" wrapText="1"/>
    </xf>
    <xf numFmtId="49" fontId="298" fillId="154" borderId="94" xfId="2102" applyNumberFormat="1" applyFont="1" applyFill="1" applyBorder="1" applyAlignment="1">
      <alignment horizontal="center" vertical="center" wrapText="1"/>
    </xf>
    <xf numFmtId="164" fontId="298" fillId="144" borderId="94" xfId="2102" applyNumberFormat="1" applyFont="1" applyFill="1" applyBorder="1" applyAlignment="1">
      <alignment horizontal="center" vertical="center" wrapText="1"/>
    </xf>
    <xf numFmtId="4" fontId="298" fillId="154" borderId="94" xfId="2102" applyNumberFormat="1" applyFont="1" applyFill="1" applyBorder="1" applyAlignment="1">
      <alignment horizontal="center" vertical="center" wrapText="1"/>
    </xf>
    <xf numFmtId="164" fontId="298" fillId="154" borderId="94" xfId="2103" applyNumberFormat="1" applyFont="1" applyFill="1" applyBorder="1" applyAlignment="1">
      <alignment horizontal="center" vertical="center" wrapText="1"/>
    </xf>
    <xf numFmtId="0" fontId="298" fillId="154" borderId="94" xfId="2102" applyFont="1" applyFill="1" applyBorder="1" applyAlignment="1">
      <alignment horizontal="center" vertical="center" wrapText="1"/>
    </xf>
    <xf numFmtId="0" fontId="298" fillId="154" borderId="94" xfId="1323" applyFont="1" applyFill="1" applyBorder="1" applyAlignment="1">
      <alignment horizontal="left" vertical="center"/>
    </xf>
    <xf numFmtId="0" fontId="298" fillId="154" borderId="95" xfId="1323" applyFont="1" applyFill="1" applyBorder="1" applyAlignment="1">
      <alignment horizontal="left" vertical="center"/>
    </xf>
    <xf numFmtId="0" fontId="299" fillId="0" borderId="0" xfId="2102" applyFont="1" applyAlignment="1">
      <alignment vertical="center" wrapText="1"/>
    </xf>
    <xf numFmtId="1" fontId="299" fillId="4" borderId="96" xfId="2101" applyNumberFormat="1" applyFont="1" applyFill="1" applyBorder="1" applyAlignment="1">
      <alignment horizontal="center"/>
    </xf>
    <xf numFmtId="0" fontId="299" fillId="4" borderId="97" xfId="2102" applyNumberFormat="1" applyFont="1" applyFill="1" applyBorder="1" applyAlignment="1"/>
    <xf numFmtId="0" fontId="299" fillId="4" borderId="97" xfId="2102" applyNumberFormat="1" applyFont="1" applyFill="1" applyBorder="1" applyAlignment="1">
      <alignment horizontal="left"/>
    </xf>
    <xf numFmtId="49" fontId="299" fillId="4" borderId="97" xfId="2102" applyNumberFormat="1" applyFont="1" applyFill="1" applyBorder="1" applyAlignment="1">
      <alignment horizontal="center"/>
    </xf>
    <xf numFmtId="164" fontId="299" fillId="4" borderId="97" xfId="2102" quotePrefix="1" applyNumberFormat="1" applyFont="1" applyFill="1" applyBorder="1" applyAlignment="1">
      <alignment horizontal="right"/>
    </xf>
    <xf numFmtId="4" fontId="299" fillId="4" borderId="97" xfId="2102" applyNumberFormat="1" applyFont="1" applyFill="1" applyBorder="1" applyAlignment="1">
      <alignment horizontal="right"/>
    </xf>
    <xf numFmtId="164" fontId="299" fillId="4" borderId="97" xfId="2103" applyNumberFormat="1" applyFont="1" applyFill="1" applyBorder="1" applyAlignment="1">
      <alignment horizontal="right"/>
    </xf>
    <xf numFmtId="0" fontId="299" fillId="4" borderId="97" xfId="2102" applyFont="1" applyFill="1" applyBorder="1" applyAlignment="1">
      <alignment horizontal="center"/>
    </xf>
    <xf numFmtId="0" fontId="299" fillId="4" borderId="97" xfId="2102" applyFont="1" applyFill="1" applyBorder="1" applyAlignment="1">
      <alignment horizontal="left"/>
    </xf>
    <xf numFmtId="0" fontId="299" fillId="4" borderId="98" xfId="2102" applyFont="1" applyFill="1" applyBorder="1" applyAlignment="1">
      <alignment horizontal="left"/>
    </xf>
    <xf numFmtId="0" fontId="299" fillId="4" borderId="0" xfId="2102" applyFont="1" applyFill="1">
      <alignment vertical="center"/>
    </xf>
    <xf numFmtId="0" fontId="299" fillId="4" borderId="97" xfId="2102" applyFont="1" applyFill="1" applyBorder="1" applyAlignment="1"/>
    <xf numFmtId="164" fontId="299" fillId="4" borderId="97" xfId="2102" applyNumberFormat="1" applyFont="1" applyFill="1" applyBorder="1" applyAlignment="1">
      <alignment horizontal="right"/>
    </xf>
    <xf numFmtId="0" fontId="299" fillId="4" borderId="97" xfId="2102" applyFont="1" applyFill="1" applyBorder="1" applyAlignment="1">
      <alignment horizontal="center" vertical="center"/>
    </xf>
    <xf numFmtId="0" fontId="299" fillId="4" borderId="97" xfId="2102" applyFont="1" applyFill="1" applyBorder="1" applyAlignment="1">
      <alignment horizontal="left" vertical="center"/>
    </xf>
    <xf numFmtId="0" fontId="299" fillId="4" borderId="98" xfId="2102" applyFont="1" applyFill="1" applyBorder="1" applyAlignment="1">
      <alignment horizontal="left" vertical="center"/>
    </xf>
    <xf numFmtId="4" fontId="299" fillId="4" borderId="97" xfId="2102" applyNumberFormat="1" applyFont="1" applyFill="1" applyBorder="1" applyAlignment="1">
      <alignment horizontal="right" vertical="center"/>
    </xf>
    <xf numFmtId="164" fontId="299" fillId="4" borderId="97" xfId="2103" applyNumberFormat="1" applyFont="1" applyFill="1" applyBorder="1" applyAlignment="1">
      <alignment horizontal="right" vertical="center"/>
    </xf>
    <xf numFmtId="340" fontId="299" fillId="4" borderId="97" xfId="2102" applyNumberFormat="1" applyFont="1" applyFill="1" applyBorder="1" applyAlignment="1">
      <alignment horizontal="center" vertical="center"/>
    </xf>
    <xf numFmtId="0" fontId="299" fillId="4" borderId="97" xfId="2102" applyFont="1" applyFill="1" applyBorder="1" applyAlignment="1">
      <alignment horizontal="left" vertical="center" readingOrder="1"/>
    </xf>
    <xf numFmtId="341" fontId="299" fillId="4" borderId="97" xfId="2102" applyNumberFormat="1" applyFont="1" applyFill="1" applyBorder="1" applyAlignment="1">
      <alignment horizontal="center"/>
    </xf>
    <xf numFmtId="0" fontId="299" fillId="4" borderId="98" xfId="2102" applyFont="1" applyFill="1" applyBorder="1" applyAlignment="1"/>
    <xf numFmtId="4" fontId="299" fillId="4" borderId="97" xfId="2101" applyNumberFormat="1" applyFont="1" applyFill="1" applyBorder="1" applyAlignment="1">
      <alignment horizontal="right"/>
    </xf>
    <xf numFmtId="43" fontId="299" fillId="4" borderId="97" xfId="2101" applyFont="1" applyFill="1" applyBorder="1" applyAlignment="1">
      <alignment horizontal="center"/>
    </xf>
    <xf numFmtId="0" fontId="299" fillId="4" borderId="97" xfId="2102" applyFont="1" applyFill="1" applyBorder="1">
      <alignment vertical="center"/>
    </xf>
    <xf numFmtId="0" fontId="299" fillId="4" borderId="98" xfId="2102" applyNumberFormat="1" applyFont="1" applyFill="1" applyBorder="1" applyAlignment="1"/>
    <xf numFmtId="0" fontId="299" fillId="4" borderId="98" xfId="2102" applyFont="1" applyFill="1" applyBorder="1" applyAlignment="1">
      <alignment horizontal="left" vertical="center" readingOrder="1"/>
    </xf>
    <xf numFmtId="0" fontId="299" fillId="4" borderId="98" xfId="2102" applyFont="1" applyFill="1" applyBorder="1">
      <alignment vertical="center"/>
    </xf>
    <xf numFmtId="0" fontId="299" fillId="4" borderId="97" xfId="2102" applyFont="1" applyFill="1" applyBorder="1" applyAlignment="1">
      <alignment horizontal="left" readingOrder="1"/>
    </xf>
    <xf numFmtId="49" fontId="299" fillId="4" borderId="97" xfId="2102" applyNumberFormat="1" applyFont="1" applyFill="1" applyBorder="1" applyAlignment="1"/>
    <xf numFmtId="4" fontId="299" fillId="4" borderId="97" xfId="2103" applyNumberFormat="1" applyFont="1" applyFill="1" applyBorder="1" applyAlignment="1">
      <alignment horizontal="right"/>
    </xf>
    <xf numFmtId="342" fontId="299" fillId="4" borderId="97" xfId="2103" applyNumberFormat="1" applyFont="1" applyFill="1" applyBorder="1" applyAlignment="1">
      <alignment horizontal="right" vertical="center"/>
    </xf>
    <xf numFmtId="0" fontId="299" fillId="0" borderId="97" xfId="2102" applyFont="1" applyFill="1" applyBorder="1" applyAlignment="1">
      <alignment vertical="center"/>
    </xf>
    <xf numFmtId="0" fontId="299" fillId="0" borderId="98" xfId="2102" applyFont="1" applyFill="1" applyBorder="1" applyAlignment="1">
      <alignment vertical="center"/>
    </xf>
    <xf numFmtId="1" fontId="299" fillId="4" borderId="99" xfId="2101" applyNumberFormat="1" applyFont="1" applyFill="1" applyBorder="1" applyAlignment="1">
      <alignment horizontal="center"/>
    </xf>
    <xf numFmtId="0" fontId="299" fillId="4" borderId="100" xfId="2102" applyNumberFormat="1" applyFont="1" applyFill="1" applyBorder="1" applyAlignment="1"/>
    <xf numFmtId="0" fontId="299" fillId="4" borderId="100" xfId="2102" applyFont="1" applyFill="1" applyBorder="1" applyAlignment="1"/>
    <xf numFmtId="0" fontId="299" fillId="4" borderId="100" xfId="2102" applyNumberFormat="1" applyFont="1" applyFill="1" applyBorder="1" applyAlignment="1">
      <alignment horizontal="left"/>
    </xf>
    <xf numFmtId="0" fontId="299" fillId="4" borderId="100" xfId="2102" applyFont="1" applyFill="1" applyBorder="1" applyAlignment="1">
      <alignment horizontal="center"/>
    </xf>
    <xf numFmtId="164" fontId="299" fillId="4" borderId="100" xfId="2102" applyNumberFormat="1" applyFont="1" applyFill="1" applyBorder="1" applyAlignment="1">
      <alignment horizontal="right"/>
    </xf>
    <xf numFmtId="164" fontId="299" fillId="4" borderId="100" xfId="2103" applyNumberFormat="1" applyFont="1" applyFill="1" applyBorder="1" applyAlignment="1">
      <alignment horizontal="right"/>
    </xf>
    <xf numFmtId="43" fontId="299" fillId="4" borderId="100" xfId="2101" applyFont="1" applyFill="1" applyBorder="1" applyAlignment="1">
      <alignment horizontal="center"/>
    </xf>
    <xf numFmtId="0" fontId="299" fillId="4" borderId="100" xfId="2102" applyFont="1" applyFill="1" applyBorder="1" applyAlignment="1">
      <alignment horizontal="left"/>
    </xf>
    <xf numFmtId="0" fontId="299" fillId="4" borderId="101" xfId="2102" applyFont="1" applyFill="1" applyBorder="1" applyAlignment="1">
      <alignment horizontal="left"/>
    </xf>
    <xf numFmtId="0" fontId="311" fillId="0" borderId="0" xfId="2102">
      <alignment vertical="center"/>
    </xf>
    <xf numFmtId="164" fontId="299" fillId="14" borderId="97" xfId="2103" applyNumberFormat="1" applyFont="1" applyFill="1" applyBorder="1" applyAlignment="1">
      <alignment horizontal="right"/>
    </xf>
    <xf numFmtId="164" fontId="299" fillId="8" borderId="97" xfId="2102" applyNumberFormat="1" applyFont="1" applyFill="1" applyBorder="1" applyAlignment="1">
      <alignment horizontal="right"/>
    </xf>
    <xf numFmtId="43" fontId="101" fillId="155" borderId="1" xfId="2100" applyFont="1" applyFill="1" applyBorder="1" applyAlignment="1">
      <alignment horizontal="left" vertical="center" wrapText="1"/>
    </xf>
    <xf numFmtId="43" fontId="101" fillId="156" borderId="1" xfId="2100" applyFont="1" applyFill="1" applyBorder="1" applyAlignment="1">
      <alignment horizontal="left" vertical="center" wrapText="1"/>
    </xf>
    <xf numFmtId="4" fontId="299" fillId="4" borderId="97" xfId="2100" applyNumberFormat="1" applyFont="1" applyFill="1" applyBorder="1" applyAlignment="1">
      <alignment horizontal="right"/>
    </xf>
    <xf numFmtId="43" fontId="299" fillId="4" borderId="97" xfId="2100" applyFont="1" applyFill="1" applyBorder="1" applyAlignment="1">
      <alignment horizontal="center"/>
    </xf>
    <xf numFmtId="0" fontId="299" fillId="4" borderId="97" xfId="1323" applyFont="1" applyFill="1" applyBorder="1" applyAlignment="1">
      <alignment horizontal="left"/>
    </xf>
    <xf numFmtId="0" fontId="299" fillId="4" borderId="98" xfId="1323" applyFont="1" applyFill="1" applyBorder="1" applyAlignment="1">
      <alignment horizontal="left"/>
    </xf>
    <xf numFmtId="164" fontId="299" fillId="14" borderId="97" xfId="1" applyNumberFormat="1" applyFont="1" applyFill="1" applyBorder="1" applyAlignment="1">
      <alignment horizontal="right"/>
    </xf>
    <xf numFmtId="0" fontId="286" fillId="143" borderId="0" xfId="0" applyFont="1" applyFill="1" applyBorder="1" applyAlignment="1">
      <alignment horizontal="center" vertical="center"/>
    </xf>
    <xf numFmtId="0" fontId="286" fillId="143" borderId="0" xfId="0" applyFont="1" applyFill="1" applyBorder="1" applyAlignment="1">
      <alignment horizontal="center" vertical="center"/>
    </xf>
    <xf numFmtId="0" fontId="313" fillId="16" borderId="1" xfId="0" applyFont="1" applyFill="1" applyBorder="1" applyAlignment="1" applyProtection="1">
      <alignment horizontal="center" vertical="center"/>
      <protection locked="0"/>
    </xf>
    <xf numFmtId="339" fontId="314" fillId="16" borderId="61" xfId="2" applyNumberFormat="1" applyFont="1" applyFill="1" applyBorder="1" applyAlignment="1" applyProtection="1">
      <alignment horizontal="center" vertical="center"/>
      <protection locked="0"/>
    </xf>
    <xf numFmtId="0" fontId="314" fillId="16" borderId="61" xfId="0" applyNumberFormat="1" applyFont="1" applyFill="1" applyBorder="1" applyAlignment="1" applyProtection="1">
      <alignment horizontal="center" vertical="center"/>
      <protection locked="0"/>
    </xf>
    <xf numFmtId="0" fontId="313" fillId="99" borderId="1" xfId="0" applyFont="1" applyFill="1" applyBorder="1" applyAlignment="1" applyProtection="1">
      <alignment horizontal="center" vertical="center"/>
      <protection locked="0"/>
    </xf>
    <xf numFmtId="0" fontId="313" fillId="5" borderId="9" xfId="0" applyFont="1" applyFill="1" applyBorder="1" applyAlignment="1" applyProtection="1">
      <alignment horizontal="center" vertical="center"/>
      <protection locked="0"/>
    </xf>
    <xf numFmtId="0" fontId="313" fillId="18" borderId="1" xfId="0" applyNumberFormat="1" applyFont="1" applyFill="1" applyBorder="1" applyAlignment="1" applyProtection="1">
      <alignment horizontal="center" vertical="center"/>
    </xf>
    <xf numFmtId="275" fontId="315" fillId="5" borderId="1" xfId="0" applyNumberFormat="1" applyFont="1" applyFill="1" applyBorder="1" applyAlignment="1" applyProtection="1">
      <alignment horizontal="center" vertical="center"/>
      <protection locked="0"/>
    </xf>
    <xf numFmtId="0" fontId="313" fillId="153" borderId="61" xfId="2" applyFont="1" applyFill="1" applyBorder="1" applyAlignment="1" applyProtection="1">
      <alignment horizontal="center" vertical="center"/>
      <protection locked="0"/>
    </xf>
    <xf numFmtId="0" fontId="313" fillId="5" borderId="61" xfId="2" applyFont="1" applyFill="1" applyBorder="1" applyAlignment="1" applyProtection="1">
      <alignment horizontal="center" vertical="center"/>
      <protection locked="0"/>
    </xf>
    <xf numFmtId="0" fontId="316" fillId="5" borderId="61" xfId="2" applyFont="1" applyFill="1" applyBorder="1" applyAlignment="1" applyProtection="1">
      <alignment horizontal="center" vertical="center"/>
      <protection locked="0"/>
    </xf>
    <xf numFmtId="0" fontId="313" fillId="5" borderId="1" xfId="2" applyFont="1" applyFill="1" applyBorder="1" applyAlignment="1" applyProtection="1">
      <alignment horizontal="center" vertical="center"/>
      <protection locked="0"/>
    </xf>
    <xf numFmtId="0" fontId="313" fillId="99" borderId="1" xfId="2" applyNumberFormat="1" applyFont="1" applyFill="1" applyBorder="1" applyAlignment="1" applyProtection="1">
      <alignment horizontal="center" vertical="center"/>
      <protection locked="0"/>
    </xf>
    <xf numFmtId="0" fontId="313" fillId="18" borderId="7" xfId="2" applyNumberFormat="1" applyFont="1" applyFill="1" applyBorder="1" applyAlignment="1" applyProtection="1">
      <alignment horizontal="center" vertical="center"/>
    </xf>
    <xf numFmtId="166" fontId="313" fillId="99" borderId="1" xfId="2" applyNumberFormat="1" applyFont="1" applyFill="1" applyBorder="1" applyAlignment="1" applyProtection="1">
      <alignment horizontal="center" vertical="center"/>
      <protection locked="0"/>
    </xf>
    <xf numFmtId="0" fontId="313" fillId="99" borderId="10" xfId="2" applyNumberFormat="1" applyFont="1" applyFill="1" applyBorder="1" applyAlignment="1" applyProtection="1">
      <alignment horizontal="center" vertical="center"/>
      <protection locked="0"/>
    </xf>
    <xf numFmtId="1" fontId="313" fillId="99" borderId="7" xfId="2" applyNumberFormat="1" applyFont="1" applyFill="1" applyBorder="1" applyAlignment="1" applyProtection="1">
      <alignment horizontal="center" vertical="center"/>
      <protection locked="0"/>
    </xf>
    <xf numFmtId="0" fontId="313" fillId="5" borderId="1" xfId="2" applyNumberFormat="1" applyFont="1" applyFill="1" applyBorder="1" applyAlignment="1" applyProtection="1">
      <alignment horizontal="center" vertical="center"/>
      <protection locked="0"/>
    </xf>
    <xf numFmtId="0" fontId="313" fillId="99" borderId="3" xfId="2" applyNumberFormat="1" applyFont="1" applyFill="1" applyBorder="1" applyAlignment="1" applyProtection="1">
      <alignment horizontal="center" vertical="center"/>
      <protection locked="0"/>
    </xf>
    <xf numFmtId="0" fontId="313" fillId="5" borderId="1" xfId="0" applyNumberFormat="1" applyFont="1" applyFill="1" applyBorder="1" applyAlignment="1" applyProtection="1">
      <alignment horizontal="center" vertical="center"/>
      <protection locked="0"/>
    </xf>
    <xf numFmtId="166" fontId="313" fillId="18" borderId="1" xfId="0" applyNumberFormat="1" applyFont="1" applyFill="1" applyBorder="1" applyAlignment="1" applyProtection="1">
      <alignment horizontal="center" vertical="center"/>
    </xf>
    <xf numFmtId="1" fontId="313" fillId="5" borderId="1" xfId="0" applyNumberFormat="1" applyFont="1" applyFill="1" applyBorder="1" applyAlignment="1" applyProtection="1">
      <alignment horizontal="center" vertical="center"/>
    </xf>
    <xf numFmtId="1" fontId="313" fillId="5" borderId="8" xfId="0" applyNumberFormat="1" applyFont="1" applyFill="1" applyBorder="1" applyAlignment="1">
      <alignment horizontal="center" vertical="center"/>
    </xf>
    <xf numFmtId="0" fontId="313" fillId="5" borderId="3" xfId="0" applyNumberFormat="1" applyFont="1" applyFill="1" applyBorder="1" applyAlignment="1" applyProtection="1">
      <alignment horizontal="center" vertical="center"/>
      <protection locked="0"/>
    </xf>
    <xf numFmtId="166" fontId="316" fillId="5" borderId="1" xfId="0" applyNumberFormat="1" applyFont="1" applyFill="1" applyBorder="1" applyAlignment="1" applyProtection="1">
      <alignment horizontal="center" vertical="center"/>
      <protection locked="0"/>
    </xf>
    <xf numFmtId="166" fontId="313" fillId="5" borderId="1" xfId="0" applyNumberFormat="1" applyFont="1" applyFill="1" applyBorder="1" applyAlignment="1" applyProtection="1">
      <alignment horizontal="center" vertical="center"/>
      <protection locked="0"/>
    </xf>
    <xf numFmtId="1" fontId="313" fillId="5" borderId="1" xfId="0" applyNumberFormat="1" applyFont="1" applyFill="1" applyBorder="1" applyAlignment="1" applyProtection="1">
      <alignment horizontal="center" vertical="center"/>
      <protection locked="0"/>
    </xf>
    <xf numFmtId="1" fontId="313" fillId="5" borderId="61" xfId="0" applyNumberFormat="1" applyFont="1" applyFill="1" applyBorder="1" applyAlignment="1" applyProtection="1">
      <alignment horizontal="center" vertical="center"/>
      <protection locked="0"/>
    </xf>
    <xf numFmtId="44" fontId="313" fillId="104" borderId="3" xfId="1" applyFont="1" applyFill="1" applyBorder="1" applyAlignment="1" applyProtection="1">
      <alignment horizontal="center" vertical="center"/>
      <protection locked="0"/>
    </xf>
    <xf numFmtId="44" fontId="313" fillId="104" borderId="3" xfId="1" applyNumberFormat="1" applyFont="1" applyFill="1" applyBorder="1" applyAlignment="1" applyProtection="1">
      <alignment horizontal="center" vertical="center"/>
      <protection locked="0"/>
    </xf>
    <xf numFmtId="0" fontId="313" fillId="5" borderId="68" xfId="0" applyFont="1" applyFill="1" applyBorder="1" applyAlignment="1" applyProtection="1">
      <alignment horizontal="left" vertical="top"/>
      <protection locked="0"/>
    </xf>
    <xf numFmtId="0" fontId="313" fillId="98" borderId="10" xfId="0" applyFont="1" applyFill="1" applyBorder="1" applyAlignment="1" applyProtection="1">
      <alignment horizontal="left" vertical="top" wrapText="1"/>
      <protection locked="0"/>
    </xf>
    <xf numFmtId="166" fontId="313" fillId="7" borderId="1" xfId="0" applyNumberFormat="1" applyFont="1" applyFill="1" applyBorder="1" applyAlignment="1" applyProtection="1">
      <alignment horizontal="center" vertical="center"/>
    </xf>
    <xf numFmtId="1" fontId="313" fillId="7" borderId="1" xfId="0" applyNumberFormat="1" applyFont="1" applyFill="1" applyBorder="1" applyAlignment="1" applyProtection="1">
      <alignment horizontal="center" vertical="center"/>
    </xf>
    <xf numFmtId="166" fontId="315" fillId="98" borderId="13" xfId="0" applyNumberFormat="1" applyFont="1" applyFill="1" applyBorder="1" applyAlignment="1" applyProtection="1">
      <alignment horizontal="center" vertical="center"/>
    </xf>
    <xf numFmtId="164" fontId="317" fillId="96" borderId="68" xfId="0" applyNumberFormat="1" applyFont="1" applyFill="1" applyBorder="1" applyAlignment="1" applyProtection="1">
      <alignment horizontal="center" vertical="center" wrapText="1"/>
    </xf>
    <xf numFmtId="164" fontId="317" fillId="96" borderId="61" xfId="0" applyNumberFormat="1" applyFont="1" applyFill="1" applyBorder="1" applyAlignment="1" applyProtection="1">
      <alignment horizontal="center" vertical="center" wrapText="1"/>
    </xf>
    <xf numFmtId="44" fontId="313" fillId="6" borderId="68" xfId="1" applyNumberFormat="1" applyFont="1" applyFill="1" applyBorder="1" applyAlignment="1">
      <alignment horizontal="center" vertical="center"/>
    </xf>
    <xf numFmtId="44" fontId="313" fillId="6" borderId="3" xfId="1" applyNumberFormat="1" applyFont="1" applyFill="1" applyBorder="1" applyAlignment="1">
      <alignment horizontal="center" vertical="center"/>
    </xf>
    <xf numFmtId="44" fontId="313" fillId="146" borderId="3" xfId="1" applyNumberFormat="1" applyFont="1" applyFill="1" applyBorder="1" applyAlignment="1">
      <alignment horizontal="center" vertical="center"/>
    </xf>
    <xf numFmtId="164" fontId="313" fillId="18" borderId="3" xfId="1" applyNumberFormat="1" applyFont="1" applyFill="1" applyBorder="1" applyAlignment="1">
      <alignment horizontal="center" vertical="center"/>
    </xf>
    <xf numFmtId="166" fontId="313" fillId="18" borderId="3" xfId="1" applyNumberFormat="1" applyFont="1" applyFill="1" applyBorder="1" applyAlignment="1">
      <alignment horizontal="center" vertical="center"/>
    </xf>
    <xf numFmtId="164" fontId="313" fillId="18" borderId="3" xfId="0" applyNumberFormat="1" applyFont="1" applyFill="1" applyBorder="1" applyAlignment="1">
      <alignment horizontal="center" vertical="center"/>
    </xf>
    <xf numFmtId="44" fontId="313" fillId="18" borderId="3" xfId="1" applyFont="1" applyFill="1" applyBorder="1" applyAlignment="1">
      <alignment horizontal="center" vertical="center"/>
    </xf>
    <xf numFmtId="0" fontId="318" fillId="104" borderId="69" xfId="0" applyFont="1" applyFill="1" applyBorder="1" applyAlignment="1">
      <alignment horizontal="left" vertical="center"/>
    </xf>
    <xf numFmtId="0" fontId="313" fillId="104" borderId="70" xfId="0" applyFont="1" applyFill="1" applyBorder="1" applyAlignment="1">
      <alignment horizontal="center" vertical="center"/>
    </xf>
    <xf numFmtId="0" fontId="319" fillId="104" borderId="69" xfId="0" applyFont="1" applyFill="1" applyBorder="1" applyAlignment="1">
      <alignment horizontal="center" vertical="center"/>
    </xf>
    <xf numFmtId="0" fontId="313" fillId="104" borderId="69" xfId="0" applyFont="1" applyFill="1" applyBorder="1" applyAlignment="1">
      <alignment horizontal="center" vertical="center"/>
    </xf>
    <xf numFmtId="0" fontId="313" fillId="104" borderId="72" xfId="0" applyFont="1" applyFill="1" applyBorder="1" applyAlignment="1" applyProtection="1">
      <alignment horizontal="center" vertical="center"/>
    </xf>
    <xf numFmtId="0" fontId="318" fillId="104" borderId="70" xfId="0" applyFont="1" applyFill="1" applyBorder="1" applyAlignment="1">
      <alignment horizontal="center" vertical="center"/>
    </xf>
    <xf numFmtId="167" fontId="319" fillId="104" borderId="71" xfId="0" applyNumberFormat="1" applyFont="1" applyFill="1" applyBorder="1" applyAlignment="1">
      <alignment horizontal="center" vertical="center"/>
    </xf>
    <xf numFmtId="0" fontId="313" fillId="104" borderId="70" xfId="0" applyFont="1" applyFill="1" applyBorder="1" applyAlignment="1" applyProtection="1">
      <alignment horizontal="center" vertical="center"/>
    </xf>
    <xf numFmtId="167" fontId="319" fillId="104" borderId="70" xfId="0" applyNumberFormat="1" applyFont="1" applyFill="1" applyBorder="1" applyAlignment="1">
      <alignment horizontal="center" vertical="center"/>
    </xf>
    <xf numFmtId="167" fontId="320" fillId="104" borderId="70" xfId="0" applyNumberFormat="1" applyFont="1" applyFill="1" applyBorder="1" applyAlignment="1" applyProtection="1">
      <alignment horizontal="center" vertical="center"/>
    </xf>
    <xf numFmtId="43" fontId="313" fillId="104" borderId="71" xfId="0" applyNumberFormat="1" applyFont="1" applyFill="1" applyBorder="1" applyAlignment="1" applyProtection="1">
      <alignment horizontal="center" vertical="center"/>
    </xf>
    <xf numFmtId="336" fontId="319" fillId="104" borderId="72" xfId="0" applyNumberFormat="1" applyFont="1" applyFill="1" applyBorder="1" applyAlignment="1" applyProtection="1">
      <alignment horizontal="center" vertical="center"/>
    </xf>
    <xf numFmtId="0" fontId="313" fillId="104" borderId="70" xfId="0" applyNumberFormat="1" applyFont="1" applyFill="1" applyBorder="1" applyAlignment="1">
      <alignment horizontal="center" vertical="center"/>
    </xf>
    <xf numFmtId="43" fontId="313" fillId="104" borderId="70" xfId="0" applyNumberFormat="1" applyFont="1" applyFill="1" applyBorder="1" applyAlignment="1" applyProtection="1">
      <alignment horizontal="center" vertical="center"/>
    </xf>
    <xf numFmtId="43" fontId="313" fillId="104" borderId="72" xfId="0" applyNumberFormat="1" applyFont="1" applyFill="1" applyBorder="1" applyAlignment="1" applyProtection="1">
      <alignment horizontal="center" vertical="center"/>
    </xf>
    <xf numFmtId="336" fontId="319" fillId="104" borderId="70" xfId="0" applyNumberFormat="1" applyFont="1" applyFill="1" applyBorder="1" applyAlignment="1" applyProtection="1">
      <alignment horizontal="center" vertical="center"/>
    </xf>
    <xf numFmtId="167" fontId="319" fillId="104" borderId="72" xfId="0" applyNumberFormat="1" applyFont="1" applyFill="1" applyBorder="1" applyAlignment="1">
      <alignment horizontal="center" vertical="center"/>
    </xf>
    <xf numFmtId="167" fontId="319" fillId="104" borderId="92" xfId="0" applyNumberFormat="1" applyFont="1" applyFill="1" applyBorder="1" applyAlignment="1">
      <alignment horizontal="center" vertical="center"/>
    </xf>
    <xf numFmtId="166" fontId="321" fillId="104" borderId="70" xfId="0" applyNumberFormat="1" applyFont="1" applyFill="1" applyBorder="1" applyAlignment="1">
      <alignment horizontal="center" vertical="center"/>
    </xf>
    <xf numFmtId="0" fontId="313" fillId="104" borderId="15" xfId="0" applyFont="1" applyFill="1" applyBorder="1" applyAlignment="1">
      <alignment horizontal="center" vertical="center"/>
    </xf>
    <xf numFmtId="44" fontId="319" fillId="14" borderId="70" xfId="0" applyNumberFormat="1" applyFont="1" applyFill="1" applyBorder="1" applyAlignment="1">
      <alignment horizontal="center" vertical="center"/>
    </xf>
    <xf numFmtId="0" fontId="313" fillId="104" borderId="71" xfId="0" applyFont="1" applyFill="1" applyBorder="1" applyAlignment="1">
      <alignment horizontal="center" vertical="center"/>
    </xf>
    <xf numFmtId="0" fontId="313" fillId="98" borderId="71" xfId="0" applyFont="1" applyFill="1" applyBorder="1" applyAlignment="1">
      <alignment horizontal="center" vertical="center"/>
    </xf>
    <xf numFmtId="166" fontId="320" fillId="104" borderId="70" xfId="0" applyNumberFormat="1" applyFont="1" applyFill="1" applyBorder="1" applyAlignment="1">
      <alignment horizontal="center" vertical="center"/>
    </xf>
    <xf numFmtId="1" fontId="320" fillId="104" borderId="70" xfId="0" applyNumberFormat="1" applyFont="1" applyFill="1" applyBorder="1" applyAlignment="1">
      <alignment horizontal="center" vertical="center"/>
    </xf>
    <xf numFmtId="318" fontId="320" fillId="104" borderId="70" xfId="0" applyNumberFormat="1" applyFont="1" applyFill="1" applyBorder="1" applyAlignment="1">
      <alignment horizontal="center" vertical="center"/>
    </xf>
    <xf numFmtId="166" fontId="320" fillId="98" borderId="70" xfId="0" applyNumberFormat="1" applyFont="1" applyFill="1" applyBorder="1" applyAlignment="1">
      <alignment horizontal="center" vertical="center"/>
    </xf>
    <xf numFmtId="44" fontId="322" fillId="14" borderId="71" xfId="0" applyNumberFormat="1" applyFont="1" applyFill="1" applyBorder="1" applyAlignment="1">
      <alignment horizontal="center" vertical="center"/>
    </xf>
    <xf numFmtId="44" fontId="322" fillId="14" borderId="72" xfId="0" applyNumberFormat="1" applyFont="1" applyFill="1" applyBorder="1" applyAlignment="1">
      <alignment horizontal="center" vertical="center"/>
    </xf>
    <xf numFmtId="44" fontId="319" fillId="14" borderId="71" xfId="0" applyNumberFormat="1" applyFont="1" applyFill="1" applyBorder="1" applyAlignment="1">
      <alignment horizontal="center" vertical="center"/>
    </xf>
    <xf numFmtId="0" fontId="319" fillId="14" borderId="75" xfId="0" applyFont="1" applyFill="1" applyBorder="1" applyAlignment="1">
      <alignment horizontal="center" vertical="center"/>
    </xf>
    <xf numFmtId="0" fontId="319" fillId="14" borderId="70" xfId="0" applyFont="1" applyFill="1" applyBorder="1" applyAlignment="1">
      <alignment horizontal="center" vertical="center"/>
    </xf>
    <xf numFmtId="164" fontId="319" fillId="14" borderId="70" xfId="0" applyNumberFormat="1" applyFont="1" applyFill="1" applyBorder="1" applyAlignment="1">
      <alignment horizontal="center" vertical="center"/>
    </xf>
    <xf numFmtId="339" fontId="313" fillId="16" borderId="1" xfId="2" applyNumberFormat="1" applyFont="1" applyFill="1" applyBorder="1" applyAlignment="1" applyProtection="1">
      <alignment horizontal="center" vertical="center"/>
      <protection locked="0"/>
    </xf>
    <xf numFmtId="0" fontId="315" fillId="5" borderId="1" xfId="0" applyNumberFormat="1" applyFont="1" applyFill="1" applyBorder="1" applyAlignment="1" applyProtection="1">
      <alignment horizontal="center" vertical="center"/>
      <protection locked="0"/>
    </xf>
    <xf numFmtId="0" fontId="315" fillId="5" borderId="1" xfId="0" applyFont="1" applyFill="1" applyBorder="1" applyAlignment="1" applyProtection="1">
      <alignment horizontal="center" vertical="center"/>
      <protection locked="0"/>
    </xf>
    <xf numFmtId="0" fontId="313" fillId="5" borderId="1" xfId="0" applyFont="1" applyFill="1" applyBorder="1" applyAlignment="1" applyProtection="1">
      <alignment horizontal="center" vertical="center"/>
      <protection locked="0"/>
    </xf>
    <xf numFmtId="166" fontId="316" fillId="5" borderId="1" xfId="2" applyNumberFormat="1" applyFont="1" applyFill="1" applyBorder="1" applyAlignment="1" applyProtection="1">
      <alignment horizontal="center" vertical="center"/>
      <protection locked="0"/>
    </xf>
    <xf numFmtId="0" fontId="313" fillId="5" borderId="9" xfId="2" applyFont="1" applyFill="1" applyBorder="1" applyAlignment="1" applyProtection="1">
      <alignment horizontal="center" vertical="center"/>
      <protection locked="0"/>
    </xf>
    <xf numFmtId="0" fontId="313" fillId="18" borderId="68" xfId="2" applyNumberFormat="1" applyFont="1" applyFill="1" applyBorder="1" applyAlignment="1" applyProtection="1">
      <alignment horizontal="center" vertical="center"/>
    </xf>
    <xf numFmtId="166" fontId="313" fillId="18" borderId="68" xfId="0" applyNumberFormat="1" applyFont="1" applyFill="1" applyBorder="1" applyAlignment="1" applyProtection="1">
      <alignment horizontal="center" vertical="center"/>
    </xf>
    <xf numFmtId="1" fontId="313" fillId="18" borderId="68" xfId="0" applyNumberFormat="1" applyFont="1" applyFill="1" applyBorder="1" applyAlignment="1" applyProtection="1">
      <alignment horizontal="center" vertical="center"/>
    </xf>
    <xf numFmtId="1" fontId="313" fillId="5" borderId="1" xfId="0" applyNumberFormat="1" applyFont="1" applyFill="1" applyBorder="1" applyAlignment="1">
      <alignment horizontal="center" vertical="center"/>
    </xf>
    <xf numFmtId="1" fontId="313" fillId="18" borderId="1" xfId="0" applyNumberFormat="1" applyFont="1" applyFill="1" applyBorder="1" applyAlignment="1" applyProtection="1">
      <alignment horizontal="center" vertical="center"/>
    </xf>
    <xf numFmtId="166" fontId="313" fillId="18" borderId="76" xfId="0" applyNumberFormat="1" applyFont="1" applyFill="1" applyBorder="1" applyAlignment="1" applyProtection="1">
      <alignment horizontal="center" vertical="center"/>
    </xf>
    <xf numFmtId="0" fontId="313" fillId="5" borderId="86" xfId="0" applyFont="1" applyFill="1" applyBorder="1" applyAlignment="1" applyProtection="1">
      <alignment horizontal="center" vertical="center"/>
      <protection locked="0"/>
    </xf>
    <xf numFmtId="42" fontId="323" fillId="0" borderId="0" xfId="0" applyNumberFormat="1" applyFont="1"/>
    <xf numFmtId="42" fontId="323" fillId="14" borderId="0" xfId="0" applyNumberFormat="1" applyFont="1" applyFill="1"/>
    <xf numFmtId="337" fontId="323" fillId="93" borderId="0" xfId="0" applyNumberFormat="1" applyFont="1" applyFill="1" applyBorder="1"/>
    <xf numFmtId="0" fontId="0" fillId="5" borderId="3" xfId="0" applyFill="1" applyBorder="1"/>
    <xf numFmtId="0" fontId="317" fillId="0" borderId="34" xfId="0" applyFont="1" applyFill="1" applyBorder="1" applyAlignment="1"/>
    <xf numFmtId="0" fontId="286" fillId="143" borderId="0" xfId="0" applyFont="1" applyFill="1" applyBorder="1" applyAlignment="1">
      <alignment horizontal="center" vertical="center"/>
    </xf>
    <xf numFmtId="0" fontId="286" fillId="143" borderId="0" xfId="0" applyFont="1" applyFill="1" applyBorder="1" applyAlignment="1">
      <alignment horizontal="center" vertical="center"/>
    </xf>
    <xf numFmtId="0" fontId="313" fillId="99" borderId="1" xfId="0" applyFont="1" applyFill="1" applyBorder="1" applyAlignment="1" applyProtection="1">
      <alignment horizontal="center" vertical="center"/>
    </xf>
    <xf numFmtId="0" fontId="20" fillId="0" borderId="0" xfId="0" applyFont="1" applyAlignment="1">
      <alignment horizontal="left"/>
    </xf>
    <xf numFmtId="0" fontId="18" fillId="0" borderId="0" xfId="2" applyAlignment="1" applyProtection="1">
      <alignment horizontal="left"/>
    </xf>
    <xf numFmtId="164" fontId="0" fillId="0" borderId="0" xfId="0" applyNumberFormat="1" applyAlignment="1">
      <alignment horizontal="left"/>
    </xf>
    <xf numFmtId="166" fontId="26" fillId="96" borderId="12" xfId="0" applyNumberFormat="1" applyFont="1" applyFill="1" applyBorder="1" applyAlignment="1">
      <alignment horizontal="left"/>
    </xf>
    <xf numFmtId="14" fontId="21" fillId="0" borderId="87" xfId="0" applyNumberFormat="1" applyFont="1" applyFill="1" applyBorder="1" applyAlignment="1">
      <alignment horizontal="left" vertical="center" wrapText="1"/>
    </xf>
    <xf numFmtId="14" fontId="21" fillId="0" borderId="7" xfId="0" applyNumberFormat="1" applyFont="1" applyFill="1" applyBorder="1" applyAlignment="1">
      <alignment horizontal="left" vertical="center" wrapText="1"/>
    </xf>
    <xf numFmtId="14" fontId="21" fillId="0" borderId="61" xfId="0" applyNumberFormat="1" applyFont="1" applyFill="1" applyBorder="1" applyAlignment="1">
      <alignment horizontal="left" vertical="center" wrapText="1"/>
    </xf>
    <xf numFmtId="0" fontId="21" fillId="0" borderId="9" xfId="0" applyFont="1" applyBorder="1" applyAlignment="1">
      <alignment horizontal="left"/>
    </xf>
    <xf numFmtId="14" fontId="0" fillId="0" borderId="0" xfId="0" applyNumberFormat="1" applyAlignment="1">
      <alignment horizontal="left"/>
    </xf>
    <xf numFmtId="0" fontId="317" fillId="0" borderId="8" xfId="0" applyFont="1" applyFill="1" applyBorder="1" applyAlignment="1"/>
    <xf numFmtId="0" fontId="324" fillId="14" borderId="1" xfId="0" applyFont="1" applyFill="1" applyBorder="1" applyAlignment="1"/>
    <xf numFmtId="0" fontId="25" fillId="152" borderId="0" xfId="0" applyFont="1" applyFill="1" applyAlignment="1">
      <alignment horizontal="center" vertical="center" wrapText="1"/>
    </xf>
    <xf numFmtId="0" fontId="260" fillId="12" borderId="0" xfId="0" applyFont="1" applyFill="1" applyBorder="1" applyAlignment="1">
      <alignment horizontal="center"/>
    </xf>
    <xf numFmtId="0" fontId="260" fillId="12" borderId="0" xfId="0" applyFont="1" applyFill="1" applyAlignment="1">
      <alignment horizontal="center"/>
    </xf>
    <xf numFmtId="0" fontId="17" fillId="10" borderId="0" xfId="0" applyFont="1" applyFill="1" applyAlignment="1">
      <alignment horizontal="center"/>
    </xf>
    <xf numFmtId="0" fontId="259" fillId="134" borderId="0" xfId="0" applyFont="1" applyFill="1" applyAlignment="1">
      <alignment horizontal="center"/>
    </xf>
    <xf numFmtId="0" fontId="257" fillId="5" borderId="0" xfId="0" applyFont="1" applyFill="1" applyAlignment="1">
      <alignment horizontal="center" vertical="center" wrapText="1"/>
    </xf>
    <xf numFmtId="0" fontId="257" fillId="5" borderId="0" xfId="0" applyFont="1" applyFill="1" applyAlignment="1">
      <alignment horizontal="center" vertical="center"/>
    </xf>
    <xf numFmtId="0" fontId="262" fillId="5" borderId="0" xfId="0" applyFont="1" applyFill="1" applyAlignment="1">
      <alignment horizontal="center" vertical="center" wrapText="1"/>
    </xf>
    <xf numFmtId="0" fontId="286" fillId="143" borderId="0" xfId="0" applyFont="1" applyFill="1" applyBorder="1" applyAlignment="1">
      <alignment horizontal="center" vertical="center"/>
    </xf>
    <xf numFmtId="0" fontId="257" fillId="0" borderId="0" xfId="0" applyFont="1" applyAlignment="1">
      <alignment horizontal="center"/>
    </xf>
    <xf numFmtId="168" fontId="10" fillId="77" borderId="16" xfId="1008" applyFont="1" applyFill="1" applyBorder="1" applyAlignment="1">
      <alignment horizontal="center"/>
    </xf>
    <xf numFmtId="168" fontId="10" fillId="77" borderId="18" xfId="1008" applyFont="1" applyFill="1" applyBorder="1" applyAlignment="1">
      <alignment horizontal="center"/>
    </xf>
    <xf numFmtId="0" fontId="255" fillId="4" borderId="0" xfId="1313" applyFont="1" applyFill="1" applyBorder="1" applyAlignment="1">
      <alignment horizontal="center" vertical="center"/>
    </xf>
  </cellXfs>
  <cellStyles count="2104">
    <cellStyle name="_x000a_386grabber=m" xfId="4"/>
    <cellStyle name="_x000a_386grabber=m 2" xfId="5"/>
    <cellStyle name="_x000a_386grabber=m 3" xfId="6"/>
    <cellStyle name="_x000a_386grabber=m 4" xfId="7"/>
    <cellStyle name="#S W/ COMMAS" xfId="8"/>
    <cellStyle name="$MM B/W Bal" xfId="9"/>
    <cellStyle name="$MM B/W Bal 2" xfId="10"/>
    <cellStyle name="$MM B/W Bal 3" xfId="11"/>
    <cellStyle name="$MM B/W Bal 4" xfId="12"/>
    <cellStyle name="$MM Black Bal" xfId="13"/>
    <cellStyle name="$MM Black Bal 2" xfId="14"/>
    <cellStyle name="$MM Black Bal 3" xfId="15"/>
    <cellStyle name="$MM Black Bal 4" xfId="16"/>
    <cellStyle name="%" xfId="17"/>
    <cellStyle name="% 2" xfId="1889"/>
    <cellStyle name="_x0015__x0002__x0002__x0017_%_x0002__x0002__x0014__x0015__x0003__x0003__x0017_%_x0003__x0003_䖼_x000c__x0004__x0004_㉬" xfId="18"/>
    <cellStyle name="%.0" xfId="19"/>
    <cellStyle name="(Red)" xfId="20"/>
    <cellStyle name="," xfId="21"/>
    <cellStyle name=",.0" xfId="22"/>
    <cellStyle name="､@ｯ・pldt" xfId="23"/>
    <cellStyle name=".25" xfId="24"/>
    <cellStyle name=";;;" xfId="25"/>
    <cellStyle name="??" xfId="26"/>
    <cellStyle name="?? [0]_BC_VINT" xfId="27"/>
    <cellStyle name="?? 2" xfId="1891"/>
    <cellStyle name="???[0]_AUSTRLIA" xfId="28"/>
    <cellStyle name="???_AUSTRLIA" xfId="29"/>
    <cellStyle name="??_AUSTRLIA" xfId="30"/>
    <cellStyle name="?@?ทpldt" xfId="31"/>
    <cellStyle name="_%(SignOnly)" xfId="32"/>
    <cellStyle name="_%(SignOnly)_Project Intrepid Precedents_v01" xfId="33"/>
    <cellStyle name="_%(SignSpaceOnly)" xfId="34"/>
    <cellStyle name="_%(SignSpaceOnly)_Project Intrepid Precedents_v01" xfId="35"/>
    <cellStyle name="_05_Recovery Forecast - 2007_July07" xfId="36"/>
    <cellStyle name="_05_Recovery Forecast - 2007_July07_2008 vs  2009 Global Rates Consolidation - 02-12-2009-(Herz)" xfId="37"/>
    <cellStyle name="_09-05 FCST Summary_Kessinger" xfId="38"/>
    <cellStyle name="_10-05 FCST Summary_Kessinger" xfId="39"/>
    <cellStyle name="_12-05 FCST Summary" xfId="40"/>
    <cellStyle name="_1Q Line Item Comparison v7   4-16X  " xfId="41"/>
    <cellStyle name="_2004 Capital Plan Summary_Globalv4JULY" xfId="42"/>
    <cellStyle name="_2004P v6a - ALLOCATIONS BY PLATFORM - ex HK COB ~ Aug Cut 14 Sept 04" xfId="43"/>
    <cellStyle name="_2004P v6a - ALLOCATIONS BY PLATFORM - ex HK COB ~ Jul Cut 14 Aug 04" xfId="44"/>
    <cellStyle name="_2004P v6a - ALLOCATIONS BY PLATFORM - ex HK COB ~ May Cut 14 Jun 04" xfId="45"/>
    <cellStyle name="_2004P v6a - ALLOCATIONS BY PLATFORM - ex HK COB ~ Nov Cut 14 Dec 04" xfId="46"/>
    <cellStyle name="_2004P v6a - ALLOCATIONS BY PLATFORM - ex HK COB ~ Oct Cut 12 Nov 04" xfId="47"/>
    <cellStyle name="_2004P v6a - ALLOCATIONS BY PLATFORM - ex HK COB ~ Sep Cut 14 Oct 04" xfId="48"/>
    <cellStyle name="_2004P v6a - ALLOCATIONS BY PLATFORM - ex HK COB v16~Dec Cut with IBM Cards Actual Usage" xfId="49"/>
    <cellStyle name="_2004P v6a - ALLOCATIONS BY PLATFORM - ex HK COB v16a~Dec Cut revised 30 Jan~Actual &amp; Volume" xfId="50"/>
    <cellStyle name="_2004P v6a - ALLOCATIONS BY PLATFORM - ex HK COB v17~Jan Cut 10 Feb~Actual &amp; Volume" xfId="51"/>
    <cellStyle name="_2004P v6a - ALLOCATIONS BY PLATFORM - ex HK COB v17a~Jan Cut 11 Feb~Actual &amp; Volume" xfId="52"/>
    <cellStyle name="_2004P v6a - ALLOCATIONS BY PLATFORM - ex HK COB v18~Feb Cut 11 Mar~Actual &amp; Volume" xfId="53"/>
    <cellStyle name="_2004P v6a - ALLOCATIONS BY PLATFORM - ex HK COB v19~Mar Cut 14 Apr~Actual &amp; Volume" xfId="54"/>
    <cellStyle name="_2004P v6a - ALLOCATIONS BY PLATFORM - ex HK COB v20~Apr Cut 11 May~Actual &amp; Volume" xfId="55"/>
    <cellStyle name="_2004P v8 - CAPEX(EW) CONSO" xfId="56"/>
    <cellStyle name="_2004P v8 - CAPEX(EW)-2004 NEW3" xfId="57"/>
    <cellStyle name="_2005 ALLOCATIONS BY PLATFORM ~ Apr Cut 10 May 05" xfId="58"/>
    <cellStyle name="_2005 ALLOCATIONS BY PLATFORM ~ Aug Cut 12 Sep 05" xfId="59"/>
    <cellStyle name="_2005 ALLOCATIONS BY PLATFORM ~ Dec Cut 13 Jan 05" xfId="60"/>
    <cellStyle name="_2005 ALLOCATIONS BY PLATFORM ~ Feb Cut 9 Mar 05" xfId="61"/>
    <cellStyle name="_2005 ALLOCATIONS BY PLATFORM ~ Jan Cut 7 Feb 05" xfId="62"/>
    <cellStyle name="_2005 ALLOCATIONS BY PLATFORM ~ Jul Cut 15 Aug 05" xfId="63"/>
    <cellStyle name="_2005 ALLOCATIONS BY PLATFORM ~ Jun Cut 12 Jul 05" xfId="64"/>
    <cellStyle name="_2005 ALLOCATIONS BY PLATFORM ~ Mar Cut 11 Apr 05" xfId="65"/>
    <cellStyle name="_2005 ALLOCATIONS BY PLATFORM ~ May Cut 13 Jun 05" xfId="66"/>
    <cellStyle name="_2005 ALLOCATIONS BY PLATFORM ~ Nov Cut 9 Dec 05" xfId="67"/>
    <cellStyle name="_2005 ALLOCATIONS BY PLATFORM ~ Oct Cut 11 Nov 05" xfId="68"/>
    <cellStyle name="_2005 ALLOCATIONS BY PLATFORM ~ Sep Cut 10 Oct 05" xfId="69"/>
    <cellStyle name="_2005 Budget Review Template - 072804_v2" xfId="70"/>
    <cellStyle name="_2005 Budget Review Template - 072804_v2_DC RecoveryJPN_031105" xfId="71"/>
    <cellStyle name="_2005 Budget Review Template - 072804_v2_RecovSched JanFeb05 Act vs Plan" xfId="72"/>
    <cellStyle name="_2005 Budget Review Template - 072804_v2_RecovSched JanFeb05 Act vs Plan (JPN)" xfId="73"/>
    <cellStyle name="_2005 Budget Review Template - 072804_v2_RecovSched JanFeb05 Act vs Plan_TW" xfId="74"/>
    <cellStyle name="_2005 Capital Actual-Forecast - Stemmler 033105" xfId="75"/>
    <cellStyle name="_2005 Capital Actual-Forecast - Stemmler 042205 SUMMARY " xfId="76"/>
    <cellStyle name="_2005 Capital Actual-Forecast - Stemmler 051805 FOR REVIEW a" xfId="77"/>
    <cellStyle name="_2005 Server Cost" xfId="78"/>
    <cellStyle name="_2005 Server Cost_Book1" xfId="79"/>
    <cellStyle name="_2005 Server Cost_CFJ bill - Aug06(Rev)" xfId="80"/>
    <cellStyle name="_2005 Server Cost_CFJ-Billing2006" xfId="81"/>
    <cellStyle name="_2005 Server Cost_Jan-Jun06InvoiceForGlobalCharge" xfId="82"/>
    <cellStyle name="_2005 Server Cost_Rate Sheet v10 - 0614 - wintel update" xfId="83"/>
    <cellStyle name="_2005 Server Cost_Rate Sheet v18 a - 0619" xfId="84"/>
    <cellStyle name="_2005 Server Cost_Rate Sheet v20 - 0620" xfId="85"/>
    <cellStyle name="_2005 Server Cost_Rate Sheet v21 - 0620" xfId="86"/>
    <cellStyle name="_2005 Server Cost_Rate Sheet v22 - 0620" xfId="87"/>
    <cellStyle name="_2005 Server Cost_Rate Sheet v23 - 0621" xfId="88"/>
    <cellStyle name="_2005 Server Cost_Rate Sheet v26 - 0621 - ed revision" xfId="89"/>
    <cellStyle name="_2005 Server Cost_Rate Sheet v27 - 0622" xfId="90"/>
    <cellStyle name="_2005 Server Cost_Rate Sheet v29 - 0623 for billing" xfId="91"/>
    <cellStyle name="_2005 Server Cost_Rate Sheet v30 - 0623" xfId="92"/>
    <cellStyle name="_2005 Server Cost_Rate Sheet v33 - 0725" xfId="93"/>
    <cellStyle name="_2005 Server Cost_Rate Sheet v34 - 0817" xfId="94"/>
    <cellStyle name="_2005 Server Cost_Rate Sheet v35 - 0823 - YTD adjust" xfId="95"/>
    <cellStyle name="_2005 Server Cost_Rate Sheet v36 - 0831 - b" xfId="96"/>
    <cellStyle name="_2005 Server Cost_Rate Sheet v36b - 0831" xfId="97"/>
    <cellStyle name="_2005 Server Cost_Rate Sheet v39 - 1019" xfId="98"/>
    <cellStyle name="_2005 Server Cost_Rate Sheet v40 - 1114" xfId="99"/>
    <cellStyle name="_2005P Travel Template - 23 JUN - Jason" xfId="1892"/>
    <cellStyle name="_2006 ALLOCATIONS ~ Dec Cut 11 Jan 06" xfId="100"/>
    <cellStyle name="_2006 ALLOCATIONS ~ Feb Cut 13 Mar 06" xfId="101"/>
    <cellStyle name="_2006 ALLOCATIONS ~ Jan Cut 10 Feb 06" xfId="102"/>
    <cellStyle name="_2006 Budget Review Template v5_071205" xfId="103"/>
    <cellStyle name="_2006 Total CTI NA 1116" xfId="104"/>
    <cellStyle name="_2006-07 CIB Asia Review Deck" xfId="105"/>
    <cellStyle name="_2006-07 CIB Asia Review Deck_2010 Final Rates vs  2009_Aug06 - Japan" xfId="106"/>
    <cellStyle name="_2006-12 GWM Asia Review Deck" xfId="107"/>
    <cellStyle name="_2006-12 GWM Asia Review Deck_2010 Final Rates vs  2009_Aug06 - Japan" xfId="108"/>
    <cellStyle name="_2007 Functional Transfer (012507)" xfId="109"/>
    <cellStyle name="_2007 Functional Transfer Asia" xfId="110"/>
    <cellStyle name="_2007 GWM projects" xfId="111"/>
    <cellStyle name="_2007 Plan - Investment Initiatives" xfId="112"/>
    <cellStyle name="_2007 Plan_Unit Rates (Asia)" xfId="113"/>
    <cellStyle name="_2007 Plan_Unit Rates (Asia)_2010 Final Rates vs  2009_Aug06 - Japan" xfId="114"/>
    <cellStyle name="_2007_PLAN_Global_GWM_10-2v3" xfId="115"/>
    <cellStyle name="_2008 EMEA Data Centre Rates" xfId="116"/>
    <cellStyle name="_2008 EMEA Data Centre Rates_2008 vs  2009 Global Rates Consolidation - 02-12-2009-(Herz)" xfId="117"/>
    <cellStyle name="_2009 Downside Model_Final" xfId="118"/>
    <cellStyle name="_2009 Downside Model_Final (2)" xfId="119"/>
    <cellStyle name="_2009 Plan Int FX Rates (Major excluding USD)" xfId="120"/>
    <cellStyle name="_23 Feb 04~Revised Actual Jan'04 Chargeout~add JapCitiFinancials &amp; China ICCC" xfId="121"/>
    <cellStyle name="_23 Feb 04~Revised Actual Jan'04 Chargeout~add JapCitiFinancials &amp; China ICCC_2010 Final Rates vs  2009_Aug06 - Japan" xfId="122"/>
    <cellStyle name="_5, 6.5) Latam Oct BSheet CB" xfId="123"/>
    <cellStyle name="_6.3) BS LATAM cards &amp; banking" xfId="124"/>
    <cellStyle name="_APANI PIF" xfId="1893"/>
    <cellStyle name="_APPC 2004 FYF (for MYF) Comparison" xfId="125"/>
    <cellStyle name="_APPC 2004 FYF (for MYF) Comparison v1" xfId="126"/>
    <cellStyle name="_APPC 2004 JUNE FORECAST" xfId="127"/>
    <cellStyle name="_APPC 2004 RCOB Billing" xfId="128"/>
    <cellStyle name="_APPC 2004 RCOB Billing_2010 Final Rates vs  2009_Aug06 - Japan" xfId="129"/>
    <cellStyle name="_APPC 2005 Unit Cost" xfId="130"/>
    <cellStyle name="_APPC 2005P Allocations - GCIB Indonesia" xfId="131"/>
    <cellStyle name="_APPC 2005P Allocations - GCIB Indonesia_2010 Final Rates vs  2009_Aug06 - Japan" xfId="132"/>
    <cellStyle name="_APPC 2005P Allocations - GCIB Indonesia-revAug24" xfId="133"/>
    <cellStyle name="_APPC 2005P Allocations - GCIB Indonesia-revAug24_2010 Final Rates vs  2009_Aug06 - Japan" xfId="134"/>
    <cellStyle name="_APPC 2005P Allocations 1st Cut v8a" xfId="135"/>
    <cellStyle name="_APPC 2005P Allocations 1st Cut v8a_2010 Final Rates vs  2009_Aug06 - Japan" xfId="136"/>
    <cellStyle name="_APPC 2005P TCO" xfId="137"/>
    <cellStyle name="_APPC Allocations - 2004ACT vs 2005P vs 2005Act_Fcst" xfId="138"/>
    <cellStyle name="_APPC Apr'04 Chargeout" xfId="139"/>
    <cellStyle name="_APPC Apr'04 Chargeout_2010 Final Rates vs  2009_Aug06 - Japan" xfId="140"/>
    <cellStyle name="_APPC April 2005 Chargeout - BAU (Cty Fincon)" xfId="141"/>
    <cellStyle name="_APPC April 2005 Chargeout - BAU (Cty Fincon)_2010 Final Rates vs  2009_Aug06 - Japan" xfId="142"/>
    <cellStyle name="_APPC April 2005 Chargeout - NSR (Cty Fincon)" xfId="143"/>
    <cellStyle name="_APPC April 2005 Chargeout - NSR (Cty Fincon)_2010 Final Rates vs  2009_Aug06 - Japan" xfId="144"/>
    <cellStyle name="_APPC August'04 Chargeout" xfId="145"/>
    <cellStyle name="_APPC August'04 Chargeout_2010 Final Rates vs  2009_Aug06 - Japan" xfId="146"/>
    <cellStyle name="_APPC December'04 Chargeout" xfId="147"/>
    <cellStyle name="_APPC December'04 Chargeout_2010 Final Rates vs  2009_Aug06 - Japan" xfId="148"/>
    <cellStyle name="_APPC Feb'04 Chargeout" xfId="149"/>
    <cellStyle name="_APPC Feb'04 Chargeout_2010 Final Rates vs  2009_Aug06 - Japan" xfId="150"/>
    <cellStyle name="_APPC February 2005 Chargeout - BAU" xfId="151"/>
    <cellStyle name="_APPC February 2005 Chargeout - BAU_2010 Final Rates vs  2009_Aug06 - Japan" xfId="152"/>
    <cellStyle name="_APPC February 2005 Chargeout - NSR" xfId="153"/>
    <cellStyle name="_APPC February 2005 Chargeout - NSR_2010 Final Rates vs  2009_Aug06 - Japan" xfId="154"/>
    <cellStyle name="_APPC Jan05-May05 Allocations" xfId="155"/>
    <cellStyle name="_APPC Jan05-May05 Allocations_2010 Final Rates vs  2009_Aug06 - Japan" xfId="156"/>
    <cellStyle name="_APPC July'04 Chargeout" xfId="157"/>
    <cellStyle name="_APPC July'04 Chargeout_2010 Final Rates vs  2009_Aug06 - Japan" xfId="158"/>
    <cellStyle name="_APPC June 2005 Chargeout - BAU" xfId="159"/>
    <cellStyle name="_APPC June 2005 Chargeout - BAU_2010 Final Rates vs  2009_Aug06 - Japan" xfId="160"/>
    <cellStyle name="_APPC June 2005 Chargeout - NSR" xfId="161"/>
    <cellStyle name="_APPC June 2005 Chargeout - NSR_2010 Final Rates vs  2009_Aug06 - Japan" xfId="162"/>
    <cellStyle name="_APPC June'04 Chargeout" xfId="163"/>
    <cellStyle name="_APPC June'04 Chargeout_2010 Final Rates vs  2009_Aug06 - Japan" xfId="164"/>
    <cellStyle name="_APPC Mar'04 Chargeout - includes CBS Upld File" xfId="165"/>
    <cellStyle name="_APPC Mar'04 Chargeout - includes CBS Upld File_2010 Final Rates vs  2009_Aug06 - Japan" xfId="166"/>
    <cellStyle name="_APPC March 2005 Chargeout - BAU (Ctry Fincon)" xfId="167"/>
    <cellStyle name="_APPC March 2005 Chargeout - BAU (Ctry Fincon)_2010 Final Rates vs  2009_Aug06 - Japan" xfId="168"/>
    <cellStyle name="_APPC March 2005 Chargeout - NSR (Ctry Fincon)" xfId="169"/>
    <cellStyle name="_APPC March 2005 Chargeout - NSR (Ctry Fincon)_2010 Final Rates vs  2009_Aug06 - Japan" xfId="170"/>
    <cellStyle name="_APPC May'04 Chargeout" xfId="171"/>
    <cellStyle name="_APPC May'04 Chargeout_2010 Final Rates vs  2009_Aug06 - Japan" xfId="172"/>
    <cellStyle name="_APPC November'04 Chargeout" xfId="173"/>
    <cellStyle name="_APPC November'04 Chargeout_2010 Final Rates vs  2009_Aug06 - Japan" xfId="174"/>
    <cellStyle name="_APPC October'04 Chargeout" xfId="175"/>
    <cellStyle name="_APPC October'04 Chargeout_2010 Final Rates vs  2009_Aug06 - Japan" xfId="176"/>
    <cellStyle name="_APPC Plan05 vs Jan05-Jun05 Allocations" xfId="177"/>
    <cellStyle name="_APPC Plan05 vs Jan05-Jun05 Allocations_2010 Final Rates vs  2009_Aug06 - Japan" xfId="178"/>
    <cellStyle name="_APPC September'04 Chargeout" xfId="179"/>
    <cellStyle name="_APPC September'04 Chargeout_2010 Final Rates vs  2009_Aug06 - Japan" xfId="180"/>
    <cellStyle name="_APPC Total (Jan to Mar)" xfId="181"/>
    <cellStyle name="_APPC Total (Jan to Mar)_2010 Final Rates vs  2009_Aug06 - Japan" xfId="182"/>
    <cellStyle name="_Apr Usage - 10 May 2005" xfId="183"/>
    <cellStyle name="_Apr Usage - 10 May 2005_2010 Final Rates vs  2009_Aug06 - Japan" xfId="184"/>
    <cellStyle name="_Aries CIB Model_v16" xfId="185"/>
    <cellStyle name="_Aries CIB Model_v28" xfId="186"/>
    <cellStyle name="_Aries CIB Model_v301" xfId="187"/>
    <cellStyle name="_Aries Model  - GCG Reconnected (Expenses and other outstanding) v10" xfId="188"/>
    <cellStyle name="_Aries Model 101906" xfId="189"/>
    <cellStyle name="_Aries Model 101906 - CIB Return" xfId="190"/>
    <cellStyle name="_Aries Model Draft 15 PrimSh v9 - Marco's Model - NPv5" xfId="191"/>
    <cellStyle name="_Asia 2005 Budget Review_Sep3 update" xfId="192"/>
    <cellStyle name="_Asia 2005 Budget Review_Sep3 update_DC RecoveryJPN_031105" xfId="193"/>
    <cellStyle name="_Asia 2005 Budget Review_Sep3 update_RecovSched JanFeb05 Act vs Plan" xfId="194"/>
    <cellStyle name="_Asia 2005 Budget Review_Sep3 update_RecovSched JanFeb05 Act vs Plan (JPN)" xfId="195"/>
    <cellStyle name="_Asia 2005 Budget Review_Sep3 update_RecovSched JanFeb05 Act vs Plan_TW" xfId="196"/>
    <cellStyle name="_Asia CTI - 2007 Plan CIB wkgs v1" xfId="197"/>
    <cellStyle name="_At Risk Consol" xfId="198"/>
    <cellStyle name="_Aug Usage - 12 Sep 05" xfId="199"/>
    <cellStyle name="_Aug Usage - 12 Sep 05_2010 Final Rates vs  2009_Aug06 - Japan" xfId="200"/>
    <cellStyle name="_Balance Sheet Sent by Paulo Marchi1" xfId="201"/>
    <cellStyle name="_BMG 31" xfId="202"/>
    <cellStyle name="_BMG_49" xfId="203"/>
    <cellStyle name="_BMG_55" xfId="204"/>
    <cellStyle name="_BMG_58 (2)" xfId="205"/>
    <cellStyle name="_BMG_62" xfId="206"/>
    <cellStyle name="_BMG_63" xfId="207"/>
    <cellStyle name="_Book1" xfId="208"/>
    <cellStyle name="_Book1 2" xfId="1894"/>
    <cellStyle name="_Book1_Final Oct Private Bank APPDEV Deck" xfId="209"/>
    <cellStyle name="_Book1_Final Oct SB Deck AppDev" xfId="210"/>
    <cellStyle name="_Book2" xfId="211"/>
    <cellStyle name="_Book2_2008 Plan_CTI Unit Rates_29 Aug 07" xfId="212"/>
    <cellStyle name="_Book2_2008 Plan_CTI Unit Rates_29 Aug 07_2008 vs  2009 Global Rates Consolidation - 02-12-2009-(Herz)" xfId="213"/>
    <cellStyle name="_Book2_2009 CTI NA Product Card (12-18-08)-v2" xfId="214"/>
    <cellStyle name="_Book2_2010 Final Rates vs  2009_Aug06 - Japan" xfId="215"/>
    <cellStyle name="_Book2_Book1" xfId="216"/>
    <cellStyle name="_Book2_CFJ bill - Aug06(Rev)" xfId="217"/>
    <cellStyle name="_Book2_CFJ-Billing2006" xfId="218"/>
    <cellStyle name="_Book2_Jan-Jun06InvoiceForGlobalCharge" xfId="219"/>
    <cellStyle name="_Book2_Rate Sheet v10 - 0614 - wintel update" xfId="220"/>
    <cellStyle name="_Book2_Rate Sheet v18 a - 0619" xfId="221"/>
    <cellStyle name="_Book2_Rate Sheet v20 - 0620" xfId="222"/>
    <cellStyle name="_Book2_Rate Sheet v21 - 0620" xfId="223"/>
    <cellStyle name="_Book2_Rate Sheet v22 - 0620" xfId="224"/>
    <cellStyle name="_Book2_Rate Sheet v23 - 0621" xfId="225"/>
    <cellStyle name="_Book2_Rate Sheet v26 - 0621 - ed revision" xfId="226"/>
    <cellStyle name="_Book2_Rate Sheet v27 - 0622" xfId="227"/>
    <cellStyle name="_Book2_Rate Sheet v29 - 0623 for billing" xfId="228"/>
    <cellStyle name="_Book2_Rate Sheet v30 - 0623" xfId="229"/>
    <cellStyle name="_Book2_Rate Sheet v33 - 0725" xfId="230"/>
    <cellStyle name="_Book2_Rate Sheet v34 - 0817" xfId="231"/>
    <cellStyle name="_Book2_Rate Sheet v35 - 0823 - YTD adjust" xfId="232"/>
    <cellStyle name="_Book2_Rate Sheet v36 - 0831 - b" xfId="233"/>
    <cellStyle name="_Book2_Rate Sheet v36b - 0831" xfId="234"/>
    <cellStyle name="_Book2_Rate Sheet v39 - 1019" xfId="235"/>
    <cellStyle name="_Book2_Rate Sheet v40 - 1114" xfId="236"/>
    <cellStyle name="_Book2_Rates - Detail" xfId="237"/>
    <cellStyle name="_Book2_Rates - Detail_2010 Final Rates vs  2009_Aug06 - Japan" xfId="238"/>
    <cellStyle name="_Book3" xfId="239"/>
    <cellStyle name="_Book5" xfId="240"/>
    <cellStyle name="_Book5_2010 Final Rates vs  2009_Aug06 - Japan" xfId="241"/>
    <cellStyle name="_Budget for Mercury WISI v1.0 (without network stuff)" xfId="242"/>
    <cellStyle name="_budget-master-02Aug2002d" xfId="243"/>
    <cellStyle name="_budget-master-02Aug2002d_2010 Final Rates vs  2009_Aug06 - Japan" xfId="244"/>
    <cellStyle name="_Business Hardware Detail" xfId="245"/>
    <cellStyle name="_Business Hardware Detail_Book1" xfId="246"/>
    <cellStyle name="_Business Hardware Detail_CFJ bill - Aug06(Rev)" xfId="247"/>
    <cellStyle name="_Business Hardware Detail_CFJ-Billing2006" xfId="248"/>
    <cellStyle name="_Business Hardware Detail_Jan-Jun06InvoiceForGlobalCharge" xfId="249"/>
    <cellStyle name="_Business Hardware Detail_Rate Sheet v10 - 0614 - wintel update" xfId="250"/>
    <cellStyle name="_Business Hardware Detail_Rate Sheet v18 a - 0619" xfId="251"/>
    <cellStyle name="_Business Hardware Detail_Rate Sheet v20 - 0620" xfId="252"/>
    <cellStyle name="_Business Hardware Detail_Rate Sheet v21 - 0620" xfId="253"/>
    <cellStyle name="_Business Hardware Detail_Rate Sheet v22 - 0620" xfId="254"/>
    <cellStyle name="_Business Hardware Detail_Rate Sheet v23 - 0621" xfId="255"/>
    <cellStyle name="_Business Hardware Detail_Rate Sheet v26 - 0621 - ed revision" xfId="256"/>
    <cellStyle name="_Business Hardware Detail_Rate Sheet v27 - 0622" xfId="257"/>
    <cellStyle name="_Business Hardware Detail_Rate Sheet v29 - 0623 for billing" xfId="258"/>
    <cellStyle name="_Business Hardware Detail_Rate Sheet v30 - 0623" xfId="259"/>
    <cellStyle name="_Business Hardware Detail_Rate Sheet v33 - 0725" xfId="260"/>
    <cellStyle name="_Business Hardware Detail_Rate Sheet v34 - 0817" xfId="261"/>
    <cellStyle name="_Business Hardware Detail_Rate Sheet v35 - 0823 - YTD adjust" xfId="262"/>
    <cellStyle name="_Business Hardware Detail_Rate Sheet v36 - 0831 - b" xfId="263"/>
    <cellStyle name="_Business Hardware Detail_Rate Sheet v36b - 0831" xfId="264"/>
    <cellStyle name="_Business Hardware Detail_Rate Sheet v39 - 1019" xfId="265"/>
    <cellStyle name="_Business Hardware Detail_Rate Sheet v40 - 1114" xfId="266"/>
    <cellStyle name="_Business Review_FYF10" xfId="267"/>
    <cellStyle name="_Business Review_IT_FYF11" xfId="268"/>
    <cellStyle name="_Business Review_Template" xfId="269"/>
    <cellStyle name="_Business Review_Walt_Total IT_FYF04" xfId="270"/>
    <cellStyle name="_BVI ENTRY 2006_0518" xfId="271"/>
    <cellStyle name="_Capital forecast 12 30 08" xfId="272"/>
    <cellStyle name="_CC Org Chrt 0705" xfId="273"/>
    <cellStyle name="_CIB ASIA YTD AUG06" xfId="274"/>
    <cellStyle name="_CIB Return - Update" xfId="275"/>
    <cellStyle name="_CIB Return - Update_Project Silk 290307" xfId="276"/>
    <cellStyle name="_CIB_Proj Recovery Fct_Sep to Dec06_sent" xfId="277"/>
    <cellStyle name="_CIB_Proj Recovery Fct_Sep to Dec06_sent_2010 Final Rates vs  2009_Aug06 - Japan" xfId="278"/>
    <cellStyle name="_CLG IT Mthly Schedules (2)" xfId="279"/>
    <cellStyle name="_CM synergies - FROM BUSINESS" xfId="280"/>
    <cellStyle name="_CM synergies - FROM BUSINESS v2" xfId="281"/>
    <cellStyle name="_CM synergies - FROM BUSINESS v2_Project Silk 290307" xfId="282"/>
    <cellStyle name="_CM synergies - FROM BUSINESS v3" xfId="283"/>
    <cellStyle name="_CM synergies - FROM BUSINESS v3_Project Silk 290307" xfId="284"/>
    <cellStyle name="_CM synergies - FROM BUSINESS_Project Silk 290307" xfId="285"/>
    <cellStyle name="_CMB_v1" xfId="286"/>
    <cellStyle name="_Comma" xfId="287"/>
    <cellStyle name="_Comma_Project Intrepid Precedents_v01" xfId="288"/>
    <cellStyle name="_Commercial Pro Forma P&amp;L 011109" xfId="289"/>
    <cellStyle name="_Commercial Pro Forma v2" xfId="290"/>
    <cellStyle name="_Common_Installed Servers_DMips_10-11-05" xfId="291"/>
    <cellStyle name="_Common_Installed Servers_DMips_10-11-05_Book1" xfId="292"/>
    <cellStyle name="_Common_Installed Servers_DMips_10-11-05_CFJ bill - Aug06(Rev)" xfId="293"/>
    <cellStyle name="_Common_Installed Servers_DMips_10-11-05_CFJ-Billing2006" xfId="294"/>
    <cellStyle name="_Common_Installed Servers_DMips_10-11-05_Jan-Jun06InvoiceForGlobalCharge" xfId="295"/>
    <cellStyle name="_Common_Installed Servers_DMips_10-11-05_Rate Sheet v10 - 0614 - wintel update" xfId="296"/>
    <cellStyle name="_Common_Installed Servers_DMips_10-11-05_Rate Sheet v18 a - 0619" xfId="297"/>
    <cellStyle name="_Common_Installed Servers_DMips_10-11-05_Rate Sheet v20 - 0620" xfId="298"/>
    <cellStyle name="_Common_Installed Servers_DMips_10-11-05_Rate Sheet v21 - 0620" xfId="299"/>
    <cellStyle name="_Common_Installed Servers_DMips_10-11-05_Rate Sheet v22 - 0620" xfId="300"/>
    <cellStyle name="_Common_Installed Servers_DMips_10-11-05_Rate Sheet v23 - 0621" xfId="301"/>
    <cellStyle name="_Common_Installed Servers_DMips_10-11-05_Rate Sheet v26 - 0621 - ed revision" xfId="302"/>
    <cellStyle name="_Common_Installed Servers_DMips_10-11-05_Rate Sheet v27 - 0622" xfId="303"/>
    <cellStyle name="_Common_Installed Servers_DMips_10-11-05_Rate Sheet v29 - 0623 for billing" xfId="304"/>
    <cellStyle name="_Common_Installed Servers_DMips_10-11-05_Rate Sheet v30 - 0623" xfId="305"/>
    <cellStyle name="_Common_Installed Servers_DMips_10-11-05_Rate Sheet v33 - 0725" xfId="306"/>
    <cellStyle name="_Common_Installed Servers_DMips_10-11-05_Rate Sheet v34 - 0817" xfId="307"/>
    <cellStyle name="_Common_Installed Servers_DMips_10-11-05_Rate Sheet v35 - 0823 - YTD adjust" xfId="308"/>
    <cellStyle name="_Common_Installed Servers_DMips_10-11-05_Rate Sheet v36 - 0831 - b" xfId="309"/>
    <cellStyle name="_Common_Installed Servers_DMips_10-11-05_Rate Sheet v36b - 0831" xfId="310"/>
    <cellStyle name="_Common_Installed Servers_DMips_10-11-05_Rate Sheet v39 - 1019" xfId="311"/>
    <cellStyle name="_Common_Installed Servers_DMips_10-11-05_Rate Sheet v40 - 1114" xfId="312"/>
    <cellStyle name="_Comparison" xfId="313"/>
    <cellStyle name="_Concur Analysis" xfId="314"/>
    <cellStyle name="_Consol-Portfolio v1" xfId="315"/>
    <cellStyle name="_Consol-Portfolio v1_2010 Final Rates vs  2009_Aug06 - Japan" xfId="316"/>
    <cellStyle name="_Consumer Finance Data request AxJ" xfId="317"/>
    <cellStyle name="_Copy of EMEA 2008 Volumes &amp; Rates v 4" xfId="318"/>
    <cellStyle name="_Copy of EMEA 2008 Volumes &amp; Rates v 4_2008 vs  2009 Global Rates Consolidation - 02-12-2009-(Herz)" xfId="319"/>
    <cellStyle name="_Cover" xfId="320"/>
    <cellStyle name="_CRS Asia Fin47 Statistics Final" xfId="321"/>
    <cellStyle name="_CSI_Info_20080213" xfId="1895"/>
    <cellStyle name="_CTI - GCB Asia Recovery Review _Feb2005_APPC" xfId="322"/>
    <cellStyle name="_CTI - GCB Asia Recovery Review _Feb2005_APPC_2010 Final Rates vs  2009_Aug06 - Japan" xfId="323"/>
    <cellStyle name="_CTI Estimate" xfId="324"/>
    <cellStyle name="_CTI Total" xfId="325"/>
    <cellStyle name="_CTI Total_2010 Final Rates vs  2009_Aug06 - Japan" xfId="326"/>
    <cellStyle name="_Currency" xfId="327"/>
    <cellStyle name="_Currency_Project Intrepid Precedents_v01" xfId="328"/>
    <cellStyle name="_Currency_Project Silk 290307" xfId="329"/>
    <cellStyle name="_Currency_Project Silk 290307_Wednesday_Business_Model_v5" xfId="330"/>
    <cellStyle name="_CurrencySpace" xfId="331"/>
    <cellStyle name="_CurrencySpace_Project Intrepid Precedents_v01" xfId="332"/>
    <cellStyle name="_CUST_CHARGES_QTLY RECOV_072905_v2" xfId="333"/>
    <cellStyle name="_Dec 2005 vs Jan 2006 Global MIPS and DASD Volumes 02-16" xfId="334"/>
    <cellStyle name="_Dec Usage - 11 Jan 06" xfId="335"/>
    <cellStyle name="_Dec Usage - 11 Jan 06_2010 Final Rates vs  2009_Aug06 - Japan" xfId="336"/>
    <cellStyle name="_Dec Usage - 13 Jan 2005" xfId="337"/>
    <cellStyle name="_Dec Usage - 13 Jan 2005_2010 Final Rates vs  2009_Aug06 - Japan" xfId="338"/>
    <cellStyle name="_Dec Usage - 13 Jan 2005v1" xfId="339"/>
    <cellStyle name="_Dec Usage - 13 Jan 2005v1_2010 Final Rates vs  2009_Aug06 - Japan" xfId="340"/>
    <cellStyle name="_Dec YTD DTI Actuals" xfId="341"/>
    <cellStyle name="_Dec04 Actuals" xfId="342"/>
    <cellStyle name="_Dep Forecast 1_20_051" xfId="343"/>
    <cellStyle name="_DTI Console UC 2005 Alloc 13 OCtv1 INDIA" xfId="344"/>
    <cellStyle name="_DTI Console UC 2005 Alloc 13 OCtv1 INDIA_2010 Final Rates vs  2009_Aug06 - Japan" xfId="345"/>
    <cellStyle name="_DTI PLAN 2005 AFTER TASK FROM APAC REGION" xfId="346"/>
    <cellStyle name="_DTI PLAN 2005 AFTER TASK FROM APAC REGION_2010 Final Rates vs  2009_Aug06 - Japan" xfId="347"/>
    <cellStyle name="_DTI Split Plan 05 by Product  GAD  OUC" xfId="348"/>
    <cellStyle name="_EBS-M-financials-081204" xfId="349"/>
    <cellStyle name="_Economic Assumptions_Jan 16" xfId="350"/>
    <cellStyle name="_EMEA 2008 Volumes  Rates - Leif" xfId="351"/>
    <cellStyle name="_EMEA 2008 Volumes  Rates - Leif_2008 vs  2009 Global Rates Consolidation - 02-12-2009-(Herz)" xfId="352"/>
    <cellStyle name="_EMEA GTS" xfId="353"/>
    <cellStyle name="_EMEA GTS_2010 Final Rates vs  2009_Aug06 - Japan" xfId="354"/>
    <cellStyle name="_EMEAMonthlyReportingSchedule FYF05AAAv2b" xfId="355"/>
    <cellStyle name="_Essbase Plan 04" xfId="356"/>
    <cellStyle name="_essbase-0402" xfId="357"/>
    <cellStyle name="_Essbase-2004Plan-Dec18" xfId="358"/>
    <cellStyle name="_Essbase-2004Plan-Dec18_2010 Final Rates vs  2009_Aug06 - Japan" xfId="359"/>
    <cellStyle name="_Euro" xfId="360"/>
    <cellStyle name="_Euro_Aries CIB Model_v16" xfId="361"/>
    <cellStyle name="_Euro_Aries CIB Model_v28" xfId="362"/>
    <cellStyle name="_Euro_Aries CIB Model_v301" xfId="363"/>
    <cellStyle name="_Euro_Aries Model  - GCG Reconnected (Expenses and other outstanding) v10" xfId="364"/>
    <cellStyle name="_Euro_Aries Model 101906" xfId="365"/>
    <cellStyle name="_Euro_Aries Model 101906 - CIB Return" xfId="366"/>
    <cellStyle name="_Euro_Aries Model Draft 15 PrimSh v9 - Marco's Model - NPv5" xfId="367"/>
    <cellStyle name="_Euro_borrowing" xfId="368"/>
    <cellStyle name="_Euro_CIB Return - Update" xfId="369"/>
    <cellStyle name="_Euro_CTC V4 DCF" xfId="370"/>
    <cellStyle name="_Euro_GCIB Model (New)" xfId="371"/>
    <cellStyle name="_Euro_GCIB Model (New)_081203" xfId="372"/>
    <cellStyle name="_Euro_GCIB Model (New)4" xfId="373"/>
    <cellStyle name="_Euro_GCIB Model (New)5" xfId="374"/>
    <cellStyle name="_Euro_GCIB_Model_041103" xfId="375"/>
    <cellStyle name="_Euro_GCIB_Model_311003.xls" xfId="376"/>
    <cellStyle name="_Euro_Goldfish Model V14 (US$2Bn - Opt. 1) 051024" xfId="377"/>
    <cellStyle name="_Euro_Goldfish Model V14 (US$2Bn - Opt. 1) 051024_OLd M&amp;A template" xfId="378"/>
    <cellStyle name="_Euro_Goldfish Model V14 (US$2Bn - Opt. 1) 051024_OLd M&amp;A template_Aries CIB Model (5)" xfId="379"/>
    <cellStyle name="_Euro_Goldfish Model V14 (US$2Bn - Opt. 1) 051024_OLd M&amp;A template_Aries CIB Model (5)_Aries Oct 4 - Model v2" xfId="380"/>
    <cellStyle name="_Euro_Goldfish Model V14 (US$2Bn - Opt. 1) 051024_OLd M&amp;A template_Aries CIB Model_v16" xfId="381"/>
    <cellStyle name="_Euro_Goldfish Model V14 (US$2Bn - Opt. 1) 051024_OLd M&amp;A template_Aries CIB Model_v28" xfId="382"/>
    <cellStyle name="_Euro_Goldfish Model V14 (US$2Bn - Opt. 1) 051024_OLd M&amp;A template_Aries CIB Model_v301" xfId="383"/>
    <cellStyle name="_Euro_Goldfish Model V14 (US$2Bn - Opt. 1) 051024_OLd M&amp;A template_Aries Model  - GCG Reconnected (Expenses and other outstanding) v10" xfId="384"/>
    <cellStyle name="_Euro_Goldfish Model V14 (US$2Bn - Opt. 1) 051024_OLd M&amp;A template_Aries Model 101906" xfId="385"/>
    <cellStyle name="_Euro_Goldfish Model V14 (US$2Bn - Opt. 1) 051024_OLd M&amp;A template_Aries Model Draft 15 PrimSh v6 (NPv4)" xfId="386"/>
    <cellStyle name="_Euro_Goldfish Model V14 (US$2Bn - Opt. 1) 051024_OLd M&amp;A template_Aries Model Draft 15 PrimSh v9 - Marco's Model - NPv5" xfId="387"/>
    <cellStyle name="_Euro_Goldfish Model V14 (US$2Bn - Opt. 1) 051024_OLd M&amp;A template_CIB Return - Update" xfId="388"/>
    <cellStyle name="_Euro_Goldfish Model V14 (US$2Bn - Opt. 1) 051024_OLd M&amp;A template_OASIS_BM_060807 v6" xfId="389"/>
    <cellStyle name="_Euro_Goldfish Model V14 (US$2Bn - Opt. 1) 051110 (M&amp;A Committee) - (6% CAR) NEW PGAAP FINAL" xfId="390"/>
    <cellStyle name="_Euro_Goldfish Model V14 (US$2Bn - Opt. 1) 051110 (M&amp;A Committee) - (6% CAR) NEW PGAAP FINAL_OLd M&amp;A template" xfId="391"/>
    <cellStyle name="_Euro_Goldfish Model V14 (US$2Bn - Opt. 1) 051110 (M&amp;A Committee) - (6% CAR) NEW PGAAP FINAL_OLd M&amp;A template_Aries CIB Model (5)" xfId="392"/>
    <cellStyle name="_Euro_Goldfish Model V14 (US$2Bn - Opt. 1) 051110 (M&amp;A Committee) - (6% CAR) NEW PGAAP FINAL_OLd M&amp;A template_Aries CIB Model (5)_Aries Oct 4 - Model v2" xfId="393"/>
    <cellStyle name="_Euro_Goldfish Model V14 (US$2Bn - Opt. 1) 051110 (M&amp;A Committee) - (6% CAR) NEW PGAAP FINAL_OLd M&amp;A template_Aries CIB Model_v16" xfId="394"/>
    <cellStyle name="_Euro_Goldfish Model V14 (US$2Bn - Opt. 1) 051110 (M&amp;A Committee) - (6% CAR) NEW PGAAP FINAL_OLd M&amp;A template_Aries CIB Model_v28" xfId="395"/>
    <cellStyle name="_Euro_Goldfish Model V14 (US$2Bn - Opt. 1) 051110 (M&amp;A Committee) - (6% CAR) NEW PGAAP FINAL_OLd M&amp;A template_Aries CIB Model_v301" xfId="396"/>
    <cellStyle name="_Euro_Goldfish Model V14 (US$2Bn - Opt. 1) 051110 (M&amp;A Committee) - (6% CAR) NEW PGAAP FINAL_OLd M&amp;A template_Aries Model  - GCG Reconnected (Expenses and other outstanding) v10" xfId="397"/>
    <cellStyle name="_Euro_Goldfish Model V14 (US$2Bn - Opt. 1) 051110 (M&amp;A Committee) - (6% CAR) NEW PGAAP FINAL_OLd M&amp;A template_Aries Model 101906" xfId="398"/>
    <cellStyle name="_Euro_Goldfish Model V14 (US$2Bn - Opt. 1) 051110 (M&amp;A Committee) - (6% CAR) NEW PGAAP FINAL_OLd M&amp;A template_Aries Model Draft 15 PrimSh v6 (NPv4)" xfId="399"/>
    <cellStyle name="_Euro_Goldfish Model V14 (US$2Bn - Opt. 1) 051110 (M&amp;A Committee) - (6% CAR) NEW PGAAP FINAL_OLd M&amp;A template_Aries Model Draft 15 PrimSh v9 - Marco's Model - NPv5" xfId="400"/>
    <cellStyle name="_Euro_Goldfish Model V14 (US$2Bn - Opt. 1) 051110 (M&amp;A Committee) - (6% CAR) NEW PGAAP FINAL_OLd M&amp;A template_CIB Return - Update" xfId="401"/>
    <cellStyle name="_Euro_Goldfish Model V14 (US$2Bn - Opt. 1) 051110 (M&amp;A Committee) - (6% CAR) NEW PGAAP FINAL_OLd M&amp;A template_OASIS_BM_060807 v6" xfId="402"/>
    <cellStyle name="_Euro_KoramPro-forma_161003.v1" xfId="403"/>
    <cellStyle name="_Euro_KoramPro-forma_281003.v1" xfId="404"/>
    <cellStyle name="_Euro_Liabilities_template(consumer)" xfId="405"/>
    <cellStyle name="_Euro_Liabilities_template(consumer)1" xfId="406"/>
    <cellStyle name="_Euro_Mercury Financial Model v9" xfId="407"/>
    <cellStyle name="_Euro_Park Lane MOB Model V9 1" xfId="408"/>
    <cellStyle name="_Euro_Project Florence (100105) V63 (V9)" xfId="409"/>
    <cellStyle name="_Euro_Project Intrepid Precedents_v01" xfId="410"/>
    <cellStyle name="_Euro_Shiraz Credit Card Model v3" xfId="411"/>
    <cellStyle name="_Euro_Soulmate GCIB Model_101203_v1" xfId="412"/>
    <cellStyle name="_Euro_Sparrow 020807 Internal projections" xfId="413"/>
    <cellStyle name="_Euro_SPDB Investment (updated Jan22-07)" xfId="414"/>
    <cellStyle name="_Expenses Target 2009" xfId="415"/>
    <cellStyle name="_Explorer 10.2006 7pm" xfId="416"/>
    <cellStyle name="_Explorer MA Model 10 21 06 v 4.1 (M&amp;A Committee)" xfId="417"/>
    <cellStyle name="_Feb 04 - China ICCC - Arthur Lo" xfId="418"/>
    <cellStyle name="_Feb 04 - China ICCC - Arthur Lo_2010 Final Rates vs  2009_Aug06 - Japan" xfId="419"/>
    <cellStyle name="_Feb Usage - 13 Mar 06" xfId="420"/>
    <cellStyle name="_Feb Usage - 13 Mar 06_2010 Final Rates vs  2009_Aug06 - Japan" xfId="421"/>
    <cellStyle name="_Feb Usage - 9 Mar 2005" xfId="422"/>
    <cellStyle name="_Feb Usage - 9 Mar 2005_2010 Final Rates vs  2009_Aug06 - Japan" xfId="423"/>
    <cellStyle name="_financial template-new 2nd DC build-v2.5" xfId="424"/>
    <cellStyle name="_for workings `2004P v6a - ALLOCATIONS BY PLATFORM - ex HK COB v17~Jan Cut 10 Feb~Actual &amp; Volume" xfId="425"/>
    <cellStyle name="_FYF7 Asia Region_Adjusted_Aug15v1" xfId="426"/>
    <cellStyle name="_FYF7 Asia Region_Adjusted_Aug15v1_2010 Final Rates vs  2009_Aug06 - Japan" xfId="427"/>
    <cellStyle name="_GAG May Charges Ver1" xfId="428"/>
    <cellStyle name="_Gama_69" xfId="429"/>
    <cellStyle name="_GCG Asia Volume - 2004 Act  2005 Fcst" xfId="430"/>
    <cellStyle name="_GCG Non MPR July 2006" xfId="431"/>
    <cellStyle name="_GCG Non MPR July 2006_2010 Final Rates vs  2009_Aug06 - Japan" xfId="432"/>
    <cellStyle name="_GCIB Indonesia - Michael Setiawan2" xfId="433"/>
    <cellStyle name="_GCIB Indonesia - Michael Setiawan2_2010 Final Rates vs  2009_Aug06 - Japan" xfId="434"/>
    <cellStyle name="_GCIB Indonesia NSR 2003-181 ~ Michael Setiawan" xfId="435"/>
    <cellStyle name="_GCIB Indonesia NSR 2003-181 ~ Michael Setiawan_2010 Final Rates vs  2009_Aug06 - Japan" xfId="436"/>
    <cellStyle name="_GCIB Indonesia1" xfId="437"/>
    <cellStyle name="_GCIB Indonesia1_2010 Final Rates vs  2009_Aug06 - Japan" xfId="438"/>
    <cellStyle name="_Global stress scenarios - quarterly international base 0908" xfId="439"/>
    <cellStyle name="_Goodwill" xfId="440"/>
    <cellStyle name="_Graphs" xfId="441"/>
    <cellStyle name="_Graphs By Project spend" xfId="442"/>
    <cellStyle name="_Heading" xfId="443"/>
    <cellStyle name="_Heading_Bisys valuation v34 C" xfId="444"/>
    <cellStyle name="_Heading_Book2" xfId="445"/>
    <cellStyle name="_Heading_prestemp" xfId="446"/>
    <cellStyle name="_Heading_prestemp_Sparrow 020807 Internal projections" xfId="447"/>
    <cellStyle name="_Heading_Project Intrepid Precedents_v01" xfId="448"/>
    <cellStyle name="_Highlight" xfId="449"/>
    <cellStyle name="_Highlight_Project Intrepid Precedents_v01" xfId="450"/>
    <cellStyle name="_HLVE FTE Format" xfId="451"/>
    <cellStyle name="_Hoja1" xfId="452"/>
    <cellStyle name="_HP Care Pack OCT 2003_ltr" xfId="1896"/>
    <cellStyle name="_HP PF Jan-Apr 04 catch-up workings" xfId="453"/>
    <cellStyle name="_IBM p5 Final 2006 Rates" xfId="454"/>
    <cellStyle name="_IBO Server Purchase 2006 and 2007" xfId="1897"/>
    <cellStyle name="_IBO Software Purchase 2006 and 2007" xfId="1898"/>
    <cellStyle name="_Impact to Citigroup B v27" xfId="455"/>
    <cellStyle name="_Impact to Citigroup B v27_M&amp;A Page" xfId="456"/>
    <cellStyle name="_IN-CTY Charges V2" xfId="457"/>
    <cellStyle name="_IN-CTY Charges V2_2010 Final Rates vs  2009_Aug06 - Japan" xfId="458"/>
    <cellStyle name="_india GCB % alloc" xfId="459"/>
    <cellStyle name="_india GCB % alloc_2010 Final Rates vs  2009_Aug06 - Japan" xfId="460"/>
    <cellStyle name="_India Sub Continent Split Apps" xfId="461"/>
    <cellStyle name="_INDO 2005 DTI Plan GAG GCIB Asia" xfId="462"/>
    <cellStyle name="_INDO 2005 DTI Plan GAG GCIB Asia_2010 Final Rates vs  2009_Aug06 - Japan" xfId="463"/>
    <cellStyle name="_INDO GCIB ASIA GAG PLAN 2005" xfId="464"/>
    <cellStyle name="_INDO GCIB ASIA GAG PLAN 2005_2010 Final Rates vs  2009_Aug06 - Japan" xfId="465"/>
    <cellStyle name="_Intangibles Amortization Curve" xfId="466"/>
    <cellStyle name="_Jan  Projected Depr" xfId="467"/>
    <cellStyle name="_Jan Usage - 10 Feb 06" xfId="468"/>
    <cellStyle name="_Jan Usage - 10 Feb 06_2010 Final Rates vs  2009_Aug06 - Japan" xfId="469"/>
    <cellStyle name="_Jan Usage - 7 Feb 2005" xfId="470"/>
    <cellStyle name="_Jan Usage - 7 Feb 2005_2010 Final Rates vs  2009_Aug06 - Japan" xfId="471"/>
    <cellStyle name="_Japan Consumer Finance" xfId="472"/>
    <cellStyle name="_Jul Usage - 15 August 2005" xfId="473"/>
    <cellStyle name="_Jul Usage - 15 August 2005_2010 Final Rates vs  2009_Aug06 - Japan" xfId="474"/>
    <cellStyle name="_JUN FLASH vs JUN BUDGET" xfId="475"/>
    <cellStyle name="_Jun Usage - 12 July 2005" xfId="476"/>
    <cellStyle name="_Jun Usage - 12 July 2005_2010 Final Rates vs  2009_Aug06 - Japan" xfId="477"/>
    <cellStyle name="_KorAm Program Financials - 080504" xfId="478"/>
    <cellStyle name="_Koram-Billing- May05-sin" xfId="479"/>
    <cellStyle name="_L3 AP5 - financial template - 081304" xfId="480"/>
    <cellStyle name="_L3 AP6 - financial template - 081304" xfId="481"/>
    <cellStyle name="_Lark MA v1" xfId="482"/>
    <cellStyle name="_Lark MA v1_Project Silk 290307" xfId="483"/>
    <cellStyle name="_Lark MA v4" xfId="484"/>
    <cellStyle name="_Lark MA v4_Project Silk 290307" xfId="485"/>
    <cellStyle name="_Lark PCCM_merger model_v511" xfId="486"/>
    <cellStyle name="_Lark PCCM_merger model_v511_M&amp;A Page" xfId="487"/>
    <cellStyle name="_Lark PCCM_merger model_v53" xfId="488"/>
    <cellStyle name="_Lark PCCM_merger model_v53_M&amp;A Page" xfId="489"/>
    <cellStyle name="_Lark PCCM_merger model_v54" xfId="490"/>
    <cellStyle name="_Lark PCCM_merger model_v54_M&amp;A Page" xfId="491"/>
    <cellStyle name="_Lark PCCM_merger model_v64" xfId="492"/>
    <cellStyle name="_Lark PCCM_merger model_v64_M&amp;A Page" xfId="493"/>
    <cellStyle name="_Lark Synergy Model" xfId="494"/>
    <cellStyle name="_Lark Synergy Model_M&amp;A Page" xfId="495"/>
    <cellStyle name="_LATAM GCG - Inputs and Assumptions" xfId="496"/>
    <cellStyle name="_Leona input @ 31Mar ~ 4FinDeck-mar29" xfId="497"/>
    <cellStyle name="_Leona input @ 31Mar ~ 4FinDeck-mar29_2010 Final Rates vs  2009_Aug06 - Japan" xfId="498"/>
    <cellStyle name="_Mar Usage - 11 Apr 2005" xfId="499"/>
    <cellStyle name="_Mar Usage - 11 Apr 2005_2010 Final Rates vs  2009_Aug06 - Japan" xfId="500"/>
    <cellStyle name="_Mar2004 APPC &amp; DTI Reclass" xfId="501"/>
    <cellStyle name="_Mar2004 APPC &amp; DTI Reclass_2010 Final Rates vs  2009_Aug06 - Japan" xfId="502"/>
    <cellStyle name="_Mark details" xfId="503"/>
    <cellStyle name="_May Usage - 13 June 2005" xfId="504"/>
    <cellStyle name="_May Usage - 13 June 2005_2010 Final Rates vs  2009_Aug06 - Japan" xfId="505"/>
    <cellStyle name="_MEP-MODEL Branch (10 Branches) - v.10 - Jan'07b" xfId="506"/>
    <cellStyle name="_MERCURY ESTIMATE CTI_Voice_Wintel_network_WISI(v1F)" xfId="507"/>
    <cellStyle name="_Mercury Financial Model v9" xfId="508"/>
    <cellStyle name="_Mitchell Director Review FYF01" xfId="509"/>
    <cellStyle name="_Monthly Capital Report - DiSanto - 102604" xfId="510"/>
    <cellStyle name="_Monthly Report for Walt" xfId="511"/>
    <cellStyle name="_MR-EOL-financials-081204" xfId="512"/>
    <cellStyle name="_Multiple" xfId="513"/>
    <cellStyle name="_Multiple_Project Intrepid M&amp;A v1.0" xfId="514"/>
    <cellStyle name="_Multiple_Project Intrepid Model v7.3" xfId="515"/>
    <cellStyle name="_Multiple_Project Intrepid Precedents_v01" xfId="516"/>
    <cellStyle name="_Multiple_Project Intrepid_v022" xfId="517"/>
    <cellStyle name="_MultipleSpace" xfId="518"/>
    <cellStyle name="_MultipleSpace_Project Intrepid M&amp;A v1.0" xfId="519"/>
    <cellStyle name="_MultipleSpace_Project Intrepid Model v7.3" xfId="520"/>
    <cellStyle name="_MultipleSpace_Project Intrepid Precedents_v01" xfId="521"/>
    <cellStyle name="_MultipleSpace_Project Intrepid_v022" xfId="522"/>
    <cellStyle name="_NA Act-Fcst 02-06" xfId="523"/>
    <cellStyle name="_NAIT Close Calendar_Deliverables_Templates1" xfId="524"/>
    <cellStyle name="_New_Results_Template_NA REGION" xfId="525"/>
    <cellStyle name="_NextGen" xfId="526"/>
    <cellStyle name="_Nov Usage - 9 Dec 05" xfId="527"/>
    <cellStyle name="_Nov Usage - 9 Dec 05_2010 Final Rates vs  2009_Aug06 - Japan" xfId="528"/>
    <cellStyle name="_Nov04 FCST_Volume_8Dec04" xfId="529"/>
    <cellStyle name="_NSR 2004-05" xfId="530"/>
    <cellStyle name="_NSR 2004-05_2010 Final Rates vs  2009_Aug06 - Japan" xfId="531"/>
    <cellStyle name="_NSR 2004-06" xfId="532"/>
    <cellStyle name="_NSR 2004-06_2010 Final Rates vs  2009_Aug06 - Japan" xfId="533"/>
    <cellStyle name="_NSR 2004-08" xfId="534"/>
    <cellStyle name="_NSR 2004-08_2010 Final Rates vs  2009_Aug06 - Japan" xfId="535"/>
    <cellStyle name="_Oct Usage - 11 Nov 05" xfId="536"/>
    <cellStyle name="_Oct Usage - 11 Nov 05_2010 Final Rates vs  2009_Aug06 - Japan" xfId="537"/>
    <cellStyle name="_Oct04 FCST_Volume_include NSRs &amp; RCOB_12Nov04" xfId="538"/>
    <cellStyle name="_Oct04 FCST_Volume_include NSRs &amp; RCOB_18Nov04 (less NSRs in Plan but not chgout)" xfId="539"/>
    <cellStyle name="_OEX Rational for SMRT minibranch CEP Dec'06" xfId="540"/>
    <cellStyle name="_OEX Rational for SMRT minibranch CEP Dec'06 2" xfId="541"/>
    <cellStyle name="_O's &amp; R's Walkdown Template -CLG" xfId="542"/>
    <cellStyle name="_OT Summary" xfId="543"/>
    <cellStyle name="_Park Lane MOB Model V9 1" xfId="544"/>
    <cellStyle name="_Percent" xfId="545"/>
    <cellStyle name="_Percent_Project Intrepid M&amp;A v1.0" xfId="546"/>
    <cellStyle name="_Percent_Project Intrepid Model v7.3" xfId="547"/>
    <cellStyle name="_Percent_Project Intrepid Precedents_v01" xfId="548"/>
    <cellStyle name="_Percent_Project Intrepid_v022" xfId="549"/>
    <cellStyle name="_PercentSpace" xfId="550"/>
    <cellStyle name="_PercentSpace_Project Intrepid M&amp;A v1.0" xfId="551"/>
    <cellStyle name="_PercentSpace_Project Intrepid Model v7.3" xfId="552"/>
    <cellStyle name="_Project Arrow TI Financial Analysis final-gks v1.2" xfId="553"/>
    <cellStyle name="_Project Intrepid M&amp;A v1.0" xfId="554"/>
    <cellStyle name="_Project Intrepid Model v7.3" xfId="555"/>
    <cellStyle name="_Project Silk 290307" xfId="556"/>
    <cellStyle name="_RACHEL Fcst 03-06" xfId="557"/>
    <cellStyle name="_Recov_4Q04_Pkg1" xfId="558"/>
    <cellStyle name="_Recov_4Q04_Pkg1_DC RecoveryJPN_031105" xfId="559"/>
    <cellStyle name="_Recov_4Q04_Pkg1_RecovSched JanFeb05 Act vs Plan" xfId="560"/>
    <cellStyle name="_Recov_4Q04_Pkg1_RecovSched JanFeb05 Act vs Plan (JPN)" xfId="561"/>
    <cellStyle name="_Recov_4Q04_Pkg1_RecovSched JanFeb05 Act vs Plan_TW" xfId="562"/>
    <cellStyle name="_Reengineering Template" xfId="563"/>
    <cellStyle name="_REVISED APPC 2004 JUNE FORECAST" xfId="564"/>
    <cellStyle name="_Revised APPC 2005 RCOB Chargeout" xfId="565"/>
    <cellStyle name="_Revised APPC 2005 RCOB Chargeout_2010 Final Rates vs  2009_Aug06 - Japan" xfId="566"/>
    <cellStyle name="_Revised Jan04 ~ GCB China ICCC - Arthur Lo" xfId="567"/>
    <cellStyle name="_Revised Jan04 ~ GCB China ICCC - Arthur Lo_2010 Final Rates vs  2009_Aug06 - Japan" xfId="568"/>
    <cellStyle name="_SameTime applc_jan to jun04 alloc" xfId="569"/>
    <cellStyle name="_Server Cost Components_9-9-05" xfId="570"/>
    <cellStyle name="_Server Cost Components_9-9-05_Book1" xfId="571"/>
    <cellStyle name="_Server Cost Components_9-9-05_CFJ bill - Aug06(Rev)" xfId="572"/>
    <cellStyle name="_Server Cost Components_9-9-05_CFJ-Billing2006" xfId="573"/>
    <cellStyle name="_Server Cost Components_9-9-05_Jan-Jun06InvoiceForGlobalCharge" xfId="574"/>
    <cellStyle name="_Server Cost Components_9-9-05_Rate Sheet v10 - 0614 - wintel update" xfId="575"/>
    <cellStyle name="_Server Cost Components_9-9-05_Rate Sheet v18 a - 0619" xfId="576"/>
    <cellStyle name="_Server Cost Components_9-9-05_Rate Sheet v20 - 0620" xfId="577"/>
    <cellStyle name="_Server Cost Components_9-9-05_Rate Sheet v21 - 0620" xfId="578"/>
    <cellStyle name="_Server Cost Components_9-9-05_Rate Sheet v22 - 0620" xfId="579"/>
    <cellStyle name="_Server Cost Components_9-9-05_Rate Sheet v23 - 0621" xfId="580"/>
    <cellStyle name="_Server Cost Components_9-9-05_Rate Sheet v26 - 0621 - ed revision" xfId="581"/>
    <cellStyle name="_Server Cost Components_9-9-05_Rate Sheet v27 - 0622" xfId="582"/>
    <cellStyle name="_Server Cost Components_9-9-05_Rate Sheet v29 - 0623 for billing" xfId="583"/>
    <cellStyle name="_Server Cost Components_9-9-05_Rate Sheet v30 - 0623" xfId="584"/>
    <cellStyle name="_Server Cost Components_9-9-05_Rate Sheet v33 - 0725" xfId="585"/>
    <cellStyle name="_Server Cost Components_9-9-05_Rate Sheet v34 - 0817" xfId="586"/>
    <cellStyle name="_Server Cost Components_9-9-05_Rate Sheet v35 - 0823 - YTD adjust" xfId="587"/>
    <cellStyle name="_Server Cost Components_9-9-05_Rate Sheet v36 - 0831 - b" xfId="588"/>
    <cellStyle name="_Server Cost Components_9-9-05_Rate Sheet v36b - 0831" xfId="589"/>
    <cellStyle name="_Server Cost Components_9-9-05_Rate Sheet v39 - 1019" xfId="590"/>
    <cellStyle name="_Server Cost Components_9-9-05_Rate Sheet v40 - 1114" xfId="591"/>
    <cellStyle name="_Sheet1" xfId="592"/>
    <cellStyle name="_Sheet3" xfId="593"/>
    <cellStyle name="_SITE Debt" xfId="594"/>
    <cellStyle name="_Soft Cap Deferral Support 0505" xfId="595"/>
    <cellStyle name="_Software Cap Comparisons 0405" xfId="596"/>
    <cellStyle name="_SubHeading" xfId="597"/>
    <cellStyle name="_SubHeading_Bisys valuation v34 C" xfId="598"/>
    <cellStyle name="_SubHeading_Book2" xfId="599"/>
    <cellStyle name="_SubHeading_prestemp" xfId="600"/>
    <cellStyle name="_SubHeading_prestemp_Sparrow 020807 Internal projections" xfId="601"/>
    <cellStyle name="_SubHeading_Project Intrepid Precedents_v01" xfId="602"/>
    <cellStyle name="_Summary Comps - Olympus 10.16.05 (AW version) v2" xfId="603"/>
    <cellStyle name="_SUN Model 092606 9am" xfId="604"/>
    <cellStyle name="_Table" xfId="605"/>
    <cellStyle name="_Table_Bisys valuation v34 C" xfId="606"/>
    <cellStyle name="_Table_Book2" xfId="607"/>
    <cellStyle name="_Table_Project Intrepid M&amp;A v1.0" xfId="608"/>
    <cellStyle name="_Table_Project Intrepid Model v7.3" xfId="609"/>
    <cellStyle name="_Table_Project Intrepid Precedents_v01" xfId="610"/>
    <cellStyle name="_Table_Project Intrepid_v022" xfId="611"/>
    <cellStyle name="_TableHead" xfId="612"/>
    <cellStyle name="_TableHead_Bisys valuation v34 C" xfId="613"/>
    <cellStyle name="_TableHead_Book2" xfId="614"/>
    <cellStyle name="_TableHead_Project Intrepid Precedents_v01" xfId="615"/>
    <cellStyle name="_TableRowHead" xfId="616"/>
    <cellStyle name="_TableRowHead_Bisys valuation v34 C" xfId="617"/>
    <cellStyle name="_TableRowHead_Book2" xfId="618"/>
    <cellStyle name="_TableRowHead_Project Intrepid Precedents_v01" xfId="619"/>
    <cellStyle name="_TableSuperHead" xfId="620"/>
    <cellStyle name="_TableSuperHead_Bisys valuation v34 C" xfId="621"/>
    <cellStyle name="_TableSuperHead_Book2" xfId="622"/>
    <cellStyle name="_TableSuperHead_Project Intrepid M&amp;A v1.0" xfId="623"/>
    <cellStyle name="_TableSuperHead_Project Intrepid Model v7.3" xfId="624"/>
    <cellStyle name="_TableSuperHead_Project Intrepid Precedents_v01" xfId="625"/>
    <cellStyle name="_TableSuperHead_Project Intrepid_v022" xfId="626"/>
    <cellStyle name="_Targets_sent" xfId="627"/>
    <cellStyle name="_TI Data for Walt Review - 04.04.05" xfId="628"/>
    <cellStyle name="_TI Unit rates_05  06" xfId="629"/>
    <cellStyle name="_TI Unit rates_05  06_2010 Final Rates vs  2009_Aug06 - Japan" xfId="630"/>
    <cellStyle name="_Total Exp Br Brazil" xfId="631"/>
    <cellStyle name="_Trans rev" xfId="632"/>
    <cellStyle name="_Trans rev_Sparrow 020807 Internal projections" xfId="633"/>
    <cellStyle name="_Unit Cost" xfId="634"/>
    <cellStyle name="_US Consumer Investments - half year 08 options - GB rev" xfId="635"/>
    <cellStyle name="_Vacantes x cubrir (2007) (BAU) Marce Gonzalez010307" xfId="636"/>
    <cellStyle name="_Working Liquidity" xfId="637"/>
    <cellStyle name="¡E￠cE?￠®E¡Ec￠®¡×I¡E￠c￠®¡¿ui¡E￠c￠®¡¿¡E￠c¨I¡ⓒ￠®E¡Eci CIAI¡E￠c￠®¡¿￠®E¡EcU¡E￠cE¡E￠c¨I¡ⓒ¡E￠cIiA¡E￠c￠®¡¿I" xfId="638"/>
    <cellStyle name="£ BP" xfId="639"/>
    <cellStyle name="¤@¯ë_pldt" xfId="640"/>
    <cellStyle name="¥ JY" xfId="641"/>
    <cellStyle name="=C:\WINDOWS\SYSTEM32\COMMAND.COM" xfId="1899"/>
    <cellStyle name="=C:\WINNT\SYSTEM32\COMMAND.COM" xfId="642"/>
    <cellStyle name="=C:\WINNT\SYSTEM32\COMMAND.COM 2" xfId="1900"/>
    <cellStyle name="=C:\WINNT35\SYSTEM32\COMMAND.COM" xfId="643"/>
    <cellStyle name="¶W³sµ²" xfId="644"/>
    <cellStyle name="•\Ž¦Ï‚Ý‚ÌƒnƒCƒp[ƒŠƒ“ƒN" xfId="645"/>
    <cellStyle name="•W€_# of Branches '98 to '01" xfId="646"/>
    <cellStyle name="•W€_•‰Â" xfId="647"/>
    <cellStyle name="æØè [0.00]_PRODUCT DETAIL Q1" xfId="648"/>
    <cellStyle name="æØè_PRODUCT DETAIL Q1" xfId="649"/>
    <cellStyle name="ÊÝ [0.00]_PRODUCT DETAIL Q1" xfId="650"/>
    <cellStyle name="ÊÝ_PRODUCT DETAIL Q1" xfId="651"/>
    <cellStyle name="W?_BOOKSHIP" xfId="652"/>
    <cellStyle name="W_Â" xfId="653"/>
    <cellStyle name="0,0_x000d__x000a_NA_x000d__x000a_" xfId="654"/>
    <cellStyle name="01_Text ranged right" xfId="655"/>
    <cellStyle name="02_Dates" xfId="656"/>
    <cellStyle name="2" xfId="657"/>
    <cellStyle name="2_M&amp;A Page" xfId="658"/>
    <cellStyle name="20% - Accent1 2" xfId="659"/>
    <cellStyle name="20% - Accent1 3" xfId="660"/>
    <cellStyle name="20% - Accent1 4" xfId="661"/>
    <cellStyle name="20% - Accent1 5" xfId="662"/>
    <cellStyle name="20% - Accent2 2" xfId="663"/>
    <cellStyle name="20% - Accent2 3" xfId="664"/>
    <cellStyle name="20% - Accent2 4" xfId="665"/>
    <cellStyle name="20% - Accent2 5" xfId="666"/>
    <cellStyle name="20% - Accent3 2" xfId="667"/>
    <cellStyle name="20% - Accent3 3" xfId="668"/>
    <cellStyle name="20% - Accent3 4" xfId="669"/>
    <cellStyle name="20% - Accent3 5" xfId="670"/>
    <cellStyle name="20% - Accent4 2" xfId="671"/>
    <cellStyle name="20% - Accent4 3" xfId="672"/>
    <cellStyle name="20% - Accent4 4" xfId="673"/>
    <cellStyle name="20% - Accent4 5" xfId="674"/>
    <cellStyle name="20% - Accent5 2" xfId="675"/>
    <cellStyle name="20% - Accent5 3" xfId="676"/>
    <cellStyle name="20% - Accent5 4" xfId="677"/>
    <cellStyle name="20% - Accent5 5" xfId="678"/>
    <cellStyle name="20% - Accent6 2" xfId="679"/>
    <cellStyle name="20% - Accent6 3" xfId="680"/>
    <cellStyle name="20% - Accent6 4" xfId="681"/>
    <cellStyle name="20% - Accent6 5" xfId="682"/>
    <cellStyle name="20% - 강조색1" xfId="1901"/>
    <cellStyle name="20% - 강조색2" xfId="1902"/>
    <cellStyle name="20% - 강조색3" xfId="1903"/>
    <cellStyle name="20% - 강조색4" xfId="1904"/>
    <cellStyle name="20% - 강조색5" xfId="1905"/>
    <cellStyle name="20% - 강조색6" xfId="1906"/>
    <cellStyle name="³f¹ô [0]_ATT4" xfId="683"/>
    <cellStyle name="³f¹ô[0]_Template 12 - Bank (3)" xfId="684"/>
    <cellStyle name="³f¹ô_ATT4" xfId="685"/>
    <cellStyle name="40% - Accent1 2" xfId="686"/>
    <cellStyle name="40% - Accent1 3" xfId="687"/>
    <cellStyle name="40% - Accent1 4" xfId="688"/>
    <cellStyle name="40% - Accent1 5" xfId="689"/>
    <cellStyle name="40% - Accent2 2" xfId="690"/>
    <cellStyle name="40% - Accent2 3" xfId="691"/>
    <cellStyle name="40% - Accent2 4" xfId="692"/>
    <cellStyle name="40% - Accent2 5" xfId="693"/>
    <cellStyle name="40% - Accent3 2" xfId="694"/>
    <cellStyle name="40% - Accent3 3" xfId="695"/>
    <cellStyle name="40% - Accent3 4" xfId="696"/>
    <cellStyle name="40% - Accent3 5" xfId="697"/>
    <cellStyle name="40% - Accent4 2" xfId="698"/>
    <cellStyle name="40% - Accent4 3" xfId="699"/>
    <cellStyle name="40% - Accent4 4" xfId="700"/>
    <cellStyle name="40% - Accent4 5" xfId="701"/>
    <cellStyle name="40% - Accent5 2" xfId="702"/>
    <cellStyle name="40% - Accent5 3" xfId="703"/>
    <cellStyle name="40% - Accent5 4" xfId="704"/>
    <cellStyle name="40% - Accent5 5" xfId="705"/>
    <cellStyle name="40% - Accent6 2" xfId="706"/>
    <cellStyle name="40% - Accent6 3" xfId="707"/>
    <cellStyle name="40% - Accent6 4" xfId="708"/>
    <cellStyle name="40% - Accent6 5" xfId="709"/>
    <cellStyle name="40% - 강조색1" xfId="1907"/>
    <cellStyle name="40% - 강조색2" xfId="1908"/>
    <cellStyle name="40% - 강조색3" xfId="1909"/>
    <cellStyle name="40% - 강조색4" xfId="1910"/>
    <cellStyle name="40% - 강조색5" xfId="1911"/>
    <cellStyle name="40% - 강조색6" xfId="1912"/>
    <cellStyle name="60% - Accent1 2" xfId="710"/>
    <cellStyle name="60% - Accent1 3" xfId="711"/>
    <cellStyle name="60% - Accent1 4" xfId="712"/>
    <cellStyle name="60% - Accent2 2" xfId="713"/>
    <cellStyle name="60% - Accent2 3" xfId="714"/>
    <cellStyle name="60% - Accent2 4" xfId="715"/>
    <cellStyle name="60% - Accent3 2" xfId="716"/>
    <cellStyle name="60% - Accent3 3" xfId="717"/>
    <cellStyle name="60% - Accent3 4" xfId="718"/>
    <cellStyle name="60% - Accent4 2" xfId="719"/>
    <cellStyle name="60% - Accent4 3" xfId="720"/>
    <cellStyle name="60% - Accent4 4" xfId="721"/>
    <cellStyle name="60% - Accent5 2" xfId="722"/>
    <cellStyle name="60% - Accent5 3" xfId="723"/>
    <cellStyle name="60% - Accent5 4" xfId="724"/>
    <cellStyle name="60% - Accent6 2" xfId="725"/>
    <cellStyle name="60% - Accent6 3" xfId="726"/>
    <cellStyle name="60% - Accent6 4" xfId="727"/>
    <cellStyle name="60% - 강조색1" xfId="1913"/>
    <cellStyle name="60% - 강조색2" xfId="1914"/>
    <cellStyle name="60% - 강조색3" xfId="1915"/>
    <cellStyle name="60% - 강조색4" xfId="1916"/>
    <cellStyle name="60% - 강조색5" xfId="1917"/>
    <cellStyle name="60% - 강조색6" xfId="1918"/>
    <cellStyle name="9999/99/99" xfId="728"/>
    <cellStyle name="A¡E￠cE￠®EcE?￠®E¡EcE¡E￠cEc¡E￠cE￠®Ec¡E￠cE?¡E￠cE￠®EcE?¡E￠cE￠®Ec￠®E¡Ec¡E￠c¡E?I¡E￠cE￠®EcE?E¡E￠cE￠®EcE?￠®E¡Ec¡E￠c￠®￠?I¡E￠cE￠®Ec¡E￠c￠®¡¿I¡E￠cE￠®EcE?EO [0]_laroux" xfId="729"/>
    <cellStyle name="A¡E￠cE￠®EcE?￠®E¡EcE¡E￠cEc¡E￠cE￠®Ec¡E￠cE?¡E￠cE￠®EcE?¡E￠cE￠®Ec￠®E¡Ec¡E￠c¡E?I¡E￠cE￠®EcE?E¡E￠cE￠®EcE?￠®E¡Ec¡E￠c￠®￠?I¡E￠cE￠®Ec¡E￠c￠®¡¿I¡E￠cE￠®EcE?EO_laroux" xfId="730"/>
    <cellStyle name="ac" xfId="731"/>
    <cellStyle name="Accent1 2" xfId="732"/>
    <cellStyle name="Accent1 3" xfId="733"/>
    <cellStyle name="Accent1 4" xfId="734"/>
    <cellStyle name="Accent2 2" xfId="735"/>
    <cellStyle name="Accent2 3" xfId="736"/>
    <cellStyle name="Accent2 4" xfId="737"/>
    <cellStyle name="Accent3 2" xfId="738"/>
    <cellStyle name="Accent3 3" xfId="739"/>
    <cellStyle name="Accent3 4" xfId="740"/>
    <cellStyle name="Accent4 2" xfId="741"/>
    <cellStyle name="Accent4 3" xfId="742"/>
    <cellStyle name="Accent4 4" xfId="743"/>
    <cellStyle name="Accent5 2" xfId="744"/>
    <cellStyle name="Accent5 3" xfId="745"/>
    <cellStyle name="Accent5 4" xfId="746"/>
    <cellStyle name="Accent6 2" xfId="747"/>
    <cellStyle name="Accent6 3" xfId="748"/>
    <cellStyle name="Accent6 4" xfId="749"/>
    <cellStyle name="actuals" xfId="750"/>
    <cellStyle name="ÅëÈ­ [0]_¸ÅÃâ" xfId="751"/>
    <cellStyle name="AeE­ [0]_¼OAI¿¹≫e" xfId="752"/>
    <cellStyle name="ÅëÈ­ [0]_FYF10-OLP" xfId="753"/>
    <cellStyle name="ÅëÈ­_¸ÅÃâ" xfId="754"/>
    <cellStyle name="AeE­_¼OAI¿¹≫e" xfId="755"/>
    <cellStyle name="ÅëÈ­_FYF10-OLP" xfId="756"/>
    <cellStyle name="AeE￠®E¡EcE¡E￠cEcER￠®E¡EcE¡E￠cEc¡E￠cE￠®Ec￠®E¡Ec￠®E?I [0]_laroux" xfId="757"/>
    <cellStyle name="AeE￠®E¡EcE¡E￠cEcER￠®E¡EcE¡E￠cEc¡E￠cE￠®Ec￠®E¡Ec￠®E?I_laroux" xfId="758"/>
    <cellStyle name="ÀH«áªº¶W³sµ²" xfId="759"/>
    <cellStyle name="args.style" xfId="760"/>
    <cellStyle name="assumption" xfId="761"/>
    <cellStyle name="ÄÞ¸¶ [0]_¸ÅÃâ" xfId="762"/>
    <cellStyle name="AÞ¸¶ [0]_¼OAI¿¹≫e" xfId="763"/>
    <cellStyle name="ÄÞ¸¶ [0]_FYF10-OLP" xfId="764"/>
    <cellStyle name="ÄÞ¸¶_¸ÅÃâ" xfId="765"/>
    <cellStyle name="AÞ¸¶_¼OAI¿¹≫e" xfId="766"/>
    <cellStyle name="ÄÞ¸¶_FYF10-OLP" xfId="767"/>
    <cellStyle name="auto" xfId="768"/>
    <cellStyle name="Background" xfId="769"/>
    <cellStyle name="Bad 2" xfId="770"/>
    <cellStyle name="Bad 3" xfId="771"/>
    <cellStyle name="Bad 4" xfId="772"/>
    <cellStyle name="banner" xfId="773"/>
    <cellStyle name="Black Text" xfId="774"/>
    <cellStyle name="Black Text (No Wrap)" xfId="775"/>
    <cellStyle name="Blue Text" xfId="776"/>
    <cellStyle name="Blue Text - Ariel 10" xfId="777"/>
    <cellStyle name="bluenodec" xfId="778"/>
    <cellStyle name="bluepercent" xfId="779"/>
    <cellStyle name="Body" xfId="780"/>
    <cellStyle name="BOLD TITLES" xfId="781"/>
    <cellStyle name="Bold/Border" xfId="782"/>
    <cellStyle name="Bol-Data" xfId="783"/>
    <cellStyle name="bolet" xfId="784"/>
    <cellStyle name="Border" xfId="785"/>
    <cellStyle name="Border Heavy" xfId="786"/>
    <cellStyle name="Border Thin" xfId="787"/>
    <cellStyle name="Border_M&amp;A Page" xfId="788"/>
    <cellStyle name="Bottom Edge" xfId="789"/>
    <cellStyle name="Brand Default" xfId="790"/>
    <cellStyle name="Bullet" xfId="791"/>
    <cellStyle name="Business Description" xfId="792"/>
    <cellStyle name="Buttons" xfId="793"/>
    <cellStyle name="bvshr$" xfId="794"/>
    <cellStyle name="c" xfId="795"/>
    <cellStyle name="c_HardInc " xfId="796"/>
    <cellStyle name="c_HardInc _Bonus Comparison Model 7-1-04v11" xfId="797"/>
    <cellStyle name="c_HardInc _ML_Nov_Flash_By Entity_2" xfId="798"/>
    <cellStyle name="c_HardInc _ML_Nov_Flash_By Entity_2_December Bonus Model" xfId="799"/>
    <cellStyle name="c_HardInc _ML_Nov_Flash_By Entity_2_December Bonus Model fay" xfId="800"/>
    <cellStyle name="c_HardInc _ML_Nov_Flash_By Entity_2_ML_Dec_Flash" xfId="801"/>
    <cellStyle name="c_HardInc _ML_Nov_Flash_By Entity_2_new bonus methodology to ed" xfId="802"/>
    <cellStyle name="c_HardInc _ML_Nov_Flash_By Entity_2_Nov BS accruals - bonus" xfId="803"/>
    <cellStyle name="c_SITE Debt" xfId="804"/>
    <cellStyle name="c_SITE Debt_Bonus Comparison Model 7-1-04v11" xfId="805"/>
    <cellStyle name="c_SITE Debt_ML_Nov_Flash_By Entity_2" xfId="806"/>
    <cellStyle name="c_SITE Debt_ML_Nov_Flash_By Entity_2_December Bonus Model" xfId="807"/>
    <cellStyle name="c_SITE Debt_ML_Nov_Flash_By Entity_2_December Bonus Model fay" xfId="808"/>
    <cellStyle name="c_SITE Debt_ML_Nov_Flash_By Entity_2_ML_Dec_Flash" xfId="809"/>
    <cellStyle name="c_SITE Debt_ML_Nov_Flash_By Entity_2_new bonus methodology to ed" xfId="810"/>
    <cellStyle name="c_SITE Debt_ML_Nov_Flash_By Entity_2_Nov BS accruals - bonus" xfId="811"/>
    <cellStyle name="c_Working Liquidity" xfId="812"/>
    <cellStyle name="c_Working Liquidity_Bonus Comparison Model 7-1-04v11" xfId="813"/>
    <cellStyle name="c_Working Liquidity_ML_Nov_Flash_By Entity_2" xfId="814"/>
    <cellStyle name="c_Working Liquidity_ML_Nov_Flash_By Entity_2_December Bonus Model" xfId="815"/>
    <cellStyle name="c_Working Liquidity_ML_Nov_Flash_By Entity_2_December Bonus Model fay" xfId="816"/>
    <cellStyle name="c_Working Liquidity_ML_Nov_Flash_By Entity_2_ML_Dec_Flash" xfId="817"/>
    <cellStyle name="c_Working Liquidity_ML_Nov_Flash_By Entity_2_new bonus methodology to ed" xfId="818"/>
    <cellStyle name="c_Working Liquidity_ML_Nov_Flash_By Entity_2_Nov BS accruals - bonus" xfId="819"/>
    <cellStyle name="C￠®E¡EcE¡E￠cEcERIA¡E￠cE￠®EcE?￠®E¡EcE¡E￠cEc¡E￠cE￠®Ec¡E￠cE?￠®E¡EcE¡E￠cEc¡E￠cE￠®Ec￠®E¡Ec￠®E?￠®E¡EcE¡E￠cEcI_laroux" xfId="820"/>
    <cellStyle name="Ç¥ÁØ_(Á¤º¸ºÎ¹®)¿ùº°ÀÎ¿ø°èÈ¹" xfId="821"/>
    <cellStyle name="C￥AØ_¿u°￡¿a¾aº¸°i" xfId="822"/>
    <cellStyle name="Ç¥ÁØ_FYF10-OLP" xfId="823"/>
    <cellStyle name="Cabecera 1" xfId="824"/>
    <cellStyle name="Cabecera 2" xfId="825"/>
    <cellStyle name="Calc Currency (0)" xfId="826"/>
    <cellStyle name="Calc Currency (0) 2" xfId="827"/>
    <cellStyle name="Calc Currency (0) 3" xfId="828"/>
    <cellStyle name="Calc Currency (0) 4" xfId="829"/>
    <cellStyle name="Calc Currency (0) 5" xfId="1919"/>
    <cellStyle name="Calc Currency (2)" xfId="830"/>
    <cellStyle name="Calc Currency (2) 2" xfId="831"/>
    <cellStyle name="Calc Currency (2) 3" xfId="832"/>
    <cellStyle name="Calc Currency (2) 4" xfId="833"/>
    <cellStyle name="Calc Percent (0)" xfId="834"/>
    <cellStyle name="Calc Percent (0) 2" xfId="835"/>
    <cellStyle name="Calc Percent (0) 3" xfId="836"/>
    <cellStyle name="Calc Percent (0) 4" xfId="837"/>
    <cellStyle name="Calc Percent (1)" xfId="838"/>
    <cellStyle name="Calc Percent (1) 2" xfId="839"/>
    <cellStyle name="Calc Percent (1) 3" xfId="840"/>
    <cellStyle name="Calc Percent (1) 4" xfId="841"/>
    <cellStyle name="Calc Percent (2)" xfId="842"/>
    <cellStyle name="Calc Percent (2) 2" xfId="843"/>
    <cellStyle name="Calc Percent (2) 3" xfId="844"/>
    <cellStyle name="Calc Percent (2) 4" xfId="845"/>
    <cellStyle name="Calc Units (0)" xfId="846"/>
    <cellStyle name="Calc Units (0) 2" xfId="847"/>
    <cellStyle name="Calc Units (0) 3" xfId="848"/>
    <cellStyle name="Calc Units (0) 4" xfId="849"/>
    <cellStyle name="Calc Units (1)" xfId="850"/>
    <cellStyle name="Calc Units (1) 2" xfId="851"/>
    <cellStyle name="Calc Units (1) 3" xfId="852"/>
    <cellStyle name="Calc Units (1) 4" xfId="853"/>
    <cellStyle name="Calc Units (2)" xfId="854"/>
    <cellStyle name="Calc Units (2) 2" xfId="855"/>
    <cellStyle name="Calc Units (2) 3" xfId="856"/>
    <cellStyle name="Calc Units (2) 4" xfId="857"/>
    <cellStyle name="Calculation 2" xfId="858"/>
    <cellStyle name="Calculation 3" xfId="859"/>
    <cellStyle name="Calculation 4" xfId="860"/>
    <cellStyle name="Cambiar to&amp;do" xfId="861"/>
    <cellStyle name="category" xfId="862"/>
    <cellStyle name="Centered Heading" xfId="863"/>
    <cellStyle name="Cents" xfId="864"/>
    <cellStyle name="CFnozeros" xfId="865"/>
    <cellStyle name="CFtotal$" xfId="866"/>
    <cellStyle name="Change A&amp;ll" xfId="867"/>
    <cellStyle name="Characteristic" xfId="868"/>
    <cellStyle name="Characteristic 2" xfId="869"/>
    <cellStyle name="CharactGroup" xfId="870"/>
    <cellStyle name="CharactNote" xfId="871"/>
    <cellStyle name="CharactNote 2" xfId="872"/>
    <cellStyle name="CharactType" xfId="873"/>
    <cellStyle name="CharactType 2" xfId="874"/>
    <cellStyle name="CharactValue" xfId="875"/>
    <cellStyle name="CharactValueNote" xfId="876"/>
    <cellStyle name="CharactValueNote 2" xfId="877"/>
    <cellStyle name="CharShortType" xfId="878"/>
    <cellStyle name="ChartingText" xfId="879"/>
    <cellStyle name="CHECK" xfId="880"/>
    <cellStyle name="Check Cell 2" xfId="881"/>
    <cellStyle name="Check Cell 3" xfId="882"/>
    <cellStyle name="Check Cell 4" xfId="883"/>
    <cellStyle name="CIAI¡E￠c￠®¡¿￠®E¡EcU¡E￠cE¡E￠c¨I¡ⓒ¡E￠cIiA¡E￠c￠®¡¿I" xfId="884"/>
    <cellStyle name="CLEAR" xfId="885"/>
    <cellStyle name="Client" xfId="886"/>
    <cellStyle name="Co. Names" xfId="887"/>
    <cellStyle name="COLUMN TITLES" xfId="888"/>
    <cellStyle name="Column_Title" xfId="889"/>
    <cellStyle name="column1" xfId="890"/>
    <cellStyle name="column1BigNoWrap" xfId="891"/>
    <cellStyle name="column1Date" xfId="892"/>
    <cellStyle name="column2Date" xfId="893"/>
    <cellStyle name="column3Date" xfId="894"/>
    <cellStyle name="ColumnHeaderNormal" xfId="895"/>
    <cellStyle name="ComƖ_x0001_" xfId="896"/>
    <cellStyle name="Comma" xfId="2100" builtinId="3"/>
    <cellStyle name="Comma  - Estilo1" xfId="897"/>
    <cellStyle name="Comma  - Estilo2" xfId="898"/>
    <cellStyle name="Comma  - Estilo3" xfId="899"/>
    <cellStyle name="Comma  - Estilo4" xfId="900"/>
    <cellStyle name="Comma  - Estilo5" xfId="901"/>
    <cellStyle name="Comma  - Estilo6" xfId="902"/>
    <cellStyle name="Comma  - Estilo7" xfId="903"/>
    <cellStyle name="Comma  - Estilo8" xfId="904"/>
    <cellStyle name="Comma  - Style1" xfId="905"/>
    <cellStyle name="Comma  - Style2" xfId="906"/>
    <cellStyle name="Comma  - Style3" xfId="907"/>
    <cellStyle name="Comma  - Style4" xfId="908"/>
    <cellStyle name="Comma  - Style5" xfId="909"/>
    <cellStyle name="Comma  - Style6" xfId="910"/>
    <cellStyle name="Comma  - Style7" xfId="911"/>
    <cellStyle name="Comma  - Style8" xfId="912"/>
    <cellStyle name="Comma (1)" xfId="913"/>
    <cellStyle name="Comma [0] 2" xfId="2026"/>
    <cellStyle name="Comma [00]" xfId="914"/>
    <cellStyle name="Comma [00] 2" xfId="915"/>
    <cellStyle name="Comma [00] 3" xfId="916"/>
    <cellStyle name="Comma [00] 4" xfId="917"/>
    <cellStyle name="Comma [1]" xfId="918"/>
    <cellStyle name="Comma 0" xfId="919"/>
    <cellStyle name="Comma 0*" xfId="920"/>
    <cellStyle name="Comma 0_$ M-cap" xfId="921"/>
    <cellStyle name="Comma 10" xfId="922"/>
    <cellStyle name="Comma 11" xfId="923"/>
    <cellStyle name="Comma 12" xfId="924"/>
    <cellStyle name="Comma 13" xfId="925"/>
    <cellStyle name="Comma 14" xfId="926"/>
    <cellStyle name="Comma 15" xfId="927"/>
    <cellStyle name="Comma 16" xfId="928"/>
    <cellStyle name="Comma 17" xfId="929"/>
    <cellStyle name="Comma 18" xfId="930"/>
    <cellStyle name="Comma 19" xfId="931"/>
    <cellStyle name="Comma 2" xfId="932"/>
    <cellStyle name="Comma 2 10" xfId="933"/>
    <cellStyle name="Comma 2 2" xfId="934"/>
    <cellStyle name="Comma 2 3" xfId="935"/>
    <cellStyle name="Comma 2 4" xfId="936"/>
    <cellStyle name="Comma 2 5" xfId="1888"/>
    <cellStyle name="Comma 2*" xfId="937"/>
    <cellStyle name="Comma 2_Summary by business example" xfId="938"/>
    <cellStyle name="Comma 20" xfId="939"/>
    <cellStyle name="Comma 21" xfId="940"/>
    <cellStyle name="Comma 22" xfId="941"/>
    <cellStyle name="Comma 23" xfId="942"/>
    <cellStyle name="Comma 24" xfId="943"/>
    <cellStyle name="Comma 25" xfId="944"/>
    <cellStyle name="Comma 26" xfId="1880"/>
    <cellStyle name="Comma 27" xfId="1883"/>
    <cellStyle name="Comma 28" xfId="2027"/>
    <cellStyle name="Comma 29" xfId="2028"/>
    <cellStyle name="Comma 3" xfId="945"/>
    <cellStyle name="Comma 3 2" xfId="946"/>
    <cellStyle name="Comma 3 3" xfId="947"/>
    <cellStyle name="Comma 3 4" xfId="948"/>
    <cellStyle name="Comma 3 5" xfId="1920"/>
    <cellStyle name="Comma 3*" xfId="949"/>
    <cellStyle name="Comma 30" xfId="2029"/>
    <cellStyle name="Comma 31" xfId="2030"/>
    <cellStyle name="Comma 32" xfId="2031"/>
    <cellStyle name="Comma 33" xfId="2032"/>
    <cellStyle name="Comma 34" xfId="2033"/>
    <cellStyle name="Comma 35" xfId="2034"/>
    <cellStyle name="Comma 36" xfId="2035"/>
    <cellStyle name="Comma 37" xfId="2036"/>
    <cellStyle name="Comma 38" xfId="2038"/>
    <cellStyle name="Comma 38 2" xfId="2048"/>
    <cellStyle name="Comma 39" xfId="2042"/>
    <cellStyle name="Comma 4" xfId="950"/>
    <cellStyle name="Comma 4 2" xfId="1921"/>
    <cellStyle name="Comma 40" xfId="2044"/>
    <cellStyle name="Comma 41" xfId="2053"/>
    <cellStyle name="Comma 42" xfId="2065"/>
    <cellStyle name="Comma 43" xfId="2051"/>
    <cellStyle name="Comma 44" xfId="2070"/>
    <cellStyle name="Comma 45" xfId="2084"/>
    <cellStyle name="Comma 45 2" xfId="2097"/>
    <cellStyle name="Comma 46" xfId="2081"/>
    <cellStyle name="Comma 46 2" xfId="2094"/>
    <cellStyle name="Comma 47" xfId="2079"/>
    <cellStyle name="Comma 47 2" xfId="2092"/>
    <cellStyle name="Comma 48" xfId="2076"/>
    <cellStyle name="Comma 48 2" xfId="2089"/>
    <cellStyle name="Comma 49" xfId="2101"/>
    <cellStyle name="Comma 5" xfId="951"/>
    <cellStyle name="Comma 6" xfId="952"/>
    <cellStyle name="Comma 7" xfId="953"/>
    <cellStyle name="Comma 8" xfId="954"/>
    <cellStyle name="Comma 9" xfId="955"/>
    <cellStyle name="Comma Cents" xfId="956"/>
    <cellStyle name="comma zerodec" xfId="957"/>
    <cellStyle name="Comma*" xfId="958"/>
    <cellStyle name="COMMA, 0" xfId="959"/>
    <cellStyle name="Comma0" xfId="960"/>
    <cellStyle name="Comma0 - Modelo1" xfId="961"/>
    <cellStyle name="Comma0 - Style1" xfId="962"/>
    <cellStyle name="Comma0_M&amp;A Page" xfId="963"/>
    <cellStyle name="Comma1 - Modelo2" xfId="964"/>
    <cellStyle name="Comma1 - Style2" xfId="965"/>
    <cellStyle name="Comment" xfId="966"/>
    <cellStyle name="commit" xfId="967"/>
    <cellStyle name="Company Name" xfId="968"/>
    <cellStyle name="CompanyName" xfId="969"/>
    <cellStyle name="Component" xfId="970"/>
    <cellStyle name="Condition" xfId="971"/>
    <cellStyle name="Condition 2" xfId="972"/>
    <cellStyle name="CondMandatory" xfId="973"/>
    <cellStyle name="CondMandatory 2" xfId="974"/>
    <cellStyle name="Content1" xfId="975"/>
    <cellStyle name="Content1 2" xfId="976"/>
    <cellStyle name="Content2" xfId="977"/>
    <cellStyle name="Content3" xfId="978"/>
    <cellStyle name="Copied" xfId="979"/>
    <cellStyle name="Cover Date" xfId="980"/>
    <cellStyle name="Cover Subtitle" xfId="981"/>
    <cellStyle name="Cover Title" xfId="982"/>
    <cellStyle name="Cuadro 1" xfId="983"/>
    <cellStyle name="Cuadro 2" xfId="984"/>
    <cellStyle name="Currency" xfId="1" builtinId="4"/>
    <cellStyle name="Currency (1)" xfId="985"/>
    <cellStyle name="Currency [00]" xfId="986"/>
    <cellStyle name="Currency [00] 2" xfId="987"/>
    <cellStyle name="Currency [00] 3" xfId="988"/>
    <cellStyle name="Currency [00] 4" xfId="989"/>
    <cellStyle name="Currency [1]" xfId="990"/>
    <cellStyle name="Currency [2]" xfId="991"/>
    <cellStyle name="Currency 0" xfId="992"/>
    <cellStyle name="Currency 10" xfId="993"/>
    <cellStyle name="Currency 11" xfId="994"/>
    <cellStyle name="Currency 12" xfId="995"/>
    <cellStyle name="Currency 13" xfId="996"/>
    <cellStyle name="Currency 14" xfId="997"/>
    <cellStyle name="Currency 15" xfId="998"/>
    <cellStyle name="Currency 16" xfId="999"/>
    <cellStyle name="Currency 17" xfId="1000"/>
    <cellStyle name="Currency 18" xfId="1001"/>
    <cellStyle name="Currency 19" xfId="1002"/>
    <cellStyle name="Currency 2" xfId="1003"/>
    <cellStyle name="Currency 2 2" xfId="1922"/>
    <cellStyle name="Currency 2*" xfId="1004"/>
    <cellStyle name="Currency 2_(13) Japan" xfId="1005"/>
    <cellStyle name="Currency 20" xfId="1881"/>
    <cellStyle name="Currency 21" xfId="1884"/>
    <cellStyle name="Currency 22" xfId="2039"/>
    <cellStyle name="Currency 22 2" xfId="2049"/>
    <cellStyle name="Currency 23" xfId="2043"/>
    <cellStyle name="Currency 24" xfId="2046"/>
    <cellStyle name="Currency 25" xfId="2054"/>
    <cellStyle name="Currency 26" xfId="2064"/>
    <cellStyle name="Currency 27" xfId="2052"/>
    <cellStyle name="Currency 28" xfId="2071"/>
    <cellStyle name="Currency 29" xfId="2083"/>
    <cellStyle name="Currency 29 2" xfId="2096"/>
    <cellStyle name="Currency 3" xfId="1006"/>
    <cellStyle name="Currency 3*" xfId="1007"/>
    <cellStyle name="Currency 30" xfId="2080"/>
    <cellStyle name="Currency 30 2" xfId="2093"/>
    <cellStyle name="Currency 31" xfId="2077"/>
    <cellStyle name="Currency 31 2" xfId="2090"/>
    <cellStyle name="Currency 32" xfId="2074"/>
    <cellStyle name="Currency 32 2" xfId="2087"/>
    <cellStyle name="Currency 33" xfId="2073"/>
    <cellStyle name="Currency 34" xfId="2086"/>
    <cellStyle name="Currency 35" xfId="2072"/>
    <cellStyle name="Currency 36" xfId="2103"/>
    <cellStyle name="Currency 4" xfId="1008"/>
    <cellStyle name="Currency 4 2" xfId="1923"/>
    <cellStyle name="Currency 5" xfId="1009"/>
    <cellStyle name="Currency 5 2" xfId="1924"/>
    <cellStyle name="Currency 6" xfId="1010"/>
    <cellStyle name="Currency 6 2" xfId="1011"/>
    <cellStyle name="Currency 7" xfId="1012"/>
    <cellStyle name="Currency 8" xfId="1013"/>
    <cellStyle name="Currency 9" xfId="1014"/>
    <cellStyle name="Currency*" xfId="1015"/>
    <cellStyle name="Currency_2010 CTI NA Product Card (8-27)" xfId="1016"/>
    <cellStyle name="Currency0" xfId="1017"/>
    <cellStyle name="Currency1" xfId="1018"/>
    <cellStyle name="Currency2" xfId="1019"/>
    <cellStyle name="currencyi" xfId="1020"/>
    <cellStyle name="custeq" xfId="1021"/>
    <cellStyle name="Custom - Style1" xfId="1022"/>
    <cellStyle name="Dash" xfId="1023"/>
    <cellStyle name="Data" xfId="1024"/>
    <cellStyle name="Data   - Style2" xfId="1025"/>
    <cellStyle name="DataEntry" xfId="1026"/>
    <cellStyle name="DataEntry%" xfId="1027"/>
    <cellStyle name="Date" xfId="1028"/>
    <cellStyle name="Date 2" xfId="1029"/>
    <cellStyle name="Date 3" xfId="1030"/>
    <cellStyle name="Date 4" xfId="1031"/>
    <cellStyle name="Date Aligned" xfId="1032"/>
    <cellStyle name="Date Aligned*" xfId="1033"/>
    <cellStyle name="Date Aligned_050210 -Conavi Standalone_v11_a" xfId="1034"/>
    <cellStyle name="Date Short" xfId="1035"/>
    <cellStyle name="Date, mmm-yy" xfId="1036"/>
    <cellStyle name="Date_1Q04 Flash Template - Asia_version II" xfId="1037"/>
    <cellStyle name="DELTA" xfId="1038"/>
    <cellStyle name="DEnormalgray" xfId="1039"/>
    <cellStyle name="Dept Heading" xfId="1040"/>
    <cellStyle name="Description" xfId="1041"/>
    <cellStyle name="Dezimal__Utopia Index Index und Guidance (Deutsch)" xfId="1042"/>
    <cellStyle name="Dia" xfId="1043"/>
    <cellStyle name="Discount" xfId="1044"/>
    <cellStyle name="Discount 2" xfId="1045"/>
    <cellStyle name="DistributionType" xfId="1046"/>
    <cellStyle name="DistributionType 2" xfId="1047"/>
    <cellStyle name="dividend$" xfId="1048"/>
    <cellStyle name="dividends" xfId="1049"/>
    <cellStyle name="Dollar" xfId="1050"/>
    <cellStyle name="Dollar (zero dec)" xfId="1051"/>
    <cellStyle name="dollar_Gama Eqty_0808_80%" xfId="1052"/>
    <cellStyle name="Dollars" xfId="1053"/>
    <cellStyle name="Dotted Borders" xfId="1054"/>
    <cellStyle name="Dotted Line" xfId="1055"/>
    <cellStyle name="Dziesiętny [0]_Arkusz1" xfId="1056"/>
    <cellStyle name="Dziesiętny_Arkusz1" xfId="1057"/>
    <cellStyle name="Encabez1" xfId="1058"/>
    <cellStyle name="Encabez2" xfId="1059"/>
    <cellStyle name="Enter Currency (0)" xfId="1060"/>
    <cellStyle name="Enter Currency (0) 2" xfId="1061"/>
    <cellStyle name="Enter Currency (0) 3" xfId="1062"/>
    <cellStyle name="Enter Currency (0) 4" xfId="1063"/>
    <cellStyle name="Enter Currency (2)" xfId="1064"/>
    <cellStyle name="Enter Currency (2) 2" xfId="1065"/>
    <cellStyle name="Enter Currency (2) 3" xfId="1066"/>
    <cellStyle name="Enter Currency (2) 4" xfId="1067"/>
    <cellStyle name="Enter Units (0)" xfId="1068"/>
    <cellStyle name="Enter Units (0) 2" xfId="1069"/>
    <cellStyle name="Enter Units (0) 3" xfId="1070"/>
    <cellStyle name="Enter Units (0) 4" xfId="1071"/>
    <cellStyle name="Enter Units (1)" xfId="1072"/>
    <cellStyle name="Enter Units (1) 2" xfId="1073"/>
    <cellStyle name="Enter Units (1) 3" xfId="1074"/>
    <cellStyle name="Enter Units (1) 4" xfId="1075"/>
    <cellStyle name="Enter Units (2)" xfId="1076"/>
    <cellStyle name="Enter Units (2) 2" xfId="1077"/>
    <cellStyle name="Enter Units (2) 3" xfId="1078"/>
    <cellStyle name="Enter Units (2) 4" xfId="1079"/>
    <cellStyle name="Entered" xfId="1080"/>
    <cellStyle name="Entry" xfId="1081"/>
    <cellStyle name="eps$" xfId="1082"/>
    <cellStyle name="ER$AS" xfId="1083"/>
    <cellStyle name="ER$IS" xfId="1084"/>
    <cellStyle name="ER$IS (2)" xfId="1085"/>
    <cellStyle name="ER$IS_2003 OpRecon" xfId="1086"/>
    <cellStyle name="ERCOM" xfId="1087"/>
    <cellStyle name="erdivid" xfId="1088"/>
    <cellStyle name="ereps$" xfId="1089"/>
    <cellStyle name="ERIS" xfId="1090"/>
    <cellStyle name="ERnozeros" xfId="1091"/>
    <cellStyle name="ERtotal$" xfId="1092"/>
    <cellStyle name="Euro" xfId="1093"/>
    <cellStyle name="ew]_x000d__x000a_userName=em bkk fc_x000d__x000a_mailPath=L:\MAILVIEW\_x000d__x000a_wordWrapCol=70_x000d__x000a_timeZone=SNG_x000d__x000a_hoursFromGMT=8_x000d__x000a_dayLightSta" xfId="1094"/>
    <cellStyle name="Explanatory Text 2" xfId="1095"/>
    <cellStyle name="Explanatory Text 3" xfId="1096"/>
    <cellStyle name="Explanatory Text 4" xfId="1097"/>
    <cellStyle name="ExtRef_Date" xfId="1098"/>
    <cellStyle name="EY0dp" xfId="1099"/>
    <cellStyle name="EYColumnHeading" xfId="1100"/>
    <cellStyle name="EYnumber" xfId="1101"/>
    <cellStyle name="EYSheetHeader1" xfId="1102"/>
    <cellStyle name="EYtext" xfId="1103"/>
    <cellStyle name="F2" xfId="1104"/>
    <cellStyle name="F3" xfId="1105"/>
    <cellStyle name="F4" xfId="1106"/>
    <cellStyle name="F5" xfId="1107"/>
    <cellStyle name="F6" xfId="1108"/>
    <cellStyle name="F7" xfId="1109"/>
    <cellStyle name="F8" xfId="1110"/>
    <cellStyle name="Feature" xfId="1111"/>
    <cellStyle name="Fecha" xfId="1112"/>
    <cellStyle name="Fijo" xfId="1113"/>
    <cellStyle name="Financiero" xfId="1114"/>
    <cellStyle name="Fixed" xfId="1115"/>
    <cellStyle name="Flag" xfId="1116"/>
    <cellStyle name="ƒnƒCƒp[ƒŠƒ“ƒN" xfId="1117"/>
    <cellStyle name="fo]_x000d__x000a_UserName=Murat Zelef_x000d__x000a_UserCompany=Bumerang_x000d__x000a__x000d__x000a_[File Paths]_x000d__x000a_WorkingDirectory=C:\EQUIS\DLWIN_x000d__x000a_DownLoader=C" xfId="1118"/>
    <cellStyle name="Fonts" xfId="1119"/>
    <cellStyle name="Footer SBILogo1" xfId="1120"/>
    <cellStyle name="Footer SBILogo2" xfId="1121"/>
    <cellStyle name="Footnote" xfId="1122"/>
    <cellStyle name="Footnote Reference" xfId="1123"/>
    <cellStyle name="Footnote_% Change" xfId="1124"/>
    <cellStyle name="Footnotes" xfId="1125"/>
    <cellStyle name="Formulas" xfId="1126"/>
    <cellStyle name="Fraction Change" xfId="1127"/>
    <cellStyle name="Fractions" xfId="1128"/>
    <cellStyle name="GENARAL" xfId="1129"/>
    <cellStyle name="general" xfId="1130"/>
    <cellStyle name="Good 2" xfId="1131"/>
    <cellStyle name="Good 3" xfId="1132"/>
    <cellStyle name="Good 4" xfId="1133"/>
    <cellStyle name="grayText2" xfId="1134"/>
    <cellStyle name="grayText2Big" xfId="1135"/>
    <cellStyle name="Grey" xfId="1136"/>
    <cellStyle name="Group" xfId="1137"/>
    <cellStyle name="Group 2" xfId="1138"/>
    <cellStyle name="GroupNote" xfId="1139"/>
    <cellStyle name="Growth Rates/Margins" xfId="1140"/>
    <cellStyle name="Hard Percent" xfId="1141"/>
    <cellStyle name="Header" xfId="1142"/>
    <cellStyle name="Header Draft Stamp" xfId="1143"/>
    <cellStyle name="Header_% Change" xfId="1144"/>
    <cellStyle name="Header1" xfId="1145"/>
    <cellStyle name="Header2" xfId="1146"/>
    <cellStyle name="headers" xfId="1147"/>
    <cellStyle name="Heading" xfId="1148"/>
    <cellStyle name="Heading 1 2" xfId="1149"/>
    <cellStyle name="Heading 1 3" xfId="1150"/>
    <cellStyle name="Heading 1 4" xfId="1151"/>
    <cellStyle name="Heading 1 Above" xfId="1152"/>
    <cellStyle name="Heading 1+" xfId="1153"/>
    <cellStyle name="Heading 2 2" xfId="1154"/>
    <cellStyle name="Heading 2 3" xfId="1155"/>
    <cellStyle name="Heading 2 4" xfId="1156"/>
    <cellStyle name="Heading 2 Below" xfId="1157"/>
    <cellStyle name="Heading 2+" xfId="1158"/>
    <cellStyle name="Heading 3 2" xfId="1159"/>
    <cellStyle name="Heading 3 3" xfId="1160"/>
    <cellStyle name="Heading 3 4" xfId="1161"/>
    <cellStyle name="Heading 3+" xfId="1162"/>
    <cellStyle name="Heading 4 2" xfId="1163"/>
    <cellStyle name="Heading 4 3" xfId="1164"/>
    <cellStyle name="Heading 4 4" xfId="1165"/>
    <cellStyle name="Heading No Underline" xfId="1166"/>
    <cellStyle name="Heading With Underline" xfId="1167"/>
    <cellStyle name="Heading1" xfId="1168"/>
    <cellStyle name="Heading1 1" xfId="1169"/>
    <cellStyle name="Heading1 2" xfId="1170"/>
    <cellStyle name="Heading1 3" xfId="1171"/>
    <cellStyle name="Heading1 4" xfId="1172"/>
    <cellStyle name="Heading1_CIR Master January 2004(V 1.2 pqr restructure)" xfId="1173"/>
    <cellStyle name="Heading2" xfId="1174"/>
    <cellStyle name="Heading2 2" xfId="1175"/>
    <cellStyle name="Heading2 3" xfId="1176"/>
    <cellStyle name="Heading2 4" xfId="1177"/>
    <cellStyle name="Heading3" xfId="1178"/>
    <cellStyle name="Heading4" xfId="1179"/>
    <cellStyle name="Heading5" xfId="1180"/>
    <cellStyle name="HEADINGS" xfId="1181"/>
    <cellStyle name="HEADINGSTOP" xfId="1182"/>
    <cellStyle name="HeadlineStyle" xfId="1183"/>
    <cellStyle name="HeadlineStyleJustified" xfId="1184"/>
    <cellStyle name="Hiperłącze_Plan vs Actuals" xfId="1185"/>
    <cellStyle name="Hipervínculo_infomacroec 0103 ACS" xfId="1186"/>
    <cellStyle name="Horizontal" xfId="1187"/>
    <cellStyle name="Hyperlink" xfId="2" builtinId="8"/>
    <cellStyle name="Hyperlink 10" xfId="1925"/>
    <cellStyle name="Hyperlink 11" xfId="1926"/>
    <cellStyle name="Hyperlink 12" xfId="1927"/>
    <cellStyle name="Hyperlink 13" xfId="1928"/>
    <cellStyle name="Hyperlink 14" xfId="1929"/>
    <cellStyle name="Hyperlink 15" xfId="1930"/>
    <cellStyle name="Hyperlink 16" xfId="1931"/>
    <cellStyle name="Hyperlink 17" xfId="1932"/>
    <cellStyle name="Hyperlink 2" xfId="1933"/>
    <cellStyle name="Hyperlink 2 2" xfId="2055"/>
    <cellStyle name="Hyperlink 3" xfId="1934"/>
    <cellStyle name="Hyperlink 4" xfId="1935"/>
    <cellStyle name="Hyperlink 5" xfId="1936"/>
    <cellStyle name="Hyperlink 6" xfId="1937"/>
    <cellStyle name="Hyperlink 7" xfId="1938"/>
    <cellStyle name="Hyperlink 8" xfId="1939"/>
    <cellStyle name="Hyperlink 9" xfId="1940"/>
    <cellStyle name="Hyperlink seguido" xfId="1188"/>
    <cellStyle name="Indefinido" xfId="1189"/>
    <cellStyle name="Input [yellow]" xfId="1190"/>
    <cellStyle name="Input 10" xfId="1191"/>
    <cellStyle name="Input 11" xfId="1192"/>
    <cellStyle name="Input 12" xfId="1193"/>
    <cellStyle name="Input 13" xfId="1194"/>
    <cellStyle name="Input 14" xfId="1195"/>
    <cellStyle name="Input 15" xfId="1196"/>
    <cellStyle name="Input 16" xfId="1197"/>
    <cellStyle name="Input 17" xfId="1198"/>
    <cellStyle name="Input 18" xfId="1199"/>
    <cellStyle name="Input 19" xfId="1200"/>
    <cellStyle name="Input 2" xfId="1201"/>
    <cellStyle name="Input 20" xfId="1202"/>
    <cellStyle name="Input 3" xfId="1203"/>
    <cellStyle name="Input 4" xfId="1204"/>
    <cellStyle name="Input 5" xfId="1205"/>
    <cellStyle name="Input 6" xfId="1206"/>
    <cellStyle name="Input 7" xfId="1207"/>
    <cellStyle name="Input 8" xfId="1208"/>
    <cellStyle name="Input 9" xfId="1209"/>
    <cellStyle name="Input Box" xfId="1210"/>
    <cellStyle name="Input Currency" xfId="1211"/>
    <cellStyle name="Input Currency 2" xfId="1212"/>
    <cellStyle name="Input Currency_Marketing Services comps" xfId="1213"/>
    <cellStyle name="Input Multiple" xfId="1214"/>
    <cellStyle name="Input Percent" xfId="1215"/>
    <cellStyle name="InputBlueFont" xfId="1216"/>
    <cellStyle name="InputBlueFontLocked" xfId="1217"/>
    <cellStyle name="InputCurrency" xfId="1218"/>
    <cellStyle name="InputCurrency2" xfId="1219"/>
    <cellStyle name="InputDescriptions" xfId="1220"/>
    <cellStyle name="InputMultiple1" xfId="1221"/>
    <cellStyle name="InputPercent1" xfId="1222"/>
    <cellStyle name="Integer" xfId="1223"/>
    <cellStyle name="Introduction" xfId="1224"/>
    <cellStyle name="Invisible" xfId="1225"/>
    <cellStyle name="Item Descriptions" xfId="1226"/>
    <cellStyle name="Item Descriptions - Bold" xfId="1227"/>
    <cellStyle name="Item Descriptions_6079BX" xfId="1228"/>
    <cellStyle name="J_x0005__x0005_IJ_x0009__x001c__x0001__x0001__x0010__x0001_ဠ" xfId="1229"/>
    <cellStyle name="JunPref" xfId="1230"/>
    <cellStyle name="Labels - Style3" xfId="1231"/>
    <cellStyle name="leftStyle" xfId="1232"/>
    <cellStyle name="leftStyle2" xfId="1233"/>
    <cellStyle name="Level" xfId="1234"/>
    <cellStyle name="Level 2" xfId="1235"/>
    <cellStyle name="Lien hypertexte" xfId="1236"/>
    <cellStyle name="Lien hypertexte visité" xfId="1237"/>
    <cellStyle name="Line - Style2" xfId="1238"/>
    <cellStyle name="LineX - Style3" xfId="1239"/>
    <cellStyle name="Link Currency (0)" xfId="1240"/>
    <cellStyle name="Link Currency (0) 2" xfId="1241"/>
    <cellStyle name="Link Currency (0) 3" xfId="1242"/>
    <cellStyle name="Link Currency (0) 4" xfId="1243"/>
    <cellStyle name="Link Currency (2)" xfId="1244"/>
    <cellStyle name="Link Currency (2) 2" xfId="1245"/>
    <cellStyle name="Link Currency (2) 3" xfId="1246"/>
    <cellStyle name="Link Currency (2) 4" xfId="1247"/>
    <cellStyle name="Link Units (0)" xfId="1248"/>
    <cellStyle name="Link Units (0) 2" xfId="1249"/>
    <cellStyle name="Link Units (0) 3" xfId="1250"/>
    <cellStyle name="Link Units (0) 4" xfId="1251"/>
    <cellStyle name="Link Units (1)" xfId="1252"/>
    <cellStyle name="Link Units (1) 2" xfId="1253"/>
    <cellStyle name="Link Units (1) 3" xfId="1254"/>
    <cellStyle name="Link Units (1) 4" xfId="1255"/>
    <cellStyle name="Link Units (2)" xfId="1256"/>
    <cellStyle name="Link Units (2) 2" xfId="1257"/>
    <cellStyle name="Link Units (2) 3" xfId="1258"/>
    <cellStyle name="Link Units (2) 4" xfId="1259"/>
    <cellStyle name="Linked Cell 2" xfId="1260"/>
    <cellStyle name="Linked Cell 3" xfId="1261"/>
    <cellStyle name="Linked Cell 4" xfId="1262"/>
    <cellStyle name="lisa" xfId="1263"/>
    <cellStyle name="marked" xfId="1264"/>
    <cellStyle name="MICRO BOSTON" xfId="1265"/>
    <cellStyle name="Millares [0]_~2238270" xfId="1266"/>
    <cellStyle name="Millares_092000" xfId="1267"/>
    <cellStyle name="Milliers [0]_BOA_M10R NOV 00" xfId="1268"/>
    <cellStyle name="Milliers_BO SYS Replacement 1104 (1)" xfId="1269"/>
    <cellStyle name="Model" xfId="1270"/>
    <cellStyle name="Moeda [0]" xfId="1271"/>
    <cellStyle name="Moeda_1" xfId="1272"/>
    <cellStyle name="Moneda [0]_10 AVERIAS MASIVAS + ANT" xfId="1273"/>
    <cellStyle name="Moneda_10 AVERIAS MASIVAS + ANT" xfId="1274"/>
    <cellStyle name="Monétaire [0]_BOA_M10R NOV 00" xfId="1275"/>
    <cellStyle name="Monétaire_BOA_M10R NOV 00" xfId="1276"/>
    <cellStyle name="Monetario" xfId="1277"/>
    <cellStyle name="Monetario0" xfId="1278"/>
    <cellStyle name="Multiple" xfId="1279"/>
    <cellStyle name="Multiple [0]" xfId="1280"/>
    <cellStyle name="Multiple [1]" xfId="1281"/>
    <cellStyle name="Multiple_% Change" xfId="1282"/>
    <cellStyle name="Multiple1" xfId="1283"/>
    <cellStyle name="MultipleBelow" xfId="1284"/>
    <cellStyle name="n.0" xfId="1285"/>
    <cellStyle name="n.1" xfId="1286"/>
    <cellStyle name="n.2" xfId="1287"/>
    <cellStyle name="n.3" xfId="1288"/>
    <cellStyle name="Ñ®w©q" xfId="1941"/>
    <cellStyle name="Neutral 2" xfId="1289"/>
    <cellStyle name="Neutral 3" xfId="1290"/>
    <cellStyle name="Neutral 4" xfId="1291"/>
    <cellStyle name="NewColumnHeaderNormal" xfId="1292"/>
    <cellStyle name="NewSectionHeaderNormal" xfId="1293"/>
    <cellStyle name="NewTitleNormal" xfId="1294"/>
    <cellStyle name="nnor" xfId="1295"/>
    <cellStyle name="nnormal" xfId="1296"/>
    <cellStyle name="no dec" xfId="1297"/>
    <cellStyle name="No-definido" xfId="1298"/>
    <cellStyle name="Nor}al" xfId="1942"/>
    <cellStyle name="Noríal_silicon_object_tcsi" xfId="1299"/>
    <cellStyle name="Normal" xfId="0" builtinId="0"/>
    <cellStyle name="Normal - Style1" xfId="1300"/>
    <cellStyle name="Normal - Style1 2" xfId="1301"/>
    <cellStyle name="Normal - Style1 2 2" xfId="1302"/>
    <cellStyle name="Normal - Style1 3" xfId="1303"/>
    <cellStyle name="Normal - Style1 4" xfId="1304"/>
    <cellStyle name="Normal - Style2" xfId="1305"/>
    <cellStyle name="Normal - Style3" xfId="1306"/>
    <cellStyle name="Normal - Style4" xfId="1307"/>
    <cellStyle name="Normal - Style5" xfId="1308"/>
    <cellStyle name="Normal - Style6" xfId="1309"/>
    <cellStyle name="Normal - Style7" xfId="1310"/>
    <cellStyle name="Normal - Style8" xfId="1311"/>
    <cellStyle name="Normal 0" xfId="1312"/>
    <cellStyle name="Normal 10" xfId="1313"/>
    <cellStyle name="Normal 10 2" xfId="1943"/>
    <cellStyle name="Normal 11" xfId="1314"/>
    <cellStyle name="Normal 11 2" xfId="1944"/>
    <cellStyle name="Normal 12" xfId="1315"/>
    <cellStyle name="Normal 12 2" xfId="1945"/>
    <cellStyle name="Normal 13" xfId="1316"/>
    <cellStyle name="Normal 13 2" xfId="1946"/>
    <cellStyle name="Normal 14" xfId="1317"/>
    <cellStyle name="Normal 14 2" xfId="1947"/>
    <cellStyle name="Normal 15" xfId="1318"/>
    <cellStyle name="Normal 15 2" xfId="1949"/>
    <cellStyle name="Normal 15 3" xfId="1948"/>
    <cellStyle name="Normal 15 4" xfId="2056"/>
    <cellStyle name="Normal 16" xfId="1319"/>
    <cellStyle name="Normal 16 2" xfId="1950"/>
    <cellStyle name="Normal 17" xfId="1320"/>
    <cellStyle name="Normal 17 2" xfId="1951"/>
    <cellStyle name="Normal 18" xfId="1321"/>
    <cellStyle name="Normal 18 2" xfId="1952"/>
    <cellStyle name="Normal 19" xfId="1322"/>
    <cellStyle name="Normal 19 2" xfId="1953"/>
    <cellStyle name="Normal 2" xfId="1323"/>
    <cellStyle name="Normal 2 10" xfId="1954"/>
    <cellStyle name="Normal 2 10 2" xfId="1955"/>
    <cellStyle name="Normal 2 11" xfId="1956"/>
    <cellStyle name="Normal 2 12" xfId="1957"/>
    <cellStyle name="Normal 2 12 2" xfId="1958"/>
    <cellStyle name="Normal 2 13" xfId="1959"/>
    <cellStyle name="Normal 2 14" xfId="1960"/>
    <cellStyle name="Normal 2 15" xfId="1961"/>
    <cellStyle name="Normal 2 16" xfId="1962"/>
    <cellStyle name="Normal 2 17" xfId="2057"/>
    <cellStyle name="Normal 2 2" xfId="1324"/>
    <cellStyle name="Normal 2 2 2" xfId="1963"/>
    <cellStyle name="Normal 2 2 3" xfId="2058"/>
    <cellStyle name="Normal 2 3" xfId="1325"/>
    <cellStyle name="Normal 2 3 2" xfId="1964"/>
    <cellStyle name="Normal 2 4" xfId="1326"/>
    <cellStyle name="Normal 2 4 2" xfId="1965"/>
    <cellStyle name="Normal 2 5" xfId="1327"/>
    <cellStyle name="Normal 2 5 2" xfId="1966"/>
    <cellStyle name="Normal 2 6" xfId="1887"/>
    <cellStyle name="Normal 2 6 2" xfId="1967"/>
    <cellStyle name="Normal 2 7" xfId="1968"/>
    <cellStyle name="Normal 2 8" xfId="1969"/>
    <cellStyle name="Normal 2 9" xfId="1970"/>
    <cellStyle name="Normal 2_DRAFT-RKR-Distributed_hw-v1.0" xfId="1971"/>
    <cellStyle name="Normal 20" xfId="1328"/>
    <cellStyle name="Normal 20 2" xfId="1972"/>
    <cellStyle name="Normal 21" xfId="1329"/>
    <cellStyle name="Normal 21 2" xfId="1973"/>
    <cellStyle name="Normal 22" xfId="1330"/>
    <cellStyle name="Normal 23" xfId="1331"/>
    <cellStyle name="Normal 24" xfId="1332"/>
    <cellStyle name="Normal 25" xfId="1333"/>
    <cellStyle name="Normal 26" xfId="1334"/>
    <cellStyle name="Normal 27" xfId="1335"/>
    <cellStyle name="Normal 28" xfId="1336"/>
    <cellStyle name="Normal 29" xfId="1337"/>
    <cellStyle name="Normal 3" xfId="1338"/>
    <cellStyle name="Normal 3 2" xfId="1339"/>
    <cellStyle name="Normal 3 3" xfId="1340"/>
    <cellStyle name="Normal 3 3 2" xfId="1974"/>
    <cellStyle name="Normal 3 4" xfId="1341"/>
    <cellStyle name="Normal 3 5" xfId="1342"/>
    <cellStyle name="Normal 30" xfId="1343"/>
    <cellStyle name="Normal 31" xfId="1344"/>
    <cellStyle name="Normal 32" xfId="1345"/>
    <cellStyle name="Normal 33" xfId="1346"/>
    <cellStyle name="Normal 34" xfId="1347"/>
    <cellStyle name="Normal 35" xfId="1348"/>
    <cellStyle name="Normal 36" xfId="1349"/>
    <cellStyle name="Normal 37" xfId="1350"/>
    <cellStyle name="Normal 38" xfId="1351"/>
    <cellStyle name="Normal 39" xfId="1352"/>
    <cellStyle name="Normal 4" xfId="1353"/>
    <cellStyle name="Normal 4 2" xfId="1354"/>
    <cellStyle name="Normal 4 3" xfId="1885"/>
    <cellStyle name="Normal 4 4" xfId="1975"/>
    <cellStyle name="Normal 40" xfId="1355"/>
    <cellStyle name="Normal 41" xfId="1356"/>
    <cellStyle name="Normal 42" xfId="1357"/>
    <cellStyle name="Normal 43" xfId="1358"/>
    <cellStyle name="Normal 43 2" xfId="1976"/>
    <cellStyle name="Normal 44" xfId="1359"/>
    <cellStyle name="Normal 45" xfId="1360"/>
    <cellStyle name="Normal 46" xfId="1361"/>
    <cellStyle name="Normal 47" xfId="1362"/>
    <cellStyle name="Normal 48" xfId="1878"/>
    <cellStyle name="Normal 49" xfId="1879"/>
    <cellStyle name="Normal 5" xfId="1363"/>
    <cellStyle name="Normal 5 2" xfId="1977"/>
    <cellStyle name="Normal 5 2 2" xfId="1978"/>
    <cellStyle name="Normal 5 2 3" xfId="1979"/>
    <cellStyle name="Normal 5 2 4" xfId="1980"/>
    <cellStyle name="Normal 5 2 5" xfId="1981"/>
    <cellStyle name="Normal 5 2 6" xfId="1982"/>
    <cellStyle name="Normal 5 2 7" xfId="1983"/>
    <cellStyle name="Normal 5 2 8" xfId="1984"/>
    <cellStyle name="Normal 5 3" xfId="2059"/>
    <cellStyle name="Normal 5 64" xfId="1364"/>
    <cellStyle name="Normal 50" xfId="1882"/>
    <cellStyle name="Normal 51" xfId="2037"/>
    <cellStyle name="Normal 51 2" xfId="2047"/>
    <cellStyle name="Normal 52" xfId="2041"/>
    <cellStyle name="Normal 53" xfId="2045"/>
    <cellStyle name="Normal 54" xfId="2050"/>
    <cellStyle name="Normal 55" xfId="2066"/>
    <cellStyle name="Normal 56" xfId="2068"/>
    <cellStyle name="Normal 57" xfId="2069"/>
    <cellStyle name="Normal 58" xfId="2085"/>
    <cellStyle name="Normal 58 2" xfId="2098"/>
    <cellStyle name="Normal 59" xfId="2082"/>
    <cellStyle name="Normal 59 2" xfId="2095"/>
    <cellStyle name="Normal 6" xfId="1365"/>
    <cellStyle name="Normal 6 2" xfId="1366"/>
    <cellStyle name="Normal 6 3" xfId="1367"/>
    <cellStyle name="Normal 6 4" xfId="2060"/>
    <cellStyle name="Normal 60" xfId="2078"/>
    <cellStyle name="Normal 60 2" xfId="2091"/>
    <cellStyle name="Normal 61" xfId="2075"/>
    <cellStyle name="Normal 61 2" xfId="2088"/>
    <cellStyle name="Normal 62" xfId="2099"/>
    <cellStyle name="Normal 63" xfId="2102"/>
    <cellStyle name="Normal 7" xfId="1368"/>
    <cellStyle name="Normal 7 2" xfId="1985"/>
    <cellStyle name="Normal 7 3" xfId="2061"/>
    <cellStyle name="Normal 8" xfId="1369"/>
    <cellStyle name="Normal 8 2" xfId="2062"/>
    <cellStyle name="Normal 9" xfId="1370"/>
    <cellStyle name="Normal 9 2" xfId="1986"/>
    <cellStyle name="Normal 9 3" xfId="2063"/>
    <cellStyle name="Normal_2010 CTI NA Product Card (8-27)" xfId="1371"/>
    <cellStyle name="Normal_Sheet3" xfId="2040"/>
    <cellStyle name="Normal2" xfId="1372"/>
    <cellStyle name="Normale_CE_cons" xfId="1373"/>
    <cellStyle name="NormalGB" xfId="1374"/>
    <cellStyle name="Normalny_04 obrotówka 2004-04-30" xfId="1375"/>
    <cellStyle name="norman" xfId="1376"/>
    <cellStyle name="Note 2" xfId="1377"/>
    <cellStyle name="Note 3" xfId="1378"/>
    <cellStyle name="Note 4" xfId="1379"/>
    <cellStyle name="Note 5" xfId="1380"/>
    <cellStyle name="nozeros" xfId="1381"/>
    <cellStyle name="nozeros(1)" xfId="1382"/>
    <cellStyle name="nozeros(2)" xfId="1383"/>
    <cellStyle name="nozeros_2003 OpRecon" xfId="1384"/>
    <cellStyle name="num1Style" xfId="1385"/>
    <cellStyle name="num1Styleb" xfId="1386"/>
    <cellStyle name="num4Style" xfId="1387"/>
    <cellStyle name="num4Styleb" xfId="1388"/>
    <cellStyle name="NUMBER" xfId="1389"/>
    <cellStyle name="Number4DecimalStyle" xfId="1390"/>
    <cellStyle name="Numbers" xfId="1391"/>
    <cellStyle name="Numbers - Bold" xfId="1392"/>
    <cellStyle name="Numbers_6079BX" xfId="1393"/>
    <cellStyle name="numPStyle" xfId="1394"/>
    <cellStyle name="numPStyleb" xfId="1395"/>
    <cellStyle name="numXStyle" xfId="1396"/>
    <cellStyle name="numXStyleb" xfId="1397"/>
    <cellStyle name="Odwiedzone hiperłącze_Plan vs Actuals" xfId="1398"/>
    <cellStyle name="Œ…‹æØ‚è [0.00]_# of Branches '98 to '01" xfId="1399"/>
    <cellStyle name="Œ…‹æØ‚è_# of Branches '98 to '01" xfId="1400"/>
    <cellStyle name="onedec" xfId="1401"/>
    <cellStyle name="Option" xfId="1402"/>
    <cellStyle name="Option 2" xfId="1403"/>
    <cellStyle name="Option 3" xfId="1404"/>
    <cellStyle name="Option 4" xfId="1405"/>
    <cellStyle name="OptionHeading" xfId="1406"/>
    <cellStyle name="OptionHeading2" xfId="1407"/>
    <cellStyle name="Ordinary" xfId="1408"/>
    <cellStyle name="Ordinary 2" xfId="1409"/>
    <cellStyle name="Output 2" xfId="1410"/>
    <cellStyle name="Output 3" xfId="1411"/>
    <cellStyle name="Output 4" xfId="1412"/>
    <cellStyle name="Output Amounts" xfId="1413"/>
    <cellStyle name="Output Column Headings" xfId="1414"/>
    <cellStyle name="Output Line Items" xfId="1415"/>
    <cellStyle name="Output Report Heading" xfId="1416"/>
    <cellStyle name="Output Report Title" xfId="1417"/>
    <cellStyle name="Override" xfId="1418"/>
    <cellStyle name="Page Number" xfId="1419"/>
    <cellStyle name="Page Title" xfId="1420"/>
    <cellStyle name="per.style" xfId="1421"/>
    <cellStyle name="Percent" xfId="3" builtinId="5"/>
    <cellStyle name="Percent (0)" xfId="1422"/>
    <cellStyle name="Percent [0]" xfId="1423"/>
    <cellStyle name="Percent [0] 2" xfId="1424"/>
    <cellStyle name="Percent [0] 3" xfId="1425"/>
    <cellStyle name="Percent [0] 4" xfId="1426"/>
    <cellStyle name="Percent [00]" xfId="1427"/>
    <cellStyle name="Percent [00] 2" xfId="1428"/>
    <cellStyle name="Percent [00] 3" xfId="1429"/>
    <cellStyle name="Percent [00] 4" xfId="1430"/>
    <cellStyle name="Percent [1]" xfId="1431"/>
    <cellStyle name="Percent [2]" xfId="1432"/>
    <cellStyle name="Percent [2] 2" xfId="1433"/>
    <cellStyle name="Percent [2] 3" xfId="1434"/>
    <cellStyle name="Percent [2] 4" xfId="1435"/>
    <cellStyle name="Percent 10" xfId="1436"/>
    <cellStyle name="Percent 11" xfId="1437"/>
    <cellStyle name="Percent 12" xfId="1438"/>
    <cellStyle name="Percent 13" xfId="1439"/>
    <cellStyle name="Percent 14" xfId="1440"/>
    <cellStyle name="Percent 15" xfId="1441"/>
    <cellStyle name="Percent 16" xfId="1442"/>
    <cellStyle name="Percent 17" xfId="1443"/>
    <cellStyle name="Percent 18" xfId="1444"/>
    <cellStyle name="Percent 19" xfId="1445"/>
    <cellStyle name="Percent 2" xfId="1446"/>
    <cellStyle name="Percent 2 10" xfId="1447"/>
    <cellStyle name="Percent 2 2" xfId="1448"/>
    <cellStyle name="Percent 2 3" xfId="1449"/>
    <cellStyle name="Percent 2 4" xfId="1450"/>
    <cellStyle name="Percent 2 5" xfId="1451"/>
    <cellStyle name="Percent 20" xfId="1452"/>
    <cellStyle name="Percent 21" xfId="1453"/>
    <cellStyle name="Percent 22" xfId="1454"/>
    <cellStyle name="Percent 23" xfId="1455"/>
    <cellStyle name="Percent 24" xfId="1456"/>
    <cellStyle name="Percent 25" xfId="1457"/>
    <cellStyle name="Percent 26" xfId="1458"/>
    <cellStyle name="Percent 27" xfId="1886"/>
    <cellStyle name="Percent 28" xfId="1890"/>
    <cellStyle name="Percent 3" xfId="1459"/>
    <cellStyle name="Percent 3 2" xfId="1460"/>
    <cellStyle name="Percent 3 3" xfId="1987"/>
    <cellStyle name="Percent 4" xfId="1461"/>
    <cellStyle name="Percent 4 2" xfId="1462"/>
    <cellStyle name="Percent 5" xfId="1463"/>
    <cellStyle name="Percent 6" xfId="1464"/>
    <cellStyle name="Percent 7" xfId="1465"/>
    <cellStyle name="Percent 8" xfId="1466"/>
    <cellStyle name="Percent 9" xfId="1467"/>
    <cellStyle name="Percent Comma" xfId="1468"/>
    <cellStyle name="Percent*" xfId="1469"/>
    <cellStyle name="Percent1" xfId="1470"/>
    <cellStyle name="percentage" xfId="1471"/>
    <cellStyle name="PivotTable" xfId="1472"/>
    <cellStyle name="Porcentaje" xfId="1473"/>
    <cellStyle name="Porcentual_BASE" xfId="1474"/>
    <cellStyle name="PrePop Currency (0)" xfId="1475"/>
    <cellStyle name="PrePop Currency (0) 2" xfId="1476"/>
    <cellStyle name="PrePop Currency (0) 3" xfId="1477"/>
    <cellStyle name="PrePop Currency (0) 4" xfId="1478"/>
    <cellStyle name="PrePop Currency (2)" xfId="1479"/>
    <cellStyle name="PrePop Currency (2) 2" xfId="1480"/>
    <cellStyle name="PrePop Currency (2) 3" xfId="1481"/>
    <cellStyle name="PrePop Currency (2) 4" xfId="1482"/>
    <cellStyle name="PrePop Units (0)" xfId="1483"/>
    <cellStyle name="PrePop Units (0) 2" xfId="1484"/>
    <cellStyle name="PrePop Units (0) 3" xfId="1485"/>
    <cellStyle name="PrePop Units (0) 4" xfId="1486"/>
    <cellStyle name="PrePop Units (1)" xfId="1487"/>
    <cellStyle name="PrePop Units (1) 2" xfId="1488"/>
    <cellStyle name="PrePop Units (1) 3" xfId="1489"/>
    <cellStyle name="PrePop Units (1) 4" xfId="1490"/>
    <cellStyle name="PrePop Units (2)" xfId="1491"/>
    <cellStyle name="PrePop Units (2) 2" xfId="1492"/>
    <cellStyle name="PrePop Units (2) 3" xfId="1493"/>
    <cellStyle name="PrePop Units (2) 4" xfId="1494"/>
    <cellStyle name="Price" xfId="1495"/>
    <cellStyle name="Price 2" xfId="1496"/>
    <cellStyle name="ProductClass" xfId="1497"/>
    <cellStyle name="ProductType" xfId="1498"/>
    <cellStyle name="PSChar" xfId="1499"/>
    <cellStyle name="PSDate" xfId="1500"/>
    <cellStyle name="PSDec" xfId="1501"/>
    <cellStyle name="PSDetail" xfId="1502"/>
    <cellStyle name="PSHeading" xfId="1503"/>
    <cellStyle name="PSInt" xfId="1504"/>
    <cellStyle name="PSSpacer" xfId="1505"/>
    <cellStyle name="Punto0" xfId="1506"/>
    <cellStyle name="QR Total" xfId="1507"/>
    <cellStyle name="QUERY IT" xfId="1508"/>
    <cellStyle name="Rate" xfId="1509"/>
    <cellStyle name="Ratio" xfId="1510"/>
    <cellStyle name="Ratio Comma" xfId="1511"/>
    <cellStyle name="Ratio_bigtexmodel14" xfId="1512"/>
    <cellStyle name="RebateValue" xfId="1513"/>
    <cellStyle name="RebateValue 2" xfId="1514"/>
    <cellStyle name="red" xfId="1515"/>
    <cellStyle name="Red Text" xfId="1516"/>
    <cellStyle name="RedLessThanZero" xfId="1517"/>
    <cellStyle name="regstoresfromspecstores" xfId="1518"/>
    <cellStyle name="ResellerType" xfId="1519"/>
    <cellStyle name="Reset  - Style4" xfId="1520"/>
    <cellStyle name="Review_Normal" xfId="1521"/>
    <cellStyle name="RevList" xfId="1522"/>
    <cellStyle name="RevList 2" xfId="1988"/>
    <cellStyle name="RM" xfId="1523"/>
    <cellStyle name="RobModel" xfId="1524"/>
    <cellStyle name="rodape" xfId="1525"/>
    <cellStyle name="Rollover_Date" xfId="1526"/>
    <cellStyle name="Round Thousands" xfId="1527"/>
    <cellStyle name="s" xfId="1528"/>
    <cellStyle name="s_DCFLBO Code" xfId="1529"/>
    <cellStyle name="s_DCFLBO Code_1" xfId="1530"/>
    <cellStyle name="s_DCFLBO Code_1_SITE Debt" xfId="1531"/>
    <cellStyle name="s_DCFLBO Code_1_SITE Debt_Bonus Comparison Model 7-1-04v11" xfId="1532"/>
    <cellStyle name="s_DCFLBO Code_1_SITE Debt_ML_Nov_Flash_By Entity_2" xfId="1533"/>
    <cellStyle name="s_DCFLBO Code_1_SITE Debt_ML_Nov_Flash_By Entity_2_December Bonus Model" xfId="1534"/>
    <cellStyle name="s_DCFLBO Code_1_SITE Debt_ML_Nov_Flash_By Entity_2_December Bonus Model fay" xfId="1535"/>
    <cellStyle name="s_DCFLBO Code_1_SITE Debt_ML_Nov_Flash_By Entity_2_ML_Dec_Flash" xfId="1536"/>
    <cellStyle name="s_DCFLBO Code_1_SITE Debt_ML_Nov_Flash_By Entity_2_new bonus methodology to ed" xfId="1537"/>
    <cellStyle name="s_DCFLBO Code_1_SITE Debt_ML_Nov_Flash_By Entity_2_Nov BS accruals - bonus" xfId="1538"/>
    <cellStyle name="s_DCFLBO Code_1_Working Liquidity" xfId="1539"/>
    <cellStyle name="s_DCFLBO Code_1_Working Liquidity_Bonus Comparison Model 7-1-04v11" xfId="1540"/>
    <cellStyle name="s_DCFLBO Code_1_Working Liquidity_ML_Nov_Flash_By Entity_2" xfId="1541"/>
    <cellStyle name="s_DCFLBO Code_1_Working Liquidity_ML_Nov_Flash_By Entity_2_December Bonus Model" xfId="1542"/>
    <cellStyle name="s_DCFLBO Code_1_Working Liquidity_ML_Nov_Flash_By Entity_2_December Bonus Model fay" xfId="1543"/>
    <cellStyle name="s_DCFLBO Code_1_Working Liquidity_ML_Nov_Flash_By Entity_2_ML_Dec_Flash" xfId="1544"/>
    <cellStyle name="s_DCFLBO Code_1_Working Liquidity_ML_Nov_Flash_By Entity_2_new bonus methodology to ed" xfId="1545"/>
    <cellStyle name="s_DCFLBO Code_1_Working Liquidity_ML_Nov_Flash_By Entity_2_Nov BS accruals - bonus" xfId="1546"/>
    <cellStyle name="s_DCFLBO Code_DCF3" xfId="1547"/>
    <cellStyle name="s_DCFLBO Code_DCF3_SITE Debt" xfId="1548"/>
    <cellStyle name="s_DCFLBO Code_DCF3_SITE Debt_Bonus Comparison Model 7-1-04v11" xfId="1549"/>
    <cellStyle name="s_DCFLBO Code_DCF3_SITE Debt_ML_Nov_Flash_By Entity_2" xfId="1550"/>
    <cellStyle name="s_DCFLBO Code_DCF3_SITE Debt_ML_Nov_Flash_By Entity_2_December Bonus Model" xfId="1551"/>
    <cellStyle name="s_DCFLBO Code_DCF3_SITE Debt_ML_Nov_Flash_By Entity_2_December Bonus Model fay" xfId="1552"/>
    <cellStyle name="s_DCFLBO Code_DCF3_SITE Debt_ML_Nov_Flash_By Entity_2_ML_Dec_Flash" xfId="1553"/>
    <cellStyle name="s_DCFLBO Code_DCF3_SITE Debt_ML_Nov_Flash_By Entity_2_new bonus methodology to ed" xfId="1554"/>
    <cellStyle name="s_DCFLBO Code_DCF3_SITE Debt_ML_Nov_Flash_By Entity_2_Nov BS accruals - bonus" xfId="1555"/>
    <cellStyle name="s_DCFLBO Code_DCF3_Working Liquidity" xfId="1556"/>
    <cellStyle name="s_DCFLBO Code_DCF3_Working Liquidity_Bonus Comparison Model 7-1-04v11" xfId="1557"/>
    <cellStyle name="s_DCFLBO Code_DCF3_Working Liquidity_ML_Nov_Flash_By Entity_2" xfId="1558"/>
    <cellStyle name="s_DCFLBO Code_DCF3_Working Liquidity_ML_Nov_Flash_By Entity_2_December Bonus Model" xfId="1559"/>
    <cellStyle name="s_DCFLBO Code_DCF3_Working Liquidity_ML_Nov_Flash_By Entity_2_December Bonus Model fay" xfId="1560"/>
    <cellStyle name="s_DCFLBO Code_DCF3_Working Liquidity_ML_Nov_Flash_By Entity_2_ML_Dec_Flash" xfId="1561"/>
    <cellStyle name="s_DCFLBO Code_DCF3_Working Liquidity_ML_Nov_Flash_By Entity_2_new bonus methodology to ed" xfId="1562"/>
    <cellStyle name="s_DCFLBO Code_DCF3_Working Liquidity_ML_Nov_Flash_By Entity_2_Nov BS accruals - bonus" xfId="1563"/>
    <cellStyle name="s_DCFLBO Code_SITE Debt" xfId="1564"/>
    <cellStyle name="s_DCFLBO Code_SITE Debt_Bonus Comparison Model 7-1-04v11" xfId="1565"/>
    <cellStyle name="s_DCFLBO Code_SITE Debt_ML_Nov_Flash_By Entity_2" xfId="1566"/>
    <cellStyle name="s_DCFLBO Code_SITE Debt_ML_Nov_Flash_By Entity_2_December Bonus Model" xfId="1567"/>
    <cellStyle name="s_DCFLBO Code_SITE Debt_ML_Nov_Flash_By Entity_2_December Bonus Model fay" xfId="1568"/>
    <cellStyle name="s_DCFLBO Code_SITE Debt_ML_Nov_Flash_By Entity_2_ML_Dec_Flash" xfId="1569"/>
    <cellStyle name="s_DCFLBO Code_SITE Debt_ML_Nov_Flash_By Entity_2_new bonus methodology to ed" xfId="1570"/>
    <cellStyle name="s_DCFLBO Code_SITE Debt_ML_Nov_Flash_By Entity_2_Nov BS accruals - bonus" xfId="1571"/>
    <cellStyle name="s_DCFLBO Code_Working Liquidity" xfId="1572"/>
    <cellStyle name="s_DCFLBO Code_Working Liquidity_Bonus Comparison Model 7-1-04v11" xfId="1573"/>
    <cellStyle name="s_DCFLBO Code_Working Liquidity_ML_Nov_Flash_By Entity_2" xfId="1574"/>
    <cellStyle name="s_DCFLBO Code_Working Liquidity_ML_Nov_Flash_By Entity_2_December Bonus Model" xfId="1575"/>
    <cellStyle name="s_DCFLBO Code_Working Liquidity_ML_Nov_Flash_By Entity_2_December Bonus Model fay" xfId="1576"/>
    <cellStyle name="s_DCFLBO Code_Working Liquidity_ML_Nov_Flash_By Entity_2_ML_Dec_Flash" xfId="1577"/>
    <cellStyle name="s_DCFLBO Code_Working Liquidity_ML_Nov_Flash_By Entity_2_new bonus methodology to ed" xfId="1578"/>
    <cellStyle name="s_DCFLBO Code_Working Liquidity_ML_Nov_Flash_By Entity_2_Nov BS accruals - bonus" xfId="1579"/>
    <cellStyle name="s_HardInc " xfId="1580"/>
    <cellStyle name="s_HardInc _Bonus Comparison Model 7-1-04v11" xfId="1581"/>
    <cellStyle name="s_HardInc _ML_Nov_Flash_By Entity_2" xfId="1582"/>
    <cellStyle name="s_HardInc _ML_Nov_Flash_By Entity_2_December Bonus Model" xfId="1583"/>
    <cellStyle name="s_HardInc _ML_Nov_Flash_By Entity_2_December Bonus Model fay" xfId="1584"/>
    <cellStyle name="s_HardInc _ML_Nov_Flash_By Entity_2_ML_Dec_Flash" xfId="1585"/>
    <cellStyle name="s_HardInc _ML_Nov_Flash_By Entity_2_new bonus methodology to ed" xfId="1586"/>
    <cellStyle name="s_HardInc _ML_Nov_Flash_By Entity_2_Nov BS accruals - bonus" xfId="1587"/>
    <cellStyle name="s_SITE Debt" xfId="1588"/>
    <cellStyle name="s_SITE Debt_Bonus Comparison Model 7-1-04v11" xfId="1589"/>
    <cellStyle name="s_SITE Debt_ML_Nov_Flash_By Entity_2" xfId="1590"/>
    <cellStyle name="s_SITE Debt_ML_Nov_Flash_By Entity_2_December Bonus Model" xfId="1591"/>
    <cellStyle name="s_SITE Debt_ML_Nov_Flash_By Entity_2_December Bonus Model fay" xfId="1592"/>
    <cellStyle name="s_SITE Debt_ML_Nov_Flash_By Entity_2_ML_Dec_Flash" xfId="1593"/>
    <cellStyle name="s_SITE Debt_ML_Nov_Flash_By Entity_2_new bonus methodology to ed" xfId="1594"/>
    <cellStyle name="s_SITE Debt_ML_Nov_Flash_By Entity_2_Nov BS accruals - bonus" xfId="1595"/>
    <cellStyle name="s_Working Liquidity" xfId="1596"/>
    <cellStyle name="s_Working Liquidity_Bonus Comparison Model 7-1-04v11" xfId="1597"/>
    <cellStyle name="s_Working Liquidity_ML_Nov_Flash_By Entity_2" xfId="1598"/>
    <cellStyle name="s_Working Liquidity_ML_Nov_Flash_By Entity_2_December Bonus Model" xfId="1599"/>
    <cellStyle name="s_Working Liquidity_ML_Nov_Flash_By Entity_2_December Bonus Model fay" xfId="1600"/>
    <cellStyle name="s_Working Liquidity_ML_Nov_Flash_By Entity_2_ML_Dec_Flash" xfId="1601"/>
    <cellStyle name="s_Working Liquidity_ML_Nov_Flash_By Entity_2_new bonus methodology to ed" xfId="1602"/>
    <cellStyle name="s_Working Liquidity_ML_Nov_Flash_By Entity_2_Nov BS accruals - bonus" xfId="1603"/>
    <cellStyle name="Salomon Logo" xfId="1604"/>
    <cellStyle name="Sample" xfId="1605"/>
    <cellStyle name="Section" xfId="1606"/>
    <cellStyle name="SectionHeaderNormal" xfId="1607"/>
    <cellStyle name="SelectFormat" xfId="1608"/>
    <cellStyle name="SelectFormat 2" xfId="1609"/>
    <cellStyle name="SelectFormat 3" xfId="1610"/>
    <cellStyle name="SelectFormat 4" xfId="1611"/>
    <cellStyle name="Sep. milhar [0]" xfId="1612"/>
    <cellStyle name="Separador de milhares [0]_2 backup" xfId="1613"/>
    <cellStyle name="Separador de milhares_2 backup" xfId="1614"/>
    <cellStyle name="SHADEDSTORES" xfId="1615"/>
    <cellStyle name="Shading" xfId="1616"/>
    <cellStyle name="SHEET2!Normal" xfId="1617"/>
    <cellStyle name="Single Decimal and Commas" xfId="1618"/>
    <cellStyle name="Size" xfId="1619"/>
    <cellStyle name="Special" xfId="1620"/>
    <cellStyle name="specstores" xfId="1621"/>
    <cellStyle name="Standaard_Blad52" xfId="1622"/>
    <cellStyle name="Standard__Utopia Index Index und Guidance (Deutsch)" xfId="1623"/>
    <cellStyle name="Stock Comma" xfId="1624"/>
    <cellStyle name="Stock Price" xfId="1625"/>
    <cellStyle name="Style 1" xfId="1626"/>
    <cellStyle name="Style 1 2" xfId="1989"/>
    <cellStyle name="Style 1 3" xfId="2067"/>
    <cellStyle name="Style 2" xfId="1627"/>
    <cellStyle name="Style 2 2" xfId="1628"/>
    <cellStyle name="Style 21" xfId="1629"/>
    <cellStyle name="Style 21 2" xfId="1630"/>
    <cellStyle name="Style 21 3" xfId="1631"/>
    <cellStyle name="Style 21 4" xfId="1632"/>
    <cellStyle name="Style 22" xfId="1633"/>
    <cellStyle name="Style 23" xfId="1634"/>
    <cellStyle name="Style 24" xfId="1635"/>
    <cellStyle name="Style 25" xfId="1636"/>
    <cellStyle name="Style 26" xfId="1637"/>
    <cellStyle name="Style 27" xfId="1638"/>
    <cellStyle name="Style 28" xfId="1639"/>
    <cellStyle name="Style 28 2" xfId="1640"/>
    <cellStyle name="Style 28 3" xfId="1641"/>
    <cellStyle name="Style 28 4" xfId="1642"/>
    <cellStyle name="Style 29" xfId="1643"/>
    <cellStyle name="Style 3" xfId="1644"/>
    <cellStyle name="Style 30" xfId="1645"/>
    <cellStyle name="Style 31" xfId="1646"/>
    <cellStyle name="Style 32" xfId="1647"/>
    <cellStyle name="Style 33" xfId="1648"/>
    <cellStyle name="Style 34" xfId="1649"/>
    <cellStyle name="Style 35" xfId="1650"/>
    <cellStyle name="Style 36" xfId="1651"/>
    <cellStyle name="Style 37" xfId="1652"/>
    <cellStyle name="Style 38" xfId="1653"/>
    <cellStyle name="Style 39" xfId="1654"/>
    <cellStyle name="Style 4" xfId="1655"/>
    <cellStyle name="Style 40" xfId="1656"/>
    <cellStyle name="Style 41" xfId="1657"/>
    <cellStyle name="Style 41 2" xfId="1658"/>
    <cellStyle name="Style 41 3" xfId="1659"/>
    <cellStyle name="Style 41 4" xfId="1660"/>
    <cellStyle name="Style 42" xfId="1661"/>
    <cellStyle name="Style 43" xfId="1662"/>
    <cellStyle name="Style 44" xfId="1663"/>
    <cellStyle name="Style 45" xfId="1664"/>
    <cellStyle name="Style 46" xfId="1665"/>
    <cellStyle name="Style 47" xfId="1666"/>
    <cellStyle name="Style 47 2" xfId="1667"/>
    <cellStyle name="Style 47 3" xfId="1668"/>
    <cellStyle name="Style 47 4" xfId="1669"/>
    <cellStyle name="Style 48" xfId="1670"/>
    <cellStyle name="Style 49" xfId="1671"/>
    <cellStyle name="Style 5" xfId="1672"/>
    <cellStyle name="Style 50" xfId="1673"/>
    <cellStyle name="Style 51" xfId="1674"/>
    <cellStyle name="Style 52" xfId="1675"/>
    <cellStyle name="Style 53" xfId="1676"/>
    <cellStyle name="Style 54" xfId="1677"/>
    <cellStyle name="Style 55" xfId="1678"/>
    <cellStyle name="Style 56" xfId="1679"/>
    <cellStyle name="Style 57" xfId="1680"/>
    <cellStyle name="Style 58" xfId="1681"/>
    <cellStyle name="Style 59" xfId="1682"/>
    <cellStyle name="Style 60" xfId="1683"/>
    <cellStyle name="Style 61" xfId="1684"/>
    <cellStyle name="Style 62" xfId="1685"/>
    <cellStyle name="Style 63" xfId="1686"/>
    <cellStyle name="Style 64" xfId="1687"/>
    <cellStyle name="Style 65" xfId="1688"/>
    <cellStyle name="Style 66" xfId="1689"/>
    <cellStyle name="Style 67" xfId="1690"/>
    <cellStyle name="Style 68" xfId="1691"/>
    <cellStyle name="Style 69" xfId="1692"/>
    <cellStyle name="Style 70" xfId="1693"/>
    <cellStyle name="Style 71" xfId="1694"/>
    <cellStyle name="Style 72" xfId="1695"/>
    <cellStyle name="Style 73" xfId="1696"/>
    <cellStyle name="Style 74" xfId="1697"/>
    <cellStyle name="Style 75" xfId="1698"/>
    <cellStyle name="Style 76" xfId="1699"/>
    <cellStyle name="Style 77" xfId="1700"/>
    <cellStyle name="Style 78" xfId="1701"/>
    <cellStyle name="Style 79" xfId="1702"/>
    <cellStyle name="Style 80" xfId="1703"/>
    <cellStyle name="Style 81" xfId="1704"/>
    <cellStyle name="Style 82" xfId="1705"/>
    <cellStyle name="Style 83" xfId="1706"/>
    <cellStyle name="Style 84" xfId="1707"/>
    <cellStyle name="Style 85" xfId="1708"/>
    <cellStyle name="Style 86" xfId="1709"/>
    <cellStyle name="Style 87" xfId="1710"/>
    <cellStyle name="Style 88" xfId="1711"/>
    <cellStyle name="Style 89" xfId="1712"/>
    <cellStyle name="Style 90" xfId="1713"/>
    <cellStyle name="Style 91" xfId="1714"/>
    <cellStyle name="Style 92" xfId="1715"/>
    <cellStyle name="Style 93" xfId="1716"/>
    <cellStyle name="Style 94" xfId="1717"/>
    <cellStyle name="Style 95" xfId="1718"/>
    <cellStyle name="Style 96" xfId="1719"/>
    <cellStyle name="Style 97" xfId="1720"/>
    <cellStyle name="STYLE1" xfId="1721"/>
    <cellStyle name="STYLE2" xfId="1722"/>
    <cellStyle name="STYLE3" xfId="1723"/>
    <cellStyle name="STYLE4" xfId="1724"/>
    <cellStyle name="STYLE5" xfId="1725"/>
    <cellStyle name="STYLE6" xfId="1726"/>
    <cellStyle name="STYLE7" xfId="1727"/>
    <cellStyle name="styleDEnormalgray" xfId="1728"/>
    <cellStyle name="Styles" xfId="1729"/>
    <cellStyle name="styTitle1" xfId="1730"/>
    <cellStyle name="styTitle2" xfId="1731"/>
    <cellStyle name="subhead" xfId="1732"/>
    <cellStyle name="SubScript" xfId="1733"/>
    <cellStyle name="Subtotal" xfId="1734"/>
    <cellStyle name="Subtotal 2" xfId="1990"/>
    <cellStyle name="SumRep" xfId="1735"/>
    <cellStyle name="SuperScript" xfId="1736"/>
    <cellStyle name="t" xfId="1737"/>
    <cellStyle name="Table  - Style5" xfId="1738"/>
    <cellStyle name="Table Head" xfId="1739"/>
    <cellStyle name="Table Head Aligned" xfId="1740"/>
    <cellStyle name="Table Head Blue" xfId="1741"/>
    <cellStyle name="Table Head Green" xfId="1742"/>
    <cellStyle name="Table Head_% Change" xfId="1743"/>
    <cellStyle name="Table Heading" xfId="1744"/>
    <cellStyle name="Table Source" xfId="1745"/>
    <cellStyle name="Table Sub Head" xfId="1746"/>
    <cellStyle name="Table Text" xfId="1747"/>
    <cellStyle name="Table Title" xfId="1748"/>
    <cellStyle name="Table Units" xfId="1749"/>
    <cellStyle name="Table_Header" xfId="1750"/>
    <cellStyle name="Term" xfId="1751"/>
    <cellStyle name="Term 2" xfId="1752"/>
    <cellStyle name="Test" xfId="1753"/>
    <cellStyle name="Text" xfId="1754"/>
    <cellStyle name="Text 1" xfId="1755"/>
    <cellStyle name="Text 2" xfId="1756"/>
    <cellStyle name="Text Head" xfId="1757"/>
    <cellStyle name="Text Head 1" xfId="1758"/>
    <cellStyle name="Text Head 2" xfId="1759"/>
    <cellStyle name="Text Head_M&amp;A Page" xfId="1760"/>
    <cellStyle name="Text Indent 1" xfId="1761"/>
    <cellStyle name="Text Indent 2" xfId="1762"/>
    <cellStyle name="Text Indent A" xfId="1763"/>
    <cellStyle name="Text Indent B" xfId="1764"/>
    <cellStyle name="Text Indent B 2" xfId="1765"/>
    <cellStyle name="Text Indent B 3" xfId="1766"/>
    <cellStyle name="Text Indent B 4" xfId="1767"/>
    <cellStyle name="Text Indent C" xfId="1768"/>
    <cellStyle name="Text Indent C 2" xfId="1769"/>
    <cellStyle name="Text Indent C 3" xfId="1770"/>
    <cellStyle name="Text Indent C 4" xfId="1771"/>
    <cellStyle name="Text_BMG 31" xfId="1772"/>
    <cellStyle name="TextBold" xfId="1773"/>
    <cellStyle name="TextItalic" xfId="1774"/>
    <cellStyle name="TextNormal" xfId="1775"/>
    <cellStyle name="þ_x001d_ð·!–ý·&amp;FýU_x0001_Â_x0005_[_x0007__x0007__x0001__x0001_" xfId="1776"/>
    <cellStyle name="þ_x001d_ð·!–ý·&amp;FýU_x0001_Â_x0005_[_x0007__x0007__x0001__x0001_ 2" xfId="1777"/>
    <cellStyle name="Tickmark" xfId="1778"/>
    <cellStyle name="Times 12" xfId="1779"/>
    <cellStyle name="Tina" xfId="1780"/>
    <cellStyle name="Title  - Style6" xfId="1781"/>
    <cellStyle name="Title - PROJECT" xfId="1782"/>
    <cellStyle name="Title - Underline" xfId="1783"/>
    <cellStyle name="Title 10" xfId="1784"/>
    <cellStyle name="Title 11" xfId="1785"/>
    <cellStyle name="Title 12" xfId="1786"/>
    <cellStyle name="Title 13" xfId="1787"/>
    <cellStyle name="Title 14" xfId="1788"/>
    <cellStyle name="Title 15" xfId="1789"/>
    <cellStyle name="Title 16" xfId="1790"/>
    <cellStyle name="Title 17" xfId="1791"/>
    <cellStyle name="Title 18" xfId="1792"/>
    <cellStyle name="Title 19" xfId="1793"/>
    <cellStyle name="Title 2" xfId="1794"/>
    <cellStyle name="Title 3" xfId="1795"/>
    <cellStyle name="Title 4" xfId="1796"/>
    <cellStyle name="Title 5" xfId="1797"/>
    <cellStyle name="Title 6" xfId="1798"/>
    <cellStyle name="Title 7" xfId="1799"/>
    <cellStyle name="Title 8" xfId="1800"/>
    <cellStyle name="Title 9" xfId="1801"/>
    <cellStyle name="TitleBar" xfId="1802"/>
    <cellStyle name="TitleNormal" xfId="1803"/>
    <cellStyle name="Titles - Col. Headings" xfId="1804"/>
    <cellStyle name="Titles - Other" xfId="1805"/>
    <cellStyle name="Titulo" xfId="1806"/>
    <cellStyle name="Título 1" xfId="1807"/>
    <cellStyle name="Título 2" xfId="1808"/>
    <cellStyle name="TOC 1" xfId="1809"/>
    <cellStyle name="TOC 2" xfId="1810"/>
    <cellStyle name="Top Edge" xfId="1811"/>
    <cellStyle name="Total 2" xfId="1812"/>
    <cellStyle name="Total 3" xfId="1813"/>
    <cellStyle name="Total 4" xfId="1814"/>
    <cellStyle name="Total Currency" xfId="1815"/>
    <cellStyle name="Total Normal" xfId="1816"/>
    <cellStyle name="total$" xfId="1817"/>
    <cellStyle name="Total1 - Style1" xfId="1818"/>
    <cellStyle name="TotalCurrency" xfId="1819"/>
    <cellStyle name="TotCol - Style7" xfId="1820"/>
    <cellStyle name="TotRow - Style8" xfId="1821"/>
    <cellStyle name="TypeNote" xfId="1822"/>
    <cellStyle name="TypeNote 2" xfId="1823"/>
    <cellStyle name="ubordinated Debt" xfId="1824"/>
    <cellStyle name="Underline_Double" xfId="1825"/>
    <cellStyle name="Unit" xfId="1826"/>
    <cellStyle name="Unit 2" xfId="1827"/>
    <cellStyle name="UnitOfMeasure" xfId="1828"/>
    <cellStyle name="UnitOfMeasure 2" xfId="1829"/>
    <cellStyle name="Validation" xfId="1830"/>
    <cellStyle name="Value" xfId="1831"/>
    <cellStyle name="Value 2" xfId="1832"/>
    <cellStyle name="Value 3" xfId="1833"/>
    <cellStyle name="Value 4" xfId="1834"/>
    <cellStyle name="Vertical" xfId="1835"/>
    <cellStyle name="Walutowy [0]_Arkusz1" xfId="1836"/>
    <cellStyle name="Walutowy_Arkusz1" xfId="1837"/>
    <cellStyle name="Warning Text 2" xfId="1838"/>
    <cellStyle name="Warning Text 3" xfId="1839"/>
    <cellStyle name="Warning Text 4" xfId="1840"/>
    <cellStyle name="WhiteCells" xfId="1841"/>
    <cellStyle name="WingDing" xfId="1842"/>
    <cellStyle name="Workpaper_Title" xfId="1843"/>
    <cellStyle name="year" xfId="1844"/>
    <cellStyle name="Yellow" xfId="1845"/>
    <cellStyle name="เชื่อมโยงหลายมิติ_DC by CC sample" xfId="1846"/>
    <cellStyle name="ค@ฏ๋_pldt" xfId="1847"/>
    <cellStyle name="ตามการเชื่อมโยงหลายมิติ_DC by CC sample" xfId="1848"/>
    <cellStyle name="ปกติ_Soccard" xfId="1849"/>
    <cellStyle name="_x0001_ဠ" xfId="1850"/>
    <cellStyle name="_x001c__x0001__x0001__x0010__x0001_ဠ" xfId="1851"/>
    <cellStyle name="강조색1" xfId="1991"/>
    <cellStyle name="강조색2" xfId="1992"/>
    <cellStyle name="강조색3" xfId="1993"/>
    <cellStyle name="강조색4" xfId="1994"/>
    <cellStyle name="강조색5" xfId="1995"/>
    <cellStyle name="강조색6" xfId="1996"/>
    <cellStyle name="경고문" xfId="1997"/>
    <cellStyle name="계산" xfId="1998"/>
    <cellStyle name="나쁨" xfId="1999"/>
    <cellStyle name="뒤에 오는 하이퍼링크_Input template" xfId="1852"/>
    <cellStyle name="메모" xfId="2000"/>
    <cellStyle name="백분율_Sheet13" xfId="1853"/>
    <cellStyle name="보통" xfId="2001"/>
    <cellStyle name="뷭?_BOOKSHIP" xfId="1854"/>
    <cellStyle name="설명 텍스트" xfId="2002"/>
    <cellStyle name="셀 확인" xfId="2003"/>
    <cellStyle name="쉼표 [0] 2" xfId="2004"/>
    <cellStyle name="쉼표 [0] 2 2" xfId="2005"/>
    <cellStyle name="쉼표 [0] 2 3" xfId="2006"/>
    <cellStyle name="쉼표 [0] 2 4" xfId="2007"/>
    <cellStyle name="쉼표 [0] 3" xfId="2008"/>
    <cellStyle name="쉼표 [0] 4" xfId="2009"/>
    <cellStyle name="쉼표 [0]_eloan_FP_01182002" xfId="1855"/>
    <cellStyle name="쉼표_BC_G" xfId="1856"/>
    <cellStyle name="연결된 셀" xfId="2010"/>
    <cellStyle name="요약" xfId="2011"/>
    <cellStyle name="입력" xfId="2012"/>
    <cellStyle name="제목" xfId="2013"/>
    <cellStyle name="제목 1" xfId="2014"/>
    <cellStyle name="제목 2" xfId="2015"/>
    <cellStyle name="제목 3" xfId="2016"/>
    <cellStyle name="제목 4" xfId="2017"/>
    <cellStyle name="좋음" xfId="2018"/>
    <cellStyle name="출력" xfId="2019"/>
    <cellStyle name="콤마 [0]_0601" xfId="1857"/>
    <cellStyle name="콤마_0601" xfId="1858"/>
    <cellStyle name="통화 [0]_97MBO" xfId="1859"/>
    <cellStyle name="통화_97MBO" xfId="1860"/>
    <cellStyle name="표준 2" xfId="2020"/>
    <cellStyle name="표준 2 2" xfId="2021"/>
    <cellStyle name="표준 2 3" xfId="2022"/>
    <cellStyle name="표준 2 4" xfId="2023"/>
    <cellStyle name="표준 3" xfId="2024"/>
    <cellStyle name="표준 4" xfId="2025"/>
    <cellStyle name="표준_1_나(재무제표)" xfId="1861"/>
    <cellStyle name="一般_1998" xfId="1862"/>
    <cellStyle name="千分位[0]_0719NORA" xfId="1863"/>
    <cellStyle name="千分位_0719NORA" xfId="1864"/>
    <cellStyle name="常规_99 PM_M (Closing) 28-02-1999" xfId="1865"/>
    <cellStyle name="未定義" xfId="1866"/>
    <cellStyle name="桁区切り [0.00]_~dd1BD" xfId="1867"/>
    <cellStyle name="桁区切り_~dd1BD" xfId="1868"/>
    <cellStyle name="標準_0008011" xfId="1869"/>
    <cellStyle name="表示済みのハイパーリンク_Tennozu Square Footage (Jul 02) rvd" xfId="1870"/>
    <cellStyle name="貨幣 [0]_0719NORA" xfId="1871"/>
    <cellStyle name="貨幣[0]_1997-98 BK" xfId="1872"/>
    <cellStyle name="貨幣_0719NORA" xfId="1873"/>
    <cellStyle name="超連結_2001 asset main file 0507" xfId="1874"/>
    <cellStyle name="通貨 [0.00]_~dd1BD" xfId="1875"/>
    <cellStyle name="通貨_~dd1BD" xfId="1876"/>
    <cellStyle name="隨後的超連結_2001 asset main file 0507" xfId="1877"/>
  </cellStyles>
  <dxfs count="942">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4" formatCode="&quot;$&quot;#,##0.00"/>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val="0"/>
        <i val="0"/>
        <strike val="0"/>
        <condense val="0"/>
        <extend val="0"/>
        <outline val="0"/>
        <shadow val="0"/>
        <u val="none"/>
        <vertAlign val="baseline"/>
        <sz val="11"/>
        <color auto="1"/>
        <name val="Calibri"/>
        <scheme val="minor"/>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Calibri"/>
        <scheme val="minor"/>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5"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318"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318"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 formatCode="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9"/>
        <color auto="1"/>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5"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4" formatCode="_(&quot;$&quot;* #,##0.00_);_(&quot;$&quot;* \(#,##0.00\);_(&quot;$&quot;* &quot;-&quot;??_);_(@_)"/>
      <fill>
        <patternFill patternType="solid">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11"/>
        <color indexed="8"/>
        <name val="Calibri"/>
        <scheme val="none"/>
      </font>
      <numFmt numFmtId="166" formatCode="0.0"/>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medium">
          <color auto="1"/>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36" formatCode="_(* #,##0_);_(* \(#,##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336" formatCode="_(* #,##0_);_(* \(#,##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numFmt numFmtId="35" formatCode="_(* #,##0.00_);_(* \(#,##0.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protection locked="1" hidden="0"/>
    </dxf>
    <dxf>
      <font>
        <b/>
        <i val="0"/>
        <strike val="0"/>
        <condense val="0"/>
        <extend val="0"/>
        <outline val="0"/>
        <shadow val="0"/>
        <u val="none"/>
        <vertAlign val="baseline"/>
        <sz val="9"/>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protection locked="1" hidden="0"/>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auto="1"/>
        <name val="Calibri"/>
        <scheme val="none"/>
      </font>
      <numFmt numFmtId="167" formatCode="_(* #,##0.0_);_(* \(#,##0.0\);_(* &quot;-&quot;??_);_(@_)"/>
      <fill>
        <patternFill patternType="solid">
          <fgColor indexed="64"/>
          <bgColor theme="6" tint="0.39997558519241921"/>
        </patternFill>
      </fill>
      <alignment horizontal="center" vertical="center" textRotation="0" wrapText="0" indent="0" justifyLastLine="0" shrinkToFit="0" readingOrder="0"/>
      <border diagonalUp="0" diagonalDown="0" outline="0">
        <left style="medium">
          <color auto="1"/>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top style="medium">
          <color indexed="64"/>
        </top>
        <bottom/>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right style="thin">
          <color indexed="64"/>
        </right>
        <top style="medium">
          <color indexed="64"/>
        </top>
        <bottom/>
      </border>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indent="0" justifyLastLine="0" shrinkToFit="0" readingOrder="0"/>
      <border diagonalUp="0" diagonalDown="0" outline="0">
        <left style="thin">
          <color indexed="64"/>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font>
        <b/>
        <i val="0"/>
        <strike val="0"/>
        <condense val="0"/>
        <extend val="0"/>
        <outline val="0"/>
        <shadow val="0"/>
        <u val="none"/>
        <vertAlign val="baseline"/>
        <sz val="10"/>
        <color rgb="FFFF0000"/>
        <name val="Calibri"/>
        <scheme val="none"/>
      </font>
      <fill>
        <patternFill patternType="solid">
          <fgColor indexed="64"/>
          <bgColor theme="6" tint="0.39997558519241921"/>
        </patternFill>
      </fill>
      <alignment horizontal="left" vertical="center" textRotation="0" wrapText="0" indent="0" justifyLastLine="0" shrinkToFit="0" readingOrder="0"/>
      <border diagonalUp="0" diagonalDown="0" outline="0">
        <left/>
        <right style="thin">
          <color indexed="64"/>
        </right>
        <top style="medium">
          <color indexed="64"/>
        </top>
        <bottom/>
      </border>
    </dxf>
    <dxf>
      <numFmt numFmtId="165" formatCode="&quot;$&quot;#,##0"/>
    </dxf>
    <dxf>
      <alignment textRotation="255" readingOrder="0"/>
    </dxf>
    <dxf>
      <font>
        <b/>
        <sz val="9"/>
        <color indexed="9"/>
      </font>
      <fill>
        <patternFill patternType="solid">
          <fgColor indexed="64"/>
          <bgColor theme="4"/>
        </patternFill>
      </fill>
      <alignment horizontal="center" vertical="center" textRotation="90" wrapText="1" readingOrder="0"/>
    </dxf>
    <dxf>
      <alignment wrapText="1" readingOrder="0"/>
    </dxf>
    <dxf>
      <alignment vertical="center" readingOrder="0"/>
    </dxf>
    <dxf>
      <alignment horizontal="center" readingOrder="0"/>
    </dxf>
    <dxf>
      <numFmt numFmtId="164" formatCode="&quot;$&quot;#,##0.00"/>
    </dxf>
    <dxf>
      <alignment horizontal="center" readingOrder="0"/>
    </dxf>
    <dxf>
      <font>
        <b/>
        <sz val="9"/>
        <color indexed="9"/>
      </font>
      <fill>
        <patternFill patternType="solid">
          <fgColor indexed="64"/>
          <bgColor theme="4"/>
        </patternFill>
      </fill>
      <alignment horizontal="center" vertical="center" textRotation="90" wrapText="1" readingOrder="0"/>
    </dxf>
    <dxf>
      <alignment wrapText="0" readingOrder="0"/>
    </dxf>
    <dxf>
      <alignment wrapText="0"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alignment horizontal="center" readingOrder="0"/>
    </dxf>
    <dxf>
      <alignment vertical="center"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numFmt numFmtId="166" formatCode="0.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alignment horizontal="center" readingOrder="0"/>
    </dxf>
    <dxf>
      <font>
        <b/>
        <sz val="9"/>
        <color indexed="9"/>
      </font>
      <fill>
        <patternFill patternType="solid">
          <fgColor indexed="64"/>
          <bgColor theme="4"/>
        </patternFill>
      </fill>
      <alignment horizontal="center" vertical="center" textRotation="90" wrapText="1" readingOrder="0"/>
    </dxf>
    <dxf>
      <alignment vertical="center" readingOrder="0"/>
    </dxf>
    <dxf>
      <alignment horizontal="center"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alignment horizontal="center" readingOrder="0"/>
    </dxf>
    <dxf>
      <alignment horizontal="center" readingOrder="0"/>
    </dxf>
    <dxf>
      <alignment vertical="center" readingOrder="0"/>
    </dxf>
    <dxf>
      <font>
        <b/>
      </font>
    </dxf>
    <dxf>
      <font>
        <b/>
      </font>
    </dxf>
    <dxf>
      <font>
        <b/>
      </font>
    </dxf>
    <dxf>
      <font>
        <b/>
      </font>
    </dxf>
    <dxf>
      <font>
        <b/>
      </font>
    </dxf>
    <dxf>
      <numFmt numFmtId="164" formatCode="&quot;$&quot;#,##0.00"/>
    </dxf>
    <dxf>
      <alignment horizontal="center" readingOrder="0"/>
    </dxf>
    <dxf>
      <alignment wrapText="1" readingOrder="0"/>
    </dxf>
    <dxf>
      <alignment wrapText="1" readingOrder="0"/>
    </dxf>
    <dxf>
      <alignment horizontal="center" readingOrder="0"/>
    </dxf>
    <dxf>
      <alignment vertical="center" readingOrder="0"/>
    </dxf>
    <dxf>
      <alignment horizontal="center" vertical="center" wrapText="1" readingOrder="0"/>
    </dxf>
    <dxf>
      <alignment vertical="center" readingOrder="0"/>
    </dxf>
    <dxf>
      <alignment horizontal="center" readingOrder="0"/>
    </dxf>
    <dxf>
      <alignment horizontal="center" readingOrder="0"/>
    </dxf>
    <dxf>
      <numFmt numFmtId="318" formatCode="#,##0.0"/>
    </dxf>
    <dxf>
      <alignment horizontal="center" vertical="center" wrapText="1" readingOrder="0"/>
    </dxf>
    <dxf>
      <numFmt numFmtId="35" formatCode="_(* #,##0.00_);_(* \(#,##0.00\);_(* &quot;-&quot;??_);_(@_)"/>
    </dxf>
    <dxf>
      <alignment vertical="center" readingOrder="0"/>
    </dxf>
    <dxf>
      <alignment vertical="center" readingOrder="0"/>
    </dxf>
    <dxf>
      <alignment horizontal="center" readingOrder="0"/>
    </dxf>
    <dxf>
      <alignment horizontal="center" readingOrder="0"/>
    </dxf>
    <dxf>
      <alignment wrapText="1" readingOrder="0"/>
    </dxf>
    <dxf>
      <alignment wrapText="1" readingOrder="0"/>
    </dxf>
    <dxf>
      <alignment horizontal="center" readingOrder="0"/>
    </dxf>
    <dxf>
      <alignment wrapText="1" readingOrder="0"/>
    </dxf>
    <dxf>
      <alignment vertical="center" readingOrder="0"/>
    </dxf>
    <dxf>
      <alignment horizontal="center" readingOrder="0"/>
    </dxf>
    <dxf>
      <alignment wrapText="1" readingOrder="0"/>
    </dxf>
    <dxf>
      <alignment vertical="center" readingOrder="0"/>
    </dxf>
    <dxf>
      <alignment horizontal="center" readingOrder="0"/>
    </dxf>
    <dxf>
      <alignment horizontal="center" vertical="center" wrapText="1" readingOrder="0"/>
    </dxf>
    <dxf>
      <alignment horizontal="center" vertical="center" wrapText="1" readingOrder="0"/>
    </dxf>
    <dxf>
      <alignment vertical="center" readingOrder="0"/>
    </dxf>
    <dxf>
      <alignment vertical="center" readingOrder="0"/>
    </dxf>
    <dxf>
      <alignment horizontal="center" readingOrder="0"/>
    </dxf>
    <dxf>
      <alignment horizontal="center" readingOrder="0"/>
    </dxf>
    <dxf>
      <alignment wrapText="1" readingOrder="0"/>
    </dxf>
    <dxf>
      <alignment horizontal="center" wrapText="1" readingOrder="0"/>
    </dxf>
    <dxf>
      <alignment horizontal="center" vertical="center" wrapText="1" readingOrder="0"/>
    </dxf>
    <dxf>
      <alignment horizontal="center" vertical="center" wrapText="1" readingOrder="0"/>
    </dxf>
    <dxf>
      <alignment horizontal="center" readingOrder="0"/>
    </dxf>
    <dxf>
      <alignment horizontal="center" readingOrder="0"/>
    </dxf>
    <dxf>
      <alignment horizontal="center" readingOrder="0"/>
    </dxf>
    <dxf>
      <alignment wrapText="1" readingOrder="0"/>
    </dxf>
    <dxf>
      <alignment horizontal="center" readingOrder="0"/>
    </dxf>
    <dxf>
      <alignment horizontal="center" readingOrder="0"/>
    </dxf>
    <dxf>
      <numFmt numFmtId="165" formatCode="&quot;$&quot;#,##0"/>
    </dxf>
    <dxf>
      <fill>
        <patternFill>
          <bgColor theme="3" tint="0.59999389629810485"/>
        </patternFill>
      </fill>
    </dxf>
    <dxf>
      <fill>
        <patternFill>
          <bgColor theme="3" tint="0.59999389629810485"/>
        </patternFill>
      </fill>
    </dxf>
    <dxf>
      <fill>
        <patternFill>
          <bgColor theme="6" tint="0.59999389629810485"/>
        </patternFill>
      </fill>
    </dxf>
    <dxf>
      <alignment vertical="bottom" readingOrder="0"/>
    </dxf>
    <dxf>
      <alignment horizontal="center" wrapText="1" readingOrder="0"/>
    </dxf>
    <dxf>
      <alignment horizontal="center" wrapText="1" readingOrder="0"/>
    </dxf>
    <dxf>
      <alignment vertical="center" readingOrder="0"/>
    </dxf>
    <dxf>
      <border>
        <left/>
      </border>
    </dxf>
    <dxf>
      <alignment horizontal="center" vertical="center" wrapText="1" readingOrder="0"/>
    </dxf>
    <dxf>
      <border>
        <left style="medium">
          <color auto="1"/>
        </left>
      </border>
    </dxf>
    <dxf>
      <border>
        <left/>
      </border>
    </dxf>
    <dxf>
      <alignment horizontal="center" vertical="center" wrapText="1" readingOrder="0"/>
    </dxf>
    <dxf>
      <border>
        <left/>
      </border>
    </dxf>
    <dxf>
      <alignment horizontal="center" vertical="center" wrapText="1" readingOrder="0"/>
    </dxf>
    <dxf>
      <border>
        <left style="medium">
          <color auto="1"/>
        </left>
      </border>
    </dxf>
    <dxf>
      <border>
        <left style="medium">
          <color auto="1"/>
        </left>
      </border>
    </dxf>
    <dxf>
      <border>
        <left style="medium">
          <color auto="1"/>
        </left>
      </border>
    </dxf>
    <dxf>
      <border>
        <left style="medium">
          <color auto="1"/>
        </left>
      </border>
    </dxf>
    <dxf>
      <numFmt numFmtId="164" formatCode="&quot;$&quot;#,##0.00"/>
    </dxf>
    <dxf>
      <alignment wrapText="1" readingOrder="0"/>
    </dxf>
    <dxf>
      <alignment vertical="center" readingOrder="0"/>
    </dxf>
    <dxf>
      <alignment horizontal="center" readingOrder="0"/>
    </dxf>
    <dxf>
      <fill>
        <patternFill>
          <bgColor theme="3" tint="0.59999389629810485"/>
        </patternFill>
      </fill>
    </dxf>
    <dxf>
      <fill>
        <patternFill>
          <bgColor theme="6" tint="0.59999389629810485"/>
        </patternFill>
      </fill>
    </dxf>
    <dxf>
      <fill>
        <patternFill>
          <bgColor theme="6" tint="0.59999389629810485"/>
        </patternFill>
      </fill>
    </dxf>
    <dxf>
      <alignment horizontal="center" vertical="center" wrapText="1" readingOrder="0"/>
    </dxf>
    <dxf>
      <alignment horizontal="center" vertical="center" wrapText="1" readingOrder="0"/>
    </dxf>
    <dxf>
      <border>
        <left/>
      </border>
    </dxf>
    <dxf>
      <border>
        <left style="medium">
          <color auto="1"/>
        </left>
      </border>
    </dxf>
    <dxf>
      <border>
        <left style="medium">
          <color auto="1"/>
        </left>
      </border>
    </dxf>
    <dxf>
      <border>
        <left/>
      </border>
    </dxf>
    <dxf>
      <alignment horizontal="center" vertical="center" wrapText="1" readingOrder="0"/>
    </dxf>
    <dxf>
      <border>
        <left/>
      </border>
    </dxf>
    <dxf>
      <alignment horizontal="center" vertical="center" wrapText="1" readingOrder="0"/>
    </dxf>
    <dxf>
      <border>
        <left style="medium">
          <color auto="1"/>
        </left>
      </border>
    </dxf>
    <dxf>
      <border>
        <left style="medium">
          <color auto="1"/>
        </left>
      </border>
    </dxf>
    <dxf>
      <border>
        <left style="medium">
          <color auto="1"/>
        </left>
      </border>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left" vertical="center" textRotation="0" wrapText="0" indent="0" justifyLastLine="0" shrinkToFit="0" readingOrder="0"/>
    </dxf>
    <dxf>
      <alignment vertical="top" textRotation="0" wrapText="1" indent="0" justifyLastLine="0" shrinkToFit="0" readingOrder="0"/>
    </dxf>
    <dxf>
      <alignment horizontal="left" vertical="top" textRotation="0" wrapText="1" relative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21" formatCode="d\-mmm"/>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relativeIndent="0" justifyLastLine="0" shrinkToFit="0" readingOrder="0"/>
    </dxf>
    <dxf>
      <numFmt numFmtId="0" formatCode="General"/>
    </dxf>
    <dxf>
      <font>
        <b val="0"/>
        <i val="0"/>
        <strike val="0"/>
        <condense val="0"/>
        <extend val="0"/>
        <outline val="0"/>
        <shadow val="0"/>
        <u val="none"/>
        <vertAlign val="baseline"/>
        <sz val="11"/>
        <color auto="1"/>
        <name val="Arial"/>
        <scheme val="none"/>
      </font>
    </dxf>
    <dxf>
      <font>
        <b val="0"/>
        <i val="0"/>
        <strike val="0"/>
        <condense val="0"/>
        <extend val="0"/>
        <outline val="0"/>
        <shadow val="0"/>
        <u val="none"/>
        <vertAlign val="baseline"/>
        <sz val="11"/>
        <color auto="1"/>
        <name val="Arial"/>
        <scheme val="none"/>
      </font>
    </dxf>
    <dxf>
      <border outline="0">
        <top style="thin">
          <color indexed="8"/>
        </top>
      </border>
    </dxf>
    <dxf>
      <font>
        <b val="0"/>
        <i val="0"/>
        <strike val="0"/>
        <condense val="0"/>
        <extend val="0"/>
        <outline val="0"/>
        <shadow val="0"/>
        <u val="none"/>
        <vertAlign val="baseline"/>
        <sz val="11"/>
        <color auto="1"/>
        <name val="Arial"/>
        <scheme val="none"/>
      </font>
    </dxf>
    <dxf>
      <border outline="0">
        <bottom style="thin">
          <color indexed="8"/>
        </bottom>
      </border>
    </dxf>
    <dxf>
      <font>
        <strike val="0"/>
        <outline val="0"/>
        <shadow val="0"/>
        <u val="none"/>
        <vertAlign val="baseline"/>
        <sz val="11"/>
      </font>
      <alignment vertical="center" textRotation="0" indent="0" justifyLastLine="0" shrinkToFit="0" readingOrder="0"/>
    </dxf>
    <dxf>
      <font>
        <b val="0"/>
        <i val="0"/>
        <strike val="0"/>
        <condense val="0"/>
        <extend val="0"/>
        <outline val="0"/>
        <shadow val="0"/>
        <u val="none"/>
        <vertAlign val="baseline"/>
        <sz val="11"/>
        <color auto="1"/>
        <name val="Arial"/>
        <scheme val="none"/>
      </font>
      <numFmt numFmtId="164" formatCode="&quot;$&quot;#,##0.00"/>
      <alignment horizontal="center" vertical="bottom" textRotation="0" wrapText="0" indent="0" justifyLastLine="0" shrinkToFit="0" readingOrder="0"/>
    </dxf>
    <dxf>
      <font>
        <b val="0"/>
        <i val="0"/>
        <strike val="0"/>
        <condense val="0"/>
        <extend val="0"/>
        <outline val="0"/>
        <shadow val="0"/>
        <u val="none"/>
        <vertAlign val="baseline"/>
        <sz val="11"/>
        <color auto="1"/>
        <name val="Arial"/>
        <scheme val="none"/>
      </font>
    </dxf>
    <dxf>
      <font>
        <b val="0"/>
        <i val="0"/>
        <strike val="0"/>
        <condense val="0"/>
        <extend val="0"/>
        <outline val="0"/>
        <shadow val="0"/>
        <u val="none"/>
        <vertAlign val="baseline"/>
        <sz val="11"/>
        <color auto="1"/>
        <name val="Arial"/>
        <scheme val="none"/>
      </font>
    </dxf>
    <dxf>
      <font>
        <strike val="0"/>
        <outline val="0"/>
        <shadow val="0"/>
        <u val="none"/>
        <vertAlign val="baseline"/>
        <sz val="11"/>
      </font>
      <alignment horizontal="center" vertical="center" textRotation="0" indent="0" justifyLastLine="0" shrinkToFit="0" readingOrder="0"/>
    </dxf>
    <dxf>
      <numFmt numFmtId="0" formatCode="Genera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1"/>
        <color theme="1"/>
        <name val="Calibri"/>
        <scheme val="minor"/>
      </font>
    </dxf>
    <dxf>
      <fill>
        <patternFill>
          <bgColor rgb="FFFFC7CE"/>
        </patternFill>
      </fill>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center"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center"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164" formatCode="&quot;$&quot;#,##0.00"/>
      <fill>
        <patternFill patternType="solid">
          <fgColor indexed="64"/>
          <bgColor theme="0"/>
        </patternFill>
      </fill>
      <alignment horizontal="righ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4" formatCode="#,##0.00"/>
      <fill>
        <patternFill patternType="solid">
          <fgColor indexed="64"/>
          <bgColor theme="0"/>
        </patternFill>
      </fill>
      <alignment horizontal="righ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164" formatCode="&quot;$&quot;#,##0.00"/>
      <fill>
        <patternFill patternType="solid">
          <fgColor indexed="64"/>
          <bgColor theme="0"/>
        </patternFill>
      </fill>
      <alignment horizontal="righ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164" formatCode="&quot;$&quot;#,##0.00"/>
      <fill>
        <patternFill patternType="solid">
          <fgColor indexed="64"/>
          <bgColor theme="0"/>
        </patternFill>
      </fill>
      <alignment horizontal="righ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center"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0" formatCode="General"/>
      <fill>
        <patternFill patternType="solid">
          <fgColor indexed="64"/>
          <bgColor theme="0"/>
        </patternFill>
      </fill>
      <alignment horizontal="left"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general"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0" formatCode="General"/>
      <fill>
        <patternFill patternType="solid">
          <fgColor indexed="64"/>
          <bgColor theme="0"/>
        </patternFill>
      </fill>
      <alignment horizontal="general" vertical="bottom"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Arial"/>
        <scheme val="none"/>
      </font>
      <numFmt numFmtId="1" formatCode="0"/>
      <fill>
        <patternFill patternType="solid">
          <fgColor indexed="64"/>
          <bgColor theme="0"/>
        </patternFill>
      </fill>
      <alignment horizontal="center" vertical="bottom"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fill>
        <patternFill patternType="solid">
          <fgColor rgb="FFFFFF00"/>
          <bgColor rgb="FFFFFFFF"/>
        </patternFill>
      </fill>
    </dxf>
    <dxf>
      <border outline="0">
        <top style="thin">
          <color theme="0" tint="-0.34998626667073579"/>
        </top>
      </border>
    </dxf>
    <dxf>
      <border outline="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9"/>
        <color theme="1"/>
        <name val="Arial"/>
        <scheme val="none"/>
      </font>
      <fill>
        <patternFill patternType="solid">
          <fgColor indexed="64"/>
          <bgColor theme="0"/>
        </patternFill>
      </fill>
      <alignment horizontal="left" vertical="bottom" textRotation="0" wrapText="0" indent="0" justifyLastLine="0" shrinkToFit="0" readingOrder="0"/>
    </dxf>
    <dxf>
      <border outline="0">
        <bottom style="thin">
          <color theme="0" tint="-0.34998626667073579"/>
        </bottom>
      </border>
    </dxf>
    <dxf>
      <font>
        <b/>
        <i val="0"/>
        <strike val="0"/>
        <condense val="0"/>
        <extend val="0"/>
        <outline val="0"/>
        <shadow val="0"/>
        <u val="none"/>
        <vertAlign val="baseline"/>
        <sz val="9"/>
        <color theme="0"/>
        <name val="Arial"/>
        <scheme val="none"/>
      </font>
      <fill>
        <patternFill patternType="solid">
          <fgColor indexed="64"/>
          <bgColor theme="3"/>
        </patternFill>
      </fill>
      <alignment horizontal="left"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9"/>
        <color theme="0"/>
        <name val="Arial"/>
        <scheme val="none"/>
      </font>
      <fill>
        <patternFill patternType="solid">
          <fgColor indexed="64"/>
          <bgColor rgb="FF002060"/>
        </patternFill>
      </fill>
      <alignment horizontal="left"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Arial"/>
        <scheme val="none"/>
      </font>
      <numFmt numFmtId="164" formatCode="&quot;$&quot;#,##0.00"/>
      <alignment horizontal="center" vertical="bottom" textRotation="0" wrapText="0" relativeIndent="0" justifyLastLine="0" shrinkToFit="0" readingOrder="0"/>
    </dxf>
    <dxf>
      <numFmt numFmtId="164" formatCode="&quot;$&quot;#,##0.00"/>
      <alignment horizontal="center"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64" formatCode="&quot;$&quot;#,##0.00"/>
      <fill>
        <patternFill patternType="solid">
          <fgColor theme="4" tint="0.79998168889431442"/>
          <bgColor theme="4" tint="0.79998168889431442"/>
        </patternFill>
      </fill>
      <alignment horizontal="center" vertical="top" textRotation="0" wrapText="0" indent="0" justifyLastLine="0" shrinkToFit="0" readingOrder="0"/>
    </dxf>
    <dxf>
      <font>
        <b val="0"/>
        <i val="0"/>
        <strike val="0"/>
        <condense val="0"/>
        <extend val="0"/>
        <outline val="0"/>
        <shadow val="0"/>
        <u val="none"/>
        <vertAlign val="baseline"/>
        <sz val="10"/>
        <color auto="1"/>
        <name val="Arial"/>
        <scheme val="none"/>
      </font>
      <numFmt numFmtId="164" formatCode="&quot;$&quot;#,##0.00"/>
      <fill>
        <patternFill patternType="solid">
          <fgColor theme="4" tint="0.79998168889431442"/>
          <bgColor theme="4" tint="0.79998168889431442"/>
        </patternFill>
      </fill>
      <alignment horizontal="center" vertical="top" textRotation="0" wrapText="0" indent="0" justifyLastLine="0" shrinkToFit="0" readingOrder="0"/>
    </dxf>
    <dxf>
      <fill>
        <patternFill patternType="none">
          <fgColor indexed="64"/>
          <bgColor indexed="65"/>
        </patternFill>
      </fill>
    </dxf>
    <dxf>
      <alignment horizontal="center" vertical="bottom" textRotation="0" wrapText="0" relativeIndent="0" justifyLastLine="0" shrinkToFit="0" readingOrder="0"/>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9"/>
        <color indexed="9"/>
        <name val="Calibri"/>
        <scheme val="none"/>
      </font>
      <fill>
        <patternFill patternType="solid">
          <fgColor indexed="64"/>
          <bgColor theme="4"/>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0"/>
        <color theme="0"/>
        <name val="Arial"/>
        <scheme val="none"/>
      </font>
      <fill>
        <patternFill patternType="solid">
          <fgColor indexed="64"/>
          <bgColor theme="3" tint="0.59999389629810485"/>
        </patternFill>
      </fill>
      <alignment horizontal="center" vertical="center" textRotation="0" wrapText="0" relativeIndent="0" justifyLastLine="0" shrinkToFit="0" readingOrder="0"/>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9"/>
        <color indexed="9"/>
        <name val="Calibri"/>
        <scheme val="none"/>
      </font>
      <fill>
        <patternFill patternType="solid">
          <fgColor indexed="64"/>
          <bgColor theme="4"/>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9"/>
        <color indexed="9"/>
        <name val="Calibri"/>
        <scheme val="none"/>
      </font>
      <numFmt numFmtId="0" formatCode="General"/>
      <fill>
        <patternFill patternType="solid">
          <fgColor indexed="64"/>
          <bgColor theme="4"/>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9"/>
        <color indexed="9"/>
        <name val="Calibri"/>
        <scheme val="none"/>
      </font>
      <fill>
        <patternFill patternType="solid">
          <fgColor indexed="64"/>
          <bgColor theme="4"/>
        </patternFill>
      </fill>
      <alignment horizontal="center" vertical="center" textRotation="0" wrapText="1"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0"/>
        <color theme="0"/>
        <name val="Arial"/>
        <scheme val="none"/>
      </font>
      <fill>
        <patternFill patternType="solid">
          <fgColor indexed="64"/>
          <bgColor theme="3" tint="0.59999389629810485"/>
        </patternFill>
      </fill>
      <alignment horizontal="center" vertical="center" textRotation="0" wrapText="0" relativeIndent="0" justifyLastLine="0" shrinkToFit="0" readingOrder="0"/>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val="0"/>
        <i val="0"/>
        <strike val="0"/>
        <condense val="0"/>
        <extend val="0"/>
        <outline val="0"/>
        <shadow val="0"/>
        <u val="none"/>
        <vertAlign val="baseline"/>
        <sz val="11"/>
        <color theme="1"/>
        <name val="Calibri"/>
        <scheme val="minor"/>
      </font>
      <numFmt numFmtId="32" formatCode="_(&quot;$&quot;* #,##0_);_(&quot;$&quot;* \(#,##0\);_(&quot;$&quot;* &quot;-&quot;_);_(@_)"/>
      <fill>
        <patternFill patternType="solid">
          <fgColor indexed="64"/>
          <bgColor rgb="FFFFFF00"/>
        </patternFill>
      </fill>
    </dxf>
    <dxf>
      <numFmt numFmtId="32" formatCode="_(&quot;$&quot;* #,##0_);_(&quot;$&quot;* \(#,##0\);_(&quot;$&quot;* &quot;-&quot;_);_(@_)"/>
      <fill>
        <patternFill patternType="solid">
          <fgColor indexed="64"/>
          <bgColor rgb="FFFFFF00"/>
        </patternFill>
      </fill>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font>
        <b val="0"/>
        <i val="0"/>
        <strike val="0"/>
        <condense val="0"/>
        <extend val="0"/>
        <outline val="0"/>
        <shadow val="0"/>
        <u val="none"/>
        <vertAlign val="baseline"/>
        <sz val="11"/>
        <color theme="1"/>
        <name val="Calibri"/>
        <scheme val="minor"/>
      </font>
      <numFmt numFmtId="32" formatCode="_(&quot;$&quot;* #,##0_);_(&quot;$&quot;* \(#,##0\);_(&quot;$&quot;* &quot;-&quot;_);_(@_)"/>
    </dxf>
    <dxf>
      <numFmt numFmtId="32" formatCode="_(&quot;$&quot;* #,##0_);_(&quot;$&quot;* \(#,##0\);_(&quot;$&quot;* &quot;-&quot;_);_(@_)"/>
    </dxf>
    <dxf>
      <alignment horizontal="center" vertical="center" textRotation="0" wrapText="0" indent="0" justifyLastLine="0" shrinkToFit="0" readingOrder="0"/>
    </dxf>
    <dxf>
      <numFmt numFmtId="32" formatCode="_(&quot;$&quot;* #,##0_);_(&quot;$&quot;* \(#,##0\);_(&quot;$&quot;* &quot;-&quot;_);_(@_)"/>
      <fill>
        <patternFill patternType="solid">
          <fgColor indexed="64"/>
          <bgColor rgb="FFFFFF00"/>
        </patternFill>
      </fill>
      <alignment horizontal="center" vertical="bottom" textRotation="0" wrapText="0" relativeIndent="0" justifyLastLine="0" shrinkToFit="0" readingOrder="0"/>
    </dxf>
    <dxf>
      <numFmt numFmtId="32" formatCode="_(&quot;$&quot;* #,##0_);_(&quot;$&quot;* \(#,##0\);_(&quot;$&quot;* &quot;-&quot;_);_(@_)"/>
      <fill>
        <patternFill patternType="solid">
          <fgColor indexed="64"/>
          <bgColor rgb="FFFFFF00"/>
        </patternFill>
      </fill>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32" formatCode="_(&quot;$&quot;* #,##0_);_(&quot;$&quot;* \(#,##0\);_(&quot;$&quot;* &quot;-&quot;_);_(@_)"/>
      <alignment horizontal="center" vertical="bottom" textRotation="0" wrapText="0" relativeIndent="0" justifyLastLine="0" shrinkToFit="0" readingOrder="0"/>
    </dxf>
    <dxf>
      <numFmt numFmtId="32" formatCode="_(&quot;$&quot;* #,##0_);_(&quot;$&quot;* \(#,##0\);_(&quot;$&quot;* &quot;-&quot;_);_(@_)"/>
      <alignment horizontal="center" vertical="bottom" textRotation="0" wrapText="0" indent="0" justifyLastLine="0" shrinkToFit="0" readingOrder="0"/>
    </dxf>
    <dxf>
      <numFmt numFmtId="0" formatCode="General"/>
    </dxf>
    <dxf>
      <alignment horizontal="center" vertical="center" textRotation="0" wrapText="0" indent="0" justifyLastLine="0" shrinkToFit="0" readingOrder="0"/>
    </dxf>
    <dxf>
      <font>
        <b/>
      </font>
    </dxf>
    <dxf>
      <font>
        <b/>
      </font>
    </dxf>
    <dxf>
      <font>
        <b/>
      </font>
    </dxf>
    <dxf>
      <font>
        <b/>
      </font>
    </dxf>
    <dxf>
      <font>
        <b/>
      </font>
    </dxf>
    <dxf>
      <alignment vertical="center" readingOrder="0"/>
    </dxf>
    <dxf>
      <alignment horizontal="center" readingOrder="0"/>
    </dxf>
    <dxf>
      <alignment horizontal="center"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alignment horizontal="center" readingOrder="0"/>
    </dxf>
    <dxf>
      <alignment vertical="center" readingOrder="0"/>
    </dxf>
    <dxf>
      <font>
        <b/>
        <sz val="9"/>
        <color indexed="9"/>
      </font>
      <fill>
        <patternFill patternType="solid">
          <fgColor indexed="64"/>
          <bgColor theme="4"/>
        </patternFill>
      </fill>
      <alignment horizontal="center" vertical="center" textRotation="90" wrapText="1" readingOrder="0"/>
    </dxf>
    <dxf>
      <alignment horizontal="center"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numFmt numFmtId="166" formatCode="0.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alignment vertical="center" readingOrder="0"/>
    </dxf>
    <dxf>
      <alignment horizontal="center"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font>
        <b/>
        <sz val="9"/>
        <color indexed="9"/>
      </font>
      <fill>
        <patternFill patternType="solid">
          <fgColor indexed="64"/>
          <bgColor theme="4"/>
        </patternFill>
      </fill>
      <alignment horizontal="center" vertical="center" textRotation="90" wrapText="1" readingOrder="0"/>
    </dxf>
    <dxf>
      <alignment wrapText="0" readingOrder="0"/>
    </dxf>
    <dxf>
      <alignment wrapText="0" readingOrder="0"/>
    </dxf>
    <dxf>
      <font>
        <b/>
        <sz val="9"/>
        <color indexed="9"/>
      </font>
      <fill>
        <patternFill patternType="solid">
          <fgColor indexed="64"/>
          <bgColor theme="4"/>
        </patternFill>
      </fill>
      <alignment horizontal="center" vertical="center" textRotation="90" wrapText="1" readingOrder="0"/>
    </dxf>
    <dxf>
      <alignment horizontal="center" readingOrder="0"/>
    </dxf>
    <dxf>
      <numFmt numFmtId="164" formatCode="&quot;$&quot;#,##0.00"/>
    </dxf>
    <dxf>
      <alignment horizontal="center" readingOrder="0"/>
    </dxf>
    <dxf>
      <alignment vertical="center" readingOrder="0"/>
    </dxf>
    <dxf>
      <alignment wrapText="1" readingOrder="0"/>
    </dxf>
    <dxf>
      <font>
        <b/>
        <sz val="9"/>
        <color indexed="9"/>
      </font>
      <fill>
        <patternFill patternType="solid">
          <fgColor indexed="64"/>
          <bgColor theme="4"/>
        </patternFill>
      </fill>
      <alignment horizontal="center" vertical="center" textRotation="90" wrapText="1" readingOrder="0"/>
    </dxf>
    <dxf>
      <alignment textRotation="255" readingOrder="0"/>
    </dxf>
    <dxf>
      <font>
        <condense val="0"/>
        <extend val="0"/>
        <color rgb="FF006100"/>
      </font>
      <fill>
        <patternFill>
          <bgColor rgb="FFC6EFCE"/>
        </patternFill>
      </fill>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fill>
        <patternFill patternType="solid">
          <fgColor indexed="64"/>
          <bgColor theme="6" tint="0.59999389629810485"/>
        </patternFill>
      </fill>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border diagonalUp="0" diagonalDown="0" outline="0">
        <left/>
        <right/>
        <top/>
        <bottom style="medium">
          <color indexed="64"/>
        </bottom>
      </border>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numFmt numFmtId="337" formatCode="_(&quot;$&quot;* #,##0_);_(&quot;$&quot;* \(#,##0\);_(&quot;$&quot;* &quot;-&quot;??_);_(@_)"/>
    </dxf>
    <dxf>
      <numFmt numFmtId="0" formatCode="General"/>
      <fill>
        <patternFill patternType="solid">
          <fgColor indexed="64"/>
          <bgColor theme="6" tint="0.59999389629810485"/>
        </patternFill>
      </fill>
      <border diagonalUp="0" diagonalDown="0" outline="0">
        <left/>
        <right/>
        <top/>
        <bottom/>
      </border>
    </dxf>
    <dxf>
      <numFmt numFmtId="0" formatCode="General"/>
    </dxf>
    <dxf>
      <numFmt numFmtId="0" formatCode="General"/>
      <fill>
        <patternFill patternType="solid">
          <fgColor indexed="64"/>
          <bgColor theme="6" tint="0.59999389629810485"/>
        </patternFill>
      </fill>
      <border diagonalUp="0" diagonalDown="0" outline="0">
        <left/>
        <right/>
        <top/>
        <bottom/>
      </border>
    </dxf>
    <dxf>
      <numFmt numFmtId="0" formatCode="General"/>
    </dxf>
    <dxf>
      <numFmt numFmtId="0" formatCode="General"/>
      <fill>
        <patternFill patternType="solid">
          <fgColor indexed="64"/>
          <bgColor theme="6" tint="0.59999389629810485"/>
        </patternFill>
      </fill>
      <border diagonalUp="0" diagonalDown="0" outline="0">
        <left/>
        <right/>
        <top/>
        <bottom/>
      </border>
    </dxf>
    <dxf>
      <numFmt numFmtId="0" formatCode="General"/>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dxf>
    <dxf>
      <border outline="0">
        <top style="thin">
          <color theme="4" tint="0.39997558519241921"/>
        </top>
      </border>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0" relativeIndent="0" justifyLastLine="0" shrinkToFit="0" readingOrder="0"/>
      <border diagonalUp="0" diagonalDown="0" outline="0">
        <left style="thin">
          <color theme="4" tint="0.39997558519241921"/>
        </left>
        <right style="thin">
          <color theme="4" tint="0.39997558519241921"/>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font>
        <b val="0"/>
        <i val="0"/>
        <strike val="0"/>
        <condense val="0"/>
        <extend val="0"/>
        <outline val="0"/>
        <shadow val="0"/>
        <u val="none"/>
        <vertAlign val="baseline"/>
        <sz val="11"/>
        <color theme="1"/>
        <name val="Calibri"/>
        <scheme val="minor"/>
      </font>
      <numFmt numFmtId="337" formatCode="_(&quot;$&quot;* #,##0_);_(&quot;$&quot;* \(#,##0\);_(&quot;$&quot;* &quot;-&quot;??_);_(@_)"/>
      <fill>
        <patternFill patternType="solid">
          <fgColor indexed="64"/>
          <bgColor theme="6" tint="0.59999389629810485"/>
        </patternFill>
      </fill>
      <border diagonalUp="0" diagonalDown="0" outline="0">
        <left/>
        <right/>
        <top/>
        <bottom/>
      </border>
    </dxf>
    <dxf>
      <font>
        <b val="0"/>
        <i val="0"/>
        <strike val="0"/>
        <condense val="0"/>
        <extend val="0"/>
        <outline val="0"/>
        <shadow val="0"/>
        <u val="none"/>
        <vertAlign val="baseline"/>
        <sz val="11"/>
        <color theme="1"/>
        <name val="Calibri"/>
        <scheme val="minor"/>
      </font>
      <numFmt numFmtId="337" formatCode="_(&quot;$&quot;* #,##0_);_(&quot;$&quot;* \(#,##0\);_(&quot;$&quot;* &quot;-&quot;??_);_(@_)"/>
    </dxf>
    <dxf>
      <numFmt numFmtId="0" formatCode="General"/>
      <fill>
        <patternFill patternType="solid">
          <fgColor indexed="64"/>
          <bgColor theme="6" tint="0.59999389629810485"/>
        </patternFill>
      </fill>
      <border diagonalUp="0" diagonalDown="0" outline="0">
        <left/>
        <right/>
        <top/>
        <bottom/>
      </border>
    </dxf>
    <dxf>
      <numFmt numFmtId="0" formatCode="General"/>
    </dxf>
    <dxf>
      <numFmt numFmtId="0" formatCode="General"/>
      <fill>
        <patternFill patternType="solid">
          <fgColor indexed="64"/>
          <bgColor theme="6" tint="0.59999389629810485"/>
        </patternFill>
      </fill>
      <border diagonalUp="0" diagonalDown="0" outline="0">
        <left/>
        <right/>
        <top/>
        <bottom/>
      </border>
    </dxf>
    <dxf>
      <numFmt numFmtId="0" formatCode="General"/>
    </dxf>
    <dxf>
      <numFmt numFmtId="0" formatCode="General"/>
      <fill>
        <patternFill patternType="solid">
          <fgColor indexed="64"/>
          <bgColor theme="6" tint="0.59999389629810485"/>
        </patternFill>
      </fill>
      <border diagonalUp="0" diagonalDown="0" outline="0">
        <left/>
        <right/>
        <top/>
        <bottom/>
      </border>
    </dxf>
    <dxf>
      <fill>
        <patternFill patternType="solid">
          <fgColor indexed="64"/>
          <bgColor theme="6" tint="0.59999389629810485"/>
        </patternFill>
      </fill>
    </dxf>
    <dxf>
      <border outline="0">
        <top style="thin">
          <color theme="4" tint="0.39997558519241921"/>
        </top>
      </border>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0" relativeIndent="0" justifyLastLine="0" shrinkToFit="0" readingOrder="0"/>
      <border diagonalUp="0" diagonalDown="0" outline="0">
        <left style="thin">
          <color theme="4" tint="0.39997558519241921"/>
        </left>
        <right style="thin">
          <color theme="4" tint="0.39997558519241921"/>
        </right>
        <top/>
        <bottom/>
      </border>
    </dxf>
    <dxf>
      <numFmt numFmtId="165" formatCode="&quot;$&quot;#,##0"/>
    </dxf>
    <dxf>
      <numFmt numFmtId="0" formatCode="General"/>
    </dxf>
    <dxf>
      <numFmt numFmtId="19" formatCode="m/d/yyyy"/>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dxf>
    <dxf>
      <border>
        <bottom style="thin">
          <color theme="3" tint="0.39994506668294322"/>
        </bottom>
      </border>
    </dxf>
    <dxf>
      <font>
        <b/>
        <strike val="0"/>
        <outline val="0"/>
        <shadow val="0"/>
        <u val="none"/>
        <vertAlign val="baseline"/>
        <sz val="11"/>
        <color theme="0"/>
        <name val="Calibri"/>
        <scheme val="minor"/>
      </font>
      <fill>
        <patternFill patternType="solid">
          <fgColor indexed="64"/>
          <bgColor theme="4" tint="-0.499984740745262"/>
        </patternFill>
      </fill>
      <alignment horizontal="center" vertical="center" textRotation="0" wrapText="0" indent="0" justifyLastLine="0" shrinkToFit="0" readingOrder="0"/>
    </dxf>
    <dxf>
      <alignment horizontal="center" vertical="center" wrapText="1" readingOrder="0"/>
    </dxf>
    <dxf>
      <numFmt numFmtId="318" formatCode="#,##0.0"/>
    </dxf>
    <dxf>
      <alignment horizontal="center" readingOrder="0"/>
    </dxf>
    <dxf>
      <alignment horizontal="center" readingOrder="0"/>
    </dxf>
    <dxf>
      <alignment vertical="center" readingOrder="0"/>
    </dxf>
    <dxf>
      <alignment horizontal="center" vertical="center" wrapText="1" readingOrder="0"/>
    </dxf>
    <dxf>
      <alignment vertical="center" readingOrder="0"/>
    </dxf>
    <dxf>
      <alignment horizontal="center" readingOrder="0"/>
    </dxf>
    <dxf>
      <alignment wrapText="1" readingOrder="0"/>
    </dxf>
    <dxf>
      <alignment wrapText="1" readingOrder="0"/>
    </dxf>
    <dxf>
      <alignment horizontal="center" readingOrder="0"/>
    </dxf>
    <dxf>
      <numFmt numFmtId="164" formatCode="&quot;$&quot;#,##0.00"/>
    </dxf>
    <dxf>
      <fill>
        <patternFill>
          <bgColor theme="4" tint="0.59996337778862885"/>
        </patternFill>
      </fill>
      <border>
        <top style="thin">
          <color theme="0"/>
        </top>
        <bottom style="thin">
          <color theme="0"/>
        </bottom>
      </border>
    </dxf>
    <dxf>
      <fill>
        <patternFill>
          <bgColor theme="4" tint="0.39994506668294322"/>
        </patternFill>
      </fill>
      <border>
        <top style="thin">
          <color theme="0"/>
        </top>
        <bottom style="thin">
          <color theme="0"/>
        </bottom>
      </border>
    </dxf>
    <dxf>
      <font>
        <b/>
        <i val="0"/>
        <color theme="0"/>
      </font>
      <fill>
        <patternFill>
          <bgColor theme="4" tint="-0.499984740745262"/>
        </patternFill>
      </fill>
    </dxf>
    <dxf>
      <alignment horizontal="center" vertical="center" wrapText="1" readingOrder="0"/>
    </dxf>
    <dxf>
      <alignment horizontal="center" vertical="center" wrapText="1" readingOrder="0"/>
    </dxf>
    <dxf>
      <alignment horizontal="center" wrapText="1" readingOrder="0"/>
    </dxf>
    <dxf>
      <alignment wrapText="1" readingOrder="0"/>
    </dxf>
    <dxf>
      <alignment horizontal="center" readingOrder="0"/>
    </dxf>
    <dxf>
      <alignment horizontal="center" readingOrder="0"/>
    </dxf>
    <dxf>
      <alignment vertical="center" readingOrder="0"/>
    </dxf>
    <dxf>
      <alignment vertical="center" readingOrder="0"/>
    </dxf>
    <dxf>
      <alignment horizontal="center" vertical="center" wrapText="1" readingOrder="0"/>
    </dxf>
    <dxf>
      <alignment horizontal="center" vertical="center" wrapText="1" readingOrder="0"/>
    </dxf>
    <dxf>
      <alignment horizontal="center" readingOrder="0"/>
    </dxf>
    <dxf>
      <alignment vertical="center" readingOrder="0"/>
    </dxf>
    <dxf>
      <alignment wrapText="1" readingOrder="0"/>
    </dxf>
    <dxf>
      <alignment horizontal="center" readingOrder="0"/>
    </dxf>
    <dxf>
      <alignment vertical="center" readingOrder="0"/>
    </dxf>
    <dxf>
      <alignment wrapText="1" readingOrder="0"/>
    </dxf>
    <dxf>
      <alignment horizontal="center" readingOrder="0"/>
    </dxf>
    <dxf>
      <alignment wrapText="1" readingOrder="0"/>
    </dxf>
    <dxf>
      <alignment wrapText="1" readingOrder="0"/>
    </dxf>
    <dxf>
      <alignment horizontal="center" readingOrder="0"/>
    </dxf>
    <dxf>
      <alignment horizontal="center" readingOrder="0"/>
    </dxf>
    <dxf>
      <alignment vertical="center" readingOrder="0"/>
    </dxf>
    <dxf>
      <alignment vertical="center" readingOrder="0"/>
    </dxf>
    <dxf>
      <numFmt numFmtId="35" formatCode="_(* #,##0.00_);_(* \(#,##0.00\);_(* &quot;-&quot;??_);_(@_)"/>
    </dxf>
    <dxf>
      <alignment horizontal="center" readingOrder="0"/>
    </dxf>
    <dxf>
      <alignment horizontal="center" readingOrder="0"/>
    </dxf>
    <dxf>
      <alignment horizontal="center" readingOrder="0"/>
    </dxf>
    <dxf>
      <border>
        <left style="medium">
          <color auto="1"/>
        </left>
      </border>
    </dxf>
    <dxf>
      <border>
        <left style="medium">
          <color auto="1"/>
        </left>
      </border>
    </dxf>
    <dxf>
      <border>
        <left style="medium">
          <color auto="1"/>
        </left>
      </border>
    </dxf>
    <dxf>
      <alignment horizontal="center" vertical="center" wrapText="1" readingOrder="0"/>
    </dxf>
    <dxf>
      <border>
        <left/>
      </border>
    </dxf>
    <dxf>
      <alignment horizontal="center" vertical="center" wrapText="1" readingOrder="0"/>
    </dxf>
    <dxf>
      <border>
        <left/>
      </border>
    </dxf>
    <dxf>
      <border>
        <left style="medium">
          <color auto="1"/>
        </left>
      </border>
    </dxf>
    <dxf>
      <border>
        <left style="medium">
          <color auto="1"/>
        </left>
      </border>
    </dxf>
    <dxf>
      <border>
        <left/>
      </border>
    </dxf>
    <dxf>
      <alignment horizontal="center" vertical="center" wrapText="1" readingOrder="0"/>
    </dxf>
    <dxf>
      <alignment horizontal="center" vertical="center" wrapText="1" readingOrder="0"/>
    </dxf>
    <dxf>
      <fill>
        <patternFill>
          <bgColor theme="6" tint="0.59999389629810485"/>
        </patternFill>
      </fill>
    </dxf>
    <dxf>
      <fill>
        <patternFill>
          <bgColor theme="6" tint="0.59999389629810485"/>
        </patternFill>
      </fill>
    </dxf>
    <dxf>
      <fill>
        <patternFill>
          <bgColor theme="3" tint="0.59999389629810485"/>
        </patternFill>
      </fill>
    </dxf>
    <dxf>
      <alignment horizontal="center" readingOrder="0"/>
    </dxf>
    <dxf>
      <alignment vertical="center" readingOrder="0"/>
    </dxf>
    <dxf>
      <alignment wrapText="1" readingOrder="0"/>
    </dxf>
    <dxf>
      <numFmt numFmtId="164" formatCode="&quot;$&quot;#,##0.00"/>
    </dxf>
    <dxf>
      <border>
        <left style="medium">
          <color auto="1"/>
        </left>
      </border>
    </dxf>
    <dxf>
      <border>
        <left style="medium">
          <color auto="1"/>
        </left>
      </border>
    </dxf>
    <dxf>
      <border>
        <left style="medium">
          <color auto="1"/>
        </left>
      </border>
    </dxf>
    <dxf>
      <border>
        <left style="medium">
          <color auto="1"/>
        </left>
      </border>
    </dxf>
    <dxf>
      <alignment horizontal="center" vertical="center" wrapText="1" readingOrder="0"/>
    </dxf>
    <dxf>
      <border>
        <left/>
      </border>
    </dxf>
    <dxf>
      <alignment horizontal="center" vertical="center" wrapText="1" readingOrder="0"/>
    </dxf>
    <dxf>
      <border>
        <left/>
      </border>
    </dxf>
    <dxf>
      <border>
        <left style="medium">
          <color auto="1"/>
        </left>
      </border>
    </dxf>
    <dxf>
      <alignment horizontal="center" vertical="center" wrapText="1" readingOrder="0"/>
    </dxf>
    <dxf>
      <border>
        <left/>
      </border>
    </dxf>
    <dxf>
      <alignment vertical="center" readingOrder="0"/>
    </dxf>
    <dxf>
      <alignment horizontal="center" wrapText="1" readingOrder="0"/>
    </dxf>
    <dxf>
      <alignment horizontal="center" wrapText="1" readingOrder="0"/>
    </dxf>
    <dxf>
      <alignment vertical="bottom" readingOrder="0"/>
    </dxf>
    <dxf>
      <fill>
        <patternFill>
          <bgColor theme="6" tint="0.59999389629810485"/>
        </patternFill>
      </fill>
    </dxf>
    <dxf>
      <fill>
        <patternFill>
          <bgColor theme="3" tint="0.59999389629810485"/>
        </patternFill>
      </fill>
    </dxf>
    <dxf>
      <fill>
        <patternFill>
          <bgColor theme="3" tint="0.59999389629810485"/>
        </patternFill>
      </fill>
    </dxf>
    <dxf>
      <numFmt numFmtId="165" formatCode="&quot;$&quot;#,##0"/>
    </dxf>
    <dxf>
      <alignment horizontal="center" readingOrder="0"/>
    </dxf>
    <dxf>
      <alignment horizontal="center" readingOrder="0"/>
    </dxf>
    <dxf>
      <alignment wrapText="1" readingOrder="0"/>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164" formatCode="&quot;$&quot;#,##0.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2" tint="-9.9978637043366805E-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2" tint="-9.9978637043366805E-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5"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5"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5"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5" tint="0.59999389629810485"/>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164" formatCode="&quot;$&quot;#,##0.00"/>
      <fill>
        <patternFill patternType="solid">
          <fgColor indexed="64"/>
          <bgColor theme="9" tint="0.39997558519241921"/>
        </patternFill>
      </fill>
      <alignment horizontal="center" vertical="center" textRotation="0" wrapText="1" relativeIndent="0" justifyLastLine="0" shrinkToFit="0" readingOrder="0"/>
      <border diagonalUp="0" diagonalDown="0">
        <left style="thin">
          <color indexed="64"/>
        </left>
        <right/>
        <top style="thin">
          <color indexed="64"/>
        </top>
        <bottom/>
        <vertical/>
        <horizontal/>
      </border>
      <protection locked="1" hidden="0"/>
    </dxf>
    <dxf>
      <font>
        <b val="0"/>
        <i val="0"/>
        <strike val="0"/>
        <condense val="0"/>
        <extend val="0"/>
        <outline val="0"/>
        <shadow val="0"/>
        <u val="none"/>
        <vertAlign val="baseline"/>
        <sz val="8"/>
        <color theme="1"/>
        <name val="Calibri"/>
        <scheme val="minor"/>
      </font>
      <numFmt numFmtId="164" formatCode="&quot;$&quot;#,##0.00"/>
      <fill>
        <patternFill patternType="solid">
          <fgColor indexed="64"/>
          <bgColor theme="9" tint="0.39997558519241921"/>
        </patternFill>
      </fill>
      <alignment horizontal="center" vertical="center" textRotation="0" wrapText="1"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8"/>
        <color auto="1"/>
        <name val="Calibri"/>
        <scheme val="none"/>
      </font>
      <numFmt numFmtId="166" formatCode="0.0"/>
      <fill>
        <patternFill patternType="solid">
          <fgColor indexed="64"/>
          <bgColor theme="5" tint="0.39997558519241921"/>
        </patternFill>
      </fill>
      <alignment horizontal="center" vertical="center" textRotation="0" wrapText="0" relativeIndent="0" justifyLastLine="0" shrinkToFit="0" readingOrder="0"/>
      <border diagonalUp="0" diagonalDown="0">
        <left style="thin">
          <color indexed="64"/>
        </left>
        <right/>
        <top/>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fill>
        <patternFill patternType="solid">
          <fgColor indexed="64"/>
          <bgColor theme="5" tint="0.39997558519241921"/>
        </patternFill>
      </fill>
      <alignment horizontal="left" vertical="top" textRotation="0" wrapText="1" relative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left" vertical="top"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34" formatCode="_(&quot;$&quot;* #,##0.00_);_(&quot;$&quot;* \(#,##0.00\);_(&quot;$&quot;* &quot;-&quot;??_);_(@_)"/>
      <fill>
        <patternFill patternType="solid">
          <fgColor indexed="64"/>
          <bgColor theme="6" tint="0.399975585192419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399975585192419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medium">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Marlett"/>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Marlett"/>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medium">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none"/>
      </font>
      <numFmt numFmtId="1" formatCode="0"/>
      <fill>
        <patternFill patternType="solid">
          <fgColor indexed="64"/>
          <bgColor theme="0" tint="-0.14999847407452621"/>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8"/>
        <color auto="1"/>
        <name val="Calibri"/>
        <scheme val="none"/>
      </font>
      <numFmt numFmtId="166" formatCode="0.0"/>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right/>
        <top style="thin">
          <color indexed="64"/>
        </top>
        <bottom style="thin">
          <color indexed="64"/>
        </bottom>
        <vertical/>
        <horizontal/>
      </border>
    </dxf>
    <dxf>
      <font>
        <b val="0"/>
        <i val="0"/>
        <strike val="0"/>
        <condense val="0"/>
        <extend val="0"/>
        <outline val="0"/>
        <shadow val="0"/>
        <u val="none"/>
        <vertAlign val="baseline"/>
        <sz val="8"/>
        <color auto="1"/>
        <name val="Calibri"/>
        <scheme val="none"/>
      </font>
      <numFmt numFmtId="1" formatCode="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0" tint="-0.14999847407452621"/>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 formatCode="0"/>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medium">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166" formatCode="0.0"/>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Marlett"/>
        <scheme val="none"/>
      </font>
      <numFmt numFmtId="166" formatCode="0.0"/>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Marlett"/>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5117038483843"/>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8"/>
        <color auto="1"/>
        <name val="Calibri"/>
        <scheme val="none"/>
      </font>
      <numFmt numFmtId="275" formatCode="#"/>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8"/>
        <color auto="1"/>
        <name val="Calibri"/>
        <scheme val="none"/>
      </font>
      <numFmt numFmtId="0" formatCode="General"/>
      <fill>
        <patternFill patternType="solid">
          <fgColor indexed="64"/>
          <bgColor theme="3"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0" formatCode="General"/>
      <fill>
        <patternFill patternType="solid">
          <fgColor indexed="64"/>
          <bgColor theme="0" tint="-0.14999847407452621"/>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3"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minor"/>
      </font>
      <numFmt numFmtId="339" formatCode="[$-409]d\-mmm;@"/>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8" tint="0.59999389629810485"/>
        </patternFill>
      </fill>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Calibri"/>
        <scheme val="none"/>
      </font>
      <fill>
        <patternFill patternType="solid">
          <fgColor indexed="64"/>
          <bgColor theme="6" tint="0.79998168889431442"/>
        </patternFill>
      </fill>
      <alignment horizontal="center" vertical="center" textRotation="0" wrapText="0" relative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none"/>
      </font>
      <fill>
        <patternFill patternType="solid">
          <fgColor indexed="64"/>
          <bgColor theme="0" tint="-0.14999847407452621"/>
        </patternFill>
      </fill>
      <alignment horizontal="center" vertical="center" textRotation="0" wrapText="0" relativeIndent="0" justifyLastLine="0" shrinkToFit="0" readingOrder="0"/>
    </dxf>
    <dxf>
      <font>
        <b/>
        <i val="0"/>
        <strike val="0"/>
        <condense val="0"/>
        <extend val="0"/>
        <outline val="0"/>
        <shadow val="0"/>
        <u val="none"/>
        <vertAlign val="baseline"/>
        <sz val="8"/>
        <color indexed="9"/>
        <name val="Calibri"/>
        <scheme val="none"/>
      </font>
      <fill>
        <patternFill patternType="solid">
          <fgColor indexed="64"/>
          <bgColor theme="4"/>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ill>
        <patternFill>
          <bgColor rgb="FFC4BA97"/>
        </patternFill>
      </fill>
    </dxf>
    <dxf>
      <fill>
        <patternFill>
          <bgColor rgb="FFC4BA97"/>
        </patternFill>
      </fill>
    </dxf>
    <dxf>
      <fill>
        <patternFill>
          <bgColor rgb="FFDDDB95"/>
        </patternFill>
      </fill>
    </dxf>
    <dxf>
      <fill>
        <patternFill>
          <bgColor rgb="FFD1C2DA"/>
        </patternFill>
      </fill>
    </dxf>
    <dxf>
      <fill>
        <patternFill>
          <bgColor rgb="FFFCD5B4"/>
        </patternFill>
      </fill>
    </dxf>
    <dxf>
      <fill>
        <patternFill>
          <bgColor rgb="FFE9B3E6"/>
        </patternFill>
      </fill>
    </dxf>
    <dxf>
      <fill>
        <patternFill>
          <bgColor rgb="FFE6B8B7"/>
        </patternFill>
      </fill>
    </dxf>
    <dxf>
      <fill>
        <patternFill>
          <bgColor rgb="FFB7DEE8"/>
        </patternFill>
      </fill>
    </dxf>
    <dxf>
      <fill>
        <patternFill>
          <bgColor rgb="FFC5D9F1"/>
        </patternFill>
      </fill>
    </dxf>
    <dxf>
      <fill>
        <patternFill>
          <bgColor rgb="FFCCC0DA"/>
        </patternFill>
      </fill>
    </dxf>
    <dxf>
      <fill>
        <patternFill>
          <bgColor rgb="FFD9D9D9"/>
        </patternFill>
      </fill>
    </dxf>
    <dxf>
      <fill>
        <patternFill>
          <bgColor rgb="FF9FE4FD"/>
        </patternFill>
      </fill>
    </dxf>
    <dxf>
      <fill>
        <patternFill>
          <bgColor rgb="FFD8E4BC"/>
        </patternFill>
      </fill>
    </dxf>
    <dxf>
      <fill>
        <patternFill>
          <bgColor rgb="FFC9E8B4"/>
        </patternFill>
      </fill>
    </dxf>
    <dxf>
      <fill>
        <patternFill>
          <bgColor rgb="FFCCDBC1"/>
        </patternFill>
      </fill>
    </dxf>
    <dxf>
      <fill>
        <patternFill>
          <bgColor rgb="FFFFC000"/>
        </patternFill>
      </fill>
    </dxf>
    <dxf>
      <fill>
        <patternFill>
          <bgColor rgb="FFFFD653"/>
        </patternFill>
      </fill>
    </dxf>
    <dxf>
      <fill>
        <patternFill patternType="mediumGray"/>
      </fill>
    </dxf>
    <dxf>
      <fill>
        <patternFill patternType="mediumGray"/>
      </fill>
    </dxf>
    <dxf>
      <fill>
        <patternFill patternType="mediumGray"/>
      </fill>
    </dxf>
    <dxf>
      <fill>
        <patternFill patternType="mediumGray"/>
      </fill>
    </dxf>
    <dxf>
      <font>
        <b/>
        <i val="0"/>
        <color theme="5" tint="-0.499984740745262"/>
      </font>
      <fill>
        <patternFill>
          <fgColor indexed="64"/>
          <bgColor theme="5" tint="0.59996337778862885"/>
        </patternFill>
      </fill>
    </dxf>
    <dxf>
      <font>
        <b/>
        <i val="0"/>
        <color theme="5" tint="-0.499984740745262"/>
      </font>
      <fill>
        <patternFill>
          <fgColor indexed="64"/>
          <bgColor theme="5" tint="0.59996337778862885"/>
        </patternFill>
      </fill>
    </dxf>
    <dxf>
      <font>
        <b/>
        <i val="0"/>
      </font>
      <fill>
        <patternFill patternType="mediumGray"/>
      </fill>
    </dxf>
    <dxf>
      <font>
        <color theme="5" tint="-0.499984740745262"/>
      </font>
      <fill>
        <patternFill>
          <fgColor indexed="64"/>
          <bgColor theme="5" tint="0.59996337778862885"/>
        </patternFill>
      </fill>
    </dxf>
    <dxf>
      <fill>
        <patternFill patternType="mediumGray"/>
      </fill>
    </dxf>
    <dxf>
      <fill>
        <patternFill patternType="mediumGray"/>
      </fill>
    </dxf>
    <dxf>
      <fill>
        <patternFill>
          <bgColor rgb="FFDAEEF3"/>
        </patternFill>
      </fill>
    </dxf>
    <dxf>
      <fill>
        <patternFill>
          <bgColor rgb="FFB8CCE4"/>
        </patternFill>
      </fill>
    </dxf>
    <dxf>
      <fill>
        <patternFill>
          <bgColor rgb="FFFFFF00"/>
        </patternFill>
      </fill>
    </dxf>
    <dxf>
      <font>
        <b/>
        <i val="0"/>
        <color theme="5" tint="-0.24994659260841701"/>
      </font>
      <fill>
        <patternFill>
          <bgColor theme="5" tint="0.79998168889431442"/>
        </patternFill>
      </fill>
    </dxf>
    <dxf>
      <font>
        <b val="0"/>
        <i val="0"/>
        <strike val="0"/>
        <condense val="0"/>
        <extend val="0"/>
        <outline val="0"/>
        <shadow val="0"/>
        <u val="none"/>
        <vertAlign val="baseline"/>
        <sz val="11"/>
        <color auto="1"/>
        <name val="Calibri"/>
        <scheme val="minor"/>
      </font>
      <numFmt numFmtId="19" formatCode="m/d/yyyy"/>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6" formatCode="0.0"/>
      <fill>
        <patternFill patternType="none">
          <fgColor indexed="64"/>
          <bgColor indexed="65"/>
        </patternFill>
      </fill>
      <alignment horizontal="right"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ill>
        <patternFill patternType="solid">
          <fgColor indexed="64"/>
          <bgColor theme="9" tint="0.39997558519241921"/>
        </patternFill>
      </fill>
    </dxf>
    <dxf>
      <font>
        <b/>
        <i val="0"/>
        <strike val="0"/>
        <condense val="0"/>
        <extend val="0"/>
        <outline val="0"/>
        <shadow val="0"/>
        <u val="none"/>
        <vertAlign val="baseline"/>
        <sz val="8"/>
        <color auto="1"/>
        <name val="Calibri"/>
        <scheme val="minor"/>
      </font>
      <fill>
        <patternFill patternType="solid">
          <fgColor indexed="64"/>
          <bgColor rgb="FFFFFF0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left/>
        <right/>
        <top style="thin">
          <color indexed="64"/>
        </top>
        <bottom style="thin">
          <color indexed="64"/>
        </bottom>
        <vertical/>
        <horizontal/>
      </border>
    </dxf>
    <dxf>
      <fill>
        <patternFill patternType="solid">
          <fgColor indexed="64"/>
          <bgColor theme="3" tint="0.79998168889431442"/>
        </patternFill>
      </fill>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top style="thin">
          <color indexed="64"/>
        </top>
        <bottom style="thin">
          <color indexed="64"/>
        </bottom>
      </border>
    </dxf>
    <dxf>
      <border outline="0">
        <bottom style="thin">
          <color indexed="64"/>
        </bottom>
      </border>
    </dxf>
    <dxf>
      <numFmt numFmtId="19" formatCode="m/d/yyyy"/>
      <alignment horizontal="left" textRotation="0" indent="0" justifyLastLine="0" shrinkToFit="0" readingOrder="0"/>
    </dxf>
    <dxf>
      <border>
        <bottom style="thin">
          <color indexed="64"/>
        </bottom>
      </border>
    </dxf>
    <dxf>
      <font>
        <strike val="0"/>
        <outline val="0"/>
        <shadow val="0"/>
        <u val="none"/>
        <vertAlign val="baseline"/>
        <sz val="11"/>
        <color auto="1"/>
        <name val="Calibri"/>
        <scheme val="minor"/>
      </font>
      <border diagonalUp="0" diagonalDown="0">
        <left/>
        <right/>
        <top/>
        <bottom/>
        <vertical/>
        <horizontal/>
      </border>
    </dxf>
  </dxfs>
  <tableStyles count="0" defaultTableStyle="TableStyleMedium9" defaultPivotStyle="PivotStyleLight16"/>
  <colors>
    <mruColors>
      <color rgb="FFFFD653"/>
      <color rgb="FFDAEEF3"/>
      <color rgb="FFB8CCE4"/>
      <color rgb="FFFFFF00"/>
      <color rgb="FFC4BA97"/>
      <color rgb="FFDDDB95"/>
      <color rgb="FFFCD5B4"/>
      <color rgb="FFE6B8B7"/>
      <color rgb="FFB7DEE8"/>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pivotCacheDefinition" Target="pivotCache/pivotCacheDefinition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D7053240-CE69-11CD-A777-00DD01143C57}" r:id="rId1"/>
</file>

<file path=xl/activeX/activeX7.xml><?xml version="1.0" encoding="utf-8"?>
<ax:ocx xmlns:ax="http://schemas.microsoft.com/office/2006/activeX" xmlns:r="http://schemas.openxmlformats.org/officeDocument/2006/relationships" ax:classid="{D7053240-CE69-11CD-A777-00DD01143C57}" r:id="rId1"/>
</file>

<file path=xl/activeX/activeX8.xml><?xml version="1.0" encoding="utf-8"?>
<ax:ocx xmlns:ax="http://schemas.microsoft.com/office/2006/activeX" xmlns:r="http://schemas.openxmlformats.org/officeDocument/2006/relationships" ax:classid="{D7053240-CE69-11CD-A777-00DD01143C57}" r:id="rId1"/>
</file>

<file path=xl/activeX/activeX9.xml><?xml version="1.0" encoding="utf-8"?>
<ax:ocx xmlns:ax="http://schemas.microsoft.com/office/2006/activeX" xmlns:r="http://schemas.openxmlformats.org/officeDocument/2006/relationships" ax:classid="{D7053240-CE69-11CD-A777-00DD01143C57}" r:id="rId1"/>
</file>

<file path=xl/activeX/activeX10.xml><?xml version="1.0" encoding="utf-8"?>
<ax:ocx xmlns:ax="http://schemas.microsoft.com/office/2006/activeX" xmlns:r="http://schemas.openxmlformats.org/officeDocument/2006/relationships" ax:classid="{D7053240-CE69-11CD-A777-00DD01143C57}" r:id="rId1"/>
</file>

<file path=xl/activeX/activeX11.xml><?xml version="1.0" encoding="utf-8"?>
<ax:ocx xmlns:ax="http://schemas.microsoft.com/office/2006/activeX" xmlns:r="http://schemas.openxmlformats.org/officeDocument/2006/relationships" ax:classid="{D7053240-CE69-11CD-A777-00DD01143C57}" r:id="rId1"/>
</file>

<file path=xl/activeX/activeX12.xml><?xml version="1.0" encoding="utf-8"?>
<ax:ocx xmlns:ax="http://schemas.microsoft.com/office/2006/activeX" xmlns:r="http://schemas.openxmlformats.org/officeDocument/2006/relationships" ax:classid="{D7053240-CE69-11CD-A777-00DD01143C57}" r:id="rId1"/>
</file>

<file path=xl/activeX/activeX13.xml><?xml version="1.0" encoding="utf-8"?>
<ax:ocx xmlns:ax="http://schemas.microsoft.com/office/2006/activeX" xmlns:r="http://schemas.openxmlformats.org/officeDocument/2006/relationships" ax:classid="{D7053240-CE69-11CD-A777-00DD01143C57}" r:id="rId1"/>
</file>

<file path=xl/drawings/_rels/drawing3.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hyperlink" Target="#VMware_Types"/></Relationships>
</file>

<file path=xl/drawings/_rels/vmlDrawing3.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6.emf"/><Relationship Id="rId5" Type="http://schemas.openxmlformats.org/officeDocument/2006/relationships/image" Target="../media/image1.emf"/><Relationship Id="rId4"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1.emf"/><Relationship Id="rId7" Type="http://schemas.openxmlformats.org/officeDocument/2006/relationships/image" Target="../media/image7.emf"/><Relationship Id="rId2" Type="http://schemas.openxmlformats.org/officeDocument/2006/relationships/image" Target="../media/image12.emf"/><Relationship Id="rId1" Type="http://schemas.openxmlformats.org/officeDocument/2006/relationships/image" Target="../media/image13.emf"/><Relationship Id="rId6" Type="http://schemas.openxmlformats.org/officeDocument/2006/relationships/image" Target="../media/image8.emf"/><Relationship Id="rId5" Type="http://schemas.openxmlformats.org/officeDocument/2006/relationships/image" Target="../media/image9.emf"/><Relationship Id="rId4"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57150</xdr:colOff>
          <xdr:row>0</xdr:row>
          <xdr:rowOff>76200</xdr:rowOff>
        </xdr:from>
        <xdr:to>
          <xdr:col>3</xdr:col>
          <xdr:colOff>9525</xdr:colOff>
          <xdr:row>0</xdr:row>
          <xdr:rowOff>352425</xdr:rowOff>
        </xdr:to>
        <xdr:sp macro="" textlink="">
          <xdr:nvSpPr>
            <xdr:cNvPr id="25601" name="cmdNAMStorage" hidden="1">
              <a:extLst>
                <a:ext uri="{63B3BB69-23CF-44E3-9099-C40C66FF867C}">
                  <a14:compatExt spid="_x0000_s25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0</xdr:row>
          <xdr:rowOff>76200</xdr:rowOff>
        </xdr:from>
        <xdr:to>
          <xdr:col>1</xdr:col>
          <xdr:colOff>581025</xdr:colOff>
          <xdr:row>0</xdr:row>
          <xdr:rowOff>352425</xdr:rowOff>
        </xdr:to>
        <xdr:sp macro="" textlink="">
          <xdr:nvSpPr>
            <xdr:cNvPr id="25602" name="cmdClearFilters" hidden="1">
              <a:extLst>
                <a:ext uri="{63B3BB69-23CF-44E3-9099-C40C66FF867C}">
                  <a14:compatExt spid="_x0000_s25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0</xdr:row>
          <xdr:rowOff>76200</xdr:rowOff>
        </xdr:from>
        <xdr:to>
          <xdr:col>4</xdr:col>
          <xdr:colOff>38100</xdr:colOff>
          <xdr:row>0</xdr:row>
          <xdr:rowOff>352425</xdr:rowOff>
        </xdr:to>
        <xdr:sp macro="" textlink="">
          <xdr:nvSpPr>
            <xdr:cNvPr id="25603" name="cmdNAMVM" hidden="1">
              <a:extLst>
                <a:ext uri="{63B3BB69-23CF-44E3-9099-C40C66FF867C}">
                  <a14:compatExt spid="_x0000_s25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0</xdr:row>
          <xdr:rowOff>76200</xdr:rowOff>
        </xdr:from>
        <xdr:to>
          <xdr:col>5</xdr:col>
          <xdr:colOff>209550</xdr:colOff>
          <xdr:row>0</xdr:row>
          <xdr:rowOff>352425</xdr:rowOff>
        </xdr:to>
        <xdr:sp macro="" textlink="">
          <xdr:nvSpPr>
            <xdr:cNvPr id="25604" name="cmdNAMDistSvcs" hidden="1">
              <a:extLst>
                <a:ext uri="{63B3BB69-23CF-44E3-9099-C40C66FF867C}">
                  <a14:compatExt spid="_x0000_s25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1533525</xdr:colOff>
          <xdr:row>0</xdr:row>
          <xdr:rowOff>76200</xdr:rowOff>
        </xdr:from>
        <xdr:to>
          <xdr:col>6</xdr:col>
          <xdr:colOff>104775</xdr:colOff>
          <xdr:row>0</xdr:row>
          <xdr:rowOff>352425</xdr:rowOff>
        </xdr:to>
        <xdr:sp macro="" textlink="">
          <xdr:nvSpPr>
            <xdr:cNvPr id="25605" name="cmdNAMSupport" hidden="1">
              <a:extLst>
                <a:ext uri="{63B3BB69-23CF-44E3-9099-C40C66FF867C}">
                  <a14:compatExt spid="_x0000_s25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0</xdr:row>
          <xdr:rowOff>76200</xdr:rowOff>
        </xdr:from>
        <xdr:to>
          <xdr:col>5</xdr:col>
          <xdr:colOff>1476375</xdr:colOff>
          <xdr:row>0</xdr:row>
          <xdr:rowOff>352425</xdr:rowOff>
        </xdr:to>
        <xdr:sp macro="" textlink="">
          <xdr:nvSpPr>
            <xdr:cNvPr id="25606" name="cmdNAMNetwork" hidden="1">
              <a:extLst>
                <a:ext uri="{63B3BB69-23CF-44E3-9099-C40C66FF867C}">
                  <a14:compatExt spid="_x0000_s25606"/>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1714500</xdr:colOff>
          <xdr:row>0</xdr:row>
          <xdr:rowOff>95250</xdr:rowOff>
        </xdr:from>
        <xdr:to>
          <xdr:col>1</xdr:col>
          <xdr:colOff>1085850</xdr:colOff>
          <xdr:row>0</xdr:row>
          <xdr:rowOff>371475</xdr:rowOff>
        </xdr:to>
        <xdr:sp macro="" textlink="">
          <xdr:nvSpPr>
            <xdr:cNvPr id="29698" name="cmdNAMStorage" hidden="1">
              <a:extLst>
                <a:ext uri="{63B3BB69-23CF-44E3-9099-C40C66FF867C}">
                  <a14:compatExt spid="_x0000_s29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552450</xdr:colOff>
          <xdr:row>0</xdr:row>
          <xdr:rowOff>95250</xdr:rowOff>
        </xdr:from>
        <xdr:to>
          <xdr:col>0</xdr:col>
          <xdr:colOff>1609725</xdr:colOff>
          <xdr:row>0</xdr:row>
          <xdr:rowOff>371475</xdr:rowOff>
        </xdr:to>
        <xdr:sp macro="" textlink="">
          <xdr:nvSpPr>
            <xdr:cNvPr id="29699" name="cmdClearFilters" hidden="1">
              <a:extLst>
                <a:ext uri="{63B3BB69-23CF-44E3-9099-C40C66FF867C}">
                  <a14:compatExt spid="_x0000_s29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1152525</xdr:colOff>
          <xdr:row>0</xdr:row>
          <xdr:rowOff>95250</xdr:rowOff>
        </xdr:from>
        <xdr:to>
          <xdr:col>1</xdr:col>
          <xdr:colOff>2362200</xdr:colOff>
          <xdr:row>0</xdr:row>
          <xdr:rowOff>371475</xdr:rowOff>
        </xdr:to>
        <xdr:sp macro="" textlink="">
          <xdr:nvSpPr>
            <xdr:cNvPr id="29700" name="cmdNAMVM" hidden="1">
              <a:extLst>
                <a:ext uri="{63B3BB69-23CF-44E3-9099-C40C66FF867C}">
                  <a14:compatExt spid="_x0000_s29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2419350</xdr:colOff>
          <xdr:row>0</xdr:row>
          <xdr:rowOff>95250</xdr:rowOff>
        </xdr:from>
        <xdr:to>
          <xdr:col>1</xdr:col>
          <xdr:colOff>3629025</xdr:colOff>
          <xdr:row>0</xdr:row>
          <xdr:rowOff>371475</xdr:rowOff>
        </xdr:to>
        <xdr:sp macro="" textlink="">
          <xdr:nvSpPr>
            <xdr:cNvPr id="29701" name="cmdNAMDC" hidden="1">
              <a:extLst>
                <a:ext uri="{63B3BB69-23CF-44E3-9099-C40C66FF867C}">
                  <a14:compatExt spid="_x0000_s29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3686175</xdr:colOff>
          <xdr:row>0</xdr:row>
          <xdr:rowOff>95250</xdr:rowOff>
        </xdr:from>
        <xdr:to>
          <xdr:col>2</xdr:col>
          <xdr:colOff>657225</xdr:colOff>
          <xdr:row>0</xdr:row>
          <xdr:rowOff>371475</xdr:rowOff>
        </xdr:to>
        <xdr:sp macro="" textlink="">
          <xdr:nvSpPr>
            <xdr:cNvPr id="29703" name="cmdNAMNetwork" hidden="1">
              <a:extLst>
                <a:ext uri="{63B3BB69-23CF-44E3-9099-C40C66FF867C}">
                  <a14:compatExt spid="_x0000_s29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733425</xdr:colOff>
          <xdr:row>0</xdr:row>
          <xdr:rowOff>95250</xdr:rowOff>
        </xdr:from>
        <xdr:to>
          <xdr:col>2</xdr:col>
          <xdr:colOff>1943100</xdr:colOff>
          <xdr:row>0</xdr:row>
          <xdr:rowOff>371475</xdr:rowOff>
        </xdr:to>
        <xdr:sp macro="" textlink="">
          <xdr:nvSpPr>
            <xdr:cNvPr id="29735" name="cmdNAMSupport" hidden="1">
              <a:extLst>
                <a:ext uri="{63B3BB69-23CF-44E3-9099-C40C66FF867C}">
                  <a14:compatExt spid="_x0000_s29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2009775</xdr:colOff>
          <xdr:row>0</xdr:row>
          <xdr:rowOff>95250</xdr:rowOff>
        </xdr:from>
        <xdr:to>
          <xdr:col>2</xdr:col>
          <xdr:colOff>3295650</xdr:colOff>
          <xdr:row>0</xdr:row>
          <xdr:rowOff>371475</xdr:rowOff>
        </xdr:to>
        <xdr:sp macro="" textlink="">
          <xdr:nvSpPr>
            <xdr:cNvPr id="29736" name="cmdAllBoMChgdValues" hidden="1">
              <a:extLst>
                <a:ext uri="{63B3BB69-23CF-44E3-9099-C40C66FF867C}">
                  <a14:compatExt spid="_x0000_s29736"/>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47625</xdr:colOff>
      <xdr:row>3</xdr:row>
      <xdr:rowOff>66675</xdr:rowOff>
    </xdr:from>
    <xdr:to>
      <xdr:col>1</xdr:col>
      <xdr:colOff>6415848</xdr:colOff>
      <xdr:row>3</xdr:row>
      <xdr:rowOff>1095375</xdr:rowOff>
    </xdr:to>
    <xdr:pic>
      <xdr:nvPicPr>
        <xdr:cNvPr id="4" name="Picture 3">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2047875" y="971550"/>
          <a:ext cx="6368223" cy="1028700"/>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OnLoad="1" refreshedBy="Ashok Kumar Reddy" refreshedDate="41710.651698958332" createdVersion="3" refreshedVersion="4" minRefreshableVersion="3" recordCount="149">
  <cacheSource type="worksheet">
    <worksheetSource name="HostBuild"/>
  </cacheSource>
  <cacheFields count="167">
    <cacheField name="PCR" numFmtId="0">
      <sharedItems containsBlank="1" count="3">
        <s v="PCR-AVATAR"/>
        <m u="1"/>
        <s v="Original" u="1"/>
      </sharedItems>
    </cacheField>
    <cacheField name="Priority" numFmtId="0">
      <sharedItems containsNonDate="0" containsString="0" containsBlank="1"/>
    </cacheField>
    <cacheField name="Status" numFmtId="0">
      <sharedItems containsNonDate="0" containsString="0" containsBlank="1"/>
    </cacheField>
    <cacheField name="CTI Build Status Commentary" numFmtId="0">
      <sharedItems containsNonDate="0" containsString="0" containsBlank="1"/>
    </cacheField>
    <cacheField name="CTI Cloud / Frame Built / Incremental Added" numFmtId="339">
      <sharedItems containsNonDate="0" containsString="0" containsBlank="1"/>
    </cacheField>
    <cacheField name="CTI SA Build Completed" numFmtId="339">
      <sharedItems containsNonDate="0" containsString="0" containsBlank="1"/>
    </cacheField>
    <cacheField name="CTI Target Completion" numFmtId="339">
      <sharedItems containsNonDate="0" containsString="0" containsBlank="1"/>
    </cacheField>
    <cacheField name="CTO Server / DBA Build Spec Completed" numFmtId="339">
      <sharedItems containsNonDate="0" containsString="0" containsBlank="1"/>
    </cacheField>
    <cacheField name="CTO Build Spec Link" numFmtId="0">
      <sharedItems containsNonDate="0" containsString="0" containsBlank="1"/>
    </cacheField>
    <cacheField name="CTI DBA Build Completed" numFmtId="339">
      <sharedItems containsNonDate="0" containsString="0" containsBlank="1"/>
    </cacheField>
    <cacheField name="CTI Handover" numFmtId="339">
      <sharedItems containsNonDate="0" containsString="0" containsBlank="1"/>
    </cacheField>
    <cacheField name="CTO Acceptance" numFmtId="339">
      <sharedItems containsNonDate="0" containsString="0" containsBlank="1"/>
    </cacheField>
    <cacheField name="CTI Complete (Y/N)" numFmtId="339">
      <sharedItems count="4">
        <e v="#NAME?"/>
        <s v="Y" u="1"/>
        <s v="N" u="1"/>
        <e v="#VALUE!" u="1"/>
      </sharedItems>
    </cacheField>
    <cacheField name="DC" numFmtId="0">
      <sharedItems/>
    </cacheField>
    <cacheField name="Region" numFmtId="0">
      <sharedItems containsNonDate="0" containsString="0" containsBlank="1"/>
    </cacheField>
    <cacheField name="Country" numFmtId="0">
      <sharedItems containsNonDate="0" containsString="0" containsBlank="1"/>
    </cacheField>
    <cacheField name="Env Label" numFmtId="0">
      <sharedItems containsBlank="1" count="16">
        <s v="PAT/PROD"/>
        <s v="PROD"/>
        <s v="PAT"/>
        <s v="COB"/>
        <s v="UAT"/>
        <s v="SIT"/>
        <s v="PROD2"/>
        <s v="UAT2"/>
        <s v="SIT/DIT"/>
        <s v="DIT"/>
        <m u="1"/>
        <s v="DEV" u="1"/>
        <s v="PERF" u="1"/>
        <s v="RND" u="1"/>
        <s v="CERT" u="1"/>
        <s v="TRAINING" u="1"/>
      </sharedItems>
    </cacheField>
    <cacheField name="Env" numFmtId="0">
      <sharedItems count="10">
        <s v="PROD"/>
        <s v="COB"/>
        <s v="UAT"/>
        <s v="SIT"/>
        <s v="DIT"/>
        <s v="" u="1"/>
        <s v="TRAINING" u="1"/>
        <s v="CERT" u="1"/>
        <s v="RND" u="1"/>
        <s v="PERF" u="1"/>
      </sharedItems>
    </cacheField>
    <cacheField name="Server TCRS" numFmtId="0">
      <sharedItems containsNonDate="0" containsString="0" containsBlank="1"/>
    </cacheField>
    <cacheField name="Aperture" numFmtId="275">
      <sharedItems containsNonDate="0" containsString="0" containsBlank="1"/>
    </cacheField>
    <cacheField name="Product Owner" numFmtId="0">
      <sharedItems containsNonDate="0" containsString="0" containsBlank="1"/>
    </cacheField>
    <cacheField name="Description" numFmtId="0">
      <sharedItems/>
    </cacheField>
    <cacheField name="Software List" numFmtId="0">
      <sharedItems/>
    </cacheField>
    <cacheField name="Type" numFmtId="0">
      <sharedItems/>
    </cacheField>
    <cacheField name="Product _x000a_(Acronym)" numFmtId="0">
      <sharedItems/>
    </cacheField>
    <cacheField name="Usage" numFmtId="0">
      <sharedItems/>
    </cacheField>
    <cacheField name="CSI App ID" numFmtId="0">
      <sharedItems containsNonDate="0" containsString="0" containsBlank="1"/>
    </cacheField>
    <cacheField name="Existing Server?" numFmtId="0">
      <sharedItems containsBlank="1" count="4">
        <s v="Yes - Outside this BoM"/>
        <s v="No"/>
        <s v="Yes - Inside this BoM"/>
        <m u="1"/>
      </sharedItems>
    </cacheField>
    <cacheField name="Existing CPUs" numFmtId="0">
      <sharedItems containsNonDate="0" containsString="0" containsBlank="1"/>
    </cacheField>
    <cacheField name="Existing Cores" numFmtId="0">
      <sharedItems containsNonDate="0" containsString="0" containsBlank="1"/>
    </cacheField>
    <cacheField name="Existing RAM (GB)" numFmtId="0">
      <sharedItems containsNonDate="0" containsString="0" containsBlank="1"/>
    </cacheField>
    <cacheField name="Use existing server config towards SW Licensing?" numFmtId="0">
      <sharedItems containsBlank="1"/>
    </cacheField>
    <cacheField name="Original Alias" numFmtId="0">
      <sharedItems containsNonDate="0" containsString="0" containsBlank="1"/>
    </cacheField>
    <cacheField name="Decommission" numFmtId="166">
      <sharedItems containsNonDate="0" containsString="0" containsBlank="1"/>
    </cacheField>
    <cacheField name="Alias" numFmtId="0">
      <sharedItems containsBlank="1" count="229">
        <s v="FDCGCGMQMLA19P"/>
        <s v="FDCGCGMQMLA20P"/>
        <s v="FDCGCGMQMLA65P"/>
        <s v="FDCGCGMQMLA75P"/>
        <s v="FDCGCGTIBLA61P"/>
        <s v="FDCGCGTIBLA71P"/>
        <s v="FDCGCGTIBLA81P"/>
        <s v="FDCGCGTIBLA91P"/>
        <s v="FDC-DIG-ESB-EMS-SVR1"/>
        <s v="FDC-DIG-ESB-EMS-SVR2"/>
        <s v="FDC-DIG-ESB-EMS-SVR3"/>
        <s v="FDC-DIG-ESB-EMS-SVR4"/>
        <s v="FDC-DIG-ESB-BW-SVR1"/>
        <s v="FDC-DIG-ESB-BW-SVR2"/>
        <s v="FDC-DIG-ESB-BW-SVR3"/>
        <s v="FDC-DIG-ESB-BW-SVR4"/>
        <s v="FDC-DIG-ESB-BW-SVR5"/>
        <s v="FDC-DIG-ESB-BW-SVR6"/>
        <s v="FDC-DIG-ESB-BW-SVR7"/>
        <s v="FDC-DIG-ESB-BW-SVR8"/>
        <s v="FDC-DIG-ESB-BW-SVR9"/>
        <s v="FDC-DIG-ESB-BW-SVR10"/>
        <s v="FDC-DIG-ESB-BW-SVR11"/>
        <s v="FDC-DIG-ESB-BW-SVR12"/>
        <s v="fdcgcgracad14p"/>
        <s v="fdcgcgracad15p"/>
        <s v="fdcgcgdtgad14p"/>
        <s v="fdcgcgticad01p"/>
        <s v="fdcgcgticad02p"/>
        <s v="fdcgcgracad31p"/>
        <s v="fdcgcgracad32p"/>
        <s v="FDCGCGTIBLA25P"/>
        <s v="FDCGCGTIBLA26P"/>
        <s v="FDCGCGTIBLA27P"/>
        <s v="FDCGCGTIBLA28P"/>
        <s v="FDCGCGTIBLA35P"/>
        <s v="FDCGCGTIBLA36P"/>
        <s v="FDCGCGMQMLA19C"/>
        <s v="FDCGCGMQMLA20C"/>
        <s v="FDCGCGMQMLA65C"/>
        <s v="FDCGCGMQMLA75C"/>
        <s v="FDCGCGTIBLA61C"/>
        <s v="FDCGCGTIBLA71C"/>
        <s v="FDCGCGTIBLA81C"/>
        <s v="FDCGCGTIBLA91C"/>
        <s v="RDC-COB-DIG-ESB-EMS-SVR1"/>
        <s v="RDC-COB-DIG-ESB-EMS-SVR2"/>
        <s v="RDC-COB-DIG-ESB-EMS-SVR3"/>
        <s v="RDC-COB-DIG-ESB-EMS-SVR4"/>
        <s v="RDC-COB-DIG-ESB-BW-SVR1"/>
        <s v="RDC-COB-DIG-ESB-BW-SVR2"/>
        <s v="RDC-COB-DIG-ESB-BW-SVR3"/>
        <s v="RDC-COB-DIG-ESB-BW-SVR4"/>
        <s v="RDC-COB-DIG-ESB-BW-SVR5"/>
        <s v="RDC-COB-DIG-ESB-BW-SVR6"/>
        <s v="RDC-COB-DIG-ESB-BW-SVR7"/>
        <s v="RDC-COB-DIG-ESB-BW-SVR8"/>
        <s v="RDC-COB-DIG-ESB-BW-SVR9"/>
        <s v="RDC-COB-DIG-ESB-BW-SVR10"/>
        <s v="RDC-COB-DIG-ESB-BW-SVR11"/>
        <s v="RDC-COB-DIG-ESB-BW-SVR12"/>
        <s v="rdcgcgracad14c"/>
        <s v="rdcgcgracad15c"/>
        <s v="rdcgcgdtgad14c"/>
        <s v="rdcgcgticad01c"/>
        <s v="rdcgcgticad02c"/>
        <s v="RDCGCGMQMLA19U"/>
        <s v="RDCGCGMQMLA20U"/>
        <s v="RDCGCGMQMLA65U"/>
        <s v="RDCGCGMQMLA75U"/>
        <s v="RDCGCGTIBLA61U"/>
        <s v="RDCGCGTIBLA71U"/>
        <s v="RDCGCGTIBLA81U"/>
        <s v="RDCGCGTIBLA91U"/>
        <s v="RDC-UAT-DIG-ESB-EMS-SVR1"/>
        <s v="RDC-UAT-DIG-ESB-EMS-SVR2"/>
        <s v="RDC-UAT-DIG-ESB-EMS-SVR3"/>
        <s v="RDC-UAT-DIG-ESB-EMS-SVR4"/>
        <s v="RDC-UAT-DIG-ESB-BW-SVR1"/>
        <s v="RDC-UAT-DIG-ESB-BW-SVR2"/>
        <s v="RDC-UAT-DIG-ESB-BW-SVR3"/>
        <s v="RDC-UAT-DIG-ESB-BW-SVR4"/>
        <s v="RDC-UAT-DIG-ESB-BW-SVR5"/>
        <s v="RDC-UAT-DIG-ESB-BW-SVR6"/>
        <s v="RDC-UAT-DIG-ESB-BW-SVR7"/>
        <s v="RDC-UAT-DIG-ESB-BW-SVR8"/>
        <s v="RDC-UAT-DIG-ESB-BW-SVR9"/>
        <s v="RDC-UAT-DIG-ESB-BW-SVR10"/>
        <s v="RDC-UAT-DIG-ESB-BW-SVR11"/>
        <s v="RDC-UAT-DIG-ESB-BW-SVR12"/>
        <s v="rdcgcgracad14u"/>
        <s v="rdcgcgracad15u"/>
        <s v="rdcgcgdtgad14u"/>
        <s v="rdcgcgticad01u"/>
        <s v="rdcgcgticad02u"/>
        <s v="saixr293"/>
        <s v="hlixtr289"/>
        <s v="hlixtr492"/>
        <s v="BLADE 1"/>
        <s v="BLADE 2"/>
        <s v="BLADE 3"/>
        <s v="BLADE 4"/>
        <s v="BLADE 5"/>
        <s v="BLADE 6"/>
        <s v="BLADE 7"/>
        <s v="BLADE 8"/>
        <s v="BLADE 9"/>
        <s v="BLADE 10"/>
        <s v="BLADE 11"/>
        <s v="BLADE 12"/>
        <s v="BLADE 13"/>
        <s v="BLADE 14"/>
        <s v="BLADE 15"/>
        <s v="BLADE 16"/>
        <s v="BLADE 17"/>
        <s v="BLADE 18"/>
        <s v="BLADE 19"/>
        <s v="BLADE 20"/>
        <s v="New LPAR 1"/>
        <s v="New LPAR 2"/>
        <s v="fdcgcgestaa01p"/>
        <s v="fdcgcgestaa02p"/>
        <s v="UAT-BLADE 1"/>
        <s v="UAT-BLADE 2"/>
        <s v="UAT-BLADE 3"/>
        <s v="UAT-BLADE 4"/>
        <s v="UAT-BLADE 5"/>
        <s v="UAT-BLADE 6"/>
        <s v="UAT-BLADE 7"/>
        <s v="UAT-BLADE 8"/>
        <s v="UAT-BLADE 9"/>
        <s v="UAT-BLADE 10"/>
        <s v="UAT-BLADE 11"/>
        <s v="UAT-BLADE 12"/>
        <s v="UAT-BLADE 13"/>
        <s v="UAT-BLADE 14"/>
        <s v="UAT-BLADE 15"/>
        <s v="UAT-BLADE 16"/>
        <s v="UAT-New LPAR 1"/>
        <s v="UAT-New LPAR 2"/>
        <s v="rdcgcgestaa01u"/>
        <s v="SIT-BLADE 1"/>
        <s v="SIT-BLADE 2"/>
        <s v="SIT-BLADE 3"/>
        <s v="SIT-BLADE 4"/>
        <s v="SIT-BLADE 5"/>
        <s v="SIT-BLADE 6"/>
        <s v="SIT-New LPAR 1"/>
        <s v="SIT-New/OLD LPAR"/>
        <m u="1"/>
        <s v="tbd-027" u="1"/>
        <s v="MWDC-UAT-DIG-ESB-EMS-SVR2" u="1"/>
        <s v="tbd-028" u="1"/>
        <s v="COB-BLADE 11" u="1"/>
        <s v="tbd-029" u="1"/>
        <s v="MWDC-UAT-DIG-ESB-BW-SVR6" u="1"/>
        <s v="MWDC-UAT-DIG-ESB-BW-SVR4" u="1"/>
        <s v="New-hlixtr289" u="1"/>
        <s v="MWDC-UAT-DIG-ESB-BW-SVR2" u="1"/>
        <s v="New-saixdbr293" u="1"/>
        <s v="RDCGCGTIBLA71C" u="1"/>
        <s v="RDCGCGMQMLA19C" u="1"/>
        <s v="tbd-010" u="1"/>
        <s v="tbd-011" u="1"/>
        <s v="tbd-012" u="1"/>
        <s v="RDCGCGMQMLA20C" u="1"/>
        <s v="tbd-013" u="1"/>
        <s v="tbd-014" u="1"/>
        <s v="tbd-015" u="1"/>
        <s v="MWDC-UAT-DIG-ESB-DB-SVR4" u="1"/>
        <s v="tbd-016" u="1"/>
        <s v="tbd-017" u="1"/>
        <s v="MWDC-UAT-DIG-ESB-DB-SVR2" u="1"/>
        <s v="MWDC-UAT-DIG-ESB-EMS-SVR1" u="1"/>
        <s v="tbd-018" u="1"/>
        <s v="tbd-019" u="1"/>
        <s v="COB-BLADE 10" u="1"/>
        <s v="COB-BLADE 1" u="1"/>
        <s v="COB-BLADE 2" u="1"/>
        <s v="COB-BLADE 3" u="1"/>
        <s v="MWDC-UAT-DIG-ESB-EMS-SVR4" u="1"/>
        <s v="COB-BLADE 4" u="1"/>
        <s v="COB-BLADE 5" u="1"/>
        <s v="COB-BLADE 6" u="1"/>
        <s v="COB-BLADE 7" u="1"/>
        <s v="RDCGCGMQMLA75C" u="1"/>
        <s v="RDCGCGTIBLA61C" u="1"/>
        <s v="COB-BLADE 8" u="1"/>
        <s v="COB-BLADE 9" u="1"/>
        <s v="tbd-001" u="1"/>
        <s v="tbd-002" u="1"/>
        <s v="RDCGCGTIBLA91C" u="1"/>
        <s v="tbd-003" u="1"/>
        <s v="tbd-004" u="1"/>
        <s v="MWDC-UAT-DIG-ESB-BW-SVR5" u="1"/>
        <s v="tbd-005" u="1"/>
        <s v="tbd-006" u="1"/>
        <s v="MWDC-UAT-DIG-ESB-BW-SVR3" u="1"/>
        <s v="tbd-007" u="1"/>
        <s v="MWDC-UAT-DIG-ESB-BW-SVR1" u="1"/>
        <s v="tbd-008" u="1"/>
        <s v="tbd-009" u="1"/>
        <s v="tbd-030" u="1"/>
        <s v="tbd-031" u="1"/>
        <s v="tbd-032" u="1"/>
        <s v="tbd-033" u="1"/>
        <s v="tbd-034" u="1"/>
        <s v="tbd-035" u="1"/>
        <s v="tbd-036" u="1"/>
        <s v="MWDC-UAT-DIG-ESB-EMS-SVR3" u="1"/>
        <s v="COB-BLADE 12" u="1"/>
        <s v="COB-New LPAR 2" u="1"/>
        <s v="MWDC-UAT-DIG-ESB-DB-SVR5" u="1"/>
        <s v="MWDC-UAT-DIG-ESB-DB-SVR3" u="1"/>
        <s v="RDCGCGMQMLA65C" u="1"/>
        <s v="MWDC-UAT-DIG-ESB-DB-SVR1" u="1"/>
        <s v="New hlixtr492" u="1"/>
        <s v="RDCGCGTIBLA81C" u="1"/>
        <s v="abc" u="1"/>
        <s v="tbd-020" u="1"/>
        <s v="fdcgcgestaa02c" u="1"/>
        <s v="tbd-021" u="1"/>
        <s v="tbd-022" u="1"/>
        <s v="tbd-023" u="1"/>
        <s v="COB-New LPAR 1" u="1"/>
        <s v="tbd-024" u="1"/>
        <s v="fdcgcgestaa01c" u="1"/>
        <s v="tbd-025" u="1"/>
        <s v="tbd-026" u="1"/>
      </sharedItems>
    </cacheField>
    <cacheField name="Uniqueness Factor" numFmtId="0">
      <sharedItems containsSemiMixedTypes="0" containsString="0" containsNumber="1" containsInteger="1" minValue="1" maxValue="1"/>
    </cacheField>
    <cacheField name="Hostname" numFmtId="0">
      <sharedItems containsNonDate="0" containsString="0" containsBlank="1"/>
    </cacheField>
    <cacheField name="Domain" numFmtId="0">
      <sharedItems containsNonDate="0" containsString="0" containsBlank="1"/>
    </cacheField>
    <cacheField name="Server Model" numFmtId="0">
      <sharedItems containsBlank="1" count="9">
        <s v="BL620C G7"/>
        <s v="IBM p7 p795"/>
        <m u="1"/>
        <s v="IBM p7 p780" u="1"/>
        <s v="Compaq Proliant DL380 - G7" u="1"/>
        <s v="BL620C G8" u="1"/>
        <s v="BL460c" u="1"/>
        <s v="BL620C" u="1"/>
        <s v="VMware" u="1"/>
      </sharedItems>
    </cacheField>
    <cacheField name="Server Tier" numFmtId="0">
      <sharedItems/>
    </cacheField>
    <cacheField name="Server Type" numFmtId="0">
      <sharedItems/>
    </cacheField>
    <cacheField name="Virtual Platform Storage Type" numFmtId="0">
      <sharedItems containsNonDate="0" containsString="0" containsBlank="1"/>
    </cacheField>
    <cacheField name="O/S" numFmtId="0">
      <sharedItems containsBlank="1" count="5">
        <s v="RHEL 5.9"/>
        <s v="AIX 6.1"/>
        <m u="1"/>
        <s v="RHEL 5.6" u="1"/>
        <s v="RHEL 6.3" u="1"/>
      </sharedItems>
    </cacheField>
    <cacheField name="CPU" numFmtId="0">
      <sharedItems containsString="0" containsBlank="1" containsNumber="1" containsInteger="1" minValue="1" maxValue="2"/>
    </cacheField>
    <cacheField name="CPU Speed" numFmtId="0">
      <sharedItems containsNonDate="0" containsString="0" containsBlank="1"/>
    </cacheField>
    <cacheField name="Cores _x000a_(Licensed Units)" numFmtId="0">
      <sharedItems containsString="0" containsBlank="1" containsNumber="1" containsInteger="1" minValue="1" maxValue="16"/>
    </cacheField>
    <cacheField name="Recommended RAM (GB)" numFmtId="0">
      <sharedItems containsBlank="1"/>
    </cacheField>
    <cacheField name="RAM _x000a_(GB)" numFmtId="1">
      <sharedItems containsString="0" containsBlank="1" containsNumber="1" containsInteger="1" minValue="16" maxValue="256"/>
    </cacheField>
    <cacheField name="Is Clustered? (ID #)" numFmtId="0">
      <sharedItems containsNonDate="0" containsString="0" containsBlank="1"/>
    </cacheField>
    <cacheField name="Cluster Type" numFmtId="0">
      <sharedItems containsNonDate="0" containsString="0" containsBlank="1"/>
    </cacheField>
    <cacheField name="Cluster Mode" numFmtId="0">
      <sharedItems containsNonDate="0" containsString="0" containsBlank="1"/>
    </cacheField>
    <cacheField name="Affinity" numFmtId="0">
      <sharedItems containsNonDate="0" containsString="0" containsBlank="1"/>
    </cacheField>
    <cacheField name="Frame/Chassis #" numFmtId="0">
      <sharedItems containsNonDate="0" containsString="0" containsBlank="1"/>
    </cacheField>
    <cacheField name="Slot #" numFmtId="0">
      <sharedItems containsNonDate="0" containsString="0" containsBlank="1"/>
    </cacheField>
    <cacheField name="Frame S/N" numFmtId="0">
      <sharedItems containsNonDate="0" containsString="0" containsBlank="1"/>
    </cacheField>
    <cacheField name="Min Virtual Processors" numFmtId="0">
      <sharedItems containsNonDate="0" containsString="0" containsBlank="1"/>
    </cacheField>
    <cacheField name="Desired Virtual Processors" numFmtId="0">
      <sharedItems containsNonDate="0" containsString="0" containsBlank="1"/>
    </cacheField>
    <cacheField name="Max Virtual Processors" numFmtId="0">
      <sharedItems containsNonDate="0" containsString="0" containsBlank="1"/>
    </cacheField>
    <cacheField name="Min Processing Units" numFmtId="0">
      <sharedItems containsNonDate="0" containsString="0" containsBlank="1"/>
    </cacheField>
    <cacheField name="Desired Processing Units" numFmtId="0">
      <sharedItems containsNonDate="0" containsString="0" containsBlank="1"/>
    </cacheField>
    <cacheField name="Max Processing Units" numFmtId="0">
      <sharedItems containsNonDate="0" containsString="0" containsBlank="1"/>
    </cacheField>
    <cacheField name="Weight_x000a_(0-256)" numFmtId="0">
      <sharedItems containsNonDate="0" containsString="0" containsBlank="1"/>
    </cacheField>
    <cacheField name="Recommended SAN (GB)" numFmtId="166">
      <sharedItems containsString="0" containsBlank="1" containsNumber="1" minValue="0" maxValue="337"/>
    </cacheField>
    <cacheField name="Additional SAN (GB)" numFmtId="0">
      <sharedItems containsString="0" containsBlank="1" containsNumber="1" containsInteger="1" minValue="60" maxValue="3200"/>
    </cacheField>
    <cacheField name="SAN (GB)_x000a_NEEDED TODAY" numFmtId="166">
      <sharedItems containsString="0" containsBlank="1" containsNumber="1" minValue="0" maxValue="3403.7000000000003"/>
    </cacheField>
    <cacheField name="SAN (GB)_x000a_RESERVED_x000a_DO NOT USE TO BUILD" numFmtId="0">
      <sharedItems containsNonDate="0" containsString="0" containsBlank="1"/>
    </cacheField>
    <cacheField name="SAN (GB)_x000a_End-State_x000a_DO NOT USE TO BUILD" numFmtId="166">
      <sharedItems containsString="0" containsBlank="1" containsNumber="1" minValue="0" maxValue="3403.7000000000003"/>
    </cacheField>
    <cacheField name="SAN (GB) Shared" numFmtId="1">
      <sharedItems containsString="0" containsBlank="1" containsNumber="1" containsInteger="1" minValue="60" maxValue="3000"/>
    </cacheField>
    <cacheField name="Shared SAN Group Name" numFmtId="1">
      <sharedItems containsNonDate="0" containsString="0" containsBlank="1"/>
    </cacheField>
    <cacheField name="Require SRDF?" numFmtId="166">
      <sharedItems containsBlank="1"/>
    </cacheField>
    <cacheField name="Recommended NAS (GB)" numFmtId="1">
      <sharedItems containsSemiMixedTypes="0" containsString="0" containsNumber="1" containsInteger="1" minValue="0" maxValue="0"/>
    </cacheField>
    <cacheField name="Additional NAS (GB)" numFmtId="1">
      <sharedItems containsNonDate="0" containsString="0" containsBlank="1"/>
    </cacheField>
    <cacheField name="NAS (GB) Dedicated" numFmtId="1">
      <sharedItems containsSemiMixedTypes="0" containsString="0" containsNumber="1" containsInteger="1" minValue="0" maxValue="0"/>
    </cacheField>
    <cacheField name="NAS _x000a_(GB) Shared" numFmtId="0">
      <sharedItems containsNonDate="0" containsString="0" containsBlank="1"/>
    </cacheField>
    <cacheField name="NAS Shared Groups" numFmtId="0">
      <sharedItems containsNonDate="0" containsString="0" containsBlank="1"/>
    </cacheField>
    <cacheField name="Archive_x000a_Full (GB)" numFmtId="166">
      <sharedItems containsSemiMixedTypes="0" containsString="0" containsNumber="1" minValue="0" maxValue="1600.9250000000002"/>
    </cacheField>
    <cacheField name="Archive_x000a_Incr (GB)" numFmtId="166">
      <sharedItems containsSemiMixedTypes="0" containsString="0" containsNumber="1" minValue="0" maxValue="240.13875000000002"/>
    </cacheField>
    <cacheField name="HSM Required?" numFmtId="166">
      <sharedItems containsNonDate="0" containsString="0" containsBlank="1"/>
    </cacheField>
    <cacheField name="DMZ Required?" numFmtId="166">
      <sharedItems containsNonDate="0" containsString="0" containsBlank="1"/>
    </cacheField>
    <cacheField name="Type of Network Connection I" numFmtId="166">
      <sharedItems containsNonDate="0" containsString="0" containsBlank="1"/>
    </cacheField>
    <cacheField name="# of Connections I" numFmtId="1">
      <sharedItems containsNonDate="0" containsString="0" containsBlank="1"/>
    </cacheField>
    <cacheField name="Type of Network Connection II" numFmtId="166">
      <sharedItems containsNonDate="0" containsString="0" containsBlank="1"/>
    </cacheField>
    <cacheField name="# of Connections II" numFmtId="1">
      <sharedItems containsNonDate="0" containsString="0" containsBlank="1"/>
    </cacheField>
    <cacheField name="Primary_x000a_IP" numFmtId="0">
      <sharedItems containsNonDate="0" containsString="0" containsBlank="1"/>
    </cacheField>
    <cacheField name="Secondary_x000a_IP" numFmtId="0">
      <sharedItems containsNonDate="0" containsString="0" containsBlank="1"/>
    </cacheField>
    <cacheField name="Capital Costs_x000a_(One-Time)" numFmtId="44">
      <sharedItems containsNonDate="0" containsString="0" containsBlank="1"/>
    </cacheField>
    <cacheField name="Capital Costs_x000a_(Annual)" numFmtId="44">
      <sharedItems containsNonDate="0" containsString="0" containsBlank="1"/>
    </cacheField>
    <cacheField name="Notes" numFmtId="0">
      <sharedItems containsBlank="1"/>
    </cacheField>
    <cacheField name="SW Start" numFmtId="0">
      <sharedItems containsNonDate="0" containsString="0" containsBlank="1"/>
    </cacheField>
    <cacheField name="Ab Initio" numFmtId="166">
      <sharedItems containsSemiMixedTypes="0" containsString="0" containsNumber="1" containsInteger="1" minValue="0" maxValue="0"/>
    </cacheField>
    <cacheField name="CA APM" numFmtId="166">
      <sharedItems containsSemiMixedTypes="0" containsString="0" containsNumber="1" containsInteger="1" minValue="0" maxValue="1"/>
    </cacheField>
    <cacheField name="FinCAD" numFmtId="166">
      <sharedItems containsSemiMixedTypes="0" containsString="0" containsNumber="1" containsInteger="1" minValue="0" maxValue="0"/>
    </cacheField>
    <cacheField name="IBM BG Web Client" numFmtId="166">
      <sharedItems containsSemiMixedTypes="0" containsString="0" containsNumber="1" containsInteger="1" minValue="0" maxValue="0"/>
    </cacheField>
    <cacheField name="IBM Biz Glossary" numFmtId="166">
      <sharedItems containsSemiMixedTypes="0" containsString="0" containsNumber="1" containsInteger="1" minValue="0" maxValue="0"/>
    </cacheField>
    <cacheField name="IBM Datastage" numFmtId="166">
      <sharedItems containsSemiMixedTypes="0" containsString="0" containsNumber="1" containsInteger="1" minValue="0" maxValue="0"/>
    </cacheField>
    <cacheField name="IBM DS Designer" numFmtId="166">
      <sharedItems containsSemiMixedTypes="0" containsString="0" containsNumber="1" containsInteger="1" minValue="0" maxValue="0"/>
    </cacheField>
    <cacheField name="IBM DS IS Dir" numFmtId="166">
      <sharedItems containsSemiMixedTypes="0" containsString="0" containsNumber="1" containsInteger="1" minValue="0" maxValue="0"/>
    </cacheField>
    <cacheField name="IBM HTTP pSeries" numFmtId="166">
      <sharedItems containsSemiMixedTypes="0" containsString="0" containsNumber="1" containsInteger="1" minValue="0" maxValue="0"/>
    </cacheField>
    <cacheField name="IBM HTTP x86" numFmtId="166">
      <sharedItems containsSemiMixedTypes="0" containsString="0" containsNumber="1" containsInteger="1" minValue="0" maxValue="16"/>
    </cacheField>
    <cacheField name="IBM Tivoli DS" numFmtId="166">
      <sharedItems containsSemiMixedTypes="0" containsString="0" containsNumber="1" containsInteger="1" minValue="0" maxValue="0"/>
    </cacheField>
    <cacheField name="IBM WAS pSeries" numFmtId="166">
      <sharedItems containsSemiMixedTypes="0" containsString="0" containsNumber="1" containsInteger="1" minValue="0" maxValue="0"/>
    </cacheField>
    <cacheField name="IBM WAS x86" numFmtId="166">
      <sharedItems containsSemiMixedTypes="0" containsString="0" containsNumber="1" containsInteger="1" minValue="0" maxValue="16"/>
    </cacheField>
    <cacheField name="IBM WBM pSeries" numFmtId="166">
      <sharedItems containsSemiMixedTypes="0" containsString="0" containsNumber="1" containsInteger="1" minValue="0" maxValue="0"/>
    </cacheField>
    <cacheField name="IBM WMQ x86" numFmtId="166">
      <sharedItems containsSemiMixedTypes="0" containsString="0" containsNumber="1" containsInteger="1" minValue="0" maxValue="0"/>
    </cacheField>
    <cacheField name="IBM WPS pSeries" numFmtId="166">
      <sharedItems containsSemiMixedTypes="0" containsString="0" containsNumber="1" containsInteger="1" minValue="0" maxValue="0"/>
    </cacheField>
    <cacheField name="IBM WPS x86" numFmtId="166">
      <sharedItems containsSemiMixedTypes="0" containsString="0" containsNumber="1" containsInteger="1" minValue="0" maxValue="0"/>
    </cacheField>
    <cacheField name="IBM WS Process Srvr" numFmtId="166">
      <sharedItems containsSemiMixedTypes="0" containsString="0" containsNumber="1" containsInteger="1" minValue="0" maxValue="0"/>
    </cacheField>
    <cacheField name="IBM WS VE (Cntrlr)" numFmtId="166">
      <sharedItems containsSemiMixedTypes="0" containsString="0" containsNumber="1" containsInteger="1" minValue="0" maxValue="0"/>
    </cacheField>
    <cacheField name="IBM WS VE (Node)" numFmtId="166">
      <sharedItems containsSemiMixedTypes="0" containsString="0" containsNumber="1" containsInteger="1" minValue="0" maxValue="0"/>
    </cacheField>
    <cacheField name="Kana (Both)" numFmtId="1">
      <sharedItems containsSemiMixedTypes="0" containsString="0" containsNumber="1" containsInteger="1" minValue="0" maxValue="0"/>
    </cacheField>
    <cacheField name="MS SQL EE (Ext)" numFmtId="1">
      <sharedItems containsSemiMixedTypes="0" containsString="0" containsNumber="1" containsInteger="1" minValue="0" maxValue="0"/>
    </cacheField>
    <cacheField name="MS SQL EE (Int)" numFmtId="166">
      <sharedItems containsSemiMixedTypes="0" containsString="0" containsNumber="1" containsInteger="1" minValue="0" maxValue="0"/>
    </cacheField>
    <cacheField name="MS SQL SE (Ext)" numFmtId="1">
      <sharedItems containsSemiMixedTypes="0" containsString="0" containsNumber="1" containsInteger="1" minValue="0" maxValue="0"/>
    </cacheField>
    <cacheField name="MS SQL SE (Int)" numFmtId="166">
      <sharedItems containsSemiMixedTypes="0" containsString="0" containsNumber="1" containsInteger="1" minValue="0" maxValue="0"/>
    </cacheField>
    <cacheField name="Oracle ASO pSeries" numFmtId="166">
      <sharedItems containsSemiMixedTypes="0" containsString="0" containsNumber="1" containsInteger="1" minValue="0" maxValue="0"/>
    </cacheField>
    <cacheField name="Oracle ASO x86" numFmtId="166">
      <sharedItems containsSemiMixedTypes="0" containsString="0" containsNumber="1" containsInteger="1" minValue="0" maxValue="0"/>
    </cacheField>
    <cacheField name="Oracle Ext. Bundle pSeries" numFmtId="166">
      <sharedItems containsSemiMixedTypes="0" containsString="0" containsNumber="1" containsInteger="1" minValue="0" maxValue="0"/>
    </cacheField>
    <cacheField name="Oracle Ext. Bundle x86" numFmtId="166">
      <sharedItems containsSemiMixedTypes="0" containsString="0" containsNumber="1" containsInteger="1" minValue="0" maxValue="0"/>
    </cacheField>
    <cacheField name="Oracle GG pSeries" numFmtId="166">
      <sharedItems containsSemiMixedTypes="0" containsString="0" containsNumber="1" containsInteger="1" minValue="0" maxValue="0"/>
    </cacheField>
    <cacheField name="Oracle GG x86" numFmtId="166">
      <sharedItems containsSemiMixedTypes="0" containsString="0" containsNumber="1" containsInteger="1" minValue="0" maxValue="0"/>
    </cacheField>
    <cacheField name="Oracle GG Veridata pSeries" numFmtId="166">
      <sharedItems containsSemiMixedTypes="0" containsString="0" containsNumber="1" containsInteger="1" minValue="0" maxValue="0"/>
    </cacheField>
    <cacheField name="Oracle GG Veridata x86" numFmtId="166">
      <sharedItems containsSemiMixedTypes="0" containsString="0" containsNumber="1" containsInteger="1" minValue="0" maxValue="0"/>
    </cacheField>
    <cacheField name="Oracle Partitioning pSeries" numFmtId="166">
      <sharedItems containsSemiMixedTypes="0" containsString="0" containsNumber="1" containsInteger="1" minValue="0" maxValue="0"/>
    </cacheField>
    <cacheField name="Oracle Partitioning x86" numFmtId="166">
      <sharedItems containsSemiMixedTypes="0" containsString="0" containsNumber="1" containsInteger="1" minValue="0" maxValue="0"/>
    </cacheField>
    <cacheField name="Oracle RAC pSeries" numFmtId="166">
      <sharedItems containsSemiMixedTypes="0" containsString="0" containsNumber="1" containsInteger="1" minValue="0" maxValue="2"/>
    </cacheField>
    <cacheField name="Oracle RAC x86" numFmtId="166">
      <sharedItems containsSemiMixedTypes="0" containsString="0" containsNumber="1" containsInteger="1" minValue="0" maxValue="16"/>
    </cacheField>
    <cacheField name="Oracle Spatial pSeries" numFmtId="166">
      <sharedItems containsSemiMixedTypes="0" containsString="0" containsNumber="1" containsInteger="1" minValue="0" maxValue="0"/>
    </cacheField>
    <cacheField name="Oracle Spatial x86" numFmtId="166">
      <sharedItems containsSemiMixedTypes="0" containsString="0" containsNumber="1" containsInteger="1" minValue="0" maxValue="0"/>
    </cacheField>
    <cacheField name="Oracle Standalone" numFmtId="166">
      <sharedItems containsSemiMixedTypes="0" containsString="0" containsNumber="1" containsInteger="1" minValue="0" maxValue="0"/>
    </cacheField>
    <cacheField name="Oracle WebLogic pSeries" numFmtId="166">
      <sharedItems containsSemiMixedTypes="0" containsString="0" containsNumber="1" containsInteger="1" minValue="0" maxValue="0"/>
    </cacheField>
    <cacheField name="Oracle WebLogic x86" numFmtId="166">
      <sharedItems containsSemiMixedTypes="0" containsString="0" containsNumber="1" containsInteger="1" minValue="0" maxValue="0"/>
    </cacheField>
    <cacheField name="PB Spectrum" numFmtId="166">
      <sharedItems containsSemiMixedTypes="0" containsString="0" containsNumber="1" containsInteger="1" minValue="0" maxValue="0"/>
    </cacheField>
    <cacheField name="SAP BO" numFmtId="1">
      <sharedItems containsSemiMixedTypes="0" containsString="0" containsNumber="1" containsInteger="1" minValue="0" maxValue="0"/>
    </cacheField>
    <cacheField name="Sterling NDM" numFmtId="166">
      <sharedItems containsSemiMixedTypes="0" containsString="0" containsNumber="1" containsInteger="1" minValue="0" maxValue="0"/>
    </cacheField>
    <cacheField name="TIBCO Adapter SDK" numFmtId="166">
      <sharedItems containsSemiMixedTypes="0" containsString="0" containsNumber="1" containsInteger="1" minValue="0" maxValue="0"/>
    </cacheField>
    <cacheField name="TIBCO AMX BPM" numFmtId="166">
      <sharedItems containsSemiMixedTypes="0" containsString="0" containsNumber="1" containsInteger="1" minValue="0" maxValue="0"/>
    </cacheField>
    <cacheField name="TIBCO BE" numFmtId="166">
      <sharedItems containsSemiMixedTypes="0" containsString="0" containsNumber="1" containsInteger="1" minValue="0" maxValue="0"/>
    </cacheField>
    <cacheField name="TIBCO BW" numFmtId="166">
      <sharedItems containsSemiMixedTypes="0" containsString="0" containsNumber="1" containsInteger="1" minValue="0" maxValue="16"/>
    </cacheField>
    <cacheField name="TIBCO EMS" numFmtId="166">
      <sharedItems containsSemiMixedTypes="0" containsString="0" containsNumber="1" containsInteger="1" minValue="0" maxValue="16"/>
    </cacheField>
    <cacheField name="TIBCO iProcess" numFmtId="166">
      <sharedItems containsSemiMixedTypes="0" containsString="0" containsNumber="1" containsInteger="1" minValue="0" maxValue="0"/>
    </cacheField>
    <cacheField name="Veritas Cluster/CFS" numFmtId="1">
      <sharedItems containsSemiMixedTypes="0" containsString="0" containsNumber="1" containsInteger="1" minValue="0" maxValue="2"/>
    </cacheField>
    <cacheField name="SW End" numFmtId="166">
      <sharedItems containsNonDate="0" containsString="0" containsBlank="1"/>
    </cacheField>
    <cacheField name="Software Costs_x000a_[Year 1]_x000a_(Monthly)" numFmtId="164">
      <sharedItems containsString="0" containsBlank="1" containsNumber="1" minValue="0" maxValue="6359.75"/>
    </cacheField>
    <cacheField name="Software Costs_x000a_[After Year 1]_x000a_(Monthly)" numFmtId="164">
      <sharedItems containsString="0" containsBlank="1" containsNumber="1" minValue="0" maxValue="1638"/>
    </cacheField>
    <cacheField name="Server HW Costs_x000a_(Monthly)" numFmtId="44">
      <sharedItems containsSemiMixedTypes="0" containsString="0" containsNumber="1" minValue="0" maxValue="2522"/>
    </cacheField>
    <cacheField name="Storage Costs_x000a_(Monthly)" numFmtId="44">
      <sharedItems containsSemiMixedTypes="0" containsString="0" containsNumber="1" minValue="0" maxValue="4564.6650000000009"/>
    </cacheField>
    <cacheField name="Tape Costs_x000a_(Monthly)" numFmtId="44">
      <sharedItems containsSemiMixedTypes="0" containsString="0" containsNumber="1" minValue="0" maxValue="644.37231250000002"/>
    </cacheField>
    <cacheField name="Total Hardware Costs_x000a_(Monthly)" numFmtId="44">
      <sharedItems containsSemiMixedTypes="0" containsString="0" containsNumber="1" minValue="0" maxValue="6097.7373125000004"/>
    </cacheField>
    <cacheField name="Total Server Costs_x000a_[Year 1]_x000a_SW+HW_x000a_(Monthly)" numFmtId="44">
      <sharedItems containsSemiMixedTypes="0" containsString="0" containsNumber="1" minValue="0" maxValue="8146.4018749999996"/>
    </cacheField>
    <cacheField name="Total Server Costs_x000a_[After Year 1]_x000a_SW+HW_x000a_(Monthly)" numFmtId="44">
      <sharedItems containsSemiMixedTypes="0" containsString="0" containsNumber="1" minValue="0" maxValue="6255.0206458333341"/>
    </cacheField>
    <cacheField name="Initial Server Cost" numFmtId="164">
      <sharedItems containsSemiMixedTypes="0" containsString="0" containsNumber="1" minValue="0" maxValue="2522"/>
    </cacheField>
    <cacheField name="Total CPUs" numFmtId="166">
      <sharedItems containsSemiMixedTypes="0" containsString="0" containsNumber="1" containsInteger="1" minValue="0" maxValue="2"/>
    </cacheField>
    <cacheField name="Total Cores" numFmtId="166">
      <sharedItems containsSemiMixedTypes="0" containsString="0" containsNumber="1" containsInteger="1" minValue="0" maxValue="16"/>
    </cacheField>
    <cacheField name="Total RAM" numFmtId="166">
      <sharedItems containsSemiMixedTypes="0" containsString="0" containsNumber="1" containsInteger="1" minValue="0" maxValue="256"/>
    </cacheField>
    <cacheField name="Total VMware Costs" numFmtId="164">
      <sharedItems containsSemiMixedTypes="0" containsString="0" containsNumber="1" containsInteger="1" minValue="0" maxValue="0"/>
    </cacheField>
    <cacheField name="Outside VMware Costs" numFmtId="164">
      <sharedItems containsSemiMixedTypes="0" containsString="0" containsNumber="1" containsInteger="1" minValue="0" maxValue="0"/>
    </cacheField>
    <cacheField name="Existing VMware Costs" numFmtId="164">
      <sharedItems containsSemiMixedTypes="0" containsString="0" containsNumber="1" containsInteger="1" minValue="0" maxValue="0"/>
    </cacheField>
    <cacheField name="New VMware (Adjusted)" numFmtId="164">
      <sharedItems containsSemiMixedTypes="0" containsString="0" containsNumber="1" containsInteger="1" minValue="0" maxValue="0"/>
    </cacheField>
    <cacheField name="Server Cost Breakdown" numFmtId="164">
      <sharedItems containsSemiMixedTypes="0" containsString="0" containsNumber="1" containsInteger="1" minValue="0" maxValue="1658"/>
    </cacheField>
    <cacheField name="OS/SW Costs" numFmtId="164">
      <sharedItems containsSemiMixedTypes="0" containsString="0" containsNumber="1" containsInteger="1" minValue="0" maxValue="0"/>
    </cacheField>
    <cacheField name="VMware Memory" numFmtId="164">
      <sharedItems containsSemiMixedTypes="0" containsString="0" containsNumber="1" containsInteger="1" minValue="0" maxValue="0"/>
    </cacheField>
    <cacheField name="New Memory Cost (Initial)" numFmtId="164">
      <sharedItems containsSemiMixedTypes="0" containsString="0" containsNumber="1" minValue="0" maxValue="1008"/>
    </cacheField>
    <cacheField name="New Memory Cost (Adjusted)" numFmtId="164">
      <sharedItems containsSemiMixedTypes="0" containsString="0" containsNumber="1" containsInteger="1" minValue="0" maxValue="0"/>
    </cacheField>
    <cacheField name="Support Cost" numFmtId="44">
      <sharedItems containsSemiMixedTypes="0" containsString="0" containsNumber="1" minValue="0" maxValue="187.1"/>
    </cacheField>
    <cacheField name="Network Cost" numFmtId="164">
      <sharedItems containsSemiMixedTypes="0" containsString="0" containsNumber="1" containsInteger="1" minValue="0" maxValue="0"/>
    </cacheField>
    <cacheField name="Year 1 Costs [Annual]" numFmtId="0" formula=" 12 *'Total Server Costs_x000a_[Year 1]_x000a_SW+HW_x000a_(Monthly)'" databaseField="0"/>
    <cacheField name="After Year 1 Cost [Annual]" numFmtId="0" formula=" 12 *'Total Server Costs_x000a_[After Year 1]_x000a_SW+HW_x000a_(Monthly)'"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OnLoad="1" refreshedBy="Ashok Kumar Reddy" refreshedDate="41710.651700231479" createdVersion="3" refreshedVersion="4" minRefreshableVersion="3" recordCount="52">
  <cacheSource type="worksheet">
    <worksheetSource name="AnnualSWCostByProdByEnv"/>
  </cacheSource>
  <cacheFields count="17">
    <cacheField name="Product Name" numFmtId="0">
      <sharedItems containsMixedTypes="1" containsNumber="1" containsInteger="1" minValue="0" maxValue="0" count="53">
        <s v="Ab Initio "/>
        <s v="CA APM "/>
        <s v="FinCAD "/>
        <s v="IBM BG Web Client "/>
        <s v="IBM Biz Glossary "/>
        <s v="IBM Datastage "/>
        <s v="IBM DS Designer "/>
        <s v="IBM DS IS Dir "/>
        <s v="IBM HTTP pSeries "/>
        <s v="IBM HTTP x86 "/>
        <s v="IBM Tivoli DS "/>
        <s v="IBM WAS pSeries "/>
        <s v="IBM WAS x86 "/>
        <s v="IBM WBM pSeries "/>
        <s v="IBM WMQ x86 "/>
        <s v="IBM WPS pSeries "/>
        <s v="IBM WPS x86 "/>
        <s v="IBM WS Process Srvr "/>
        <s v="IBM WS VE (Cntrlr) "/>
        <s v="IBM WS VE (Node) "/>
        <s v="Kana (Both) "/>
        <s v="MS SQL EE (Ext) "/>
        <s v="MS SQL EE (Int) "/>
        <s v="MS SQL SE (Ext) "/>
        <s v="MS SQL SE (Int) "/>
        <s v="Oracle ASO pSeries "/>
        <s v="Oracle ASO x86 "/>
        <s v="Oracle Ext. Bundle pSeries "/>
        <s v="Oracle Ext. Bundle x86 "/>
        <s v="Oracle GG pSeries "/>
        <s v="Oracle GG x86 "/>
        <s v="Oracle GG Veridata pSeries "/>
        <s v="Oracle GG Veridata x86 "/>
        <s v="Oracle Partitioning pSeries "/>
        <s v="Oracle Partitioning x86 "/>
        <s v="Oracle RAC x86 "/>
        <s v="Oracle RAC pSeries "/>
        <s v="Oracle Spatial x86 "/>
        <s v="Oracle Spatial pSeries "/>
        <s v="Oracle Standalone "/>
        <s v="Oracle WebLogic x86 "/>
        <s v="Oracle WebLogic pSeries "/>
        <s v="PB Spectrum "/>
        <s v="SAP BO "/>
        <s v="Sterling NDM "/>
        <s v="TIBCO Adapter SDK "/>
        <s v="TIBCO AMX BPM "/>
        <s v="TIBCO BE "/>
        <s v="TIBCO BW "/>
        <s v="TIBCO EMS "/>
        <s v="TIBCO iProcess "/>
        <s v="Veritas Cluster/CFS "/>
        <n v="0" u="1"/>
      </sharedItems>
    </cacheField>
    <cacheField name="PAT" numFmtId="0">
      <sharedItems containsSemiMixedTypes="0" containsString="0" containsNumber="1" containsInteger="1" minValue="0" maxValue="4"/>
    </cacheField>
    <cacheField name="PAT/PROD" numFmtId="0">
      <sharedItems containsSemiMixedTypes="0" containsString="0" containsNumber="1" containsInteger="1" minValue="0" maxValue="0"/>
    </cacheField>
    <cacheField name="PROD" numFmtId="42">
      <sharedItems containsSemiMixedTypes="0" containsString="0" containsNumber="1" minValue="0" maxValue="1080000"/>
    </cacheField>
    <cacheField name="PROD2" numFmtId="42">
      <sharedItems containsSemiMixedTypes="0" containsString="0" containsNumber="1" minValue="0" maxValue="246120"/>
    </cacheField>
    <cacheField name="COB" numFmtId="42">
      <sharedItems containsSemiMixedTypes="0" containsString="0" containsNumber="1" containsInteger="1" minValue="0" maxValue="11268"/>
    </cacheField>
    <cacheField name="CERT" numFmtId="42">
      <sharedItems containsSemiMixedTypes="0" containsString="0" containsNumber="1" containsInteger="1" minValue="0" maxValue="0"/>
    </cacheField>
    <cacheField name="PERF" numFmtId="42">
      <sharedItems containsSemiMixedTypes="0" containsString="0" containsNumber="1" containsInteger="1" minValue="0" maxValue="0"/>
    </cacheField>
    <cacheField name="TRAINING" numFmtId="42">
      <sharedItems containsSemiMixedTypes="0" containsString="0" containsNumber="1" containsInteger="1" minValue="0" maxValue="0"/>
    </cacheField>
    <cacheField name="UAT" numFmtId="42">
      <sharedItems containsSemiMixedTypes="0" containsString="0" containsNumber="1" containsInteger="1" minValue="0" maxValue="540000"/>
    </cacheField>
    <cacheField name="UAT2" numFmtId="42">
      <sharedItems containsSemiMixedTypes="0" containsString="0" containsNumber="1" minValue="0" maxValue="147672"/>
    </cacheField>
    <cacheField name="SIT" numFmtId="42">
      <sharedItems containsSemiMixedTypes="0" containsString="0" containsNumber="1" containsInteger="1" minValue="0" maxValue="98448"/>
    </cacheField>
    <cacheField name="SIT/DIT" numFmtId="42">
      <sharedItems containsSemiMixedTypes="0" containsString="0" containsNumber="1" containsInteger="1" minValue="0" maxValue="0"/>
    </cacheField>
    <cacheField name="DIT" numFmtId="42">
      <sharedItems containsSemiMixedTypes="0" containsString="0" containsNumber="1" containsInteger="1" minValue="0" maxValue="98448"/>
    </cacheField>
    <cacheField name="RND" numFmtId="42">
      <sharedItems containsSemiMixedTypes="0" containsString="0" containsNumber="1" containsInteger="1" minValue="0" maxValue="0"/>
    </cacheField>
    <cacheField name="DEV" numFmtId="42">
      <sharedItems containsSemiMixedTypes="0" containsString="0" containsNumber="1" containsInteger="1" minValue="0" maxValue="0"/>
    </cacheField>
    <cacheField name="Totals" numFmtId="42">
      <sharedItems containsSemiMixedTypes="0" containsString="0" containsNumber="1" minValue="0" maxValue="162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49">
  <r>
    <x v="0"/>
    <m/>
    <m/>
    <m/>
    <m/>
    <m/>
    <m/>
    <m/>
    <m/>
    <m/>
    <m/>
    <m/>
    <x v="0"/>
    <s v="FDC"/>
    <m/>
    <m/>
    <x v="0"/>
    <x v="0"/>
    <m/>
    <m/>
    <m/>
    <s v="MQ"/>
    <s v="IBM WMQ x86, CA APM"/>
    <s v="AP"/>
    <s v="ESB"/>
    <s v="AP-ESB"/>
    <m/>
    <x v="0"/>
    <m/>
    <m/>
    <m/>
    <s v="a"/>
    <m/>
    <m/>
    <x v="0"/>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72.118000000000009"/>
    <n v="6.7821249999999997"/>
    <n v="78.900125000000003"/>
    <n v="78.900125000000003"/>
    <n v="78.900125000000003"/>
    <n v="0"/>
    <n v="0"/>
    <n v="0"/>
    <n v="0"/>
    <n v="0"/>
    <n v="0"/>
    <n v="0"/>
    <n v="0"/>
    <n v="0"/>
    <n v="0"/>
    <n v="0"/>
    <n v="0"/>
    <n v="0"/>
    <n v="0"/>
    <n v="0"/>
  </r>
  <r>
    <x v="0"/>
    <m/>
    <m/>
    <m/>
    <m/>
    <m/>
    <m/>
    <m/>
    <m/>
    <m/>
    <m/>
    <m/>
    <x v="0"/>
    <s v="FDC"/>
    <m/>
    <m/>
    <x v="0"/>
    <x v="0"/>
    <m/>
    <m/>
    <m/>
    <s v="MQ"/>
    <s v="IBM WMQ x86, CA APM"/>
    <s v="AP"/>
    <s v="ESB"/>
    <s v="AP-ESB"/>
    <m/>
    <x v="0"/>
    <m/>
    <m/>
    <m/>
    <s v="a"/>
    <m/>
    <m/>
    <x v="1"/>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0"/>
    <x v="0"/>
    <m/>
    <m/>
    <m/>
    <s v="MQ"/>
    <s v="IBM WMQ x86, CA APM"/>
    <s v="AP"/>
    <s v="ESB"/>
    <s v="AP-ESB"/>
    <m/>
    <x v="0"/>
    <m/>
    <m/>
    <m/>
    <s v="a"/>
    <m/>
    <m/>
    <x v="2"/>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0"/>
    <x v="0"/>
    <m/>
    <m/>
    <m/>
    <s v="MQ"/>
    <s v="IBM WMQ x86, CA APM"/>
    <s v="AP"/>
    <s v="ESB"/>
    <s v="AP-ESB"/>
    <m/>
    <x v="0"/>
    <m/>
    <m/>
    <m/>
    <s v="a"/>
    <m/>
    <m/>
    <x v="3"/>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0"/>
    <x v="0"/>
    <m/>
    <m/>
    <m/>
    <s v="ESB [V5,V6], CMR, SNF - EMS"/>
    <s v="Veritas Cluster/CFS, TIBCO EMS, CA APM"/>
    <s v="AP"/>
    <s v="ESB"/>
    <s v="AP-ESB"/>
    <m/>
    <x v="0"/>
    <m/>
    <m/>
    <m/>
    <s v="a"/>
    <m/>
    <m/>
    <x v="4"/>
    <n v="1"/>
    <m/>
    <m/>
    <x v="0"/>
    <s v="x86 Tier 3"/>
    <s v="x86"/>
    <m/>
    <x v="0"/>
    <m/>
    <m/>
    <m/>
    <s v=""/>
    <m/>
    <m/>
    <m/>
    <m/>
    <m/>
    <m/>
    <m/>
    <m/>
    <m/>
    <m/>
    <m/>
    <m/>
    <m/>
    <m/>
    <m/>
    <n v="0"/>
    <n v="60"/>
    <n v="67.400000000000006"/>
    <m/>
    <n v="67.400000000000006"/>
    <n v="60"/>
    <m/>
    <s v="Yes"/>
    <n v="0"/>
    <m/>
    <n v="0"/>
    <m/>
    <m/>
    <n v="31.85"/>
    <n v="4.7774999999999999"/>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181.30600000000001"/>
    <n v="12.819624999999998"/>
    <n v="194.12562500000001"/>
    <n v="194.12562500000001"/>
    <n v="194.12562500000001"/>
    <n v="0"/>
    <n v="0"/>
    <n v="0"/>
    <n v="0"/>
    <n v="0"/>
    <n v="0"/>
    <n v="0"/>
    <n v="0"/>
    <n v="0"/>
    <n v="0"/>
    <n v="0"/>
    <n v="0"/>
    <n v="0"/>
    <n v="0"/>
    <n v="0"/>
  </r>
  <r>
    <x v="0"/>
    <m/>
    <m/>
    <m/>
    <m/>
    <m/>
    <m/>
    <m/>
    <m/>
    <m/>
    <m/>
    <m/>
    <x v="0"/>
    <s v="FDC"/>
    <m/>
    <m/>
    <x v="0"/>
    <x v="0"/>
    <m/>
    <m/>
    <m/>
    <s v="ESB [V5,V6], CMR, SNF - EMS"/>
    <s v="Veritas Cluster/CFS, TIBCO EMS, CA APM"/>
    <s v="AP"/>
    <s v="ESB"/>
    <s v="AP-ESB"/>
    <m/>
    <x v="0"/>
    <m/>
    <m/>
    <m/>
    <s v="a"/>
    <m/>
    <m/>
    <x v="5"/>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0"/>
    <x v="0"/>
    <m/>
    <m/>
    <m/>
    <s v="ESB [V5,V6], CMR, SNF - EMS"/>
    <s v="Veritas Cluster/CFS, TIBCO EMS, CA APM"/>
    <s v="AP"/>
    <s v="ESB"/>
    <s v="AP-ESB"/>
    <m/>
    <x v="0"/>
    <m/>
    <m/>
    <m/>
    <s v="a"/>
    <m/>
    <m/>
    <x v="6"/>
    <n v="1"/>
    <m/>
    <m/>
    <x v="0"/>
    <s v="x86 Tier 3"/>
    <s v="x86"/>
    <m/>
    <x v="0"/>
    <m/>
    <m/>
    <m/>
    <s v=""/>
    <m/>
    <m/>
    <m/>
    <m/>
    <m/>
    <m/>
    <m/>
    <m/>
    <m/>
    <m/>
    <m/>
    <m/>
    <m/>
    <m/>
    <m/>
    <n v="0"/>
    <n v="60"/>
    <n v="67.400000000000006"/>
    <m/>
    <n v="67.400000000000006"/>
    <n v="60"/>
    <m/>
    <s v="Yes"/>
    <n v="0"/>
    <m/>
    <n v="0"/>
    <m/>
    <m/>
    <n v="31.85"/>
    <n v="4.7774999999999999"/>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181.30600000000001"/>
    <n v="12.819624999999998"/>
    <n v="194.12562500000001"/>
    <n v="194.12562500000001"/>
    <n v="194.12562500000001"/>
    <n v="0"/>
    <n v="0"/>
    <n v="0"/>
    <n v="0"/>
    <n v="0"/>
    <n v="0"/>
    <n v="0"/>
    <n v="0"/>
    <n v="0"/>
    <n v="0"/>
    <n v="0"/>
    <n v="0"/>
    <n v="0"/>
    <n v="0"/>
    <n v="0"/>
  </r>
  <r>
    <x v="0"/>
    <m/>
    <m/>
    <m/>
    <m/>
    <m/>
    <m/>
    <m/>
    <m/>
    <m/>
    <m/>
    <m/>
    <x v="0"/>
    <s v="FDC"/>
    <m/>
    <m/>
    <x v="0"/>
    <x v="0"/>
    <m/>
    <m/>
    <m/>
    <s v="ESB [V5,V6], CMR, SNF - EMS"/>
    <s v="Veritas Cluster/CFS, TIBCO EMS, CA APM"/>
    <s v="AP"/>
    <s v="ESB"/>
    <s v="AP-ESB"/>
    <m/>
    <x v="0"/>
    <m/>
    <m/>
    <m/>
    <s v="a"/>
    <m/>
    <m/>
    <x v="7"/>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FDC"/>
    <m/>
    <m/>
    <x v="1"/>
    <x v="0"/>
    <m/>
    <m/>
    <m/>
    <s v="ESB-Digital - EMS"/>
    <s v="Veritas Cluster/CFS, TIBCO EMS, CA APM"/>
    <s v="AP"/>
    <s v="ESB"/>
    <s v="AP-ESB"/>
    <m/>
    <x v="1"/>
    <m/>
    <m/>
    <m/>
    <m/>
    <m/>
    <m/>
    <x v="8"/>
    <n v="1"/>
    <m/>
    <m/>
    <x v="0"/>
    <s v="x86 Tier 3"/>
    <s v="x86"/>
    <m/>
    <x v="0"/>
    <n v="2"/>
    <m/>
    <n v="16"/>
    <s v=""/>
    <n v="256"/>
    <m/>
    <m/>
    <m/>
    <m/>
    <m/>
    <m/>
    <m/>
    <m/>
    <m/>
    <m/>
    <m/>
    <m/>
    <m/>
    <m/>
    <n v="337"/>
    <n v="120"/>
    <n v="471.8"/>
    <m/>
    <n v="471.8"/>
    <n v="120"/>
    <m/>
    <s v="Yes"/>
    <n v="0"/>
    <m/>
    <n v="0"/>
    <m/>
    <m/>
    <n v="147.94999999999999"/>
    <n v="22.192499999999999"/>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16"/>
    <n v="0"/>
    <n v="2"/>
    <m/>
    <n v="6359.75"/>
    <n v="899.755"/>
    <n v="1003.9"/>
    <n v="723.202"/>
    <n v="59.549874999999993"/>
    <n v="1786.6518749999998"/>
    <n v="8146.4018749999996"/>
    <n v="2686.4068749999997"/>
    <n v="1003.9"/>
    <n v="2"/>
    <n v="16"/>
    <n v="256"/>
    <n v="0"/>
    <n v="0"/>
    <n v="0"/>
    <n v="0"/>
    <n v="608"/>
    <n v="0"/>
    <n v="0"/>
    <n v="208.8"/>
    <n v="0"/>
    <n v="187.1"/>
    <n v="0"/>
  </r>
  <r>
    <x v="0"/>
    <m/>
    <m/>
    <m/>
    <m/>
    <m/>
    <m/>
    <m/>
    <m/>
    <m/>
    <m/>
    <m/>
    <x v="0"/>
    <s v="FDC"/>
    <m/>
    <m/>
    <x v="1"/>
    <x v="0"/>
    <m/>
    <m/>
    <m/>
    <s v="ESB-Digital - EMS"/>
    <s v="Veritas Cluster/CFS, TIBCO EMS, CA APM"/>
    <s v="AP"/>
    <s v="ESB"/>
    <s v="AP-ESB"/>
    <m/>
    <x v="1"/>
    <m/>
    <m/>
    <m/>
    <m/>
    <m/>
    <m/>
    <x v="9"/>
    <n v="1"/>
    <m/>
    <m/>
    <x v="0"/>
    <s v="x86 Tier 3"/>
    <s v="x86"/>
    <m/>
    <x v="0"/>
    <n v="2"/>
    <m/>
    <n v="16"/>
    <s v=""/>
    <n v="256"/>
    <m/>
    <m/>
    <m/>
    <m/>
    <m/>
    <m/>
    <m/>
    <m/>
    <m/>
    <m/>
    <m/>
    <m/>
    <m/>
    <m/>
    <n v="337"/>
    <m/>
    <n v="337"/>
    <m/>
    <n v="337"/>
    <m/>
    <m/>
    <s v="Yes"/>
    <n v="0"/>
    <m/>
    <n v="0"/>
    <m/>
    <m/>
    <n v="84.25"/>
    <n v="12.637499999999999"/>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16"/>
    <n v="0"/>
    <n v="2"/>
    <m/>
    <m/>
    <m/>
    <n v="1003.9"/>
    <n v="360.59000000000003"/>
    <n v="33.910624999999996"/>
    <n v="1398.400625"/>
    <n v="1398.400625"/>
    <n v="1398.400625"/>
    <n v="1003.9"/>
    <n v="2"/>
    <n v="16"/>
    <n v="256"/>
    <n v="0"/>
    <n v="0"/>
    <n v="0"/>
    <n v="0"/>
    <n v="608"/>
    <n v="0"/>
    <n v="0"/>
    <n v="208.8"/>
    <n v="0"/>
    <n v="187.1"/>
    <n v="0"/>
  </r>
  <r>
    <x v="0"/>
    <m/>
    <m/>
    <m/>
    <m/>
    <m/>
    <m/>
    <m/>
    <m/>
    <m/>
    <m/>
    <m/>
    <x v="0"/>
    <s v="FDC"/>
    <m/>
    <m/>
    <x v="1"/>
    <x v="0"/>
    <m/>
    <m/>
    <m/>
    <s v="ESB-Digital - EMS"/>
    <s v="Veritas Cluster/CFS, TIBCO EMS, CA APM"/>
    <s v="AP"/>
    <s v="ESB"/>
    <s v="AP-ESB"/>
    <m/>
    <x v="1"/>
    <m/>
    <m/>
    <m/>
    <m/>
    <m/>
    <m/>
    <x v="10"/>
    <n v="1"/>
    <m/>
    <m/>
    <x v="0"/>
    <s v="x86 Tier 3"/>
    <s v="x86"/>
    <m/>
    <x v="0"/>
    <n v="2"/>
    <m/>
    <n v="16"/>
    <s v=""/>
    <n v="256"/>
    <m/>
    <m/>
    <m/>
    <m/>
    <m/>
    <m/>
    <m/>
    <m/>
    <m/>
    <m/>
    <m/>
    <m/>
    <m/>
    <m/>
    <n v="337"/>
    <n v="120"/>
    <n v="471.8"/>
    <m/>
    <n v="471.8"/>
    <n v="120"/>
    <m/>
    <s v="Yes"/>
    <n v="0"/>
    <m/>
    <n v="0"/>
    <m/>
    <m/>
    <n v="147.94999999999999"/>
    <n v="22.192499999999999"/>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16"/>
    <n v="0"/>
    <n v="2"/>
    <m/>
    <m/>
    <m/>
    <n v="1003.9"/>
    <n v="723.202"/>
    <n v="59.549874999999993"/>
    <n v="1786.6518749999998"/>
    <n v="1786.6518749999998"/>
    <n v="1786.6518749999998"/>
    <n v="1003.9"/>
    <n v="2"/>
    <n v="16"/>
    <n v="256"/>
    <n v="0"/>
    <n v="0"/>
    <n v="0"/>
    <n v="0"/>
    <n v="608"/>
    <n v="0"/>
    <n v="0"/>
    <n v="208.8"/>
    <n v="0"/>
    <n v="187.1"/>
    <n v="0"/>
  </r>
  <r>
    <x v="0"/>
    <m/>
    <m/>
    <m/>
    <m/>
    <m/>
    <m/>
    <m/>
    <m/>
    <m/>
    <m/>
    <m/>
    <x v="0"/>
    <s v="FDC"/>
    <m/>
    <m/>
    <x v="1"/>
    <x v="0"/>
    <m/>
    <m/>
    <m/>
    <s v="ESB-Digital - EMS"/>
    <s v="Veritas Cluster/CFS, TIBCO EMS, CA APM"/>
    <s v="AP"/>
    <s v="ESB"/>
    <s v="AP-ESB"/>
    <m/>
    <x v="1"/>
    <m/>
    <m/>
    <m/>
    <m/>
    <m/>
    <m/>
    <x v="11"/>
    <n v="1"/>
    <m/>
    <m/>
    <x v="0"/>
    <s v="x86 Tier 3"/>
    <s v="x86"/>
    <m/>
    <x v="0"/>
    <n v="2"/>
    <m/>
    <n v="16"/>
    <s v=""/>
    <n v="256"/>
    <m/>
    <m/>
    <m/>
    <m/>
    <m/>
    <m/>
    <m/>
    <m/>
    <m/>
    <m/>
    <m/>
    <m/>
    <m/>
    <m/>
    <n v="337"/>
    <m/>
    <n v="337"/>
    <m/>
    <n v="337"/>
    <m/>
    <m/>
    <s v="Yes"/>
    <n v="0"/>
    <m/>
    <n v="0"/>
    <m/>
    <m/>
    <n v="84.25"/>
    <n v="12.637499999999999"/>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16"/>
    <n v="0"/>
    <n v="2"/>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2"/>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n v="3750"/>
    <n v="525"/>
    <n v="1003.9"/>
    <n v="360.59000000000003"/>
    <n v="33.910624999999996"/>
    <n v="1398.400625"/>
    <n v="5148.4006250000002"/>
    <n v="1923.400625"/>
    <n v="1003.9"/>
    <n v="2"/>
    <n v="16"/>
    <n v="256"/>
    <n v="0"/>
    <n v="0"/>
    <n v="0"/>
    <n v="0"/>
    <n v="608"/>
    <n v="0"/>
    <n v="0"/>
    <n v="208.8"/>
    <n v="0"/>
    <n v="187.1"/>
    <n v="0"/>
  </r>
  <r>
    <x v="0"/>
    <m/>
    <m/>
    <m/>
    <m/>
    <m/>
    <m/>
    <m/>
    <m/>
    <m/>
    <m/>
    <m/>
    <x v="0"/>
    <s v="FDC"/>
    <m/>
    <m/>
    <x v="1"/>
    <x v="0"/>
    <m/>
    <m/>
    <m/>
    <s v="ESB-Digital -BW"/>
    <s v="TIBCO BW, CA APM"/>
    <s v="AP"/>
    <s v="ESB"/>
    <s v="AP-ESB"/>
    <m/>
    <x v="1"/>
    <m/>
    <m/>
    <m/>
    <m/>
    <m/>
    <m/>
    <x v="13"/>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4"/>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5"/>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6"/>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7"/>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8"/>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19"/>
    <n v="1"/>
    <m/>
    <m/>
    <x v="0"/>
    <s v="x86 Tier 3"/>
    <s v="x86"/>
    <m/>
    <x v="0"/>
    <n v="2"/>
    <m/>
    <n v="16"/>
    <s v=""/>
    <n v="256"/>
    <m/>
    <m/>
    <m/>
    <m/>
    <m/>
    <m/>
    <m/>
    <m/>
    <m/>
    <m/>
    <m/>
    <m/>
    <m/>
    <m/>
    <n v="337"/>
    <m/>
    <n v="337"/>
    <m/>
    <n v="337"/>
    <m/>
    <m/>
    <s v="Yes"/>
    <n v="0"/>
    <m/>
    <n v="0"/>
    <m/>
    <m/>
    <n v="84.25"/>
    <n v="12.637499999999999"/>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20"/>
    <n v="1"/>
    <m/>
    <m/>
    <x v="0"/>
    <s v="x86 Tier 3"/>
    <s v="x86"/>
    <m/>
    <x v="0"/>
    <n v="2"/>
    <m/>
    <n v="16"/>
    <s v=""/>
    <n v="256"/>
    <m/>
    <m/>
    <m/>
    <m/>
    <m/>
    <m/>
    <m/>
    <m/>
    <m/>
    <m/>
    <m/>
    <m/>
    <m/>
    <m/>
    <n v="337"/>
    <m/>
    <n v="337"/>
    <m/>
    <n v="337"/>
    <m/>
    <m/>
    <s v="Yes"/>
    <n v="0"/>
    <m/>
    <n v="0"/>
    <m/>
    <m/>
    <n v="84.25"/>
    <n v="12.637499999999999"/>
    <m/>
    <m/>
    <m/>
    <m/>
    <m/>
    <m/>
    <m/>
    <m/>
    <m/>
    <m/>
    <m/>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21"/>
    <n v="1"/>
    <m/>
    <m/>
    <x v="0"/>
    <s v="x86 Tier 3"/>
    <s v="x86"/>
    <m/>
    <x v="0"/>
    <n v="2"/>
    <m/>
    <n v="16"/>
    <s v=""/>
    <n v="256"/>
    <m/>
    <m/>
    <m/>
    <m/>
    <m/>
    <m/>
    <m/>
    <m/>
    <m/>
    <m/>
    <m/>
    <m/>
    <m/>
    <m/>
    <n v="337"/>
    <m/>
    <n v="337"/>
    <m/>
    <n v="337"/>
    <m/>
    <m/>
    <s v="Yes"/>
    <n v="0"/>
    <m/>
    <n v="0"/>
    <m/>
    <m/>
    <n v="84.25"/>
    <n v="12.637499999999999"/>
    <m/>
    <m/>
    <m/>
    <m/>
    <m/>
    <m/>
    <m/>
    <m/>
    <m/>
    <m/>
    <m/>
    <m/>
    <n v="0"/>
    <n v="1"/>
    <n v="0"/>
    <n v="0"/>
    <n v="0"/>
    <n v="0"/>
    <n v="0"/>
    <n v="0"/>
    <n v="0"/>
    <n v="0"/>
    <n v="0"/>
    <n v="0"/>
    <n v="0"/>
    <n v="0"/>
    <n v="0"/>
    <n v="0"/>
    <n v="0"/>
    <n v="0"/>
    <n v="0"/>
    <n v="0"/>
    <n v="0"/>
    <n v="0"/>
    <n v="0"/>
    <n v="0"/>
    <n v="0"/>
    <n v="0"/>
    <n v="0"/>
    <n v="0"/>
    <n v="0"/>
    <n v="0"/>
    <n v="0"/>
    <n v="0"/>
    <n v="0"/>
    <n v="0"/>
    <n v="0"/>
    <n v="0"/>
    <n v="0"/>
    <n v="0"/>
    <n v="0"/>
    <n v="0"/>
    <n v="0"/>
    <n v="0"/>
    <n v="0"/>
    <n v="0"/>
    <n v="0"/>
    <n v="0"/>
    <n v="0"/>
    <n v="0"/>
    <n v="16"/>
    <n v="0"/>
    <n v="0"/>
    <n v="0"/>
    <m/>
    <n v="3750"/>
    <n v="525"/>
    <n v="1003.9"/>
    <n v="360.59000000000003"/>
    <n v="33.910624999999996"/>
    <n v="1398.400625"/>
    <n v="5148.4006250000002"/>
    <n v="1923.400625"/>
    <n v="1003.9"/>
    <n v="2"/>
    <n v="16"/>
    <n v="256"/>
    <n v="0"/>
    <n v="0"/>
    <n v="0"/>
    <n v="0"/>
    <n v="608"/>
    <n v="0"/>
    <n v="0"/>
    <n v="208.8"/>
    <n v="0"/>
    <n v="187.1"/>
    <n v="0"/>
  </r>
  <r>
    <x v="0"/>
    <m/>
    <m/>
    <m/>
    <m/>
    <m/>
    <m/>
    <m/>
    <m/>
    <m/>
    <m/>
    <m/>
    <x v="0"/>
    <s v="FDC"/>
    <m/>
    <m/>
    <x v="1"/>
    <x v="0"/>
    <m/>
    <m/>
    <m/>
    <s v="ESB-Digital -BW"/>
    <s v="TIBCO BW, CA APM"/>
    <s v="AP"/>
    <s v="ESB"/>
    <s v="AP-ESB"/>
    <m/>
    <x v="1"/>
    <m/>
    <m/>
    <m/>
    <m/>
    <m/>
    <m/>
    <x v="22"/>
    <n v="1"/>
    <m/>
    <m/>
    <x v="0"/>
    <s v="x86 Tier 3"/>
    <s v="x86"/>
    <m/>
    <x v="0"/>
    <n v="2"/>
    <m/>
    <n v="16"/>
    <m/>
    <n v="256"/>
    <m/>
    <m/>
    <m/>
    <m/>
    <m/>
    <m/>
    <m/>
    <m/>
    <m/>
    <m/>
    <m/>
    <m/>
    <m/>
    <m/>
    <n v="337"/>
    <m/>
    <n v="337"/>
    <m/>
    <n v="337"/>
    <m/>
    <m/>
    <s v="Yes"/>
    <n v="0"/>
    <m/>
    <n v="0"/>
    <m/>
    <m/>
    <n v="84.25"/>
    <n v="12.637499999999999"/>
    <m/>
    <m/>
    <m/>
    <m/>
    <m/>
    <m/>
    <m/>
    <m/>
    <m/>
    <m/>
    <m/>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ESB-Digital -BW"/>
    <s v="TIBCO BW, CA APM"/>
    <s v="AP"/>
    <s v="ESB"/>
    <s v="AP-ESB"/>
    <m/>
    <x v="1"/>
    <m/>
    <m/>
    <m/>
    <m/>
    <m/>
    <m/>
    <x v="23"/>
    <n v="1"/>
    <m/>
    <m/>
    <x v="0"/>
    <s v="x86 Tier 3"/>
    <s v="x86"/>
    <m/>
    <x v="0"/>
    <n v="2"/>
    <m/>
    <n v="16"/>
    <m/>
    <n v="256"/>
    <m/>
    <m/>
    <m/>
    <m/>
    <m/>
    <m/>
    <m/>
    <m/>
    <m/>
    <m/>
    <m/>
    <m/>
    <m/>
    <m/>
    <n v="337"/>
    <m/>
    <n v="337"/>
    <m/>
    <n v="337"/>
    <m/>
    <m/>
    <s v="Yes"/>
    <n v="0"/>
    <m/>
    <n v="0"/>
    <m/>
    <m/>
    <n v="84.25"/>
    <n v="12.637499999999999"/>
    <m/>
    <m/>
    <m/>
    <m/>
    <m/>
    <m/>
    <m/>
    <m/>
    <m/>
    <m/>
    <m/>
    <m/>
    <n v="0"/>
    <n v="1"/>
    <n v="0"/>
    <n v="0"/>
    <n v="0"/>
    <n v="0"/>
    <n v="0"/>
    <n v="0"/>
    <n v="0"/>
    <n v="0"/>
    <n v="0"/>
    <n v="0"/>
    <n v="0"/>
    <n v="0"/>
    <n v="0"/>
    <n v="0"/>
    <n v="0"/>
    <n v="0"/>
    <n v="0"/>
    <n v="0"/>
    <n v="0"/>
    <n v="0"/>
    <n v="0"/>
    <n v="0"/>
    <n v="0"/>
    <n v="0"/>
    <n v="0"/>
    <n v="0"/>
    <n v="0"/>
    <n v="0"/>
    <n v="0"/>
    <n v="0"/>
    <n v="0"/>
    <n v="0"/>
    <n v="0"/>
    <n v="0"/>
    <n v="0"/>
    <n v="0"/>
    <n v="0"/>
    <n v="0"/>
    <n v="0"/>
    <n v="0"/>
    <n v="0"/>
    <n v="0"/>
    <n v="0"/>
    <n v="0"/>
    <n v="0"/>
    <n v="0"/>
    <n v="16"/>
    <n v="0"/>
    <n v="0"/>
    <n v="0"/>
    <m/>
    <m/>
    <m/>
    <n v="1003.9"/>
    <n v="360.59000000000003"/>
    <n v="33.910624999999996"/>
    <n v="1398.400625"/>
    <n v="1398.400625"/>
    <n v="1398.400625"/>
    <n v="1003.9"/>
    <n v="2"/>
    <n v="16"/>
    <n v="256"/>
    <n v="0"/>
    <n v="0"/>
    <n v="0"/>
    <n v="0"/>
    <n v="608"/>
    <n v="0"/>
    <n v="0"/>
    <n v="208.8"/>
    <n v="0"/>
    <n v="187.1"/>
    <n v="0"/>
  </r>
  <r>
    <x v="0"/>
    <m/>
    <m/>
    <m/>
    <m/>
    <m/>
    <m/>
    <m/>
    <m/>
    <m/>
    <m/>
    <m/>
    <x v="0"/>
    <s v="FDC"/>
    <m/>
    <m/>
    <x v="1"/>
    <x v="0"/>
    <m/>
    <m/>
    <m/>
    <s v="Oracle RAC - ESB"/>
    <s v="Oracle RAC pSeries"/>
    <s v="DB"/>
    <s v="ESB"/>
    <s v="DB-ESB"/>
    <m/>
    <x v="0"/>
    <m/>
    <m/>
    <m/>
    <s v="a"/>
    <m/>
    <m/>
    <x v="24"/>
    <n v="1"/>
    <m/>
    <m/>
    <x v="1"/>
    <s v="IBM P-Series Tier 2"/>
    <s v="pSeries"/>
    <m/>
    <x v="1"/>
    <m/>
    <m/>
    <m/>
    <m/>
    <m/>
    <m/>
    <m/>
    <m/>
    <m/>
    <m/>
    <m/>
    <m/>
    <m/>
    <m/>
    <m/>
    <m/>
    <m/>
    <m/>
    <m/>
    <n v="0"/>
    <n v="100"/>
    <n v="101.10000000000001"/>
    <m/>
    <n v="101.10000000000001"/>
    <n v="100"/>
    <m/>
    <s v="Yes"/>
    <n v="0"/>
    <m/>
    <n v="0"/>
    <m/>
    <m/>
    <n v="50.275000000000006"/>
    <n v="7.5412500000000007"/>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271.95900000000006"/>
    <n v="20.235687500000001"/>
    <n v="292.19468750000004"/>
    <n v="292.19468750000004"/>
    <n v="292.19468750000004"/>
    <n v="0"/>
    <n v="0"/>
    <n v="0"/>
    <n v="0"/>
    <n v="0"/>
    <n v="0"/>
    <n v="0"/>
    <n v="0"/>
    <n v="0"/>
    <n v="0"/>
    <n v="0"/>
    <n v="0"/>
    <n v="0"/>
    <n v="0"/>
    <n v="0"/>
  </r>
  <r>
    <x v="0"/>
    <m/>
    <m/>
    <m/>
    <m/>
    <m/>
    <m/>
    <m/>
    <m/>
    <m/>
    <m/>
    <m/>
    <x v="0"/>
    <s v="FDC"/>
    <m/>
    <m/>
    <x v="1"/>
    <x v="0"/>
    <m/>
    <m/>
    <m/>
    <s v="Oracle RAC - ESB,"/>
    <s v="Oracle RAC pSeries"/>
    <s v="DB"/>
    <s v="ESB"/>
    <s v="DB-ESB"/>
    <m/>
    <x v="0"/>
    <m/>
    <m/>
    <m/>
    <s v="a"/>
    <m/>
    <m/>
    <x v="25"/>
    <n v="1"/>
    <m/>
    <m/>
    <x v="1"/>
    <s v="IBM P-Series Tier 2"/>
    <s v="pSeries"/>
    <m/>
    <x v="1"/>
    <m/>
    <m/>
    <m/>
    <m/>
    <m/>
    <m/>
    <m/>
    <m/>
    <m/>
    <m/>
    <m/>
    <m/>
    <m/>
    <m/>
    <m/>
    <m/>
    <m/>
    <m/>
    <m/>
    <n v="0"/>
    <m/>
    <n v="0"/>
    <m/>
    <n v="0"/>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1"/>
    <x v="0"/>
    <m/>
    <m/>
    <m/>
    <s v="Dataguard- Oracle RAC-ESB"/>
    <s v="Oracle RAC pSeries"/>
    <s v="DB"/>
    <s v="ESB"/>
    <s v="DB-ESB"/>
    <m/>
    <x v="0"/>
    <m/>
    <m/>
    <m/>
    <s v="a"/>
    <m/>
    <m/>
    <x v="26"/>
    <n v="1"/>
    <m/>
    <m/>
    <x v="1"/>
    <s v="IBM P-Series Tier 2"/>
    <s v="pSeries"/>
    <m/>
    <x v="1"/>
    <m/>
    <m/>
    <m/>
    <m/>
    <m/>
    <m/>
    <m/>
    <m/>
    <m/>
    <m/>
    <m/>
    <m/>
    <m/>
    <m/>
    <m/>
    <m/>
    <m/>
    <m/>
    <m/>
    <n v="0"/>
    <n v="100"/>
    <n v="101.10000000000001"/>
    <m/>
    <n v="101.10000000000001"/>
    <n v="100"/>
    <m/>
    <s v="Yes"/>
    <n v="0"/>
    <m/>
    <n v="0"/>
    <m/>
    <m/>
    <n v="50.275000000000006"/>
    <n v="7.5412500000000007"/>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271.95900000000006"/>
    <n v="20.235687500000001"/>
    <n v="292.19468750000004"/>
    <n v="292.19468750000004"/>
    <n v="292.19468750000004"/>
    <n v="0"/>
    <n v="0"/>
    <n v="0"/>
    <n v="0"/>
    <n v="0"/>
    <n v="0"/>
    <n v="0"/>
    <n v="0"/>
    <n v="0"/>
    <n v="0"/>
    <n v="0"/>
    <n v="0"/>
    <n v="0"/>
    <n v="0"/>
    <n v="0"/>
  </r>
  <r>
    <x v="0"/>
    <m/>
    <m/>
    <m/>
    <m/>
    <m/>
    <m/>
    <m/>
    <m/>
    <m/>
    <m/>
    <m/>
    <x v="0"/>
    <s v="FDC"/>
    <m/>
    <m/>
    <x v="1"/>
    <x v="0"/>
    <m/>
    <m/>
    <m/>
    <s v="Oracle HACMP  - Tibco, RMAN"/>
    <s v="Oracle Standalone"/>
    <s v="DB"/>
    <s v="ESB"/>
    <s v="DB-ESB"/>
    <m/>
    <x v="0"/>
    <m/>
    <m/>
    <m/>
    <s v="a"/>
    <m/>
    <m/>
    <x v="27"/>
    <n v="1"/>
    <m/>
    <m/>
    <x v="1"/>
    <s v="IBM P-Series Tier 2"/>
    <s v="pSeries"/>
    <m/>
    <x v="1"/>
    <m/>
    <m/>
    <m/>
    <m/>
    <m/>
    <m/>
    <m/>
    <m/>
    <m/>
    <m/>
    <m/>
    <m/>
    <m/>
    <m/>
    <m/>
    <m/>
    <m/>
    <m/>
    <m/>
    <n v="0"/>
    <n v="100"/>
    <n v="101.10000000000001"/>
    <m/>
    <n v="101.10000000000001"/>
    <n v="100"/>
    <m/>
    <s v="Yes"/>
    <n v="0"/>
    <m/>
    <n v="0"/>
    <m/>
    <m/>
    <n v="50.275000000000006"/>
    <n v="7.5412500000000007"/>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271.95900000000006"/>
    <n v="20.235687500000001"/>
    <n v="292.19468750000004"/>
    <n v="292.19468750000004"/>
    <n v="292.19468750000004"/>
    <n v="0"/>
    <n v="0"/>
    <n v="0"/>
    <n v="0"/>
    <n v="0"/>
    <n v="0"/>
    <n v="0"/>
    <n v="0"/>
    <n v="0"/>
    <n v="0"/>
    <n v="0"/>
    <n v="0"/>
    <n v="0"/>
    <n v="0"/>
    <n v="0"/>
  </r>
  <r>
    <x v="0"/>
    <m/>
    <m/>
    <m/>
    <m/>
    <m/>
    <m/>
    <m/>
    <m/>
    <m/>
    <m/>
    <m/>
    <x v="0"/>
    <s v="FDC"/>
    <m/>
    <m/>
    <x v="1"/>
    <x v="0"/>
    <m/>
    <m/>
    <m/>
    <s v="Oracle HACMP - Tibco, RMAN"/>
    <s v="Oracle Standalone"/>
    <s v="DB"/>
    <s v="ESB"/>
    <s v="DB-ESB"/>
    <m/>
    <x v="0"/>
    <m/>
    <m/>
    <m/>
    <s v="a"/>
    <m/>
    <m/>
    <x v="28"/>
    <n v="1"/>
    <m/>
    <m/>
    <x v="1"/>
    <s v="IBM P-Series Tier 2"/>
    <s v="pSeries"/>
    <m/>
    <x v="1"/>
    <m/>
    <m/>
    <m/>
    <m/>
    <m/>
    <m/>
    <m/>
    <m/>
    <m/>
    <m/>
    <m/>
    <m/>
    <m/>
    <m/>
    <m/>
    <m/>
    <m/>
    <m/>
    <m/>
    <n v="0"/>
    <m/>
    <n v="0"/>
    <m/>
    <n v="0"/>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0"/>
    <n v="0"/>
    <n v="0"/>
    <n v="0"/>
    <n v="0"/>
    <n v="0"/>
    <n v="0"/>
    <n v="0"/>
    <n v="0"/>
    <n v="0"/>
    <n v="0"/>
    <n v="0"/>
    <n v="0"/>
    <n v="0"/>
    <n v="0"/>
    <n v="0"/>
    <n v="0"/>
    <n v="0"/>
    <n v="0"/>
    <n v="0"/>
  </r>
  <r>
    <x v="0"/>
    <m/>
    <m/>
    <m/>
    <m/>
    <m/>
    <m/>
    <m/>
    <m/>
    <m/>
    <m/>
    <m/>
    <x v="0"/>
    <s v="FDC"/>
    <m/>
    <m/>
    <x v="2"/>
    <x v="0"/>
    <m/>
    <m/>
    <m/>
    <s v="Oracle RAC - ESB"/>
    <s v="Oracle RAC pSeries"/>
    <s v="DB"/>
    <s v="ESB"/>
    <s v="DB-ESB"/>
    <m/>
    <x v="0"/>
    <m/>
    <m/>
    <m/>
    <s v="a"/>
    <m/>
    <m/>
    <x v="29"/>
    <n v="1"/>
    <m/>
    <m/>
    <x v="1"/>
    <s v="IBM P-Series Tier 2"/>
    <s v="pSeries"/>
    <m/>
    <x v="1"/>
    <n v="2"/>
    <m/>
    <n v="2"/>
    <m/>
    <n v="128"/>
    <m/>
    <m/>
    <m/>
    <m/>
    <m/>
    <m/>
    <m/>
    <m/>
    <m/>
    <m/>
    <m/>
    <m/>
    <m/>
    <m/>
    <n v="0"/>
    <n v="1300"/>
    <n v="1314.3000000000002"/>
    <m/>
    <n v="1314.3000000000002"/>
    <n v="1000"/>
    <m/>
    <s v="No"/>
    <n v="0"/>
    <m/>
    <n v="0"/>
    <m/>
    <m/>
    <n v="578.57500000000005"/>
    <n v="86.78625000000001"/>
    <m/>
    <m/>
    <m/>
    <m/>
    <m/>
    <m/>
    <m/>
    <m/>
    <m/>
    <m/>
    <m/>
    <m/>
    <n v="0"/>
    <n v="0"/>
    <n v="0"/>
    <n v="0"/>
    <n v="0"/>
    <n v="0"/>
    <n v="0"/>
    <n v="0"/>
    <n v="0"/>
    <n v="0"/>
    <n v="0"/>
    <n v="0"/>
    <n v="0"/>
    <n v="0"/>
    <n v="0"/>
    <n v="0"/>
    <n v="0"/>
    <n v="0"/>
    <n v="0"/>
    <n v="0"/>
    <n v="0"/>
    <n v="0"/>
    <n v="0"/>
    <n v="0"/>
    <n v="0"/>
    <n v="0"/>
    <n v="0"/>
    <n v="0"/>
    <n v="0"/>
    <n v="0"/>
    <n v="0"/>
    <n v="0"/>
    <n v="0"/>
    <n v="0"/>
    <n v="0"/>
    <n v="2"/>
    <n v="0"/>
    <n v="0"/>
    <n v="0"/>
    <n v="0"/>
    <n v="0"/>
    <n v="0"/>
    <n v="0"/>
    <n v="0"/>
    <n v="0"/>
    <n v="0"/>
    <n v="0"/>
    <n v="0"/>
    <n v="0"/>
    <n v="0"/>
    <n v="0"/>
    <n v="0"/>
    <m/>
    <n v="359.30500000000001"/>
    <n v="62.913333333333334"/>
    <n v="2522"/>
    <n v="1602.4350000000002"/>
    <n v="232.87643750000001"/>
    <n v="4357.3114375000005"/>
    <n v="4716.6164375000008"/>
    <n v="4420.2247708333334"/>
    <n v="2522"/>
    <n v="2"/>
    <n v="2"/>
    <n v="128"/>
    <n v="0"/>
    <n v="0"/>
    <n v="0"/>
    <n v="0"/>
    <n v="1658"/>
    <n v="0"/>
    <n v="0"/>
    <n v="864"/>
    <n v="0"/>
    <n v="0"/>
    <n v="0"/>
  </r>
  <r>
    <x v="0"/>
    <m/>
    <m/>
    <m/>
    <m/>
    <m/>
    <m/>
    <m/>
    <m/>
    <m/>
    <m/>
    <m/>
    <x v="0"/>
    <s v="FDC"/>
    <m/>
    <m/>
    <x v="2"/>
    <x v="0"/>
    <m/>
    <m/>
    <m/>
    <s v="Oracle RAC - ESB"/>
    <s v="Oracle RAC pSeries"/>
    <s v="DB"/>
    <s v="ESB"/>
    <s v="DB-ESB"/>
    <m/>
    <x v="0"/>
    <m/>
    <m/>
    <m/>
    <s v="a"/>
    <m/>
    <m/>
    <x v="30"/>
    <n v="1"/>
    <m/>
    <m/>
    <x v="1"/>
    <s v="IBM P-Series Tier 2"/>
    <s v="pSeries"/>
    <m/>
    <x v="1"/>
    <n v="2"/>
    <m/>
    <n v="2"/>
    <m/>
    <n v="128"/>
    <m/>
    <m/>
    <m/>
    <m/>
    <m/>
    <m/>
    <m/>
    <m/>
    <m/>
    <m/>
    <m/>
    <m/>
    <m/>
    <m/>
    <n v="0"/>
    <n v="300"/>
    <n v="303.3"/>
    <m/>
    <n v="303.3"/>
    <m/>
    <m/>
    <s v="No"/>
    <n v="0"/>
    <m/>
    <n v="0"/>
    <m/>
    <m/>
    <n v="75.825000000000003"/>
    <n v="11.373749999999999"/>
    <m/>
    <m/>
    <m/>
    <m/>
    <m/>
    <m/>
    <m/>
    <m/>
    <m/>
    <m/>
    <m/>
    <m/>
    <n v="0"/>
    <n v="0"/>
    <n v="0"/>
    <n v="0"/>
    <n v="0"/>
    <n v="0"/>
    <n v="0"/>
    <n v="0"/>
    <n v="0"/>
    <n v="0"/>
    <n v="0"/>
    <n v="0"/>
    <n v="0"/>
    <n v="0"/>
    <n v="0"/>
    <n v="0"/>
    <n v="0"/>
    <n v="0"/>
    <n v="0"/>
    <n v="0"/>
    <n v="0"/>
    <n v="0"/>
    <n v="0"/>
    <n v="0"/>
    <n v="0"/>
    <n v="0"/>
    <n v="0"/>
    <n v="0"/>
    <n v="0"/>
    <n v="0"/>
    <n v="0"/>
    <n v="0"/>
    <n v="0"/>
    <n v="0"/>
    <n v="0"/>
    <n v="2"/>
    <n v="0"/>
    <n v="0"/>
    <n v="0"/>
    <n v="0"/>
    <n v="0"/>
    <n v="0"/>
    <n v="0"/>
    <n v="0"/>
    <n v="0"/>
    <n v="0"/>
    <n v="0"/>
    <n v="0"/>
    <n v="0"/>
    <n v="0"/>
    <n v="0"/>
    <n v="0"/>
    <m/>
    <n v="359.30500000000001"/>
    <n v="62.913333333333334"/>
    <n v="2522"/>
    <n v="136.48500000000001"/>
    <n v="30.519562499999999"/>
    <n v="2689.0045625000002"/>
    <n v="3048.3095625000001"/>
    <n v="2751.9178958333337"/>
    <n v="2522"/>
    <n v="2"/>
    <n v="2"/>
    <n v="128"/>
    <n v="0"/>
    <n v="0"/>
    <n v="0"/>
    <n v="0"/>
    <n v="1658"/>
    <n v="0"/>
    <n v="0"/>
    <n v="864"/>
    <n v="0"/>
    <n v="0"/>
    <n v="0"/>
  </r>
  <r>
    <x v="0"/>
    <m/>
    <m/>
    <m/>
    <m/>
    <m/>
    <m/>
    <m/>
    <m/>
    <m/>
    <m/>
    <m/>
    <x v="0"/>
    <s v="FDC"/>
    <m/>
    <m/>
    <x v="2"/>
    <x v="0"/>
    <m/>
    <m/>
    <m/>
    <s v="ESB-PAT-BW"/>
    <s v="TIBCO BW, CA APM"/>
    <s v="AP"/>
    <s v="ESB"/>
    <s v="AP-ESB"/>
    <m/>
    <x v="0"/>
    <m/>
    <m/>
    <m/>
    <s v="a"/>
    <m/>
    <m/>
    <x v="31"/>
    <n v="1"/>
    <m/>
    <m/>
    <x v="0"/>
    <s v="x86 Tier 3"/>
    <s v="x86"/>
    <m/>
    <x v="0"/>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2"/>
    <n v="1"/>
    <m/>
    <m/>
    <x v="0"/>
    <s v="x86 Tier 3"/>
    <s v="x86"/>
    <m/>
    <x v="0"/>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3"/>
    <n v="1"/>
    <m/>
    <m/>
    <x v="0"/>
    <s v="x86 Tier 3"/>
    <s v="x86"/>
    <m/>
    <x v="0"/>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4"/>
    <n v="1"/>
    <m/>
    <m/>
    <x v="0"/>
    <s v="x86 Tier 3"/>
    <s v="x86"/>
    <m/>
    <x v="0"/>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5"/>
    <n v="1"/>
    <m/>
    <m/>
    <x v="0"/>
    <s v="x86 Tier 3"/>
    <s v="x86"/>
    <m/>
    <x v="0"/>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2"/>
    <x v="0"/>
    <m/>
    <m/>
    <m/>
    <s v="ESB-PAT-BW"/>
    <s v="TIBCO BW, CA APM"/>
    <s v="AP"/>
    <s v="ESB"/>
    <s v="AP-ESB"/>
    <m/>
    <x v="0"/>
    <m/>
    <m/>
    <m/>
    <s v="a"/>
    <m/>
    <m/>
    <x v="36"/>
    <n v="1"/>
    <m/>
    <m/>
    <x v="0"/>
    <s v="x86 Tier 3"/>
    <s v="x86"/>
    <m/>
    <x v="0"/>
    <m/>
    <m/>
    <m/>
    <s v=""/>
    <m/>
    <m/>
    <m/>
    <m/>
    <m/>
    <m/>
    <m/>
    <m/>
    <m/>
    <m/>
    <m/>
    <m/>
    <m/>
    <m/>
    <m/>
    <n v="0"/>
    <m/>
    <n v="0"/>
    <m/>
    <n v="0"/>
    <m/>
    <m/>
    <m/>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3"/>
    <x v="1"/>
    <m/>
    <m/>
    <m/>
    <s v="MQ"/>
    <s v="IBM WMQ x86, CA APM"/>
    <s v="AP"/>
    <s v="ESB"/>
    <s v="AP-ESB"/>
    <m/>
    <x v="0"/>
    <m/>
    <m/>
    <m/>
    <s v="a"/>
    <m/>
    <m/>
    <x v="37"/>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0"/>
    <n v="0"/>
    <n v="0"/>
    <n v="0"/>
    <n v="0"/>
    <n v="0"/>
    <n v="0"/>
    <n v="0"/>
    <n v="0"/>
    <n v="0"/>
    <n v="0"/>
    <n v="0"/>
    <n v="0"/>
    <n v="0"/>
    <n v="0"/>
    <n v="0"/>
    <n v="0"/>
    <n v="0"/>
    <n v="0"/>
    <n v="0"/>
  </r>
  <r>
    <x v="0"/>
    <m/>
    <m/>
    <m/>
    <m/>
    <m/>
    <m/>
    <m/>
    <m/>
    <m/>
    <m/>
    <m/>
    <x v="0"/>
    <s v="FDC"/>
    <m/>
    <m/>
    <x v="3"/>
    <x v="1"/>
    <m/>
    <m/>
    <m/>
    <s v="MQ"/>
    <s v="IBM WMQ x86, CA APM"/>
    <s v="AP"/>
    <s v="ESB"/>
    <s v="AP-ESB"/>
    <m/>
    <x v="0"/>
    <m/>
    <m/>
    <m/>
    <s v="a"/>
    <m/>
    <m/>
    <x v="38"/>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3"/>
    <x v="1"/>
    <m/>
    <m/>
    <m/>
    <s v="MQ"/>
    <s v="IBM WMQ x86, CA APM"/>
    <s v="AP"/>
    <s v="ESB"/>
    <s v="AP-ESB"/>
    <m/>
    <x v="0"/>
    <m/>
    <m/>
    <m/>
    <s v="a"/>
    <m/>
    <m/>
    <x v="39"/>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3"/>
    <x v="1"/>
    <m/>
    <m/>
    <m/>
    <s v="MQ"/>
    <s v="IBM WMQ x86, CA APM"/>
    <s v="AP"/>
    <s v="ESB"/>
    <s v="AP-ESB"/>
    <m/>
    <x v="0"/>
    <m/>
    <m/>
    <m/>
    <s v="a"/>
    <m/>
    <m/>
    <x v="40"/>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3"/>
    <x v="1"/>
    <m/>
    <m/>
    <m/>
    <s v="ESB [V5,V6], CMR, SNF - EMS"/>
    <s v="Veritas Cluster/CFS, TIBCO EMS, CA APM"/>
    <s v="AP"/>
    <s v="ESB"/>
    <s v="AP-ESB"/>
    <m/>
    <x v="0"/>
    <m/>
    <m/>
    <m/>
    <s v="a"/>
    <m/>
    <m/>
    <x v="41"/>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3"/>
    <x v="1"/>
    <m/>
    <m/>
    <m/>
    <s v="ESB [V5,V6], CMR, SNF - EMS"/>
    <s v="Veritas Cluster/CFS, TIBCO EMS, CA APM"/>
    <s v="AP"/>
    <s v="ESB"/>
    <s v="AP-ESB"/>
    <m/>
    <x v="0"/>
    <m/>
    <m/>
    <m/>
    <s v="a"/>
    <m/>
    <m/>
    <x v="42"/>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3"/>
    <x v="1"/>
    <m/>
    <m/>
    <m/>
    <s v="ESB [V5,V6], CMR, SNF - EMS"/>
    <s v="Veritas Cluster/CFS, TIBCO EMS, CA APM"/>
    <s v="AP"/>
    <s v="ESB"/>
    <s v="AP-ESB"/>
    <m/>
    <x v="0"/>
    <m/>
    <m/>
    <m/>
    <s v="a"/>
    <m/>
    <m/>
    <x v="43"/>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FDC"/>
    <m/>
    <m/>
    <x v="3"/>
    <x v="1"/>
    <m/>
    <m/>
    <m/>
    <s v="ESB [V5,V6], CMR, SNF - EMS"/>
    <s v="Veritas Cluster/CFS, TIBCO EMS, CA APM"/>
    <s v="AP"/>
    <s v="ESB"/>
    <s v="AP-ESB"/>
    <m/>
    <x v="0"/>
    <m/>
    <m/>
    <m/>
    <s v="a"/>
    <m/>
    <m/>
    <x v="44"/>
    <n v="1"/>
    <m/>
    <m/>
    <x v="0"/>
    <s v="x86 Tier 3"/>
    <s v="x86"/>
    <m/>
    <x v="0"/>
    <m/>
    <m/>
    <m/>
    <s v=""/>
    <m/>
    <m/>
    <m/>
    <m/>
    <m/>
    <m/>
    <m/>
    <m/>
    <m/>
    <m/>
    <m/>
    <m/>
    <m/>
    <m/>
    <m/>
    <n v="0"/>
    <m/>
    <n v="0"/>
    <m/>
    <n v="0"/>
    <m/>
    <m/>
    <s v="Yes"/>
    <n v="0"/>
    <m/>
    <n v="0"/>
    <m/>
    <m/>
    <n v="0"/>
    <n v="0"/>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ESB-Digital - EMS"/>
    <s v="Veritas Cluster/CFS, TIBCO EMS, CA APM"/>
    <s v="AP"/>
    <s v="ESB"/>
    <s v="AP-ESB"/>
    <m/>
    <x v="1"/>
    <m/>
    <m/>
    <m/>
    <m/>
    <m/>
    <m/>
    <x v="45"/>
    <n v="1"/>
    <m/>
    <m/>
    <x v="0"/>
    <s v="x86 Tier 3"/>
    <s v="x86"/>
    <m/>
    <x v="0"/>
    <n v="2"/>
    <m/>
    <m/>
    <s v=""/>
    <n v="256"/>
    <m/>
    <m/>
    <m/>
    <m/>
    <m/>
    <m/>
    <m/>
    <m/>
    <m/>
    <m/>
    <m/>
    <m/>
    <m/>
    <m/>
    <m/>
    <m/>
    <n v="0"/>
    <m/>
    <n v="0"/>
    <m/>
    <m/>
    <s v="Yes"/>
    <n v="0"/>
    <m/>
    <n v="0"/>
    <m/>
    <m/>
    <n v="0"/>
    <n v="0"/>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0"/>
    <n v="0"/>
    <n v="2"/>
    <m/>
    <n v="6359.75"/>
    <n v="899.755"/>
    <n v="1003.9"/>
    <n v="0"/>
    <n v="0"/>
    <n v="1003.9"/>
    <n v="7363.65"/>
    <n v="1903.655"/>
    <n v="1003.9"/>
    <n v="2"/>
    <n v="0"/>
    <n v="256"/>
    <n v="0"/>
    <n v="0"/>
    <n v="0"/>
    <n v="0"/>
    <n v="608"/>
    <n v="0"/>
    <n v="0"/>
    <n v="208.8"/>
    <n v="0"/>
    <n v="187.1"/>
    <n v="0"/>
  </r>
  <r>
    <x v="0"/>
    <m/>
    <m/>
    <m/>
    <m/>
    <m/>
    <m/>
    <m/>
    <m/>
    <m/>
    <m/>
    <m/>
    <x v="0"/>
    <s v="RDC"/>
    <m/>
    <m/>
    <x v="3"/>
    <x v="1"/>
    <m/>
    <m/>
    <m/>
    <s v="ESB-Digital - EMS"/>
    <s v="Veritas Cluster/CFS, TIBCO EMS, CA APM"/>
    <s v="AP"/>
    <s v="ESB"/>
    <s v="AP-ESB"/>
    <m/>
    <x v="1"/>
    <m/>
    <m/>
    <m/>
    <m/>
    <m/>
    <m/>
    <x v="46"/>
    <n v="1"/>
    <m/>
    <m/>
    <x v="0"/>
    <s v="x86 Tier 3"/>
    <s v="x86"/>
    <m/>
    <x v="0"/>
    <n v="2"/>
    <m/>
    <m/>
    <s v=""/>
    <n v="256"/>
    <m/>
    <m/>
    <m/>
    <m/>
    <m/>
    <m/>
    <m/>
    <m/>
    <m/>
    <m/>
    <m/>
    <m/>
    <m/>
    <m/>
    <m/>
    <m/>
    <n v="0"/>
    <m/>
    <n v="0"/>
    <m/>
    <m/>
    <s v="Yes"/>
    <n v="0"/>
    <m/>
    <n v="0"/>
    <m/>
    <m/>
    <n v="0"/>
    <n v="0"/>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0"/>
    <n v="0"/>
    <n v="2"/>
    <m/>
    <m/>
    <m/>
    <n v="1003.9"/>
    <n v="0"/>
    <n v="0"/>
    <n v="1003.9"/>
    <n v="1003.9"/>
    <n v="1003.9"/>
    <n v="1003.9"/>
    <n v="2"/>
    <n v="0"/>
    <n v="256"/>
    <n v="0"/>
    <n v="0"/>
    <n v="0"/>
    <n v="0"/>
    <n v="608"/>
    <n v="0"/>
    <n v="0"/>
    <n v="208.8"/>
    <n v="0"/>
    <n v="187.1"/>
    <n v="0"/>
  </r>
  <r>
    <x v="0"/>
    <m/>
    <m/>
    <m/>
    <m/>
    <m/>
    <m/>
    <m/>
    <m/>
    <m/>
    <m/>
    <m/>
    <x v="0"/>
    <s v="RDC"/>
    <m/>
    <m/>
    <x v="3"/>
    <x v="1"/>
    <m/>
    <m/>
    <m/>
    <s v="ESB-Digital - EMS"/>
    <s v="Veritas Cluster/CFS, TIBCO EMS, CA APM"/>
    <s v="AP"/>
    <s v="ESB"/>
    <s v="AP-ESB"/>
    <m/>
    <x v="1"/>
    <m/>
    <m/>
    <m/>
    <m/>
    <m/>
    <m/>
    <x v="47"/>
    <n v="1"/>
    <m/>
    <m/>
    <x v="0"/>
    <s v="x86 Tier 3"/>
    <s v="x86"/>
    <m/>
    <x v="0"/>
    <n v="2"/>
    <m/>
    <m/>
    <s v=""/>
    <n v="256"/>
    <m/>
    <m/>
    <m/>
    <m/>
    <m/>
    <m/>
    <m/>
    <m/>
    <m/>
    <m/>
    <m/>
    <m/>
    <m/>
    <m/>
    <m/>
    <m/>
    <n v="0"/>
    <m/>
    <n v="0"/>
    <m/>
    <m/>
    <s v="Yes"/>
    <n v="0"/>
    <m/>
    <n v="0"/>
    <m/>
    <m/>
    <n v="0"/>
    <n v="0"/>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0"/>
    <n v="0"/>
    <n v="2"/>
    <m/>
    <m/>
    <m/>
    <n v="1003.9"/>
    <n v="0"/>
    <n v="0"/>
    <n v="1003.9"/>
    <n v="1003.9"/>
    <n v="1003.9"/>
    <n v="1003.9"/>
    <n v="2"/>
    <n v="0"/>
    <n v="256"/>
    <n v="0"/>
    <n v="0"/>
    <n v="0"/>
    <n v="0"/>
    <n v="608"/>
    <n v="0"/>
    <n v="0"/>
    <n v="208.8"/>
    <n v="0"/>
    <n v="187.1"/>
    <n v="0"/>
  </r>
  <r>
    <x v="0"/>
    <m/>
    <m/>
    <m/>
    <m/>
    <m/>
    <m/>
    <m/>
    <m/>
    <m/>
    <m/>
    <m/>
    <x v="0"/>
    <s v="RDC"/>
    <m/>
    <m/>
    <x v="3"/>
    <x v="1"/>
    <m/>
    <m/>
    <m/>
    <s v="ESB-Digital - EMS"/>
    <s v="Veritas Cluster/CFS, TIBCO EMS, CA APM"/>
    <s v="AP"/>
    <s v="ESB"/>
    <s v="AP-ESB"/>
    <m/>
    <x v="1"/>
    <m/>
    <m/>
    <m/>
    <m/>
    <m/>
    <m/>
    <x v="48"/>
    <n v="1"/>
    <m/>
    <m/>
    <x v="0"/>
    <s v="x86 Tier 3"/>
    <s v="x86"/>
    <m/>
    <x v="0"/>
    <n v="2"/>
    <m/>
    <m/>
    <s v=""/>
    <n v="256"/>
    <m/>
    <m/>
    <m/>
    <m/>
    <m/>
    <m/>
    <m/>
    <m/>
    <m/>
    <m/>
    <m/>
    <m/>
    <m/>
    <m/>
    <m/>
    <m/>
    <n v="0"/>
    <m/>
    <n v="0"/>
    <m/>
    <m/>
    <s v="Yes"/>
    <n v="0"/>
    <m/>
    <n v="0"/>
    <m/>
    <m/>
    <n v="0"/>
    <n v="0"/>
    <m/>
    <m/>
    <m/>
    <m/>
    <m/>
    <m/>
    <m/>
    <m/>
    <m/>
    <m/>
    <s v="Existing Server to be reused - if no techstack change "/>
    <m/>
    <n v="0"/>
    <n v="1"/>
    <n v="0"/>
    <n v="0"/>
    <n v="0"/>
    <n v="0"/>
    <n v="0"/>
    <n v="0"/>
    <n v="0"/>
    <n v="0"/>
    <n v="0"/>
    <n v="0"/>
    <n v="0"/>
    <n v="0"/>
    <n v="0"/>
    <n v="0"/>
    <n v="0"/>
    <n v="0"/>
    <n v="0"/>
    <n v="0"/>
    <n v="0"/>
    <n v="0"/>
    <n v="0"/>
    <n v="0"/>
    <n v="0"/>
    <n v="0"/>
    <n v="0"/>
    <n v="0"/>
    <n v="0"/>
    <n v="0"/>
    <n v="0"/>
    <n v="0"/>
    <n v="0"/>
    <n v="0"/>
    <n v="0"/>
    <n v="0"/>
    <n v="0"/>
    <n v="0"/>
    <n v="0"/>
    <n v="0"/>
    <n v="0"/>
    <n v="0"/>
    <n v="0"/>
    <n v="0"/>
    <n v="0"/>
    <n v="0"/>
    <n v="0"/>
    <n v="0"/>
    <n v="0"/>
    <n v="0"/>
    <n v="0"/>
    <n v="2"/>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49"/>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0"/>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1"/>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2"/>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3"/>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4"/>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5"/>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6"/>
    <n v="1"/>
    <m/>
    <m/>
    <x v="0"/>
    <s v="x86 Tier 3"/>
    <s v="x86"/>
    <m/>
    <x v="0"/>
    <n v="2"/>
    <m/>
    <m/>
    <s v=""/>
    <n v="256"/>
    <m/>
    <m/>
    <m/>
    <m/>
    <m/>
    <m/>
    <m/>
    <m/>
    <m/>
    <m/>
    <m/>
    <m/>
    <m/>
    <m/>
    <m/>
    <m/>
    <n v="0"/>
    <m/>
    <n v="0"/>
    <m/>
    <m/>
    <s v="Yes"/>
    <n v="0"/>
    <m/>
    <n v="0"/>
    <m/>
    <m/>
    <n v="0"/>
    <n v="0"/>
    <m/>
    <m/>
    <m/>
    <m/>
    <m/>
    <m/>
    <m/>
    <m/>
    <m/>
    <m/>
    <s v="Existing BAU server to be released after cutover -Hump"/>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7"/>
    <n v="1"/>
    <m/>
    <m/>
    <x v="0"/>
    <s v="x86 Tier 3"/>
    <s v="x86"/>
    <m/>
    <x v="0"/>
    <n v="2"/>
    <m/>
    <m/>
    <s v=""/>
    <n v="256"/>
    <m/>
    <m/>
    <m/>
    <m/>
    <m/>
    <m/>
    <m/>
    <m/>
    <m/>
    <m/>
    <m/>
    <m/>
    <m/>
    <m/>
    <m/>
    <m/>
    <n v="0"/>
    <m/>
    <n v="0"/>
    <m/>
    <m/>
    <s v="Yes"/>
    <n v="0"/>
    <m/>
    <n v="0"/>
    <m/>
    <m/>
    <n v="0"/>
    <n v="0"/>
    <m/>
    <m/>
    <m/>
    <m/>
    <m/>
    <m/>
    <m/>
    <m/>
    <m/>
    <m/>
    <m/>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8"/>
    <n v="1"/>
    <m/>
    <m/>
    <x v="0"/>
    <s v="x86 Tier 3"/>
    <s v="x86"/>
    <m/>
    <x v="0"/>
    <n v="2"/>
    <m/>
    <m/>
    <s v=""/>
    <n v="256"/>
    <m/>
    <m/>
    <m/>
    <m/>
    <m/>
    <m/>
    <m/>
    <m/>
    <m/>
    <m/>
    <m/>
    <m/>
    <m/>
    <m/>
    <m/>
    <m/>
    <n v="0"/>
    <m/>
    <n v="0"/>
    <m/>
    <m/>
    <s v="Yes"/>
    <n v="0"/>
    <m/>
    <n v="0"/>
    <m/>
    <m/>
    <n v="0"/>
    <n v="0"/>
    <m/>
    <m/>
    <m/>
    <m/>
    <m/>
    <m/>
    <m/>
    <m/>
    <m/>
    <m/>
    <m/>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59"/>
    <n v="1"/>
    <m/>
    <m/>
    <x v="0"/>
    <s v="x86 Tier 3"/>
    <s v="x86"/>
    <m/>
    <x v="0"/>
    <n v="2"/>
    <m/>
    <m/>
    <s v=""/>
    <n v="256"/>
    <m/>
    <m/>
    <m/>
    <m/>
    <m/>
    <m/>
    <m/>
    <m/>
    <m/>
    <m/>
    <m/>
    <m/>
    <m/>
    <m/>
    <m/>
    <m/>
    <n v="0"/>
    <m/>
    <n v="0"/>
    <m/>
    <m/>
    <s v="Yes"/>
    <n v="0"/>
    <m/>
    <n v="0"/>
    <m/>
    <m/>
    <n v="0"/>
    <n v="0"/>
    <m/>
    <m/>
    <m/>
    <m/>
    <m/>
    <m/>
    <m/>
    <m/>
    <m/>
    <m/>
    <m/>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ESB-Digital -BW"/>
    <s v="TIBCO BW, CA APM"/>
    <s v="AP"/>
    <s v="ESB"/>
    <s v="AP-ESB"/>
    <m/>
    <x v="1"/>
    <m/>
    <m/>
    <m/>
    <m/>
    <m/>
    <m/>
    <x v="60"/>
    <n v="1"/>
    <m/>
    <m/>
    <x v="0"/>
    <s v="x86 Tier 3"/>
    <s v="x86"/>
    <m/>
    <x v="0"/>
    <n v="2"/>
    <m/>
    <m/>
    <s v=""/>
    <n v="256"/>
    <m/>
    <m/>
    <m/>
    <m/>
    <m/>
    <m/>
    <m/>
    <m/>
    <m/>
    <m/>
    <m/>
    <m/>
    <m/>
    <m/>
    <m/>
    <m/>
    <n v="0"/>
    <m/>
    <n v="0"/>
    <m/>
    <m/>
    <s v="Yes"/>
    <n v="0"/>
    <m/>
    <n v="0"/>
    <m/>
    <m/>
    <n v="0"/>
    <n v="0"/>
    <m/>
    <m/>
    <m/>
    <m/>
    <m/>
    <m/>
    <m/>
    <m/>
    <m/>
    <m/>
    <m/>
    <m/>
    <n v="0"/>
    <n v="1"/>
    <n v="0"/>
    <n v="0"/>
    <n v="0"/>
    <n v="0"/>
    <n v="0"/>
    <n v="0"/>
    <n v="0"/>
    <n v="0"/>
    <n v="0"/>
    <n v="0"/>
    <n v="0"/>
    <n v="0"/>
    <n v="0"/>
    <n v="0"/>
    <n v="0"/>
    <n v="0"/>
    <n v="0"/>
    <n v="0"/>
    <n v="0"/>
    <n v="0"/>
    <n v="0"/>
    <n v="0"/>
    <n v="0"/>
    <n v="0"/>
    <n v="0"/>
    <n v="0"/>
    <n v="0"/>
    <n v="0"/>
    <n v="0"/>
    <n v="0"/>
    <n v="0"/>
    <n v="0"/>
    <n v="0"/>
    <n v="0"/>
    <n v="0"/>
    <n v="0"/>
    <n v="0"/>
    <n v="0"/>
    <n v="0"/>
    <n v="0"/>
    <n v="0"/>
    <n v="0"/>
    <n v="0"/>
    <n v="0"/>
    <n v="0"/>
    <n v="0"/>
    <n v="0"/>
    <n v="0"/>
    <n v="0"/>
    <n v="0"/>
    <m/>
    <m/>
    <m/>
    <n v="1003.9"/>
    <n v="0"/>
    <n v="0"/>
    <n v="1003.9"/>
    <n v="1003.9"/>
    <n v="1003.9"/>
    <n v="1003.9"/>
    <n v="2"/>
    <n v="0"/>
    <n v="256"/>
    <n v="0"/>
    <n v="0"/>
    <n v="0"/>
    <n v="0"/>
    <n v="608"/>
    <n v="0"/>
    <n v="0"/>
    <n v="208.8"/>
    <n v="0"/>
    <n v="187.1"/>
    <n v="0"/>
  </r>
  <r>
    <x v="0"/>
    <m/>
    <m/>
    <m/>
    <m/>
    <m/>
    <m/>
    <m/>
    <m/>
    <m/>
    <m/>
    <m/>
    <x v="0"/>
    <s v="RDC"/>
    <m/>
    <m/>
    <x v="3"/>
    <x v="1"/>
    <m/>
    <m/>
    <m/>
    <s v="Oracle RAC - ESB"/>
    <s v="Oracle RAC pSeries"/>
    <s v="DB"/>
    <s v="ESB"/>
    <s v="DB-ESB"/>
    <m/>
    <x v="0"/>
    <m/>
    <m/>
    <m/>
    <m/>
    <m/>
    <m/>
    <x v="61"/>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Oracle RAC - ESB"/>
    <s v="Oracle RAC pSeries"/>
    <s v="DB"/>
    <s v="ESB"/>
    <s v="DB-ESB"/>
    <m/>
    <x v="0"/>
    <m/>
    <m/>
    <m/>
    <m/>
    <m/>
    <m/>
    <x v="62"/>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Dataguard- Oracle RAC-ESB"/>
    <s v="Oracle RAC pSeries"/>
    <s v="DB"/>
    <s v="ESB"/>
    <s v="DB-ESB"/>
    <m/>
    <x v="0"/>
    <m/>
    <m/>
    <m/>
    <m/>
    <m/>
    <m/>
    <x v="63"/>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Oracle HACMP  - Tibco, RMAN"/>
    <s v="Oracle Standalone"/>
    <s v="DB"/>
    <s v="ESB"/>
    <s v="DB-ESB"/>
    <m/>
    <x v="0"/>
    <m/>
    <m/>
    <m/>
    <m/>
    <m/>
    <m/>
    <x v="64"/>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3"/>
    <x v="1"/>
    <m/>
    <m/>
    <m/>
    <s v="Oracle HACMP - Tibco, RMAN"/>
    <s v="Oracle Standalone"/>
    <s v="DB"/>
    <s v="ESB"/>
    <s v="DB-ESB"/>
    <m/>
    <x v="0"/>
    <m/>
    <m/>
    <m/>
    <m/>
    <m/>
    <m/>
    <x v="65"/>
    <n v="1"/>
    <m/>
    <m/>
    <x v="1"/>
    <s v="IBM P-Series Tier 2"/>
    <s v="pSeries"/>
    <m/>
    <x v="1"/>
    <m/>
    <m/>
    <m/>
    <m/>
    <m/>
    <m/>
    <m/>
    <m/>
    <m/>
    <m/>
    <m/>
    <m/>
    <m/>
    <m/>
    <m/>
    <m/>
    <m/>
    <m/>
    <m/>
    <m/>
    <m/>
    <m/>
    <m/>
    <m/>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4"/>
    <x v="2"/>
    <m/>
    <m/>
    <m/>
    <s v="MQ"/>
    <s v="IBM WMQ x86, CA APM"/>
    <s v="AP"/>
    <s v="ESB"/>
    <s v="AP-ESB"/>
    <m/>
    <x v="0"/>
    <m/>
    <m/>
    <m/>
    <s v="a"/>
    <m/>
    <m/>
    <x v="66"/>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RDC"/>
    <m/>
    <m/>
    <x v="4"/>
    <x v="2"/>
    <m/>
    <m/>
    <m/>
    <s v="MQ"/>
    <s v="IBM WMQ x86, CA APM"/>
    <s v="AP"/>
    <s v="ESB"/>
    <s v="AP-ESB"/>
    <m/>
    <x v="0"/>
    <m/>
    <m/>
    <m/>
    <s v="a"/>
    <m/>
    <m/>
    <x v="67"/>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RDC"/>
    <m/>
    <m/>
    <x v="4"/>
    <x v="2"/>
    <m/>
    <m/>
    <m/>
    <s v="MQ"/>
    <s v="IBM WMQ x86, CA APM"/>
    <s v="AP"/>
    <s v="ESB"/>
    <s v="AP-ESB"/>
    <m/>
    <x v="0"/>
    <m/>
    <m/>
    <m/>
    <s v="a"/>
    <m/>
    <m/>
    <x v="68"/>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RDC"/>
    <m/>
    <m/>
    <x v="4"/>
    <x v="2"/>
    <m/>
    <m/>
    <m/>
    <s v="MQ"/>
    <s v="IBM WMQ x86, CA APM"/>
    <s v="AP"/>
    <s v="ESB"/>
    <s v="AP-ESB"/>
    <m/>
    <x v="0"/>
    <m/>
    <m/>
    <m/>
    <s v="a"/>
    <m/>
    <m/>
    <x v="69"/>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72.118000000000009"/>
    <n v="6.7821249999999997"/>
    <n v="78.900125000000003"/>
    <n v="78.900125000000003"/>
    <n v="78.900125000000003"/>
    <n v="0"/>
    <n v="0"/>
    <n v="0"/>
    <n v="0"/>
    <n v="0"/>
    <n v="0"/>
    <n v="0"/>
    <n v="0"/>
    <n v="0"/>
    <n v="0"/>
    <n v="0"/>
    <n v="0"/>
    <n v="0"/>
    <n v="0"/>
    <n v="0"/>
  </r>
  <r>
    <x v="0"/>
    <m/>
    <m/>
    <m/>
    <m/>
    <m/>
    <m/>
    <m/>
    <m/>
    <m/>
    <m/>
    <m/>
    <x v="0"/>
    <s v="RDC"/>
    <m/>
    <m/>
    <x v="4"/>
    <x v="2"/>
    <m/>
    <m/>
    <m/>
    <s v="ESB [V5,V6], CMR, SNF - EMS"/>
    <s v="Veritas Cluster/CFS, TIBCO EMS, CA APM"/>
    <s v="AP"/>
    <s v="ESB"/>
    <s v="AP-ESB"/>
    <m/>
    <x v="0"/>
    <m/>
    <m/>
    <m/>
    <s v="a"/>
    <m/>
    <m/>
    <x v="70"/>
    <n v="1"/>
    <m/>
    <m/>
    <x v="0"/>
    <s v="x86 Tier 3"/>
    <s v="x86"/>
    <m/>
    <x v="0"/>
    <m/>
    <m/>
    <m/>
    <s v=""/>
    <m/>
    <m/>
    <m/>
    <m/>
    <m/>
    <m/>
    <m/>
    <m/>
    <m/>
    <m/>
    <m/>
    <m/>
    <m/>
    <m/>
    <m/>
    <n v="0"/>
    <n v="60"/>
    <n v="67.400000000000006"/>
    <m/>
    <n v="67.400000000000006"/>
    <n v="60"/>
    <m/>
    <s v="Yes"/>
    <n v="0"/>
    <m/>
    <n v="0"/>
    <m/>
    <m/>
    <n v="31.85"/>
    <n v="4.7774999999999999"/>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181.30600000000001"/>
    <n v="12.819624999999998"/>
    <n v="194.12562500000001"/>
    <n v="194.12562500000001"/>
    <n v="194.12562500000001"/>
    <n v="0"/>
    <n v="0"/>
    <n v="0"/>
    <n v="0"/>
    <n v="0"/>
    <n v="0"/>
    <n v="0"/>
    <n v="0"/>
    <n v="0"/>
    <n v="0"/>
    <n v="0"/>
    <n v="0"/>
    <n v="0"/>
    <n v="0"/>
    <n v="0"/>
  </r>
  <r>
    <x v="0"/>
    <m/>
    <m/>
    <m/>
    <m/>
    <m/>
    <m/>
    <m/>
    <m/>
    <m/>
    <m/>
    <m/>
    <x v="0"/>
    <s v="RDC"/>
    <m/>
    <m/>
    <x v="4"/>
    <x v="2"/>
    <m/>
    <m/>
    <m/>
    <s v="ESB [V5,V6], CMR, SNF - EMS"/>
    <s v="Veritas Cluster/CFS, TIBCO EMS, CA APM"/>
    <s v="AP"/>
    <s v="ESB"/>
    <s v="AP-ESB"/>
    <m/>
    <x v="0"/>
    <m/>
    <m/>
    <m/>
    <s v="a"/>
    <m/>
    <m/>
    <x v="71"/>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RDC"/>
    <m/>
    <m/>
    <x v="4"/>
    <x v="2"/>
    <m/>
    <m/>
    <m/>
    <s v="ESB [V5,V6], CMR, SNF - EMS"/>
    <s v="Veritas Cluster/CFS, TIBCO EMS, CA APM"/>
    <s v="AP"/>
    <s v="ESB"/>
    <s v="AP-ESB"/>
    <m/>
    <x v="0"/>
    <m/>
    <m/>
    <m/>
    <s v="a"/>
    <m/>
    <m/>
    <x v="72"/>
    <n v="1"/>
    <m/>
    <m/>
    <x v="0"/>
    <s v="x86 Tier 3"/>
    <s v="x86"/>
    <m/>
    <x v="0"/>
    <m/>
    <m/>
    <m/>
    <s v=""/>
    <m/>
    <m/>
    <m/>
    <m/>
    <m/>
    <m/>
    <m/>
    <m/>
    <m/>
    <m/>
    <m/>
    <m/>
    <m/>
    <m/>
    <m/>
    <n v="0"/>
    <n v="60"/>
    <n v="67.400000000000006"/>
    <m/>
    <n v="67.400000000000006"/>
    <n v="60"/>
    <m/>
    <s v="Yes"/>
    <n v="0"/>
    <m/>
    <n v="0"/>
    <m/>
    <m/>
    <n v="31.85"/>
    <n v="4.7774999999999999"/>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181.30600000000001"/>
    <n v="12.819624999999998"/>
    <n v="194.12562500000001"/>
    <n v="194.12562500000001"/>
    <n v="194.12562500000001"/>
    <n v="0"/>
    <n v="0"/>
    <n v="0"/>
    <n v="0"/>
    <n v="0"/>
    <n v="0"/>
    <n v="0"/>
    <n v="0"/>
    <n v="0"/>
    <n v="0"/>
    <n v="0"/>
    <n v="0"/>
    <n v="0"/>
    <n v="0"/>
    <n v="0"/>
  </r>
  <r>
    <x v="0"/>
    <m/>
    <m/>
    <m/>
    <m/>
    <m/>
    <m/>
    <m/>
    <m/>
    <m/>
    <m/>
    <m/>
    <x v="0"/>
    <s v="RDC"/>
    <m/>
    <m/>
    <x v="4"/>
    <x v="2"/>
    <m/>
    <m/>
    <m/>
    <s v="ESB [V5,V6], CMR, SNF - EMS"/>
    <s v="Veritas Cluster/CFS, TIBCO EMS, CA APM"/>
    <s v="AP"/>
    <s v="ESB"/>
    <s v="AP-ESB"/>
    <m/>
    <x v="0"/>
    <m/>
    <m/>
    <m/>
    <s v="a"/>
    <m/>
    <m/>
    <x v="73"/>
    <n v="1"/>
    <m/>
    <m/>
    <x v="0"/>
    <s v="x86 Tier 3"/>
    <s v="x86"/>
    <m/>
    <x v="0"/>
    <m/>
    <m/>
    <m/>
    <s v=""/>
    <m/>
    <m/>
    <m/>
    <m/>
    <m/>
    <m/>
    <m/>
    <m/>
    <m/>
    <m/>
    <m/>
    <m/>
    <m/>
    <m/>
    <m/>
    <n v="0"/>
    <n v="60"/>
    <n v="67.400000000000006"/>
    <m/>
    <n v="67.400000000000006"/>
    <m/>
    <m/>
    <s v="Yes"/>
    <n v="0"/>
    <m/>
    <n v="0"/>
    <m/>
    <m/>
    <n v="16.850000000000001"/>
    <n v="2.5275000000000003"/>
    <m/>
    <m/>
    <m/>
    <m/>
    <m/>
    <m/>
    <m/>
    <m/>
    <m/>
    <m/>
    <s v="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0"/>
    <n v="0"/>
    <n v="0"/>
    <m/>
    <m/>
    <m/>
    <n v="0"/>
    <n v="72.118000000000009"/>
    <n v="6.7821249999999997"/>
    <n v="78.900125000000003"/>
    <n v="78.900125000000003"/>
    <n v="78.900125000000003"/>
    <n v="0"/>
    <n v="0"/>
    <n v="0"/>
    <n v="0"/>
    <n v="0"/>
    <n v="0"/>
    <n v="0"/>
    <n v="0"/>
    <n v="0"/>
    <n v="0"/>
    <n v="0"/>
    <n v="0"/>
    <n v="0"/>
    <n v="0"/>
    <n v="0"/>
  </r>
  <r>
    <x v="0"/>
    <m/>
    <m/>
    <m/>
    <m/>
    <m/>
    <m/>
    <m/>
    <m/>
    <m/>
    <m/>
    <m/>
    <x v="0"/>
    <s v="RDC"/>
    <m/>
    <m/>
    <x v="4"/>
    <x v="2"/>
    <m/>
    <m/>
    <m/>
    <s v="ESB-Digital - EMS"/>
    <s v="Veritas Cluster/CFS, TIBCO EMS, CA APM"/>
    <s v="AP"/>
    <s v="ESB"/>
    <s v="AP-ESB"/>
    <m/>
    <x v="1"/>
    <m/>
    <m/>
    <m/>
    <m/>
    <m/>
    <m/>
    <x v="74"/>
    <n v="1"/>
    <m/>
    <m/>
    <x v="0"/>
    <s v="x86 Tier 3"/>
    <s v="x86"/>
    <m/>
    <x v="0"/>
    <m/>
    <m/>
    <n v="16"/>
    <s v=""/>
    <m/>
    <m/>
    <m/>
    <m/>
    <m/>
    <m/>
    <m/>
    <m/>
    <m/>
    <m/>
    <m/>
    <m/>
    <m/>
    <m/>
    <m/>
    <n v="0"/>
    <n v="270"/>
    <n v="303.3"/>
    <m/>
    <n v="303.3"/>
    <n v="120"/>
    <m/>
    <s v="No"/>
    <n v="0"/>
    <m/>
    <n v="0"/>
    <m/>
    <m/>
    <n v="105.825"/>
    <n v="15.873749999999999"/>
    <m/>
    <m/>
    <m/>
    <m/>
    <m/>
    <m/>
    <m/>
    <m/>
    <m/>
    <m/>
    <s v="Existing Server 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16"/>
    <n v="0"/>
    <n v="0"/>
    <m/>
    <n v="3000"/>
    <n v="420"/>
    <n v="187.1"/>
    <n v="271.28500000000003"/>
    <n v="42.594562500000002"/>
    <n v="500.97956249999999"/>
    <n v="3500.9795625000002"/>
    <n v="920.97956249999993"/>
    <n v="187.1"/>
    <n v="0"/>
    <n v="16"/>
    <n v="0"/>
    <n v="0"/>
    <n v="0"/>
    <n v="0"/>
    <n v="0"/>
    <n v="0"/>
    <n v="0"/>
    <n v="0"/>
    <n v="0"/>
    <n v="0"/>
    <n v="187.1"/>
    <n v="0"/>
  </r>
  <r>
    <x v="0"/>
    <m/>
    <m/>
    <m/>
    <m/>
    <m/>
    <m/>
    <m/>
    <m/>
    <m/>
    <m/>
    <m/>
    <x v="0"/>
    <s v="RDC"/>
    <m/>
    <m/>
    <x v="4"/>
    <x v="2"/>
    <m/>
    <m/>
    <m/>
    <s v="ESB-Digital - EMS"/>
    <s v="Veritas Cluster/CFS, TIBCO EMS, CA APM"/>
    <s v="AP"/>
    <s v="ESB"/>
    <s v="AP-ESB"/>
    <m/>
    <x v="1"/>
    <m/>
    <m/>
    <m/>
    <m/>
    <m/>
    <m/>
    <x v="75"/>
    <n v="1"/>
    <m/>
    <m/>
    <x v="0"/>
    <s v="x86 Tier 3"/>
    <s v="x86"/>
    <m/>
    <x v="0"/>
    <m/>
    <m/>
    <n v="16"/>
    <s v=""/>
    <m/>
    <m/>
    <m/>
    <m/>
    <m/>
    <m/>
    <m/>
    <m/>
    <m/>
    <m/>
    <m/>
    <m/>
    <m/>
    <m/>
    <m/>
    <n v="0"/>
    <n v="150"/>
    <n v="168.5"/>
    <m/>
    <n v="168.5"/>
    <m/>
    <m/>
    <s v="No"/>
    <n v="0"/>
    <m/>
    <n v="0"/>
    <m/>
    <m/>
    <n v="42.125"/>
    <n v="6.3187499999999996"/>
    <m/>
    <m/>
    <m/>
    <m/>
    <m/>
    <m/>
    <m/>
    <m/>
    <m/>
    <m/>
    <s v="Existing Server 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16"/>
    <n v="0"/>
    <n v="0"/>
    <m/>
    <m/>
    <m/>
    <n v="187.1"/>
    <n v="75.825000000000003"/>
    <n v="16.955312499999998"/>
    <n v="279.8803125"/>
    <n v="279.8803125"/>
    <n v="279.8803125"/>
    <n v="187.1"/>
    <n v="0"/>
    <n v="16"/>
    <n v="0"/>
    <n v="0"/>
    <n v="0"/>
    <n v="0"/>
    <n v="0"/>
    <n v="0"/>
    <n v="0"/>
    <n v="0"/>
    <n v="0"/>
    <n v="0"/>
    <n v="187.1"/>
    <n v="0"/>
  </r>
  <r>
    <x v="0"/>
    <m/>
    <m/>
    <m/>
    <m/>
    <m/>
    <m/>
    <m/>
    <m/>
    <m/>
    <m/>
    <m/>
    <x v="0"/>
    <s v="RDC"/>
    <m/>
    <m/>
    <x v="4"/>
    <x v="2"/>
    <m/>
    <m/>
    <m/>
    <s v="ESB-Digital - EMS"/>
    <s v="Veritas Cluster/CFS, TIBCO EMS, CA APM"/>
    <s v="AP"/>
    <s v="ESB"/>
    <s v="AP-ESB"/>
    <m/>
    <x v="1"/>
    <m/>
    <m/>
    <m/>
    <m/>
    <m/>
    <m/>
    <x v="76"/>
    <n v="1"/>
    <m/>
    <m/>
    <x v="0"/>
    <s v="x86 Tier 3"/>
    <s v="x86"/>
    <m/>
    <x v="0"/>
    <m/>
    <m/>
    <n v="16"/>
    <s v=""/>
    <m/>
    <m/>
    <m/>
    <m/>
    <m/>
    <m/>
    <m/>
    <m/>
    <m/>
    <m/>
    <m/>
    <m/>
    <m/>
    <m/>
    <m/>
    <n v="0"/>
    <n v="270"/>
    <n v="303.3"/>
    <m/>
    <n v="303.3"/>
    <n v="120"/>
    <m/>
    <s v="No"/>
    <n v="0"/>
    <m/>
    <n v="0"/>
    <m/>
    <m/>
    <n v="105.825"/>
    <n v="15.873749999999999"/>
    <m/>
    <m/>
    <m/>
    <m/>
    <m/>
    <m/>
    <m/>
    <m/>
    <m/>
    <m/>
    <s v="Existing Server 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16"/>
    <n v="0"/>
    <n v="0"/>
    <m/>
    <m/>
    <m/>
    <n v="187.1"/>
    <n v="271.28500000000003"/>
    <n v="42.594562500000002"/>
    <n v="500.97956249999999"/>
    <n v="500.97956249999999"/>
    <n v="500.97956249999999"/>
    <n v="187.1"/>
    <n v="0"/>
    <n v="16"/>
    <n v="0"/>
    <n v="0"/>
    <n v="0"/>
    <n v="0"/>
    <n v="0"/>
    <n v="0"/>
    <n v="0"/>
    <n v="0"/>
    <n v="0"/>
    <n v="0"/>
    <n v="187.1"/>
    <n v="0"/>
  </r>
  <r>
    <x v="0"/>
    <m/>
    <m/>
    <m/>
    <m/>
    <m/>
    <m/>
    <m/>
    <m/>
    <m/>
    <m/>
    <m/>
    <x v="0"/>
    <s v="RDC"/>
    <m/>
    <m/>
    <x v="4"/>
    <x v="2"/>
    <m/>
    <m/>
    <m/>
    <s v="ESB-Digital - EMS"/>
    <s v="Veritas Cluster/CFS, TIBCO EMS, CA APM"/>
    <s v="AP"/>
    <s v="ESB"/>
    <s v="AP-ESB"/>
    <m/>
    <x v="1"/>
    <m/>
    <m/>
    <m/>
    <m/>
    <m/>
    <m/>
    <x v="77"/>
    <n v="1"/>
    <m/>
    <m/>
    <x v="0"/>
    <s v="x86 Tier 3"/>
    <s v="x86"/>
    <m/>
    <x v="0"/>
    <m/>
    <m/>
    <n v="16"/>
    <s v=""/>
    <m/>
    <m/>
    <m/>
    <m/>
    <m/>
    <m/>
    <m/>
    <m/>
    <m/>
    <m/>
    <m/>
    <m/>
    <m/>
    <m/>
    <m/>
    <n v="0"/>
    <n v="150"/>
    <n v="168.5"/>
    <m/>
    <n v="168.5"/>
    <m/>
    <m/>
    <s v="No"/>
    <n v="0"/>
    <m/>
    <n v="0"/>
    <m/>
    <m/>
    <n v="42.125"/>
    <n v="6.3187499999999996"/>
    <m/>
    <m/>
    <m/>
    <m/>
    <m/>
    <m/>
    <m/>
    <m/>
    <m/>
    <m/>
    <s v="Existing Server to be reused - if no techstack change "/>
    <m/>
    <n v="0"/>
    <n v="0"/>
    <n v="0"/>
    <n v="0"/>
    <n v="0"/>
    <n v="0"/>
    <n v="0"/>
    <n v="0"/>
    <n v="0"/>
    <n v="0"/>
    <n v="0"/>
    <n v="0"/>
    <n v="0"/>
    <n v="0"/>
    <n v="0"/>
    <n v="0"/>
    <n v="0"/>
    <n v="0"/>
    <n v="0"/>
    <n v="0"/>
    <n v="0"/>
    <n v="0"/>
    <n v="0"/>
    <n v="0"/>
    <n v="0"/>
    <n v="0"/>
    <n v="0"/>
    <n v="0"/>
    <n v="0"/>
    <n v="0"/>
    <n v="0"/>
    <n v="0"/>
    <n v="0"/>
    <n v="0"/>
    <n v="0"/>
    <n v="0"/>
    <n v="0"/>
    <n v="0"/>
    <n v="0"/>
    <n v="0"/>
    <n v="0"/>
    <n v="0"/>
    <n v="0"/>
    <n v="0"/>
    <n v="0"/>
    <n v="0"/>
    <n v="0"/>
    <n v="0"/>
    <n v="0"/>
    <n v="16"/>
    <n v="0"/>
    <n v="0"/>
    <m/>
    <m/>
    <m/>
    <n v="187.1"/>
    <n v="75.825000000000003"/>
    <n v="16.955312499999998"/>
    <n v="279.8803125"/>
    <n v="279.8803125"/>
    <n v="279.8803125"/>
    <n v="187.1"/>
    <n v="0"/>
    <n v="16"/>
    <n v="0"/>
    <n v="0"/>
    <n v="0"/>
    <n v="0"/>
    <n v="0"/>
    <n v="0"/>
    <n v="0"/>
    <n v="0"/>
    <n v="0"/>
    <n v="0"/>
    <n v="187.1"/>
    <n v="0"/>
  </r>
  <r>
    <x v="0"/>
    <m/>
    <m/>
    <m/>
    <m/>
    <m/>
    <m/>
    <m/>
    <m/>
    <m/>
    <m/>
    <m/>
    <x v="0"/>
    <s v="RDC"/>
    <m/>
    <m/>
    <x v="4"/>
    <x v="2"/>
    <m/>
    <m/>
    <m/>
    <s v="ESB-Digital -BW"/>
    <s v="TIBCO BW, CA APM"/>
    <s v="AP"/>
    <s v="ESB"/>
    <s v="AP-ESB"/>
    <m/>
    <x v="1"/>
    <m/>
    <m/>
    <m/>
    <m/>
    <m/>
    <m/>
    <x v="78"/>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187.1"/>
    <n v="75.825000000000003"/>
    <n v="16.955312499999998"/>
    <n v="279.8803125"/>
    <n v="279.8803125"/>
    <n v="279.8803125"/>
    <n v="187.1"/>
    <n v="0"/>
    <n v="16"/>
    <n v="0"/>
    <n v="0"/>
    <n v="0"/>
    <n v="0"/>
    <n v="0"/>
    <n v="0"/>
    <n v="0"/>
    <n v="0"/>
    <n v="0"/>
    <n v="0"/>
    <n v="187.1"/>
    <n v="0"/>
  </r>
  <r>
    <x v="0"/>
    <m/>
    <m/>
    <m/>
    <m/>
    <m/>
    <m/>
    <m/>
    <m/>
    <m/>
    <m/>
    <m/>
    <x v="0"/>
    <s v="RDC"/>
    <m/>
    <m/>
    <x v="4"/>
    <x v="2"/>
    <m/>
    <m/>
    <m/>
    <s v="ESB-Digital -BW"/>
    <s v="TIBCO BW, CA APM"/>
    <s v="AP"/>
    <s v="ESB"/>
    <s v="AP-ESB"/>
    <m/>
    <x v="1"/>
    <m/>
    <m/>
    <m/>
    <m/>
    <m/>
    <m/>
    <x v="79"/>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m/>
    <m/>
    <n v="187.1"/>
    <n v="75.825000000000003"/>
    <n v="16.955312499999998"/>
    <n v="279.8803125"/>
    <n v="279.8803125"/>
    <n v="279.8803125"/>
    <n v="187.1"/>
    <n v="0"/>
    <n v="16"/>
    <n v="0"/>
    <n v="0"/>
    <n v="0"/>
    <n v="0"/>
    <n v="0"/>
    <n v="0"/>
    <n v="0"/>
    <n v="0"/>
    <n v="0"/>
    <n v="0"/>
    <n v="187.1"/>
    <n v="0"/>
  </r>
  <r>
    <x v="0"/>
    <m/>
    <m/>
    <m/>
    <m/>
    <m/>
    <m/>
    <m/>
    <m/>
    <m/>
    <m/>
    <m/>
    <x v="0"/>
    <s v="RDC"/>
    <m/>
    <m/>
    <x v="4"/>
    <x v="2"/>
    <m/>
    <m/>
    <m/>
    <s v="ESB-Digital -BW"/>
    <s v="TIBCO BW, CA APM"/>
    <s v="AP"/>
    <s v="ESB"/>
    <s v="AP-ESB"/>
    <m/>
    <x v="1"/>
    <m/>
    <m/>
    <m/>
    <m/>
    <m/>
    <m/>
    <x v="80"/>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m/>
    <m/>
    <n v="187.1"/>
    <n v="75.825000000000003"/>
    <n v="16.955312499999998"/>
    <n v="279.8803125"/>
    <n v="279.8803125"/>
    <n v="279.8803125"/>
    <n v="187.1"/>
    <n v="0"/>
    <n v="16"/>
    <n v="0"/>
    <n v="0"/>
    <n v="0"/>
    <n v="0"/>
    <n v="0"/>
    <n v="0"/>
    <n v="0"/>
    <n v="0"/>
    <n v="0"/>
    <n v="0"/>
    <n v="187.1"/>
    <n v="0"/>
  </r>
  <r>
    <x v="0"/>
    <m/>
    <m/>
    <m/>
    <m/>
    <m/>
    <m/>
    <m/>
    <m/>
    <m/>
    <m/>
    <m/>
    <x v="0"/>
    <s v="RDC"/>
    <m/>
    <m/>
    <x v="4"/>
    <x v="2"/>
    <m/>
    <m/>
    <m/>
    <s v="ESB-Digital -BW"/>
    <s v="TIBCO BW, CA APM"/>
    <s v="AP"/>
    <s v="ESB"/>
    <s v="AP-ESB"/>
    <m/>
    <x v="1"/>
    <m/>
    <m/>
    <m/>
    <m/>
    <m/>
    <m/>
    <x v="81"/>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m/>
    <m/>
    <n v="187.1"/>
    <n v="75.825000000000003"/>
    <n v="16.955312499999998"/>
    <n v="279.8803125"/>
    <n v="279.8803125"/>
    <n v="279.8803125"/>
    <n v="187.1"/>
    <n v="0"/>
    <n v="16"/>
    <n v="0"/>
    <n v="0"/>
    <n v="0"/>
    <n v="0"/>
    <n v="0"/>
    <n v="0"/>
    <n v="0"/>
    <n v="0"/>
    <n v="0"/>
    <n v="0"/>
    <n v="187.1"/>
    <n v="0"/>
  </r>
  <r>
    <x v="0"/>
    <m/>
    <m/>
    <m/>
    <m/>
    <m/>
    <m/>
    <m/>
    <m/>
    <m/>
    <m/>
    <m/>
    <x v="0"/>
    <s v="RDC"/>
    <m/>
    <m/>
    <x v="4"/>
    <x v="2"/>
    <m/>
    <m/>
    <m/>
    <s v="ESB-Digital -BW"/>
    <s v="TIBCO BW, CA APM"/>
    <s v="AP"/>
    <s v="ESB"/>
    <s v="AP-ESB"/>
    <m/>
    <x v="1"/>
    <m/>
    <m/>
    <m/>
    <m/>
    <m/>
    <m/>
    <x v="82"/>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187.1"/>
    <n v="75.825000000000003"/>
    <n v="16.955312499999998"/>
    <n v="279.8803125"/>
    <n v="279.8803125"/>
    <n v="279.8803125"/>
    <n v="187.1"/>
    <n v="0"/>
    <n v="16"/>
    <n v="0"/>
    <n v="0"/>
    <n v="0"/>
    <n v="0"/>
    <n v="0"/>
    <n v="0"/>
    <n v="0"/>
    <n v="0"/>
    <n v="0"/>
    <n v="0"/>
    <n v="187.1"/>
    <n v="0"/>
  </r>
  <r>
    <x v="0"/>
    <m/>
    <m/>
    <m/>
    <m/>
    <m/>
    <m/>
    <m/>
    <m/>
    <m/>
    <m/>
    <m/>
    <x v="0"/>
    <s v="RDC"/>
    <m/>
    <m/>
    <x v="4"/>
    <x v="2"/>
    <m/>
    <m/>
    <m/>
    <s v="ESB-Digital -BW"/>
    <s v="TIBCO BW, CA APM"/>
    <s v="AP"/>
    <s v="ESB"/>
    <s v="AP-ESB"/>
    <m/>
    <x v="1"/>
    <m/>
    <m/>
    <m/>
    <m/>
    <m/>
    <m/>
    <x v="83"/>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187.1"/>
    <n v="75.825000000000003"/>
    <n v="16.955312499999998"/>
    <n v="279.8803125"/>
    <n v="279.8803125"/>
    <n v="279.8803125"/>
    <n v="187.1"/>
    <n v="0"/>
    <n v="16"/>
    <n v="0"/>
    <n v="0"/>
    <n v="0"/>
    <n v="0"/>
    <n v="0"/>
    <n v="0"/>
    <n v="0"/>
    <n v="0"/>
    <n v="0"/>
    <n v="0"/>
    <n v="187.1"/>
    <n v="0"/>
  </r>
  <r>
    <x v="0"/>
    <m/>
    <m/>
    <m/>
    <m/>
    <m/>
    <m/>
    <m/>
    <m/>
    <m/>
    <m/>
    <m/>
    <x v="0"/>
    <s v="RDC"/>
    <m/>
    <m/>
    <x v="4"/>
    <x v="2"/>
    <m/>
    <m/>
    <m/>
    <s v="ESB-Digital -BW"/>
    <s v="TIBCO BW, CA APM"/>
    <s v="AP"/>
    <s v="ESB"/>
    <s v="AP-ESB"/>
    <m/>
    <x v="1"/>
    <m/>
    <m/>
    <m/>
    <m/>
    <m/>
    <m/>
    <x v="84"/>
    <n v="1"/>
    <m/>
    <m/>
    <x v="0"/>
    <s v="x86 Tier 3"/>
    <s v="x86"/>
    <m/>
    <x v="0"/>
    <m/>
    <m/>
    <n v="16"/>
    <s v=""/>
    <m/>
    <m/>
    <m/>
    <m/>
    <m/>
    <m/>
    <m/>
    <m/>
    <m/>
    <m/>
    <m/>
    <m/>
    <m/>
    <m/>
    <m/>
    <n v="0"/>
    <n v="150"/>
    <n v="168.5"/>
    <m/>
    <n v="168.5"/>
    <n v="100"/>
    <m/>
    <s v="No"/>
    <n v="0"/>
    <m/>
    <n v="0"/>
    <m/>
    <m/>
    <n v="67.125"/>
    <n v="10.06875"/>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187.1"/>
    <n v="176.92500000000001"/>
    <n v="27.017812499999998"/>
    <n v="391.04281249999997"/>
    <n v="391.04281249999997"/>
    <n v="391.04281249999997"/>
    <n v="187.1"/>
    <n v="0"/>
    <n v="16"/>
    <n v="0"/>
    <n v="0"/>
    <n v="0"/>
    <n v="0"/>
    <n v="0"/>
    <n v="0"/>
    <n v="0"/>
    <n v="0"/>
    <n v="0"/>
    <n v="0"/>
    <n v="187.1"/>
    <n v="0"/>
  </r>
  <r>
    <x v="0"/>
    <m/>
    <m/>
    <m/>
    <m/>
    <m/>
    <m/>
    <m/>
    <m/>
    <m/>
    <m/>
    <m/>
    <x v="0"/>
    <s v="RDC"/>
    <m/>
    <m/>
    <x v="4"/>
    <x v="2"/>
    <m/>
    <m/>
    <m/>
    <s v="ESB-Digital -BW"/>
    <s v="TIBCO BW, CA APM"/>
    <s v="AP"/>
    <s v="ESB"/>
    <s v="AP-ESB"/>
    <m/>
    <x v="1"/>
    <m/>
    <m/>
    <m/>
    <m/>
    <m/>
    <m/>
    <x v="85"/>
    <n v="1"/>
    <m/>
    <m/>
    <x v="0"/>
    <s v="x86 Tier 3"/>
    <s v="x86"/>
    <m/>
    <x v="0"/>
    <m/>
    <m/>
    <n v="16"/>
    <s v=""/>
    <m/>
    <m/>
    <m/>
    <m/>
    <m/>
    <m/>
    <m/>
    <m/>
    <m/>
    <m/>
    <m/>
    <m/>
    <m/>
    <m/>
    <m/>
    <n v="0"/>
    <n v="150"/>
    <n v="168.5"/>
    <m/>
    <n v="168.5"/>
    <m/>
    <m/>
    <s v="No"/>
    <n v="0"/>
    <m/>
    <n v="0"/>
    <m/>
    <m/>
    <n v="42.125"/>
    <n v="6.3187499999999996"/>
    <m/>
    <m/>
    <m/>
    <m/>
    <m/>
    <m/>
    <m/>
    <m/>
    <m/>
    <m/>
    <s v="Existing BAU server to be released after cutover -Hump"/>
    <m/>
    <n v="0"/>
    <n v="0"/>
    <n v="0"/>
    <n v="0"/>
    <n v="0"/>
    <n v="0"/>
    <n v="0"/>
    <n v="0"/>
    <n v="0"/>
    <n v="0"/>
    <n v="0"/>
    <n v="0"/>
    <n v="0"/>
    <n v="0"/>
    <n v="0"/>
    <n v="0"/>
    <n v="0"/>
    <n v="0"/>
    <n v="0"/>
    <n v="0"/>
    <n v="0"/>
    <n v="0"/>
    <n v="0"/>
    <n v="0"/>
    <n v="0"/>
    <n v="0"/>
    <n v="0"/>
    <n v="0"/>
    <n v="0"/>
    <n v="0"/>
    <n v="0"/>
    <n v="0"/>
    <n v="0"/>
    <n v="0"/>
    <n v="0"/>
    <n v="0"/>
    <n v="0"/>
    <n v="0"/>
    <n v="0"/>
    <n v="0"/>
    <n v="0"/>
    <n v="0"/>
    <n v="0"/>
    <n v="0"/>
    <n v="0"/>
    <n v="0"/>
    <n v="0"/>
    <n v="0"/>
    <n v="16"/>
    <n v="0"/>
    <n v="0"/>
    <n v="0"/>
    <m/>
    <n v="0"/>
    <n v="0"/>
    <n v="187.1"/>
    <n v="75.825000000000003"/>
    <n v="16.955312499999998"/>
    <n v="279.8803125"/>
    <n v="279.8803125"/>
    <n v="279.8803125"/>
    <n v="187.1"/>
    <n v="0"/>
    <n v="16"/>
    <n v="0"/>
    <n v="0"/>
    <n v="0"/>
    <n v="0"/>
    <n v="0"/>
    <n v="0"/>
    <n v="0"/>
    <n v="0"/>
    <n v="0"/>
    <n v="0"/>
    <n v="187.1"/>
    <n v="0"/>
  </r>
  <r>
    <x v="0"/>
    <m/>
    <m/>
    <m/>
    <m/>
    <m/>
    <m/>
    <m/>
    <m/>
    <m/>
    <m/>
    <m/>
    <x v="0"/>
    <s v="RDC"/>
    <m/>
    <m/>
    <x v="4"/>
    <x v="2"/>
    <m/>
    <m/>
    <m/>
    <s v="ESB-Digital -BW"/>
    <s v="TIBCO BW, CA APM"/>
    <s v="AP"/>
    <s v="ESB"/>
    <s v="AP-ESB"/>
    <m/>
    <x v="2"/>
    <m/>
    <m/>
    <m/>
    <m/>
    <m/>
    <m/>
    <x v="86"/>
    <n v="1"/>
    <m/>
    <m/>
    <x v="0"/>
    <s v="x86 Tier 3"/>
    <s v="x86"/>
    <m/>
    <x v="0"/>
    <m/>
    <m/>
    <n v="16"/>
    <s v=""/>
    <m/>
    <m/>
    <m/>
    <m/>
    <m/>
    <m/>
    <m/>
    <m/>
    <m/>
    <m/>
    <m/>
    <m/>
    <m/>
    <m/>
    <m/>
    <n v="0"/>
    <n v="150"/>
    <n v="168.5"/>
    <m/>
    <n v="168.5"/>
    <m/>
    <m/>
    <s v="No"/>
    <n v="0"/>
    <m/>
    <n v="0"/>
    <m/>
    <m/>
    <n v="42.125"/>
    <n v="6.3187499999999996"/>
    <m/>
    <m/>
    <m/>
    <m/>
    <m/>
    <m/>
    <m/>
    <m/>
    <m/>
    <m/>
    <m/>
    <m/>
    <n v="0"/>
    <n v="0"/>
    <n v="0"/>
    <n v="0"/>
    <n v="0"/>
    <n v="0"/>
    <n v="0"/>
    <n v="0"/>
    <n v="0"/>
    <n v="0"/>
    <n v="0"/>
    <n v="0"/>
    <n v="0"/>
    <n v="0"/>
    <n v="0"/>
    <n v="0"/>
    <n v="0"/>
    <n v="0"/>
    <n v="0"/>
    <n v="0"/>
    <n v="0"/>
    <n v="0"/>
    <n v="0"/>
    <n v="0"/>
    <n v="0"/>
    <n v="0"/>
    <n v="0"/>
    <n v="0"/>
    <n v="0"/>
    <n v="0"/>
    <n v="0"/>
    <n v="0"/>
    <n v="0"/>
    <n v="0"/>
    <n v="0"/>
    <n v="0"/>
    <n v="0"/>
    <n v="0"/>
    <n v="0"/>
    <n v="0"/>
    <n v="0"/>
    <n v="0"/>
    <n v="0"/>
    <n v="0"/>
    <n v="0"/>
    <n v="0"/>
    <n v="0"/>
    <n v="0"/>
    <n v="16"/>
    <n v="0"/>
    <n v="0"/>
    <n v="0"/>
    <m/>
    <n v="0"/>
    <n v="0"/>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7"/>
    <n v="1"/>
    <m/>
    <m/>
    <x v="0"/>
    <s v="x86 Tier 3"/>
    <s v="x86"/>
    <m/>
    <x v="0"/>
    <m/>
    <m/>
    <n v="16"/>
    <s v=""/>
    <m/>
    <m/>
    <m/>
    <m/>
    <m/>
    <m/>
    <m/>
    <m/>
    <m/>
    <m/>
    <m/>
    <m/>
    <m/>
    <m/>
    <m/>
    <n v="0"/>
    <n v="150"/>
    <n v="168.5"/>
    <m/>
    <n v="168.5"/>
    <m/>
    <m/>
    <s v="No"/>
    <n v="0"/>
    <m/>
    <n v="0"/>
    <m/>
    <m/>
    <n v="42.125"/>
    <n v="6.3187499999999996"/>
    <m/>
    <m/>
    <m/>
    <m/>
    <m/>
    <m/>
    <m/>
    <m/>
    <m/>
    <m/>
    <m/>
    <m/>
    <n v="0"/>
    <n v="0"/>
    <n v="0"/>
    <n v="0"/>
    <n v="0"/>
    <n v="0"/>
    <n v="0"/>
    <n v="0"/>
    <n v="0"/>
    <n v="0"/>
    <n v="0"/>
    <n v="0"/>
    <n v="0"/>
    <n v="0"/>
    <n v="0"/>
    <n v="0"/>
    <n v="0"/>
    <n v="0"/>
    <n v="0"/>
    <n v="0"/>
    <n v="0"/>
    <n v="0"/>
    <n v="0"/>
    <n v="0"/>
    <n v="0"/>
    <n v="0"/>
    <n v="0"/>
    <n v="0"/>
    <n v="0"/>
    <n v="0"/>
    <n v="0"/>
    <n v="0"/>
    <n v="0"/>
    <n v="0"/>
    <n v="0"/>
    <n v="0"/>
    <n v="0"/>
    <n v="0"/>
    <n v="0"/>
    <n v="0"/>
    <n v="0"/>
    <n v="0"/>
    <n v="0"/>
    <n v="0"/>
    <n v="0"/>
    <n v="0"/>
    <n v="0"/>
    <n v="0"/>
    <n v="16"/>
    <n v="0"/>
    <n v="0"/>
    <n v="0"/>
    <m/>
    <m/>
    <m/>
    <n v="0"/>
    <n v="75.825000000000003"/>
    <n v="16.955312499999998"/>
    <n v="92.780312500000008"/>
    <n v="92.780312500000008"/>
    <n v="92.780312500000008"/>
    <n v="0"/>
    <n v="0"/>
    <n v="0"/>
    <n v="0"/>
    <n v="0"/>
    <n v="0"/>
    <n v="0"/>
    <n v="0"/>
    <n v="0"/>
    <n v="0"/>
    <n v="0"/>
    <n v="0"/>
    <n v="0"/>
    <n v="0"/>
    <n v="0"/>
  </r>
  <r>
    <x v="0"/>
    <m/>
    <m/>
    <m/>
    <m/>
    <m/>
    <m/>
    <m/>
    <m/>
    <m/>
    <m/>
    <m/>
    <x v="0"/>
    <s v="RDC"/>
    <m/>
    <m/>
    <x v="4"/>
    <x v="2"/>
    <m/>
    <m/>
    <m/>
    <s v="ESB-Digital -BW"/>
    <s v="TIBCO BW, CA APM"/>
    <s v="AP"/>
    <s v="ESB"/>
    <s v="AP-ESB"/>
    <m/>
    <x v="2"/>
    <m/>
    <m/>
    <m/>
    <m/>
    <m/>
    <m/>
    <x v="88"/>
    <n v="1"/>
    <m/>
    <m/>
    <x v="1"/>
    <s v="IBM P-Series Tier 2"/>
    <s v="pSeries"/>
    <m/>
    <x v="0"/>
    <m/>
    <m/>
    <n v="16"/>
    <m/>
    <m/>
    <m/>
    <m/>
    <m/>
    <m/>
    <m/>
    <m/>
    <m/>
    <m/>
    <m/>
    <m/>
    <m/>
    <m/>
    <m/>
    <m/>
    <n v="0"/>
    <n v="150"/>
    <n v="168.5"/>
    <m/>
    <n v="168.5"/>
    <m/>
    <m/>
    <s v="No"/>
    <n v="0"/>
    <m/>
    <n v="0"/>
    <m/>
    <m/>
    <n v="42.125"/>
    <n v="6.3187499999999996"/>
    <m/>
    <m/>
    <m/>
    <m/>
    <m/>
    <m/>
    <m/>
    <m/>
    <m/>
    <m/>
    <m/>
    <m/>
    <n v="0"/>
    <n v="0"/>
    <n v="0"/>
    <n v="0"/>
    <n v="0"/>
    <n v="0"/>
    <n v="0"/>
    <n v="0"/>
    <n v="0"/>
    <n v="0"/>
    <n v="0"/>
    <n v="0"/>
    <n v="0"/>
    <n v="0"/>
    <n v="0"/>
    <n v="0"/>
    <n v="0"/>
    <n v="0"/>
    <n v="0"/>
    <n v="0"/>
    <n v="0"/>
    <n v="0"/>
    <n v="0"/>
    <n v="0"/>
    <n v="0"/>
    <n v="0"/>
    <n v="0"/>
    <n v="0"/>
    <n v="0"/>
    <n v="0"/>
    <n v="0"/>
    <n v="0"/>
    <n v="0"/>
    <n v="0"/>
    <n v="0"/>
    <n v="0"/>
    <n v="0"/>
    <n v="0"/>
    <n v="0"/>
    <n v="0"/>
    <n v="0"/>
    <n v="0"/>
    <n v="0"/>
    <n v="0"/>
    <n v="0"/>
    <n v="0"/>
    <n v="0"/>
    <n v="0"/>
    <n v="16"/>
    <n v="0"/>
    <n v="0"/>
    <n v="0"/>
    <m/>
    <n v="172.46639999999999"/>
    <n v="30.198399999999999"/>
    <n v="0"/>
    <n v="75.825000000000003"/>
    <n v="16.955312499999998"/>
    <n v="92.780312500000008"/>
    <n v="265.2467125"/>
    <n v="122.9787125"/>
    <n v="0"/>
    <n v="0"/>
    <n v="0"/>
    <n v="0"/>
    <n v="0"/>
    <n v="0"/>
    <n v="0"/>
    <n v="0"/>
    <n v="0"/>
    <n v="0"/>
    <n v="0"/>
    <n v="0"/>
    <n v="0"/>
    <n v="0"/>
    <n v="0"/>
  </r>
  <r>
    <x v="0"/>
    <m/>
    <m/>
    <m/>
    <m/>
    <m/>
    <m/>
    <m/>
    <m/>
    <m/>
    <m/>
    <m/>
    <x v="0"/>
    <s v="RDC"/>
    <m/>
    <m/>
    <x v="4"/>
    <x v="2"/>
    <m/>
    <m/>
    <m/>
    <s v="ESB-Digital -BW"/>
    <s v="TIBCO BW, CA APM"/>
    <s v="AP"/>
    <s v="ESB"/>
    <s v="AP-ESB"/>
    <m/>
    <x v="2"/>
    <m/>
    <m/>
    <m/>
    <m/>
    <m/>
    <m/>
    <x v="89"/>
    <n v="1"/>
    <m/>
    <m/>
    <x v="1"/>
    <s v="IBM P-Series Tier 2"/>
    <s v="pSeries"/>
    <m/>
    <x v="0"/>
    <m/>
    <m/>
    <n v="16"/>
    <m/>
    <m/>
    <m/>
    <m/>
    <m/>
    <m/>
    <m/>
    <m/>
    <m/>
    <m/>
    <m/>
    <m/>
    <m/>
    <m/>
    <m/>
    <m/>
    <n v="0"/>
    <n v="150"/>
    <n v="168.5"/>
    <m/>
    <n v="168.5"/>
    <m/>
    <m/>
    <s v="No"/>
    <n v="0"/>
    <m/>
    <n v="0"/>
    <m/>
    <m/>
    <n v="42.125"/>
    <n v="6.3187499999999996"/>
    <m/>
    <m/>
    <m/>
    <m/>
    <m/>
    <m/>
    <m/>
    <m/>
    <m/>
    <m/>
    <m/>
    <m/>
    <n v="0"/>
    <n v="0"/>
    <n v="0"/>
    <n v="0"/>
    <n v="0"/>
    <n v="0"/>
    <n v="0"/>
    <n v="0"/>
    <n v="0"/>
    <n v="0"/>
    <n v="0"/>
    <n v="0"/>
    <n v="0"/>
    <n v="0"/>
    <n v="0"/>
    <n v="0"/>
    <n v="0"/>
    <n v="0"/>
    <n v="0"/>
    <n v="0"/>
    <n v="0"/>
    <n v="0"/>
    <n v="0"/>
    <n v="0"/>
    <n v="0"/>
    <n v="0"/>
    <n v="0"/>
    <n v="0"/>
    <n v="0"/>
    <n v="0"/>
    <n v="0"/>
    <n v="0"/>
    <n v="0"/>
    <n v="0"/>
    <n v="0"/>
    <n v="0"/>
    <n v="0"/>
    <n v="0"/>
    <n v="0"/>
    <n v="0"/>
    <n v="0"/>
    <n v="0"/>
    <n v="0"/>
    <n v="0"/>
    <n v="0"/>
    <n v="0"/>
    <n v="0"/>
    <n v="0"/>
    <n v="16"/>
    <n v="0"/>
    <n v="0"/>
    <n v="0"/>
    <m/>
    <n v="172.46639999999999"/>
    <n v="30.198399999999999"/>
    <n v="0"/>
    <n v="75.825000000000003"/>
    <n v="16.955312499999998"/>
    <n v="92.780312500000008"/>
    <n v="265.2467125"/>
    <n v="122.9787125"/>
    <n v="0"/>
    <n v="0"/>
    <n v="0"/>
    <n v="0"/>
    <n v="0"/>
    <n v="0"/>
    <n v="0"/>
    <n v="0"/>
    <n v="0"/>
    <n v="0"/>
    <n v="0"/>
    <n v="0"/>
    <n v="0"/>
    <n v="0"/>
    <n v="0"/>
  </r>
  <r>
    <x v="0"/>
    <m/>
    <m/>
    <m/>
    <m/>
    <m/>
    <m/>
    <m/>
    <m/>
    <m/>
    <m/>
    <m/>
    <x v="0"/>
    <s v="RDC"/>
    <m/>
    <m/>
    <x v="4"/>
    <x v="2"/>
    <m/>
    <m/>
    <m/>
    <s v="Oracle RAC - ESB"/>
    <s v="Oracle RAC pSeries"/>
    <s v="DB"/>
    <s v="ESB"/>
    <s v="DB-ESB"/>
    <m/>
    <x v="0"/>
    <m/>
    <m/>
    <m/>
    <s v="a"/>
    <m/>
    <m/>
    <x v="90"/>
    <n v="1"/>
    <m/>
    <m/>
    <x v="1"/>
    <s v="IBM P-Series Tier 2"/>
    <s v="pSeries"/>
    <m/>
    <x v="1"/>
    <m/>
    <m/>
    <m/>
    <m/>
    <m/>
    <m/>
    <m/>
    <m/>
    <m/>
    <m/>
    <m/>
    <m/>
    <m/>
    <m/>
    <m/>
    <m/>
    <m/>
    <m/>
    <m/>
    <n v="0"/>
    <n v="100"/>
    <n v="101.10000000000001"/>
    <m/>
    <n v="101.10000000000001"/>
    <n v="100"/>
    <m/>
    <s v="Yes"/>
    <n v="0"/>
    <m/>
    <n v="0"/>
    <m/>
    <m/>
    <n v="50.275000000000006"/>
    <n v="7.5412500000000007"/>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271.95900000000006"/>
    <n v="20.235687500000001"/>
    <n v="292.19468750000004"/>
    <n v="292.19468750000004"/>
    <n v="292.19468750000004"/>
    <n v="0"/>
    <n v="0"/>
    <n v="0"/>
    <n v="0"/>
    <n v="0"/>
    <n v="0"/>
    <n v="0"/>
    <n v="0"/>
    <n v="0"/>
    <n v="0"/>
    <n v="0"/>
    <n v="0"/>
    <n v="0"/>
    <n v="0"/>
    <n v="0"/>
  </r>
  <r>
    <x v="0"/>
    <m/>
    <m/>
    <m/>
    <m/>
    <m/>
    <m/>
    <m/>
    <m/>
    <m/>
    <m/>
    <m/>
    <x v="0"/>
    <s v="RDC"/>
    <m/>
    <m/>
    <x v="4"/>
    <x v="2"/>
    <m/>
    <m/>
    <m/>
    <s v="Oracle RAC - ESB"/>
    <s v="Oracle RAC pSeries"/>
    <s v="DB"/>
    <s v="ESB"/>
    <s v="DB-ESB"/>
    <m/>
    <x v="0"/>
    <m/>
    <m/>
    <m/>
    <s v="a"/>
    <m/>
    <m/>
    <x v="91"/>
    <n v="1"/>
    <m/>
    <m/>
    <x v="1"/>
    <s v="IBM P-Series Tier 2"/>
    <s v="pSeries"/>
    <m/>
    <x v="1"/>
    <m/>
    <m/>
    <m/>
    <m/>
    <m/>
    <m/>
    <m/>
    <m/>
    <m/>
    <m/>
    <m/>
    <m/>
    <m/>
    <m/>
    <m/>
    <m/>
    <m/>
    <m/>
    <m/>
    <n v="0"/>
    <m/>
    <n v="0"/>
    <m/>
    <n v="0"/>
    <m/>
    <m/>
    <s v="Yes"/>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0"/>
    <n v="0"/>
    <n v="0"/>
    <n v="0"/>
    <n v="0"/>
    <n v="0"/>
    <n v="0"/>
    <n v="0"/>
    <n v="0"/>
    <n v="0"/>
    <n v="0"/>
    <n v="0"/>
    <n v="0"/>
    <n v="0"/>
    <n v="0"/>
    <n v="0"/>
    <n v="0"/>
    <n v="0"/>
    <n v="0"/>
    <n v="0"/>
    <n v="0"/>
  </r>
  <r>
    <x v="0"/>
    <m/>
    <m/>
    <m/>
    <m/>
    <m/>
    <m/>
    <m/>
    <m/>
    <m/>
    <m/>
    <m/>
    <x v="0"/>
    <s v="RDC"/>
    <m/>
    <m/>
    <x v="4"/>
    <x v="2"/>
    <m/>
    <m/>
    <m/>
    <s v="Dataguard- Oracle RAC-ESB"/>
    <s v="Oracle RAC pSeries"/>
    <s v="DB"/>
    <s v="ESB"/>
    <s v="DB-ESB"/>
    <m/>
    <x v="0"/>
    <m/>
    <m/>
    <m/>
    <s v="a"/>
    <m/>
    <m/>
    <x v="92"/>
    <n v="1"/>
    <m/>
    <m/>
    <x v="1"/>
    <s v="IBM P-Series Tier 2"/>
    <s v="pSeries"/>
    <m/>
    <x v="1"/>
    <m/>
    <m/>
    <m/>
    <m/>
    <m/>
    <m/>
    <m/>
    <m/>
    <m/>
    <m/>
    <m/>
    <m/>
    <m/>
    <m/>
    <m/>
    <m/>
    <m/>
    <m/>
    <m/>
    <n v="0"/>
    <n v="300"/>
    <n v="303.3"/>
    <m/>
    <n v="303.3"/>
    <m/>
    <m/>
    <s v="No"/>
    <n v="0"/>
    <m/>
    <n v="0"/>
    <m/>
    <m/>
    <n v="75.825000000000003"/>
    <n v="11.373749999999999"/>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172.46639999999999"/>
    <n v="30.198399999999999"/>
    <n v="0"/>
    <n v="136.48500000000001"/>
    <n v="30.519562499999999"/>
    <n v="167.00456250000002"/>
    <n v="339.47096250000004"/>
    <n v="197.20296250000001"/>
    <n v="0"/>
    <n v="0"/>
    <n v="0"/>
    <n v="0"/>
    <n v="0"/>
    <n v="0"/>
    <n v="0"/>
    <n v="0"/>
    <n v="0"/>
    <n v="0"/>
    <n v="0"/>
    <n v="0"/>
    <n v="0"/>
    <n v="0"/>
    <n v="0"/>
  </r>
  <r>
    <x v="0"/>
    <m/>
    <m/>
    <m/>
    <m/>
    <m/>
    <m/>
    <m/>
    <m/>
    <m/>
    <m/>
    <m/>
    <x v="0"/>
    <s v="RDC"/>
    <m/>
    <m/>
    <x v="4"/>
    <x v="2"/>
    <m/>
    <m/>
    <m/>
    <s v="Oracle HACMP  - Tibco, RMAN"/>
    <s v="Oracle Standalone"/>
    <s v="DB"/>
    <s v="ESB"/>
    <s v="DB-ESB"/>
    <m/>
    <x v="0"/>
    <m/>
    <m/>
    <m/>
    <s v="a"/>
    <m/>
    <m/>
    <x v="93"/>
    <n v="1"/>
    <m/>
    <m/>
    <x v="1"/>
    <s v="IBM P-Series Tier 2"/>
    <s v="pSeries"/>
    <m/>
    <x v="1"/>
    <m/>
    <m/>
    <m/>
    <m/>
    <m/>
    <m/>
    <m/>
    <m/>
    <m/>
    <m/>
    <m/>
    <m/>
    <m/>
    <m/>
    <m/>
    <m/>
    <m/>
    <m/>
    <m/>
    <n v="0"/>
    <n v="300"/>
    <n v="303.3"/>
    <m/>
    <n v="303.3"/>
    <n v="100"/>
    <m/>
    <s v="No"/>
    <n v="0"/>
    <m/>
    <n v="0"/>
    <m/>
    <m/>
    <n v="100.825"/>
    <n v="15.123749999999999"/>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237.58500000000004"/>
    <n v="40.582062499999999"/>
    <n v="278.16706250000004"/>
    <n v="278.16706250000004"/>
    <n v="278.16706250000004"/>
    <n v="0"/>
    <n v="0"/>
    <n v="0"/>
    <n v="0"/>
    <n v="0"/>
    <n v="0"/>
    <n v="0"/>
    <n v="0"/>
    <n v="0"/>
    <n v="0"/>
    <n v="0"/>
    <n v="0"/>
    <n v="0"/>
    <n v="0"/>
    <n v="0"/>
  </r>
  <r>
    <x v="0"/>
    <m/>
    <m/>
    <m/>
    <m/>
    <m/>
    <m/>
    <m/>
    <m/>
    <m/>
    <m/>
    <m/>
    <x v="0"/>
    <s v="RDC"/>
    <m/>
    <m/>
    <x v="4"/>
    <x v="2"/>
    <m/>
    <m/>
    <m/>
    <s v="Oracle HACMP - Tibco, RMAN"/>
    <s v="Oracle Standalone"/>
    <s v="DB"/>
    <s v="ESB"/>
    <s v="DB-ESB"/>
    <m/>
    <x v="0"/>
    <m/>
    <m/>
    <m/>
    <s v="a"/>
    <m/>
    <m/>
    <x v="94"/>
    <n v="1"/>
    <m/>
    <m/>
    <x v="1"/>
    <s v="IBM P-Series Tier 2"/>
    <s v="pSeries"/>
    <m/>
    <x v="1"/>
    <m/>
    <m/>
    <m/>
    <m/>
    <m/>
    <m/>
    <m/>
    <m/>
    <m/>
    <m/>
    <m/>
    <m/>
    <m/>
    <m/>
    <m/>
    <m/>
    <m/>
    <m/>
    <m/>
    <n v="0"/>
    <m/>
    <n v="0"/>
    <m/>
    <n v="0"/>
    <m/>
    <m/>
    <s v="No"/>
    <n v="0"/>
    <m/>
    <n v="0"/>
    <m/>
    <m/>
    <n v="0"/>
    <n v="0"/>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0"/>
    <n v="0"/>
    <n v="0"/>
    <n v="0"/>
    <n v="0"/>
    <n v="0"/>
    <n v="0"/>
    <n v="0"/>
    <n v="0"/>
    <n v="0"/>
    <n v="0"/>
    <n v="0"/>
    <n v="0"/>
    <n v="0"/>
    <n v="0"/>
    <n v="0"/>
    <n v="0"/>
    <n v="0"/>
    <n v="0"/>
    <n v="0"/>
    <n v="0"/>
  </r>
  <r>
    <x v="0"/>
    <m/>
    <m/>
    <m/>
    <m/>
    <m/>
    <m/>
    <m/>
    <m/>
    <m/>
    <m/>
    <m/>
    <x v="0"/>
    <s v="HKDC"/>
    <m/>
    <m/>
    <x v="5"/>
    <x v="3"/>
    <m/>
    <m/>
    <m/>
    <s v="OracleDB -TCONS,/URS/ ESB,/CMR,/Citiplanner,/CLMS"/>
    <s v="Oracle Standalone"/>
    <s v="AP"/>
    <s v="ESB"/>
    <s v="AP-ESB"/>
    <m/>
    <x v="1"/>
    <m/>
    <m/>
    <m/>
    <s v="a"/>
    <m/>
    <m/>
    <x v="95"/>
    <n v="1"/>
    <m/>
    <m/>
    <x v="1"/>
    <s v="IBM P-Series Tier 2"/>
    <s v="pSeries"/>
    <m/>
    <x v="1"/>
    <m/>
    <m/>
    <m/>
    <m/>
    <m/>
    <m/>
    <m/>
    <m/>
    <m/>
    <m/>
    <m/>
    <m/>
    <m/>
    <m/>
    <m/>
    <m/>
    <m/>
    <m/>
    <m/>
    <n v="0"/>
    <n v="500"/>
    <n v="505.50000000000006"/>
    <m/>
    <n v="505.50000000000006"/>
    <m/>
    <m/>
    <m/>
    <n v="0"/>
    <m/>
    <n v="0"/>
    <m/>
    <m/>
    <n v="126.37500000000001"/>
    <n v="18.956250000000001"/>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187.1"/>
    <n v="227.47500000000002"/>
    <n v="50.865937500000001"/>
    <n v="465.44093750000002"/>
    <n v="465.44093750000002"/>
    <n v="465.44093750000002"/>
    <n v="187.1"/>
    <n v="0"/>
    <n v="0"/>
    <n v="0"/>
    <n v="0"/>
    <n v="0"/>
    <n v="0"/>
    <n v="0"/>
    <n v="0"/>
    <n v="0"/>
    <n v="0"/>
    <n v="0"/>
    <n v="0"/>
    <n v="187.1"/>
    <n v="0"/>
  </r>
  <r>
    <x v="0"/>
    <m/>
    <m/>
    <m/>
    <m/>
    <m/>
    <m/>
    <m/>
    <m/>
    <m/>
    <m/>
    <m/>
    <x v="0"/>
    <s v="HKDC"/>
    <m/>
    <m/>
    <x v="5"/>
    <x v="3"/>
    <m/>
    <m/>
    <m/>
    <s v="ESB\CI\CP\COPS\SNF\CMR-EMS "/>
    <s v="TIBCO EMS, CA APM"/>
    <s v="AP"/>
    <s v="ESB"/>
    <s v="AP-ESB"/>
    <m/>
    <x v="1"/>
    <m/>
    <m/>
    <m/>
    <s v="a"/>
    <m/>
    <m/>
    <x v="96"/>
    <n v="1"/>
    <m/>
    <m/>
    <x v="0"/>
    <s v="x86 Tier 3"/>
    <s v="x86"/>
    <m/>
    <x v="0"/>
    <m/>
    <m/>
    <m/>
    <s v=""/>
    <m/>
    <m/>
    <m/>
    <m/>
    <m/>
    <m/>
    <m/>
    <m/>
    <m/>
    <m/>
    <m/>
    <m/>
    <m/>
    <m/>
    <m/>
    <n v="0"/>
    <n v="250"/>
    <n v="269.60000000000002"/>
    <m/>
    <n v="269.60000000000002"/>
    <m/>
    <m/>
    <m/>
    <n v="0"/>
    <m/>
    <n v="0"/>
    <m/>
    <m/>
    <n v="67.400000000000006"/>
    <n v="10.110000000000001"/>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3000"/>
    <n v="420"/>
    <n v="187.1"/>
    <n v="121.32000000000001"/>
    <n v="27.128499999999999"/>
    <n v="335.54849999999999"/>
    <n v="3335.5484999999999"/>
    <n v="755.54849999999999"/>
    <n v="187.1"/>
    <n v="0"/>
    <n v="0"/>
    <n v="0"/>
    <n v="0"/>
    <n v="0"/>
    <n v="0"/>
    <n v="0"/>
    <n v="0"/>
    <n v="0"/>
    <n v="0"/>
    <n v="0"/>
    <n v="0"/>
    <n v="187.1"/>
    <n v="0"/>
  </r>
  <r>
    <x v="0"/>
    <m/>
    <m/>
    <m/>
    <m/>
    <m/>
    <m/>
    <m/>
    <m/>
    <m/>
    <m/>
    <m/>
    <x v="0"/>
    <s v="HKDC"/>
    <m/>
    <m/>
    <x v="5"/>
    <x v="3"/>
    <m/>
    <m/>
    <m/>
    <s v="ESB/CMR"/>
    <s v="TIBCO BW, CA APM"/>
    <s v="AP"/>
    <s v="ESB"/>
    <s v="AP-ESB"/>
    <m/>
    <x v="1"/>
    <m/>
    <m/>
    <m/>
    <s v="a"/>
    <m/>
    <m/>
    <x v="97"/>
    <n v="1"/>
    <m/>
    <m/>
    <x v="0"/>
    <s v="x86 Tier 3"/>
    <s v="x86"/>
    <m/>
    <x v="0"/>
    <m/>
    <m/>
    <m/>
    <s v=""/>
    <m/>
    <m/>
    <m/>
    <m/>
    <m/>
    <m/>
    <m/>
    <m/>
    <m/>
    <m/>
    <m/>
    <m/>
    <m/>
    <m/>
    <m/>
    <n v="0"/>
    <n v="250"/>
    <n v="269.60000000000002"/>
    <m/>
    <n v="269.60000000000002"/>
    <m/>
    <m/>
    <m/>
    <n v="0"/>
    <m/>
    <n v="0"/>
    <m/>
    <m/>
    <n v="67.400000000000006"/>
    <n v="10.110000000000001"/>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3750"/>
    <n v="525"/>
    <n v="187.1"/>
    <n v="121.32000000000001"/>
    <n v="27.128499999999999"/>
    <n v="335.54849999999999"/>
    <n v="4085.5484999999999"/>
    <n v="860.54849999999999"/>
    <n v="187.1"/>
    <n v="0"/>
    <n v="0"/>
    <n v="0"/>
    <n v="0"/>
    <n v="0"/>
    <n v="0"/>
    <n v="0"/>
    <n v="0"/>
    <n v="0"/>
    <n v="0"/>
    <n v="0"/>
    <n v="0"/>
    <n v="187.1"/>
    <n v="0"/>
  </r>
  <r>
    <x v="0"/>
    <m/>
    <m/>
    <m/>
    <m/>
    <m/>
    <m/>
    <m/>
    <m/>
    <m/>
    <m/>
    <m/>
    <x v="0"/>
    <s v="FDC"/>
    <m/>
    <m/>
    <x v="1"/>
    <x v="0"/>
    <m/>
    <m/>
    <m/>
    <s v="Web Server"/>
    <s v="IBM HTTP x86"/>
    <s v="WW"/>
    <s v="CBOL"/>
    <s v="WW-CBOL"/>
    <m/>
    <x v="1"/>
    <m/>
    <m/>
    <m/>
    <m/>
    <m/>
    <m/>
    <x v="98"/>
    <n v="1"/>
    <m/>
    <m/>
    <x v="0"/>
    <s v="x86 Tier 3"/>
    <s v="x86"/>
    <m/>
    <x v="0"/>
    <n v="2"/>
    <m/>
    <n v="16"/>
    <s v=""/>
    <n v="128"/>
    <m/>
    <m/>
    <m/>
    <m/>
    <m/>
    <m/>
    <m/>
    <m/>
    <m/>
    <m/>
    <m/>
    <m/>
    <m/>
    <m/>
    <n v="202.20000000000002"/>
    <n v="700"/>
    <n v="909.90000000000009"/>
    <m/>
    <n v="909.90000000000009"/>
    <m/>
    <m/>
    <m/>
    <n v="0"/>
    <m/>
    <n v="0"/>
    <m/>
    <m/>
    <n v="227.47500000000002"/>
    <n v="34.121250000000003"/>
    <m/>
    <m/>
    <m/>
    <m/>
    <m/>
    <m/>
    <m/>
    <m/>
    <m/>
    <m/>
    <m/>
    <m/>
    <n v="0"/>
    <n v="0"/>
    <n v="0"/>
    <n v="0"/>
    <n v="0"/>
    <n v="0"/>
    <n v="0"/>
    <n v="0"/>
    <n v="0"/>
    <n v="16"/>
    <n v="0"/>
    <n v="0"/>
    <n v="0"/>
    <n v="0"/>
    <n v="0"/>
    <n v="0"/>
    <n v="0"/>
    <n v="0"/>
    <n v="0"/>
    <n v="0"/>
    <n v="0"/>
    <n v="0"/>
    <n v="0"/>
    <n v="0"/>
    <n v="0"/>
    <n v="0"/>
    <n v="0"/>
    <n v="0"/>
    <n v="0"/>
    <n v="0"/>
    <n v="0"/>
    <n v="0"/>
    <n v="0"/>
    <n v="0"/>
    <n v="0"/>
    <n v="0"/>
    <n v="0"/>
    <n v="0"/>
    <n v="0"/>
    <n v="0"/>
    <n v="0"/>
    <n v="0"/>
    <n v="0"/>
    <n v="0"/>
    <n v="0"/>
    <n v="0"/>
    <n v="0"/>
    <n v="0"/>
    <n v="0"/>
    <n v="0"/>
    <n v="0"/>
    <n v="0"/>
    <m/>
    <n v="0"/>
    <n v="0"/>
    <n v="888.7"/>
    <n v="409.45500000000004"/>
    <n v="91.558687500000019"/>
    <n v="1389.7136875000001"/>
    <n v="1389.7136875000001"/>
    <n v="1389.7136875000001"/>
    <n v="888.7"/>
    <n v="2"/>
    <n v="16"/>
    <n v="128"/>
    <n v="0"/>
    <n v="0"/>
    <n v="0"/>
    <n v="0"/>
    <n v="608"/>
    <n v="0"/>
    <n v="0"/>
    <n v="93.600000000000009"/>
    <n v="0"/>
    <n v="187.1"/>
    <n v="0"/>
  </r>
  <r>
    <x v="0"/>
    <m/>
    <m/>
    <m/>
    <m/>
    <m/>
    <m/>
    <m/>
    <m/>
    <m/>
    <m/>
    <m/>
    <x v="0"/>
    <s v="RDC"/>
    <m/>
    <m/>
    <x v="6"/>
    <x v="0"/>
    <m/>
    <m/>
    <m/>
    <s v="Web Server"/>
    <s v="IBM HTTP x86"/>
    <s v="WW"/>
    <s v="CBOL"/>
    <s v="WW-CBOL"/>
    <m/>
    <x v="1"/>
    <m/>
    <m/>
    <m/>
    <m/>
    <m/>
    <m/>
    <x v="99"/>
    <n v="1"/>
    <m/>
    <m/>
    <x v="0"/>
    <s v="x86 Tier 3"/>
    <s v="x86"/>
    <m/>
    <x v="0"/>
    <n v="2"/>
    <m/>
    <n v="16"/>
    <s v=""/>
    <n v="128"/>
    <m/>
    <m/>
    <m/>
    <m/>
    <m/>
    <m/>
    <m/>
    <m/>
    <m/>
    <m/>
    <m/>
    <m/>
    <m/>
    <m/>
    <n v="202.20000000000002"/>
    <n v="700"/>
    <n v="909.90000000000009"/>
    <m/>
    <n v="909.90000000000009"/>
    <m/>
    <m/>
    <m/>
    <n v="0"/>
    <m/>
    <n v="0"/>
    <m/>
    <m/>
    <n v="227.47500000000002"/>
    <n v="34.121250000000003"/>
    <m/>
    <m/>
    <m/>
    <m/>
    <m/>
    <m/>
    <m/>
    <m/>
    <m/>
    <m/>
    <m/>
    <m/>
    <n v="0"/>
    <n v="0"/>
    <n v="0"/>
    <n v="0"/>
    <n v="0"/>
    <n v="0"/>
    <n v="0"/>
    <n v="0"/>
    <n v="0"/>
    <n v="16"/>
    <n v="0"/>
    <n v="0"/>
    <n v="0"/>
    <n v="0"/>
    <n v="0"/>
    <n v="0"/>
    <n v="0"/>
    <n v="0"/>
    <n v="0"/>
    <n v="0"/>
    <n v="0"/>
    <n v="0"/>
    <n v="0"/>
    <n v="0"/>
    <n v="0"/>
    <n v="0"/>
    <n v="0"/>
    <n v="0"/>
    <n v="0"/>
    <n v="0"/>
    <n v="0"/>
    <n v="0"/>
    <n v="0"/>
    <n v="0"/>
    <n v="0"/>
    <n v="0"/>
    <n v="0"/>
    <n v="0"/>
    <n v="0"/>
    <n v="0"/>
    <n v="0"/>
    <n v="0"/>
    <n v="0"/>
    <n v="0"/>
    <n v="0"/>
    <n v="0"/>
    <n v="0"/>
    <n v="0"/>
    <n v="0"/>
    <n v="0"/>
    <n v="0"/>
    <n v="0"/>
    <m/>
    <n v="0"/>
    <n v="0"/>
    <n v="888.7"/>
    <n v="409.45500000000004"/>
    <n v="91.558687500000019"/>
    <n v="1389.7136875000001"/>
    <n v="1389.7136875000001"/>
    <n v="1389.7136875000001"/>
    <n v="888.7"/>
    <n v="2"/>
    <n v="16"/>
    <n v="128"/>
    <n v="0"/>
    <n v="0"/>
    <n v="0"/>
    <n v="0"/>
    <n v="608"/>
    <n v="0"/>
    <n v="0"/>
    <n v="93.600000000000009"/>
    <n v="0"/>
    <n v="187.1"/>
    <n v="0"/>
  </r>
  <r>
    <x v="0"/>
    <m/>
    <m/>
    <m/>
    <m/>
    <m/>
    <m/>
    <m/>
    <m/>
    <m/>
    <m/>
    <m/>
    <x v="0"/>
    <s v="FDC"/>
    <m/>
    <m/>
    <x v="1"/>
    <x v="0"/>
    <m/>
    <m/>
    <m/>
    <s v="PL App Server"/>
    <s v="IBM WAS x86, CA APM, IBM HTTP x86"/>
    <s v="AP"/>
    <s v="CBOL"/>
    <s v="AP-CBOL"/>
    <m/>
    <x v="1"/>
    <m/>
    <m/>
    <m/>
    <m/>
    <m/>
    <m/>
    <x v="100"/>
    <n v="1"/>
    <m/>
    <m/>
    <x v="0"/>
    <s v="x86 Tier 3"/>
    <s v="x86"/>
    <m/>
    <x v="0"/>
    <n v="2"/>
    <m/>
    <n v="16"/>
    <s v=""/>
    <n v="128"/>
    <m/>
    <m/>
    <m/>
    <m/>
    <m/>
    <m/>
    <m/>
    <m/>
    <m/>
    <m/>
    <m/>
    <m/>
    <m/>
    <m/>
    <n v="202.20000000000002"/>
    <n v="600"/>
    <n v="808.80000000000007"/>
    <m/>
    <n v="808.80000000000007"/>
    <m/>
    <m/>
    <m/>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RDC"/>
    <m/>
    <m/>
    <x v="6"/>
    <x v="0"/>
    <m/>
    <m/>
    <m/>
    <s v="PL App Server"/>
    <s v="IBM WAS x86, CA APM, IBM HTTP x86"/>
    <s v="AP"/>
    <s v="CBOL"/>
    <s v="AP-CBOL"/>
    <m/>
    <x v="1"/>
    <m/>
    <m/>
    <m/>
    <m/>
    <m/>
    <m/>
    <x v="101"/>
    <n v="1"/>
    <m/>
    <m/>
    <x v="0"/>
    <s v="x86 Tier 3"/>
    <s v="x86"/>
    <m/>
    <x v="0"/>
    <n v="2"/>
    <m/>
    <n v="16"/>
    <s v=""/>
    <n v="128"/>
    <m/>
    <m/>
    <m/>
    <m/>
    <m/>
    <m/>
    <m/>
    <m/>
    <m/>
    <m/>
    <m/>
    <m/>
    <m/>
    <m/>
    <n v="202.20000000000002"/>
    <n v="600"/>
    <n v="808.80000000000007"/>
    <m/>
    <n v="808.80000000000007"/>
    <m/>
    <m/>
    <m/>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FDC"/>
    <m/>
    <m/>
    <x v="1"/>
    <x v="0"/>
    <m/>
    <m/>
    <m/>
    <s v="PL App Server"/>
    <s v="IBM WAS x86, CA APM, IBM HTTP x86"/>
    <s v="AP"/>
    <s v="CBOL"/>
    <s v="AP-CBOL"/>
    <m/>
    <x v="1"/>
    <m/>
    <m/>
    <m/>
    <m/>
    <m/>
    <m/>
    <x v="102"/>
    <n v="1"/>
    <m/>
    <m/>
    <x v="0"/>
    <s v="x86 Tier 3"/>
    <s v="x86"/>
    <m/>
    <x v="0"/>
    <n v="2"/>
    <m/>
    <n v="16"/>
    <s v=""/>
    <n v="128"/>
    <m/>
    <m/>
    <m/>
    <m/>
    <m/>
    <m/>
    <m/>
    <m/>
    <m/>
    <m/>
    <m/>
    <m/>
    <m/>
    <m/>
    <n v="202.20000000000002"/>
    <n v="600"/>
    <n v="808.80000000000007"/>
    <m/>
    <n v="808.80000000000007"/>
    <m/>
    <m/>
    <m/>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RDC"/>
    <m/>
    <m/>
    <x v="6"/>
    <x v="0"/>
    <m/>
    <m/>
    <m/>
    <s v="PL App Server"/>
    <s v="IBM WAS x86, CA APM, IBM HTTP x86"/>
    <s v="AP"/>
    <s v="CBOL"/>
    <s v="AP-CBOL"/>
    <m/>
    <x v="1"/>
    <m/>
    <m/>
    <m/>
    <m/>
    <m/>
    <m/>
    <x v="103"/>
    <n v="1"/>
    <m/>
    <m/>
    <x v="0"/>
    <s v="x86 Tier 3"/>
    <s v="x86"/>
    <m/>
    <x v="0"/>
    <n v="2"/>
    <m/>
    <n v="16"/>
    <s v=""/>
    <n v="128"/>
    <m/>
    <m/>
    <m/>
    <m/>
    <m/>
    <m/>
    <m/>
    <m/>
    <m/>
    <m/>
    <m/>
    <m/>
    <m/>
    <m/>
    <n v="202.20000000000002"/>
    <n v="600"/>
    <n v="808.80000000000007"/>
    <m/>
    <n v="808.80000000000007"/>
    <m/>
    <m/>
    <m/>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FDC"/>
    <m/>
    <m/>
    <x v="1"/>
    <x v="0"/>
    <m/>
    <m/>
    <m/>
    <s v="CM App Server"/>
    <s v="IBM WAS x86, CA APM, IBM HTTP x86"/>
    <s v="AP"/>
    <s v="CBOL"/>
    <s v="AP-CBOL"/>
    <m/>
    <x v="1"/>
    <m/>
    <m/>
    <m/>
    <m/>
    <m/>
    <m/>
    <x v="104"/>
    <n v="1"/>
    <m/>
    <m/>
    <x v="0"/>
    <s v="x86 Tier 3"/>
    <s v="x86"/>
    <m/>
    <x v="0"/>
    <n v="2"/>
    <m/>
    <n v="16"/>
    <s v=""/>
    <n v="256"/>
    <m/>
    <m/>
    <m/>
    <m/>
    <m/>
    <m/>
    <m/>
    <m/>
    <m/>
    <m/>
    <m/>
    <m/>
    <m/>
    <m/>
    <n v="337"/>
    <n v="800"/>
    <n v="1145.8000000000002"/>
    <m/>
    <n v="1145.8000000000002"/>
    <m/>
    <m/>
    <m/>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FDC"/>
    <m/>
    <m/>
    <x v="1"/>
    <x v="0"/>
    <m/>
    <m/>
    <m/>
    <s v="CM App Server"/>
    <s v="IBM WAS x86, CA APM, IBM HTTP x86"/>
    <s v="AP"/>
    <s v="CBOL"/>
    <s v="AP-CBOL"/>
    <m/>
    <x v="1"/>
    <m/>
    <m/>
    <m/>
    <m/>
    <m/>
    <m/>
    <x v="105"/>
    <n v="1"/>
    <m/>
    <m/>
    <x v="0"/>
    <s v="x86 Tier 3"/>
    <s v="x86"/>
    <m/>
    <x v="0"/>
    <n v="2"/>
    <m/>
    <n v="16"/>
    <s v=""/>
    <n v="256"/>
    <m/>
    <m/>
    <m/>
    <m/>
    <m/>
    <m/>
    <m/>
    <m/>
    <m/>
    <m/>
    <m/>
    <m/>
    <m/>
    <m/>
    <n v="337"/>
    <n v="800"/>
    <n v="1145.8000000000002"/>
    <m/>
    <n v="1145.8000000000002"/>
    <m/>
    <m/>
    <m/>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FDC"/>
    <m/>
    <m/>
    <x v="1"/>
    <x v="0"/>
    <m/>
    <m/>
    <m/>
    <s v="CM App Server"/>
    <s v="IBM WAS x86, CA APM, IBM HTTP x86"/>
    <s v="AP"/>
    <s v="CBOL"/>
    <s v="AP-CBOL"/>
    <m/>
    <x v="1"/>
    <m/>
    <m/>
    <m/>
    <m/>
    <m/>
    <m/>
    <x v="106"/>
    <n v="1"/>
    <m/>
    <m/>
    <x v="0"/>
    <s v="x86 Tier 3"/>
    <s v="x86"/>
    <m/>
    <x v="0"/>
    <n v="2"/>
    <m/>
    <n v="16"/>
    <s v=""/>
    <n v="256"/>
    <m/>
    <m/>
    <m/>
    <m/>
    <m/>
    <m/>
    <m/>
    <m/>
    <m/>
    <m/>
    <m/>
    <m/>
    <m/>
    <m/>
    <n v="337"/>
    <n v="800"/>
    <n v="1145.8000000000002"/>
    <m/>
    <n v="1145.8000000000002"/>
    <m/>
    <m/>
    <m/>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RDC"/>
    <m/>
    <m/>
    <x v="6"/>
    <x v="0"/>
    <m/>
    <m/>
    <m/>
    <s v="CM App Server"/>
    <s v="IBM WAS x86, CA APM, IBM HTTP x86"/>
    <s v="AP"/>
    <s v="CBOL"/>
    <s v="AP-CBOL"/>
    <m/>
    <x v="1"/>
    <m/>
    <m/>
    <m/>
    <m/>
    <m/>
    <m/>
    <x v="107"/>
    <n v="1"/>
    <m/>
    <m/>
    <x v="0"/>
    <s v="x86 Tier 3"/>
    <s v="x86"/>
    <m/>
    <x v="0"/>
    <n v="2"/>
    <m/>
    <n v="16"/>
    <s v=""/>
    <n v="256"/>
    <m/>
    <m/>
    <m/>
    <m/>
    <m/>
    <m/>
    <m/>
    <m/>
    <m/>
    <m/>
    <m/>
    <m/>
    <m/>
    <m/>
    <n v="337"/>
    <n v="800"/>
    <n v="1145.8000000000002"/>
    <m/>
    <n v="1145.8000000000002"/>
    <m/>
    <m/>
    <m/>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RDC"/>
    <m/>
    <m/>
    <x v="6"/>
    <x v="0"/>
    <m/>
    <m/>
    <m/>
    <s v="CM App Server"/>
    <s v="IBM WAS x86, CA APM, IBM HTTP x86"/>
    <s v="AP"/>
    <s v="CBOL"/>
    <s v="AP-CBOL"/>
    <m/>
    <x v="1"/>
    <m/>
    <m/>
    <m/>
    <m/>
    <m/>
    <m/>
    <x v="108"/>
    <n v="1"/>
    <m/>
    <m/>
    <x v="0"/>
    <s v="x86 Tier 3"/>
    <s v="x86"/>
    <m/>
    <x v="0"/>
    <n v="2"/>
    <m/>
    <n v="16"/>
    <s v=""/>
    <n v="256"/>
    <m/>
    <m/>
    <m/>
    <m/>
    <m/>
    <m/>
    <m/>
    <m/>
    <m/>
    <m/>
    <m/>
    <m/>
    <m/>
    <m/>
    <n v="337"/>
    <n v="800"/>
    <n v="1145.8000000000002"/>
    <m/>
    <n v="1145.8000000000002"/>
    <m/>
    <m/>
    <m/>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RDC"/>
    <m/>
    <m/>
    <x v="6"/>
    <x v="0"/>
    <m/>
    <m/>
    <m/>
    <s v="CM App Server"/>
    <s v="IBM WAS x86, CA APM, IBM HTTP x86"/>
    <s v="AP"/>
    <s v="CBOL"/>
    <s v="AP-CBOL"/>
    <m/>
    <x v="1"/>
    <m/>
    <m/>
    <m/>
    <m/>
    <m/>
    <m/>
    <x v="109"/>
    <n v="1"/>
    <m/>
    <m/>
    <x v="0"/>
    <s v="x86 Tier 3"/>
    <s v="x86"/>
    <m/>
    <x v="0"/>
    <n v="2"/>
    <m/>
    <n v="16"/>
    <s v=""/>
    <n v="256"/>
    <m/>
    <m/>
    <m/>
    <m/>
    <m/>
    <m/>
    <m/>
    <m/>
    <m/>
    <m/>
    <m/>
    <m/>
    <m/>
    <m/>
    <n v="337"/>
    <n v="800"/>
    <n v="1145.8000000000002"/>
    <m/>
    <n v="1145.8000000000002"/>
    <m/>
    <m/>
    <m/>
    <n v="0"/>
    <m/>
    <n v="0"/>
    <m/>
    <m/>
    <n v="286.45000000000005"/>
    <n v="42.967500000000008"/>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1003.9"/>
    <n v="515.61000000000013"/>
    <n v="115.29612500000002"/>
    <n v="1634.8061250000003"/>
    <n v="1634.8061250000003"/>
    <n v="1634.8061250000003"/>
    <n v="1003.9"/>
    <n v="2"/>
    <n v="16"/>
    <n v="256"/>
    <n v="0"/>
    <n v="0"/>
    <n v="0"/>
    <n v="0"/>
    <n v="608"/>
    <n v="0"/>
    <n v="0"/>
    <n v="208.8"/>
    <n v="0"/>
    <n v="187.1"/>
    <n v="0"/>
  </r>
  <r>
    <x v="0"/>
    <m/>
    <m/>
    <m/>
    <m/>
    <m/>
    <m/>
    <m/>
    <m/>
    <m/>
    <m/>
    <m/>
    <x v="0"/>
    <s v="FDC"/>
    <m/>
    <m/>
    <x v="1"/>
    <x v="0"/>
    <m/>
    <m/>
    <m/>
    <s v="DB Server Cluster1"/>
    <s v="Oracle RAC x86"/>
    <s v="DB"/>
    <s v="CBOL"/>
    <s v="DB-CBOL"/>
    <m/>
    <x v="1"/>
    <m/>
    <m/>
    <m/>
    <m/>
    <m/>
    <m/>
    <x v="110"/>
    <n v="1"/>
    <m/>
    <m/>
    <x v="0"/>
    <s v="x86 Tier 3"/>
    <s v="x86"/>
    <m/>
    <x v="0"/>
    <n v="2"/>
    <m/>
    <n v="16"/>
    <s v=""/>
    <n v="128"/>
    <m/>
    <m/>
    <m/>
    <m/>
    <m/>
    <m/>
    <m/>
    <m/>
    <m/>
    <m/>
    <m/>
    <m/>
    <m/>
    <m/>
    <n v="202.20000000000002"/>
    <n v="3200"/>
    <n v="3403.7000000000003"/>
    <m/>
    <n v="3403.7000000000003"/>
    <n v="3000"/>
    <m/>
    <m/>
    <n v="0"/>
    <m/>
    <n v="0"/>
    <m/>
    <m/>
    <n v="1600.9250000000002"/>
    <n v="240.13875000000002"/>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0"/>
    <n v="0"/>
    <n v="888.7"/>
    <n v="4564.6650000000009"/>
    <n v="644.37231250000002"/>
    <n v="6097.7373125000004"/>
    <n v="6097.7373125000004"/>
    <n v="6097.7373125000004"/>
    <n v="888.7"/>
    <n v="2"/>
    <n v="16"/>
    <n v="128"/>
    <n v="0"/>
    <n v="0"/>
    <n v="0"/>
    <n v="0"/>
    <n v="608"/>
    <n v="0"/>
    <n v="0"/>
    <n v="93.600000000000009"/>
    <n v="0"/>
    <n v="187.1"/>
    <n v="0"/>
  </r>
  <r>
    <x v="0"/>
    <m/>
    <m/>
    <m/>
    <m/>
    <m/>
    <m/>
    <m/>
    <m/>
    <m/>
    <m/>
    <m/>
    <x v="0"/>
    <s v="FDC"/>
    <m/>
    <m/>
    <x v="1"/>
    <x v="0"/>
    <m/>
    <m/>
    <m/>
    <s v="DB Server Cluster1"/>
    <s v="Oracle RAC x86"/>
    <s v="DB"/>
    <s v="CBOL"/>
    <s v="DB-CBOL"/>
    <m/>
    <x v="1"/>
    <m/>
    <m/>
    <m/>
    <m/>
    <m/>
    <m/>
    <x v="111"/>
    <n v="1"/>
    <m/>
    <m/>
    <x v="0"/>
    <s v="x86 Tier 3"/>
    <s v="x86"/>
    <m/>
    <x v="0"/>
    <n v="2"/>
    <m/>
    <n v="16"/>
    <s v=""/>
    <n v="128"/>
    <m/>
    <m/>
    <m/>
    <m/>
    <m/>
    <m/>
    <m/>
    <m/>
    <m/>
    <m/>
    <m/>
    <m/>
    <m/>
    <m/>
    <n v="202.20000000000002"/>
    <n v="200"/>
    <n v="404.40000000000003"/>
    <m/>
    <n v="404.40000000000003"/>
    <m/>
    <m/>
    <m/>
    <n v="0"/>
    <m/>
    <n v="0"/>
    <m/>
    <m/>
    <n v="101.10000000000001"/>
    <n v="15.16500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181.98000000000002"/>
    <n v="40.692750000000004"/>
    <n v="1111.37275"/>
    <n v="1111.37275"/>
    <n v="1111.37275"/>
    <n v="888.7"/>
    <n v="2"/>
    <n v="16"/>
    <n v="128"/>
    <n v="0"/>
    <n v="0"/>
    <n v="0"/>
    <n v="0"/>
    <n v="608"/>
    <n v="0"/>
    <n v="0"/>
    <n v="93.600000000000009"/>
    <n v="0"/>
    <n v="187.1"/>
    <n v="0"/>
  </r>
  <r>
    <x v="0"/>
    <m/>
    <m/>
    <m/>
    <m/>
    <m/>
    <m/>
    <m/>
    <m/>
    <m/>
    <m/>
    <m/>
    <x v="0"/>
    <s v="RDC"/>
    <m/>
    <m/>
    <x v="6"/>
    <x v="0"/>
    <m/>
    <m/>
    <m/>
    <s v="Data Guard Cluster1"/>
    <s v="Oracle RAC x86"/>
    <s v="DB"/>
    <s v="CBOL"/>
    <s v="DB-CBOL"/>
    <m/>
    <x v="1"/>
    <m/>
    <m/>
    <m/>
    <m/>
    <m/>
    <m/>
    <x v="112"/>
    <n v="1"/>
    <m/>
    <m/>
    <x v="0"/>
    <s v="x86 Tier 3"/>
    <s v="x86"/>
    <m/>
    <x v="0"/>
    <n v="2"/>
    <m/>
    <n v="16"/>
    <s v=""/>
    <n v="128"/>
    <m/>
    <m/>
    <m/>
    <m/>
    <m/>
    <m/>
    <m/>
    <m/>
    <m/>
    <m/>
    <m/>
    <m/>
    <m/>
    <m/>
    <n v="202.20000000000002"/>
    <n v="3200"/>
    <n v="3403.7000000000003"/>
    <m/>
    <n v="3403.7000000000003"/>
    <n v="3000"/>
    <m/>
    <m/>
    <n v="0"/>
    <m/>
    <n v="0"/>
    <m/>
    <m/>
    <n v="1600.9250000000002"/>
    <n v="240.13875000000002"/>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898.26250000000005"/>
    <n v="157.28333333333333"/>
    <n v="888.7"/>
    <n v="4564.6650000000009"/>
    <n v="644.37231250000002"/>
    <n v="6097.7373125000004"/>
    <n v="6995.9998125000002"/>
    <n v="6255.0206458333341"/>
    <n v="888.7"/>
    <n v="2"/>
    <n v="16"/>
    <n v="128"/>
    <n v="0"/>
    <n v="0"/>
    <n v="0"/>
    <n v="0"/>
    <n v="608"/>
    <n v="0"/>
    <n v="0"/>
    <n v="93.600000000000009"/>
    <n v="0"/>
    <n v="187.1"/>
    <n v="0"/>
  </r>
  <r>
    <x v="0"/>
    <m/>
    <m/>
    <m/>
    <m/>
    <m/>
    <m/>
    <m/>
    <m/>
    <m/>
    <m/>
    <m/>
    <x v="0"/>
    <s v="RDC"/>
    <m/>
    <m/>
    <x v="6"/>
    <x v="0"/>
    <m/>
    <m/>
    <m/>
    <s v="Data Guard Cluster1"/>
    <s v="Oracle RAC x86"/>
    <s v="DB"/>
    <s v="CBOL"/>
    <s v="DB-CBOL"/>
    <m/>
    <x v="1"/>
    <m/>
    <m/>
    <m/>
    <m/>
    <m/>
    <m/>
    <x v="113"/>
    <n v="1"/>
    <m/>
    <m/>
    <x v="0"/>
    <s v="x86 Tier 3"/>
    <s v="x86"/>
    <m/>
    <x v="0"/>
    <n v="2"/>
    <m/>
    <n v="16"/>
    <s v=""/>
    <n v="128"/>
    <m/>
    <m/>
    <m/>
    <m/>
    <m/>
    <m/>
    <m/>
    <m/>
    <m/>
    <m/>
    <m/>
    <m/>
    <m/>
    <m/>
    <n v="202.20000000000002"/>
    <n v="200"/>
    <n v="404.40000000000003"/>
    <m/>
    <n v="404.40000000000003"/>
    <m/>
    <m/>
    <m/>
    <n v="0"/>
    <m/>
    <n v="0"/>
    <m/>
    <m/>
    <n v="101.10000000000001"/>
    <n v="15.16500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898.26250000000005"/>
    <n v="157.28333333333333"/>
    <n v="888.7"/>
    <n v="181.98000000000002"/>
    <n v="40.692750000000004"/>
    <n v="1111.37275"/>
    <n v="2009.63525"/>
    <n v="1268.6560833333333"/>
    <n v="888.7"/>
    <n v="2"/>
    <n v="16"/>
    <n v="128"/>
    <n v="0"/>
    <n v="0"/>
    <n v="0"/>
    <n v="0"/>
    <n v="608"/>
    <n v="0"/>
    <n v="0"/>
    <n v="93.600000000000009"/>
    <n v="0"/>
    <n v="187.1"/>
    <n v="0"/>
  </r>
  <r>
    <x v="0"/>
    <m/>
    <m/>
    <m/>
    <m/>
    <m/>
    <m/>
    <m/>
    <m/>
    <m/>
    <m/>
    <m/>
    <x v="0"/>
    <s v="FDC"/>
    <m/>
    <m/>
    <x v="1"/>
    <x v="0"/>
    <m/>
    <m/>
    <m/>
    <s v="DB Server Cluster2"/>
    <s v="Oracle RAC x86"/>
    <s v="DB"/>
    <s v="CBOL"/>
    <s v="DB-CBOL"/>
    <m/>
    <x v="1"/>
    <m/>
    <m/>
    <m/>
    <m/>
    <m/>
    <m/>
    <x v="114"/>
    <n v="1"/>
    <m/>
    <m/>
    <x v="0"/>
    <s v="x86 Tier 3"/>
    <s v="x86"/>
    <m/>
    <x v="0"/>
    <n v="2"/>
    <m/>
    <n v="16"/>
    <s v=""/>
    <n v="128"/>
    <m/>
    <m/>
    <m/>
    <m/>
    <m/>
    <m/>
    <m/>
    <m/>
    <m/>
    <m/>
    <m/>
    <m/>
    <m/>
    <m/>
    <n v="202.20000000000002"/>
    <n v="3200"/>
    <n v="3403.7000000000003"/>
    <m/>
    <n v="3403.7000000000003"/>
    <n v="3000"/>
    <m/>
    <m/>
    <n v="0"/>
    <m/>
    <n v="0"/>
    <m/>
    <m/>
    <n v="1600.9250000000002"/>
    <n v="240.13875000000002"/>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4564.6650000000009"/>
    <n v="644.37231250000002"/>
    <n v="6097.7373125000004"/>
    <n v="6097.7373125000004"/>
    <n v="6097.7373125000004"/>
    <n v="888.7"/>
    <n v="2"/>
    <n v="16"/>
    <n v="128"/>
    <n v="0"/>
    <n v="0"/>
    <n v="0"/>
    <n v="0"/>
    <n v="608"/>
    <n v="0"/>
    <n v="0"/>
    <n v="93.600000000000009"/>
    <n v="0"/>
    <n v="187.1"/>
    <n v="0"/>
  </r>
  <r>
    <x v="0"/>
    <m/>
    <m/>
    <m/>
    <m/>
    <m/>
    <m/>
    <m/>
    <m/>
    <m/>
    <m/>
    <m/>
    <x v="0"/>
    <s v="FDC"/>
    <m/>
    <m/>
    <x v="1"/>
    <x v="0"/>
    <m/>
    <m/>
    <m/>
    <s v="DB Server Cluster2"/>
    <s v="Oracle RAC x86"/>
    <s v="DB"/>
    <s v="CBOL"/>
    <s v="DB-CBOL"/>
    <m/>
    <x v="1"/>
    <m/>
    <m/>
    <m/>
    <m/>
    <m/>
    <m/>
    <x v="115"/>
    <n v="1"/>
    <m/>
    <m/>
    <x v="0"/>
    <s v="x86 Tier 3"/>
    <s v="x86"/>
    <m/>
    <x v="0"/>
    <n v="2"/>
    <m/>
    <n v="16"/>
    <s v=""/>
    <n v="128"/>
    <m/>
    <m/>
    <m/>
    <m/>
    <m/>
    <m/>
    <m/>
    <m/>
    <m/>
    <m/>
    <m/>
    <m/>
    <m/>
    <m/>
    <n v="202.20000000000002"/>
    <n v="200"/>
    <n v="404.40000000000003"/>
    <m/>
    <n v="404.40000000000003"/>
    <m/>
    <m/>
    <m/>
    <n v="0"/>
    <m/>
    <n v="0"/>
    <m/>
    <m/>
    <n v="101.10000000000001"/>
    <n v="15.16500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181.98000000000002"/>
    <n v="40.692750000000004"/>
    <n v="1111.37275"/>
    <n v="1111.37275"/>
    <n v="1111.37275"/>
    <n v="888.7"/>
    <n v="2"/>
    <n v="16"/>
    <n v="128"/>
    <n v="0"/>
    <n v="0"/>
    <n v="0"/>
    <n v="0"/>
    <n v="608"/>
    <n v="0"/>
    <n v="0"/>
    <n v="93.600000000000009"/>
    <n v="0"/>
    <n v="187.1"/>
    <n v="0"/>
  </r>
  <r>
    <x v="0"/>
    <m/>
    <m/>
    <m/>
    <m/>
    <m/>
    <m/>
    <m/>
    <m/>
    <m/>
    <m/>
    <m/>
    <x v="0"/>
    <s v="RDC"/>
    <m/>
    <m/>
    <x v="6"/>
    <x v="0"/>
    <m/>
    <m/>
    <m/>
    <s v="Data Guard Cluster2"/>
    <s v="Oracle RAC x86"/>
    <s v="DB"/>
    <s v="CBOL"/>
    <s v="DB-CBOL"/>
    <m/>
    <x v="1"/>
    <m/>
    <m/>
    <m/>
    <m/>
    <m/>
    <m/>
    <x v="116"/>
    <n v="1"/>
    <m/>
    <m/>
    <x v="0"/>
    <s v="x86 Tier 3"/>
    <s v="x86"/>
    <m/>
    <x v="0"/>
    <n v="2"/>
    <m/>
    <n v="16"/>
    <s v=""/>
    <n v="128"/>
    <m/>
    <m/>
    <m/>
    <m/>
    <m/>
    <m/>
    <m/>
    <m/>
    <m/>
    <m/>
    <m/>
    <m/>
    <m/>
    <m/>
    <n v="202.20000000000002"/>
    <n v="3200"/>
    <n v="3403.7000000000003"/>
    <m/>
    <n v="3403.7000000000003"/>
    <n v="3000"/>
    <m/>
    <m/>
    <n v="0"/>
    <m/>
    <n v="0"/>
    <m/>
    <m/>
    <n v="1600.9250000000002"/>
    <n v="240.13875000000002"/>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4564.6650000000009"/>
    <n v="644.37231250000002"/>
    <n v="6097.7373125000004"/>
    <n v="6097.7373125000004"/>
    <n v="6097.7373125000004"/>
    <n v="888.7"/>
    <n v="2"/>
    <n v="16"/>
    <n v="128"/>
    <n v="0"/>
    <n v="0"/>
    <n v="0"/>
    <n v="0"/>
    <n v="608"/>
    <n v="0"/>
    <n v="0"/>
    <n v="93.600000000000009"/>
    <n v="0"/>
    <n v="187.1"/>
    <n v="0"/>
  </r>
  <r>
    <x v="0"/>
    <m/>
    <m/>
    <m/>
    <m/>
    <m/>
    <m/>
    <m/>
    <m/>
    <m/>
    <m/>
    <m/>
    <x v="0"/>
    <s v="RDC"/>
    <m/>
    <m/>
    <x v="6"/>
    <x v="0"/>
    <m/>
    <m/>
    <m/>
    <s v="Data Guard Cluster2"/>
    <s v="Oracle RAC x86"/>
    <s v="DB"/>
    <s v="CBOL"/>
    <s v="DB-CBOL"/>
    <m/>
    <x v="1"/>
    <m/>
    <m/>
    <m/>
    <m/>
    <m/>
    <m/>
    <x v="117"/>
    <n v="1"/>
    <m/>
    <m/>
    <x v="0"/>
    <s v="x86 Tier 3"/>
    <s v="x86"/>
    <m/>
    <x v="0"/>
    <n v="2"/>
    <m/>
    <n v="16"/>
    <m/>
    <n v="128"/>
    <m/>
    <m/>
    <m/>
    <m/>
    <m/>
    <m/>
    <m/>
    <m/>
    <m/>
    <m/>
    <m/>
    <m/>
    <m/>
    <m/>
    <n v="202.20000000000002"/>
    <n v="200"/>
    <n v="404.40000000000003"/>
    <m/>
    <n v="404.40000000000003"/>
    <m/>
    <m/>
    <m/>
    <n v="0"/>
    <m/>
    <n v="0"/>
    <m/>
    <m/>
    <n v="101.10000000000001"/>
    <n v="15.16500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m/>
    <m/>
    <n v="888.7"/>
    <n v="181.98000000000002"/>
    <n v="40.692750000000004"/>
    <n v="1111.37275"/>
    <n v="1111.37275"/>
    <n v="1111.37275"/>
    <n v="888.7"/>
    <n v="2"/>
    <n v="16"/>
    <n v="128"/>
    <n v="0"/>
    <n v="0"/>
    <n v="0"/>
    <n v="0"/>
    <n v="608"/>
    <n v="0"/>
    <n v="0"/>
    <n v="93.600000000000009"/>
    <n v="0"/>
    <n v="187.1"/>
    <n v="0"/>
  </r>
  <r>
    <x v="0"/>
    <m/>
    <m/>
    <m/>
    <m/>
    <m/>
    <m/>
    <m/>
    <m/>
    <m/>
    <m/>
    <m/>
    <x v="0"/>
    <s v="FDC"/>
    <m/>
    <m/>
    <x v="1"/>
    <x v="0"/>
    <m/>
    <m/>
    <m/>
    <s v="CitiAlert Server"/>
    <s v="java, MQ7, NDM"/>
    <s v="AP"/>
    <s v="CBOL"/>
    <s v="AP-CBOL"/>
    <m/>
    <x v="1"/>
    <m/>
    <m/>
    <m/>
    <m/>
    <m/>
    <m/>
    <x v="118"/>
    <n v="1"/>
    <m/>
    <m/>
    <x v="1"/>
    <s v="IBM P-Series Tier 2"/>
    <s v="pSeries"/>
    <m/>
    <x v="1"/>
    <n v="1"/>
    <m/>
    <n v="1"/>
    <m/>
    <n v="48"/>
    <m/>
    <m/>
    <m/>
    <m/>
    <m/>
    <m/>
    <m/>
    <m/>
    <m/>
    <m/>
    <m/>
    <m/>
    <m/>
    <m/>
    <n v="0"/>
    <n v="700"/>
    <n v="707.7"/>
    <m/>
    <n v="707.7"/>
    <n v="600"/>
    <m/>
    <m/>
    <n v="0"/>
    <m/>
    <n v="0"/>
    <m/>
    <m/>
    <n v="326.92500000000001"/>
    <n v="49.03875"/>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1304.0999999999999"/>
    <n v="925.06500000000005"/>
    <n v="131.5873125"/>
    <n v="2360.7523124999998"/>
    <n v="2360.7523124999998"/>
    <n v="2360.7523124999998"/>
    <n v="1304.0999999999999"/>
    <n v="1"/>
    <n v="1"/>
    <n v="48"/>
    <n v="0"/>
    <n v="0"/>
    <n v="0"/>
    <n v="0"/>
    <n v="829"/>
    <n v="0"/>
    <n v="0"/>
    <n v="288"/>
    <n v="0"/>
    <n v="187.1"/>
    <n v="0"/>
  </r>
  <r>
    <x v="0"/>
    <m/>
    <m/>
    <m/>
    <m/>
    <m/>
    <m/>
    <m/>
    <m/>
    <m/>
    <m/>
    <m/>
    <x v="0"/>
    <s v="FDC"/>
    <m/>
    <m/>
    <x v="1"/>
    <x v="0"/>
    <m/>
    <m/>
    <m/>
    <s v="CitiAlert Server"/>
    <s v="java, MQ7, NDM"/>
    <s v="AP"/>
    <s v="CBOL"/>
    <s v="AP-CBOL"/>
    <m/>
    <x v="1"/>
    <m/>
    <m/>
    <m/>
    <m/>
    <m/>
    <m/>
    <x v="119"/>
    <n v="1"/>
    <m/>
    <m/>
    <x v="1"/>
    <s v="IBM P-Series Tier 2"/>
    <s v="pSeries"/>
    <m/>
    <x v="1"/>
    <n v="1"/>
    <m/>
    <n v="1"/>
    <m/>
    <n v="48"/>
    <m/>
    <m/>
    <m/>
    <m/>
    <m/>
    <m/>
    <m/>
    <m/>
    <m/>
    <m/>
    <m/>
    <m/>
    <m/>
    <m/>
    <n v="0"/>
    <n v="100"/>
    <n v="101.10000000000001"/>
    <m/>
    <n v="101.10000000000001"/>
    <m/>
    <m/>
    <m/>
    <n v="0"/>
    <m/>
    <n v="0"/>
    <m/>
    <m/>
    <n v="25.275000000000002"/>
    <n v="3.7912500000000002"/>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1304.0999999999999"/>
    <n v="45.495000000000005"/>
    <n v="10.173187500000001"/>
    <n v="1359.7681874999998"/>
    <n v="1359.7681874999998"/>
    <n v="1359.7681874999998"/>
    <n v="1304.0999999999999"/>
    <n v="1"/>
    <n v="1"/>
    <n v="48"/>
    <n v="0"/>
    <n v="0"/>
    <n v="0"/>
    <n v="0"/>
    <n v="829"/>
    <n v="0"/>
    <n v="0"/>
    <n v="288"/>
    <n v="0"/>
    <n v="187.1"/>
    <n v="0"/>
  </r>
  <r>
    <x v="0"/>
    <m/>
    <m/>
    <m/>
    <m/>
    <m/>
    <m/>
    <m/>
    <m/>
    <m/>
    <m/>
    <m/>
    <x v="0"/>
    <s v="FDC"/>
    <m/>
    <m/>
    <x v="1"/>
    <x v="0"/>
    <m/>
    <m/>
    <m/>
    <s v="ESTMT"/>
    <s v="Websphere7, NDM, ODWEK, MQ, IHS"/>
    <s v="AP"/>
    <s v="CBOL"/>
    <s v="AP-CBOL"/>
    <m/>
    <x v="0"/>
    <m/>
    <m/>
    <m/>
    <s v="a"/>
    <m/>
    <m/>
    <x v="120"/>
    <n v="1"/>
    <m/>
    <m/>
    <x v="1"/>
    <s v="IBM P-Series Tier 2"/>
    <s v="pSeries"/>
    <m/>
    <x v="1"/>
    <n v="1"/>
    <m/>
    <n v="2"/>
    <m/>
    <n v="16"/>
    <m/>
    <m/>
    <m/>
    <m/>
    <m/>
    <m/>
    <m/>
    <m/>
    <m/>
    <m/>
    <m/>
    <m/>
    <m/>
    <m/>
    <n v="0"/>
    <n v="100"/>
    <n v="101.10000000000001"/>
    <m/>
    <n v="101.10000000000001"/>
    <m/>
    <m/>
    <m/>
    <n v="0"/>
    <m/>
    <n v="0"/>
    <m/>
    <m/>
    <n v="25.275000000000002"/>
    <n v="3.7912500000000002"/>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829"/>
    <n v="45.495000000000005"/>
    <n v="10.173187500000001"/>
    <n v="884.66818750000004"/>
    <n v="884.66818750000004"/>
    <n v="884.66818750000004"/>
    <n v="829"/>
    <n v="1"/>
    <n v="2"/>
    <n v="16"/>
    <n v="0"/>
    <n v="0"/>
    <n v="0"/>
    <n v="0"/>
    <n v="829"/>
    <n v="0"/>
    <n v="0"/>
    <n v="0"/>
    <n v="0"/>
    <n v="0"/>
    <n v="0"/>
  </r>
  <r>
    <x v="0"/>
    <m/>
    <m/>
    <m/>
    <m/>
    <m/>
    <m/>
    <m/>
    <m/>
    <m/>
    <m/>
    <m/>
    <x v="0"/>
    <s v="FDC"/>
    <m/>
    <m/>
    <x v="1"/>
    <x v="0"/>
    <m/>
    <m/>
    <m/>
    <s v="ESTMT"/>
    <s v="Websphere7, NDM, ODWEK, MQ, IHS"/>
    <s v="AP"/>
    <s v="CBOL"/>
    <s v="AP-CBOL"/>
    <m/>
    <x v="0"/>
    <m/>
    <m/>
    <m/>
    <m/>
    <m/>
    <m/>
    <x v="121"/>
    <n v="1"/>
    <m/>
    <m/>
    <x v="1"/>
    <s v="IBM P-Series Tier 2"/>
    <s v="pSeries"/>
    <m/>
    <x v="1"/>
    <n v="1"/>
    <m/>
    <n v="2"/>
    <m/>
    <n v="16"/>
    <m/>
    <m/>
    <m/>
    <m/>
    <m/>
    <m/>
    <m/>
    <m/>
    <m/>
    <m/>
    <m/>
    <m/>
    <m/>
    <m/>
    <n v="0"/>
    <n v="100"/>
    <n v="101.10000000000001"/>
    <m/>
    <n v="101.10000000000001"/>
    <m/>
    <m/>
    <m/>
    <n v="0"/>
    <m/>
    <n v="0"/>
    <m/>
    <m/>
    <n v="25.275000000000002"/>
    <n v="3.7912500000000002"/>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829"/>
    <n v="45.495000000000005"/>
    <n v="10.173187500000001"/>
    <n v="884.66818750000004"/>
    <n v="884.66818750000004"/>
    <n v="884.66818750000004"/>
    <n v="829"/>
    <n v="1"/>
    <n v="2"/>
    <n v="16"/>
    <n v="0"/>
    <n v="0"/>
    <n v="0"/>
    <n v="0"/>
    <n v="829"/>
    <n v="0"/>
    <n v="0"/>
    <n v="0"/>
    <n v="0"/>
    <n v="0"/>
    <n v="0"/>
  </r>
  <r>
    <x v="0"/>
    <m/>
    <m/>
    <m/>
    <m/>
    <m/>
    <m/>
    <m/>
    <m/>
    <m/>
    <m/>
    <m/>
    <x v="0"/>
    <s v="FDC"/>
    <m/>
    <m/>
    <x v="7"/>
    <x v="2"/>
    <m/>
    <m/>
    <m/>
    <s v="Web Server"/>
    <s v="IBM HTTP x86"/>
    <s v="WW"/>
    <s v="CBOL"/>
    <s v="WW-CBOL"/>
    <m/>
    <x v="1"/>
    <m/>
    <m/>
    <m/>
    <m/>
    <m/>
    <m/>
    <x v="122"/>
    <n v="1"/>
    <m/>
    <m/>
    <x v="0"/>
    <s v="x86 Tier 3"/>
    <s v="x86"/>
    <m/>
    <x v="0"/>
    <n v="2"/>
    <m/>
    <n v="16"/>
    <s v=""/>
    <n v="128"/>
    <m/>
    <m/>
    <m/>
    <m/>
    <m/>
    <m/>
    <m/>
    <m/>
    <m/>
    <m/>
    <m/>
    <m/>
    <m/>
    <m/>
    <n v="202.20000000000002"/>
    <n v="600"/>
    <n v="808.80000000000007"/>
    <m/>
    <n v="808.80000000000007"/>
    <m/>
    <m/>
    <m/>
    <n v="0"/>
    <m/>
    <n v="0"/>
    <m/>
    <m/>
    <n v="202.20000000000002"/>
    <n v="30.330000000000002"/>
    <m/>
    <m/>
    <m/>
    <m/>
    <m/>
    <m/>
    <m/>
    <m/>
    <m/>
    <m/>
    <m/>
    <m/>
    <n v="0"/>
    <n v="0"/>
    <n v="0"/>
    <n v="0"/>
    <n v="0"/>
    <n v="0"/>
    <n v="0"/>
    <n v="0"/>
    <n v="0"/>
    <n v="16"/>
    <n v="0"/>
    <n v="0"/>
    <n v="0"/>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RDC"/>
    <m/>
    <m/>
    <x v="4"/>
    <x v="2"/>
    <m/>
    <m/>
    <m/>
    <s v="Web Server"/>
    <s v="IBM HTTP x86"/>
    <s v="WW"/>
    <s v="CBOL"/>
    <s v="WW-CBOL"/>
    <m/>
    <x v="1"/>
    <m/>
    <m/>
    <m/>
    <m/>
    <m/>
    <m/>
    <x v="123"/>
    <n v="1"/>
    <m/>
    <m/>
    <x v="0"/>
    <s v="x86 Tier 3"/>
    <s v="x86"/>
    <m/>
    <x v="0"/>
    <n v="2"/>
    <m/>
    <n v="16"/>
    <s v=""/>
    <n v="128"/>
    <m/>
    <m/>
    <m/>
    <m/>
    <m/>
    <m/>
    <m/>
    <m/>
    <m/>
    <m/>
    <m/>
    <m/>
    <m/>
    <m/>
    <n v="202.20000000000002"/>
    <n v="600"/>
    <n v="808.80000000000007"/>
    <m/>
    <n v="808.80000000000007"/>
    <m/>
    <m/>
    <m/>
    <n v="0"/>
    <m/>
    <n v="0"/>
    <m/>
    <m/>
    <n v="202.20000000000002"/>
    <n v="30.330000000000002"/>
    <m/>
    <m/>
    <m/>
    <m/>
    <m/>
    <m/>
    <m/>
    <m/>
    <m/>
    <m/>
    <m/>
    <m/>
    <n v="0"/>
    <n v="0"/>
    <n v="0"/>
    <n v="0"/>
    <n v="0"/>
    <n v="0"/>
    <n v="0"/>
    <n v="0"/>
    <n v="0"/>
    <n v="16"/>
    <n v="0"/>
    <n v="0"/>
    <n v="0"/>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FDC"/>
    <m/>
    <m/>
    <x v="7"/>
    <x v="2"/>
    <m/>
    <m/>
    <m/>
    <s v="GR1 App Server"/>
    <s v="IBM WAS x86, CA APM, IBM HTTP x86"/>
    <s v="AP"/>
    <s v="CBOL"/>
    <s v="AP-CBOL"/>
    <m/>
    <x v="1"/>
    <m/>
    <m/>
    <m/>
    <m/>
    <m/>
    <m/>
    <x v="124"/>
    <n v="1"/>
    <m/>
    <m/>
    <x v="0"/>
    <s v="x86 Tier 3"/>
    <s v="x86"/>
    <m/>
    <x v="0"/>
    <n v="2"/>
    <m/>
    <n v="16"/>
    <s v=""/>
    <n v="128"/>
    <m/>
    <m/>
    <m/>
    <m/>
    <m/>
    <m/>
    <m/>
    <m/>
    <m/>
    <m/>
    <m/>
    <m/>
    <m/>
    <m/>
    <n v="202.20000000000002"/>
    <n v="600"/>
    <n v="808.80000000000007"/>
    <m/>
    <n v="808.80000000000007"/>
    <m/>
    <m/>
    <m/>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n v="4102"/>
    <n v="1638"/>
    <n v="888.7"/>
    <n v="363.96000000000004"/>
    <n v="81.385500000000008"/>
    <n v="1334.0455000000002"/>
    <n v="5436.0455000000002"/>
    <n v="2972.0455000000002"/>
    <n v="888.7"/>
    <n v="2"/>
    <n v="16"/>
    <n v="128"/>
    <n v="0"/>
    <n v="0"/>
    <n v="0"/>
    <n v="0"/>
    <n v="608"/>
    <n v="0"/>
    <n v="0"/>
    <n v="93.600000000000009"/>
    <n v="0"/>
    <n v="187.1"/>
    <n v="0"/>
  </r>
  <r>
    <x v="0"/>
    <m/>
    <m/>
    <m/>
    <m/>
    <m/>
    <m/>
    <m/>
    <m/>
    <m/>
    <m/>
    <m/>
    <x v="0"/>
    <s v="RDC"/>
    <m/>
    <m/>
    <x v="4"/>
    <x v="2"/>
    <m/>
    <m/>
    <m/>
    <s v="GR1 App Server"/>
    <s v="IBM WAS x86, CA APM, IBM HTTP x86"/>
    <s v="AP"/>
    <s v="CBOL"/>
    <s v="AP-CBOL"/>
    <m/>
    <x v="1"/>
    <m/>
    <m/>
    <m/>
    <m/>
    <m/>
    <m/>
    <x v="125"/>
    <n v="1"/>
    <m/>
    <m/>
    <x v="0"/>
    <s v="x86 Tier 3"/>
    <s v="x86"/>
    <m/>
    <x v="0"/>
    <n v="2"/>
    <m/>
    <n v="16"/>
    <s v=""/>
    <n v="128"/>
    <m/>
    <m/>
    <m/>
    <m/>
    <m/>
    <m/>
    <m/>
    <m/>
    <m/>
    <m/>
    <m/>
    <m/>
    <m/>
    <m/>
    <n v="202.20000000000002"/>
    <n v="600"/>
    <n v="808.80000000000007"/>
    <m/>
    <n v="808.80000000000007"/>
    <m/>
    <m/>
    <m/>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FDC"/>
    <m/>
    <m/>
    <x v="7"/>
    <x v="2"/>
    <m/>
    <m/>
    <m/>
    <s v="GR2 App Server"/>
    <s v="IBM WAS x86, CA APM, IBM HTTP x86"/>
    <s v="AP"/>
    <s v="CBOL"/>
    <s v="AP-CBOL"/>
    <m/>
    <x v="1"/>
    <m/>
    <m/>
    <m/>
    <m/>
    <m/>
    <m/>
    <x v="126"/>
    <n v="1"/>
    <m/>
    <m/>
    <x v="0"/>
    <s v="x86 Tier 3"/>
    <s v="x86"/>
    <m/>
    <x v="0"/>
    <n v="2"/>
    <m/>
    <n v="16"/>
    <s v=""/>
    <n v="128"/>
    <m/>
    <m/>
    <m/>
    <m/>
    <m/>
    <m/>
    <m/>
    <m/>
    <m/>
    <m/>
    <m/>
    <m/>
    <m/>
    <m/>
    <n v="202.20000000000002"/>
    <n v="600"/>
    <n v="808.80000000000007"/>
    <m/>
    <n v="808.80000000000007"/>
    <m/>
    <m/>
    <m/>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n v="4102"/>
    <n v="1638"/>
    <n v="888.7"/>
    <n v="363.96000000000004"/>
    <n v="81.385500000000008"/>
    <n v="1334.0455000000002"/>
    <n v="5436.0455000000002"/>
    <n v="2972.0455000000002"/>
    <n v="888.7"/>
    <n v="2"/>
    <n v="16"/>
    <n v="128"/>
    <n v="0"/>
    <n v="0"/>
    <n v="0"/>
    <n v="0"/>
    <n v="608"/>
    <n v="0"/>
    <n v="0"/>
    <n v="93.600000000000009"/>
    <n v="0"/>
    <n v="187.1"/>
    <n v="0"/>
  </r>
  <r>
    <x v="0"/>
    <m/>
    <m/>
    <m/>
    <m/>
    <m/>
    <m/>
    <m/>
    <m/>
    <m/>
    <m/>
    <m/>
    <x v="0"/>
    <s v="RDC"/>
    <m/>
    <m/>
    <x v="4"/>
    <x v="2"/>
    <m/>
    <m/>
    <m/>
    <s v="GR2 App Server"/>
    <s v="IBM WAS x86, CA APM, IBM HTTP x86"/>
    <s v="AP"/>
    <s v="CBOL"/>
    <s v="AP-CBOL"/>
    <m/>
    <x v="1"/>
    <m/>
    <m/>
    <m/>
    <m/>
    <m/>
    <m/>
    <x v="127"/>
    <n v="1"/>
    <m/>
    <m/>
    <x v="0"/>
    <s v="x86 Tier 3"/>
    <s v="x86"/>
    <m/>
    <x v="0"/>
    <n v="2"/>
    <m/>
    <n v="16"/>
    <s v=""/>
    <n v="128"/>
    <m/>
    <m/>
    <m/>
    <m/>
    <m/>
    <m/>
    <m/>
    <m/>
    <m/>
    <m/>
    <m/>
    <m/>
    <m/>
    <m/>
    <n v="202.20000000000002"/>
    <n v="600"/>
    <n v="808.80000000000007"/>
    <m/>
    <n v="808.80000000000007"/>
    <m/>
    <m/>
    <m/>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FDC"/>
    <m/>
    <m/>
    <x v="7"/>
    <x v="2"/>
    <m/>
    <m/>
    <m/>
    <s v="GR3 App Server"/>
    <s v="IBM WAS x86, CA APM, IBM HTTP x86"/>
    <s v="AP"/>
    <s v="CBOL"/>
    <s v="AP-CBOL"/>
    <m/>
    <x v="1"/>
    <m/>
    <m/>
    <m/>
    <m/>
    <m/>
    <m/>
    <x v="128"/>
    <n v="1"/>
    <m/>
    <m/>
    <x v="0"/>
    <s v="x86 Tier 3"/>
    <s v="x86"/>
    <m/>
    <x v="0"/>
    <n v="2"/>
    <m/>
    <n v="16"/>
    <s v=""/>
    <n v="128"/>
    <m/>
    <m/>
    <m/>
    <m/>
    <m/>
    <m/>
    <m/>
    <m/>
    <m/>
    <m/>
    <m/>
    <m/>
    <m/>
    <m/>
    <n v="202.20000000000002"/>
    <n v="600"/>
    <n v="808.80000000000007"/>
    <m/>
    <n v="808.80000000000007"/>
    <m/>
    <m/>
    <m/>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n v="4102"/>
    <n v="1638"/>
    <n v="888.7"/>
    <n v="363.96000000000004"/>
    <n v="81.385500000000008"/>
    <n v="1334.0455000000002"/>
    <n v="5436.0455000000002"/>
    <n v="2972.0455000000002"/>
    <n v="888.7"/>
    <n v="2"/>
    <n v="16"/>
    <n v="128"/>
    <n v="0"/>
    <n v="0"/>
    <n v="0"/>
    <n v="0"/>
    <n v="608"/>
    <n v="0"/>
    <n v="0"/>
    <n v="93.600000000000009"/>
    <n v="0"/>
    <n v="187.1"/>
    <n v="0"/>
  </r>
  <r>
    <x v="0"/>
    <m/>
    <m/>
    <m/>
    <m/>
    <m/>
    <m/>
    <m/>
    <m/>
    <m/>
    <m/>
    <m/>
    <x v="0"/>
    <s v="RDC"/>
    <m/>
    <m/>
    <x v="4"/>
    <x v="2"/>
    <m/>
    <m/>
    <m/>
    <s v="GR3 App Server"/>
    <s v="IBM WAS x86, CA APM, IBM HTTP x86"/>
    <s v="AP"/>
    <s v="CBOL"/>
    <s v="AP-CBOL"/>
    <m/>
    <x v="1"/>
    <m/>
    <m/>
    <m/>
    <m/>
    <m/>
    <m/>
    <x v="129"/>
    <n v="1"/>
    <m/>
    <m/>
    <x v="0"/>
    <s v="x86 Tier 3"/>
    <s v="x86"/>
    <m/>
    <x v="0"/>
    <n v="2"/>
    <m/>
    <n v="16"/>
    <s v=""/>
    <n v="128"/>
    <m/>
    <m/>
    <m/>
    <m/>
    <m/>
    <m/>
    <m/>
    <m/>
    <m/>
    <m/>
    <m/>
    <m/>
    <m/>
    <m/>
    <n v="202.20000000000002"/>
    <n v="600"/>
    <n v="808.80000000000007"/>
    <m/>
    <n v="808.80000000000007"/>
    <m/>
    <m/>
    <m/>
    <n v="0"/>
    <m/>
    <n v="0"/>
    <m/>
    <m/>
    <n v="202.20000000000002"/>
    <n v="30.330000000000002"/>
    <m/>
    <m/>
    <m/>
    <m/>
    <m/>
    <m/>
    <m/>
    <m/>
    <m/>
    <m/>
    <s v="Websphere 8.5, IHS, Safenet, Oracle Client"/>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363.96000000000004"/>
    <n v="81.385500000000008"/>
    <n v="1334.0455000000002"/>
    <n v="1334.0455000000002"/>
    <n v="1334.0455000000002"/>
    <n v="888.7"/>
    <n v="2"/>
    <n v="16"/>
    <n v="128"/>
    <n v="0"/>
    <n v="0"/>
    <n v="0"/>
    <n v="0"/>
    <n v="608"/>
    <n v="0"/>
    <n v="0"/>
    <n v="93.600000000000009"/>
    <n v="0"/>
    <n v="187.1"/>
    <n v="0"/>
  </r>
  <r>
    <x v="0"/>
    <m/>
    <m/>
    <m/>
    <m/>
    <m/>
    <m/>
    <m/>
    <m/>
    <m/>
    <m/>
    <m/>
    <x v="0"/>
    <s v="FDC"/>
    <m/>
    <m/>
    <x v="7"/>
    <x v="2"/>
    <m/>
    <m/>
    <m/>
    <s v="DB Server Cluster1"/>
    <s v="Oracle RAC x86"/>
    <s v="DB"/>
    <s v="CBOL"/>
    <s v="DB-CBOL"/>
    <m/>
    <x v="1"/>
    <m/>
    <m/>
    <m/>
    <m/>
    <m/>
    <m/>
    <x v="130"/>
    <n v="1"/>
    <m/>
    <m/>
    <x v="0"/>
    <s v="x86 Tier 3"/>
    <s v="x86"/>
    <m/>
    <x v="0"/>
    <n v="2"/>
    <m/>
    <n v="16"/>
    <s v=""/>
    <n v="128"/>
    <m/>
    <m/>
    <m/>
    <m/>
    <m/>
    <m/>
    <m/>
    <m/>
    <m/>
    <m/>
    <m/>
    <m/>
    <m/>
    <m/>
    <n v="202.20000000000002"/>
    <n v="1650"/>
    <n v="1853.5000000000002"/>
    <m/>
    <n v="1853.5000000000002"/>
    <n v="1500"/>
    <m/>
    <m/>
    <n v="0"/>
    <m/>
    <n v="0"/>
    <m/>
    <m/>
    <n v="838.375"/>
    <n v="125.75624999999999"/>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2350.5750000000003"/>
    <n v="337.44593750000001"/>
    <n v="3576.7209375000007"/>
    <n v="4295.3309375000008"/>
    <n v="3702.5476041666675"/>
    <n v="888.7"/>
    <n v="2"/>
    <n v="16"/>
    <n v="128"/>
    <n v="0"/>
    <n v="0"/>
    <n v="0"/>
    <n v="0"/>
    <n v="608"/>
    <n v="0"/>
    <n v="0"/>
    <n v="93.600000000000009"/>
    <n v="0"/>
    <n v="187.1"/>
    <n v="0"/>
  </r>
  <r>
    <x v="0"/>
    <m/>
    <m/>
    <m/>
    <m/>
    <m/>
    <m/>
    <m/>
    <m/>
    <m/>
    <m/>
    <m/>
    <x v="0"/>
    <s v="FDC"/>
    <m/>
    <m/>
    <x v="7"/>
    <x v="2"/>
    <m/>
    <m/>
    <m/>
    <s v="DB Server Cluster1"/>
    <s v="Oracle RAC x86"/>
    <s v="DB"/>
    <s v="CBOL"/>
    <s v="DB-CBOL"/>
    <m/>
    <x v="1"/>
    <m/>
    <m/>
    <m/>
    <m/>
    <m/>
    <m/>
    <x v="131"/>
    <n v="1"/>
    <m/>
    <m/>
    <x v="0"/>
    <s v="x86 Tier 3"/>
    <s v="x86"/>
    <m/>
    <x v="0"/>
    <n v="2"/>
    <m/>
    <n v="16"/>
    <s v=""/>
    <n v="128"/>
    <m/>
    <m/>
    <m/>
    <m/>
    <m/>
    <m/>
    <m/>
    <m/>
    <m/>
    <m/>
    <m/>
    <m/>
    <m/>
    <m/>
    <n v="202.20000000000002"/>
    <n v="150"/>
    <n v="370.70000000000005"/>
    <m/>
    <n v="370.70000000000005"/>
    <m/>
    <m/>
    <m/>
    <n v="0"/>
    <m/>
    <n v="0"/>
    <m/>
    <m/>
    <n v="92.675000000000011"/>
    <n v="13.90125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166.81500000000003"/>
    <n v="37.3016875"/>
    <n v="1092.8166875000002"/>
    <n v="1811.4266875000003"/>
    <n v="1218.6433541666668"/>
    <n v="888.7"/>
    <n v="2"/>
    <n v="16"/>
    <n v="128"/>
    <n v="0"/>
    <n v="0"/>
    <n v="0"/>
    <n v="0"/>
    <n v="608"/>
    <n v="0"/>
    <n v="0"/>
    <n v="93.600000000000009"/>
    <n v="0"/>
    <n v="187.1"/>
    <n v="0"/>
  </r>
  <r>
    <x v="0"/>
    <m/>
    <m/>
    <m/>
    <m/>
    <m/>
    <m/>
    <m/>
    <m/>
    <m/>
    <m/>
    <m/>
    <x v="0"/>
    <s v="FDC"/>
    <m/>
    <m/>
    <x v="7"/>
    <x v="2"/>
    <m/>
    <m/>
    <m/>
    <s v="Data Guard Cluster1"/>
    <s v="Oracle RAC x86"/>
    <s v="DB"/>
    <s v="CBOL"/>
    <s v="DB-CBOL"/>
    <m/>
    <x v="1"/>
    <m/>
    <m/>
    <m/>
    <m/>
    <m/>
    <m/>
    <x v="132"/>
    <n v="1"/>
    <m/>
    <m/>
    <x v="0"/>
    <s v="x86 Tier 3"/>
    <s v="x86"/>
    <m/>
    <x v="0"/>
    <n v="2"/>
    <m/>
    <n v="16"/>
    <s v=""/>
    <n v="128"/>
    <m/>
    <m/>
    <m/>
    <m/>
    <m/>
    <m/>
    <m/>
    <m/>
    <m/>
    <m/>
    <m/>
    <m/>
    <m/>
    <m/>
    <n v="202.20000000000002"/>
    <n v="1650"/>
    <n v="1853.5000000000002"/>
    <m/>
    <n v="1853.5000000000002"/>
    <n v="1500"/>
    <m/>
    <m/>
    <n v="0"/>
    <m/>
    <n v="0"/>
    <m/>
    <m/>
    <n v="838.375"/>
    <n v="125.75624999999999"/>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2350.5750000000003"/>
    <n v="337.44593750000001"/>
    <n v="3576.7209375000007"/>
    <n v="4295.3309375000008"/>
    <n v="3702.5476041666675"/>
    <n v="888.7"/>
    <n v="2"/>
    <n v="16"/>
    <n v="128"/>
    <n v="0"/>
    <n v="0"/>
    <n v="0"/>
    <n v="0"/>
    <n v="608"/>
    <n v="0"/>
    <n v="0"/>
    <n v="93.600000000000009"/>
    <n v="0"/>
    <n v="187.1"/>
    <n v="0"/>
  </r>
  <r>
    <x v="0"/>
    <m/>
    <m/>
    <m/>
    <m/>
    <m/>
    <m/>
    <m/>
    <m/>
    <m/>
    <m/>
    <m/>
    <x v="0"/>
    <s v="FDC"/>
    <m/>
    <m/>
    <x v="7"/>
    <x v="2"/>
    <m/>
    <m/>
    <m/>
    <s v="Data Guard Cluster1"/>
    <s v="Oracle RAC x86"/>
    <s v="DB"/>
    <s v="CBOL"/>
    <s v="DB-CBOL"/>
    <m/>
    <x v="1"/>
    <m/>
    <m/>
    <m/>
    <m/>
    <m/>
    <m/>
    <x v="133"/>
    <n v="1"/>
    <m/>
    <m/>
    <x v="0"/>
    <s v="x86 Tier 3"/>
    <s v="x86"/>
    <m/>
    <x v="0"/>
    <n v="2"/>
    <m/>
    <n v="16"/>
    <s v=""/>
    <n v="128"/>
    <m/>
    <m/>
    <m/>
    <m/>
    <m/>
    <m/>
    <m/>
    <m/>
    <m/>
    <m/>
    <m/>
    <m/>
    <m/>
    <m/>
    <n v="202.20000000000002"/>
    <n v="150"/>
    <n v="370.70000000000005"/>
    <m/>
    <n v="370.70000000000005"/>
    <m/>
    <m/>
    <m/>
    <n v="0"/>
    <m/>
    <n v="0"/>
    <m/>
    <m/>
    <n v="92.675000000000011"/>
    <n v="13.90125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166.81500000000003"/>
    <n v="37.3016875"/>
    <n v="1092.8166875000002"/>
    <n v="1811.4266875000003"/>
    <n v="1218.6433541666668"/>
    <n v="888.7"/>
    <n v="2"/>
    <n v="16"/>
    <n v="128"/>
    <n v="0"/>
    <n v="0"/>
    <n v="0"/>
    <n v="0"/>
    <n v="608"/>
    <n v="0"/>
    <n v="0"/>
    <n v="93.600000000000009"/>
    <n v="0"/>
    <n v="187.1"/>
    <n v="0"/>
  </r>
  <r>
    <x v="0"/>
    <m/>
    <m/>
    <m/>
    <m/>
    <m/>
    <m/>
    <m/>
    <m/>
    <m/>
    <m/>
    <m/>
    <x v="0"/>
    <s v="FDC"/>
    <m/>
    <m/>
    <x v="7"/>
    <x v="2"/>
    <m/>
    <m/>
    <m/>
    <s v="DB Server Cluster2"/>
    <s v="Oracle RAC x86"/>
    <s v="DB"/>
    <s v="CBOL"/>
    <s v="DB-CBOL"/>
    <m/>
    <x v="1"/>
    <m/>
    <m/>
    <m/>
    <m/>
    <m/>
    <m/>
    <x v="134"/>
    <n v="1"/>
    <m/>
    <m/>
    <x v="0"/>
    <s v="x86 Tier 3"/>
    <s v="x86"/>
    <m/>
    <x v="0"/>
    <n v="2"/>
    <m/>
    <n v="16"/>
    <s v=""/>
    <n v="128"/>
    <m/>
    <m/>
    <m/>
    <m/>
    <m/>
    <m/>
    <m/>
    <m/>
    <m/>
    <m/>
    <m/>
    <m/>
    <m/>
    <m/>
    <n v="202.20000000000002"/>
    <n v="1650"/>
    <n v="1853.5000000000002"/>
    <m/>
    <n v="1853.5000000000002"/>
    <n v="1500"/>
    <m/>
    <m/>
    <n v="0"/>
    <m/>
    <n v="0"/>
    <m/>
    <m/>
    <n v="838.375"/>
    <n v="125.75624999999999"/>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2350.5750000000003"/>
    <n v="337.44593750000001"/>
    <n v="3576.7209375000007"/>
    <n v="4295.3309375000008"/>
    <n v="3702.5476041666675"/>
    <n v="888.7"/>
    <n v="2"/>
    <n v="16"/>
    <n v="128"/>
    <n v="0"/>
    <n v="0"/>
    <n v="0"/>
    <n v="0"/>
    <n v="608"/>
    <n v="0"/>
    <n v="0"/>
    <n v="93.600000000000009"/>
    <n v="0"/>
    <n v="187.1"/>
    <n v="0"/>
  </r>
  <r>
    <x v="0"/>
    <m/>
    <m/>
    <m/>
    <m/>
    <m/>
    <m/>
    <m/>
    <m/>
    <m/>
    <m/>
    <m/>
    <x v="0"/>
    <s v="FDC"/>
    <m/>
    <m/>
    <x v="7"/>
    <x v="2"/>
    <m/>
    <m/>
    <m/>
    <s v="DB Server Cluster2"/>
    <s v="Oracle RAC x86"/>
    <s v="DB"/>
    <s v="CBOL"/>
    <s v="DB-CBOL"/>
    <m/>
    <x v="1"/>
    <m/>
    <m/>
    <m/>
    <m/>
    <m/>
    <m/>
    <x v="135"/>
    <n v="1"/>
    <m/>
    <m/>
    <x v="0"/>
    <s v="x86 Tier 3"/>
    <s v="x86"/>
    <m/>
    <x v="0"/>
    <n v="2"/>
    <m/>
    <n v="16"/>
    <s v=""/>
    <n v="128"/>
    <m/>
    <m/>
    <m/>
    <m/>
    <m/>
    <m/>
    <m/>
    <m/>
    <m/>
    <m/>
    <m/>
    <m/>
    <m/>
    <m/>
    <n v="202.20000000000002"/>
    <n v="150"/>
    <n v="370.70000000000005"/>
    <m/>
    <n v="370.70000000000005"/>
    <m/>
    <m/>
    <m/>
    <n v="0"/>
    <m/>
    <n v="0"/>
    <m/>
    <m/>
    <n v="92.675000000000011"/>
    <n v="13.90125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166.81500000000003"/>
    <n v="37.3016875"/>
    <n v="1092.8166875000002"/>
    <n v="1811.4266875000003"/>
    <n v="1218.6433541666668"/>
    <n v="888.7"/>
    <n v="2"/>
    <n v="16"/>
    <n v="128"/>
    <n v="0"/>
    <n v="0"/>
    <n v="0"/>
    <n v="0"/>
    <n v="608"/>
    <n v="0"/>
    <n v="0"/>
    <n v="93.600000000000009"/>
    <n v="0"/>
    <n v="187.1"/>
    <n v="0"/>
  </r>
  <r>
    <x v="0"/>
    <m/>
    <m/>
    <m/>
    <m/>
    <m/>
    <m/>
    <m/>
    <m/>
    <m/>
    <m/>
    <m/>
    <x v="0"/>
    <s v="FDC"/>
    <m/>
    <m/>
    <x v="7"/>
    <x v="2"/>
    <m/>
    <m/>
    <m/>
    <s v="Data Guard Cluster2"/>
    <s v="Oracle RAC x86"/>
    <s v="DB"/>
    <s v="CBOL"/>
    <s v="DB-CBOL"/>
    <m/>
    <x v="1"/>
    <m/>
    <m/>
    <m/>
    <m/>
    <m/>
    <m/>
    <x v="136"/>
    <n v="1"/>
    <m/>
    <m/>
    <x v="0"/>
    <s v="x86 Tier 3"/>
    <s v="x86"/>
    <m/>
    <x v="0"/>
    <n v="2"/>
    <m/>
    <n v="16"/>
    <m/>
    <n v="128"/>
    <m/>
    <m/>
    <m/>
    <m/>
    <m/>
    <m/>
    <m/>
    <m/>
    <m/>
    <m/>
    <m/>
    <m/>
    <m/>
    <m/>
    <n v="202.20000000000002"/>
    <n v="1650"/>
    <n v="1853.5000000000002"/>
    <m/>
    <n v="1853.5000000000002"/>
    <n v="1500"/>
    <m/>
    <m/>
    <n v="0"/>
    <m/>
    <n v="0"/>
    <m/>
    <m/>
    <n v="838.375"/>
    <n v="125.75624999999999"/>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2350.5750000000003"/>
    <n v="337.44593750000001"/>
    <n v="3576.7209375000007"/>
    <n v="4295.3309375000008"/>
    <n v="3702.5476041666675"/>
    <n v="888.7"/>
    <n v="2"/>
    <n v="16"/>
    <n v="128"/>
    <n v="0"/>
    <n v="0"/>
    <n v="0"/>
    <n v="0"/>
    <n v="608"/>
    <n v="0"/>
    <n v="0"/>
    <n v="93.600000000000009"/>
    <n v="0"/>
    <n v="187.1"/>
    <n v="0"/>
  </r>
  <r>
    <x v="0"/>
    <m/>
    <m/>
    <m/>
    <m/>
    <m/>
    <m/>
    <m/>
    <m/>
    <m/>
    <m/>
    <m/>
    <x v="0"/>
    <s v="FDC"/>
    <m/>
    <m/>
    <x v="7"/>
    <x v="2"/>
    <m/>
    <m/>
    <m/>
    <s v="Data Guard Cluster2"/>
    <s v="Oracle RAC x86"/>
    <s v="DB"/>
    <s v="CBOL"/>
    <s v="DB-CBOL"/>
    <m/>
    <x v="1"/>
    <m/>
    <m/>
    <m/>
    <m/>
    <m/>
    <m/>
    <x v="137"/>
    <n v="1"/>
    <m/>
    <m/>
    <x v="0"/>
    <s v="x86 Tier 3"/>
    <s v="x86"/>
    <m/>
    <x v="0"/>
    <n v="2"/>
    <m/>
    <n v="16"/>
    <m/>
    <n v="128"/>
    <m/>
    <m/>
    <m/>
    <m/>
    <m/>
    <m/>
    <m/>
    <m/>
    <m/>
    <m/>
    <m/>
    <m/>
    <m/>
    <m/>
    <n v="202.20000000000002"/>
    <n v="150"/>
    <n v="370.70000000000005"/>
    <m/>
    <n v="370.70000000000005"/>
    <m/>
    <m/>
    <m/>
    <n v="0"/>
    <m/>
    <n v="0"/>
    <m/>
    <m/>
    <n v="92.675000000000011"/>
    <n v="13.901250000000001"/>
    <m/>
    <m/>
    <m/>
    <m/>
    <m/>
    <m/>
    <m/>
    <m/>
    <m/>
    <m/>
    <m/>
    <m/>
    <n v="0"/>
    <n v="0"/>
    <n v="0"/>
    <n v="0"/>
    <n v="0"/>
    <n v="0"/>
    <n v="0"/>
    <n v="0"/>
    <n v="0"/>
    <n v="0"/>
    <n v="0"/>
    <n v="0"/>
    <n v="0"/>
    <n v="0"/>
    <n v="0"/>
    <n v="0"/>
    <n v="0"/>
    <n v="0"/>
    <n v="0"/>
    <n v="0"/>
    <n v="0"/>
    <n v="0"/>
    <n v="0"/>
    <n v="0"/>
    <n v="0"/>
    <n v="0"/>
    <n v="0"/>
    <n v="0"/>
    <n v="0"/>
    <n v="0"/>
    <n v="0"/>
    <n v="0"/>
    <n v="0"/>
    <n v="0"/>
    <n v="0"/>
    <n v="0"/>
    <n v="16"/>
    <n v="0"/>
    <n v="0"/>
    <n v="0"/>
    <n v="0"/>
    <n v="0"/>
    <n v="0"/>
    <n v="0"/>
    <n v="0"/>
    <n v="0"/>
    <n v="0"/>
    <n v="0"/>
    <n v="0"/>
    <n v="0"/>
    <n v="0"/>
    <n v="0"/>
    <m/>
    <n v="718.61"/>
    <n v="125.82666666666667"/>
    <n v="888.7"/>
    <n v="166.81500000000003"/>
    <n v="37.3016875"/>
    <n v="1092.8166875000002"/>
    <n v="1811.4266875000003"/>
    <n v="1218.6433541666668"/>
    <n v="888.7"/>
    <n v="2"/>
    <n v="16"/>
    <n v="128"/>
    <n v="0"/>
    <n v="0"/>
    <n v="0"/>
    <n v="0"/>
    <n v="608"/>
    <n v="0"/>
    <n v="0"/>
    <n v="93.600000000000009"/>
    <n v="0"/>
    <n v="187.1"/>
    <n v="0"/>
  </r>
  <r>
    <x v="0"/>
    <m/>
    <m/>
    <m/>
    <m/>
    <m/>
    <m/>
    <m/>
    <m/>
    <m/>
    <m/>
    <m/>
    <x v="0"/>
    <s v="FDC"/>
    <m/>
    <m/>
    <x v="7"/>
    <x v="2"/>
    <m/>
    <m/>
    <m/>
    <s v="CitiAlert Server"/>
    <s v="java, MQ7, NDM"/>
    <s v="AP"/>
    <s v="CBOL"/>
    <s v="AP-CBOL"/>
    <m/>
    <x v="1"/>
    <m/>
    <m/>
    <m/>
    <m/>
    <m/>
    <m/>
    <x v="138"/>
    <n v="1"/>
    <m/>
    <m/>
    <x v="1"/>
    <s v="IBM P-Series Tier 2"/>
    <s v="pSeries"/>
    <m/>
    <x v="1"/>
    <n v="1"/>
    <m/>
    <n v="1"/>
    <m/>
    <n v="32"/>
    <m/>
    <m/>
    <m/>
    <m/>
    <m/>
    <m/>
    <m/>
    <m/>
    <m/>
    <m/>
    <m/>
    <m/>
    <m/>
    <m/>
    <n v="0"/>
    <n v="600"/>
    <n v="606.6"/>
    <m/>
    <n v="606.6"/>
    <n v="500"/>
    <m/>
    <m/>
    <n v="0"/>
    <m/>
    <n v="0"/>
    <m/>
    <m/>
    <n v="276.64999999999998"/>
    <n v="41.497499999999995"/>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1160.0999999999999"/>
    <n v="778.47"/>
    <n v="111.35162499999998"/>
    <n v="2049.9216249999999"/>
    <n v="2049.9216249999999"/>
    <n v="2049.9216249999999"/>
    <n v="1160.0999999999999"/>
    <n v="1"/>
    <n v="1"/>
    <n v="32"/>
    <n v="0"/>
    <n v="0"/>
    <n v="0"/>
    <n v="0"/>
    <n v="829"/>
    <n v="0"/>
    <n v="0"/>
    <n v="144"/>
    <n v="0"/>
    <n v="187.1"/>
    <n v="0"/>
  </r>
  <r>
    <x v="0"/>
    <m/>
    <m/>
    <m/>
    <m/>
    <m/>
    <m/>
    <m/>
    <m/>
    <m/>
    <m/>
    <m/>
    <x v="0"/>
    <s v="FDC"/>
    <m/>
    <m/>
    <x v="7"/>
    <x v="2"/>
    <m/>
    <m/>
    <m/>
    <s v="CitiAlert Server"/>
    <s v="java, MQ7, NDM"/>
    <s v="AP"/>
    <s v="CBOL"/>
    <s v="AP-CBOL"/>
    <m/>
    <x v="1"/>
    <m/>
    <m/>
    <m/>
    <m/>
    <m/>
    <m/>
    <x v="139"/>
    <n v="1"/>
    <m/>
    <m/>
    <x v="1"/>
    <s v="IBM P-Series Tier 2"/>
    <s v="pSeries"/>
    <m/>
    <x v="1"/>
    <n v="1"/>
    <m/>
    <n v="1"/>
    <m/>
    <n v="32"/>
    <m/>
    <m/>
    <m/>
    <m/>
    <m/>
    <m/>
    <m/>
    <m/>
    <m/>
    <m/>
    <m/>
    <m/>
    <m/>
    <m/>
    <n v="0"/>
    <n v="100"/>
    <n v="101.10000000000001"/>
    <m/>
    <n v="101.10000000000001"/>
    <m/>
    <m/>
    <m/>
    <n v="0"/>
    <m/>
    <n v="0"/>
    <m/>
    <m/>
    <n v="25.275000000000002"/>
    <n v="3.7912500000000002"/>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1160.0999999999999"/>
    <n v="45.495000000000005"/>
    <n v="10.173187500000001"/>
    <n v="1215.7681874999998"/>
    <n v="1215.7681874999998"/>
    <n v="1215.7681874999998"/>
    <n v="1160.0999999999999"/>
    <n v="1"/>
    <n v="1"/>
    <n v="32"/>
    <n v="0"/>
    <n v="0"/>
    <n v="0"/>
    <n v="0"/>
    <n v="829"/>
    <n v="0"/>
    <n v="0"/>
    <n v="144"/>
    <n v="0"/>
    <n v="187.1"/>
    <n v="0"/>
  </r>
  <r>
    <x v="0"/>
    <m/>
    <m/>
    <m/>
    <m/>
    <m/>
    <m/>
    <m/>
    <m/>
    <m/>
    <m/>
    <m/>
    <x v="0"/>
    <s v="FDC"/>
    <m/>
    <m/>
    <x v="7"/>
    <x v="2"/>
    <m/>
    <m/>
    <m/>
    <s v="ESTMT"/>
    <s v="Websphere7, NDM, ODWEK, MQ, IHS"/>
    <s v="AP"/>
    <s v="CBOL"/>
    <s v="AP-CBOL"/>
    <m/>
    <x v="0"/>
    <m/>
    <m/>
    <m/>
    <s v="a"/>
    <m/>
    <m/>
    <x v="140"/>
    <n v="1"/>
    <m/>
    <m/>
    <x v="1"/>
    <s v="IBM P-Series Tier 2"/>
    <s v="pSeries"/>
    <m/>
    <x v="1"/>
    <n v="1"/>
    <m/>
    <n v="1"/>
    <m/>
    <n v="16"/>
    <m/>
    <m/>
    <m/>
    <m/>
    <m/>
    <m/>
    <m/>
    <m/>
    <m/>
    <m/>
    <m/>
    <m/>
    <m/>
    <m/>
    <n v="0"/>
    <n v="60"/>
    <n v="67.400000000000006"/>
    <m/>
    <n v="67.400000000000006"/>
    <m/>
    <m/>
    <m/>
    <n v="0"/>
    <m/>
    <n v="0"/>
    <m/>
    <m/>
    <n v="16.850000000000001"/>
    <n v="2.5275000000000003"/>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829"/>
    <n v="30.330000000000002"/>
    <n v="6.7821249999999997"/>
    <n v="866.11212499999999"/>
    <n v="866.11212499999999"/>
    <n v="866.11212499999999"/>
    <n v="829"/>
    <n v="1"/>
    <n v="1"/>
    <n v="16"/>
    <n v="0"/>
    <n v="0"/>
    <n v="0"/>
    <n v="0"/>
    <n v="829"/>
    <n v="0"/>
    <n v="0"/>
    <n v="0"/>
    <n v="0"/>
    <n v="0"/>
    <n v="0"/>
  </r>
  <r>
    <x v="0"/>
    <m/>
    <m/>
    <m/>
    <m/>
    <m/>
    <m/>
    <m/>
    <m/>
    <m/>
    <m/>
    <m/>
    <x v="0"/>
    <s v="HKDC"/>
    <m/>
    <m/>
    <x v="8"/>
    <x v="3"/>
    <m/>
    <m/>
    <m/>
    <s v="Web Server"/>
    <s v="IBM HTTP Server, WAS Plugin"/>
    <s v="WW"/>
    <s v="CBOL"/>
    <s v="WW-CBOL"/>
    <m/>
    <x v="1"/>
    <m/>
    <m/>
    <m/>
    <m/>
    <m/>
    <m/>
    <x v="141"/>
    <n v="1"/>
    <m/>
    <m/>
    <x v="0"/>
    <s v="x86 Tier 3"/>
    <s v="x86"/>
    <m/>
    <x v="0"/>
    <n v="2"/>
    <m/>
    <n v="16"/>
    <s v=""/>
    <n v="128"/>
    <m/>
    <m/>
    <m/>
    <m/>
    <m/>
    <m/>
    <m/>
    <m/>
    <m/>
    <m/>
    <m/>
    <m/>
    <m/>
    <m/>
    <n v="202.20000000000002"/>
    <n v="700"/>
    <n v="909.90000000000009"/>
    <m/>
    <n v="909.90000000000009"/>
    <m/>
    <m/>
    <m/>
    <n v="0"/>
    <m/>
    <n v="0"/>
    <m/>
    <m/>
    <n v="227.47500000000002"/>
    <n v="34.121250000000003"/>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n v="0"/>
    <n v="0"/>
    <n v="888.7"/>
    <n v="409.45500000000004"/>
    <n v="91.558687500000019"/>
    <n v="1389.7136875000001"/>
    <n v="1389.7136875000001"/>
    <n v="1389.7136875000001"/>
    <n v="888.7"/>
    <n v="2"/>
    <n v="16"/>
    <n v="128"/>
    <n v="0"/>
    <n v="0"/>
    <n v="0"/>
    <n v="0"/>
    <n v="608"/>
    <n v="0"/>
    <n v="0"/>
    <n v="93.600000000000009"/>
    <n v="0"/>
    <n v="187.1"/>
    <n v="0"/>
  </r>
  <r>
    <x v="0"/>
    <m/>
    <m/>
    <m/>
    <m/>
    <m/>
    <m/>
    <m/>
    <m/>
    <m/>
    <m/>
    <m/>
    <x v="0"/>
    <s v="HKDC"/>
    <m/>
    <m/>
    <x v="5"/>
    <x v="3"/>
    <m/>
    <m/>
    <m/>
    <s v="GR1 App Server"/>
    <s v="IBM WAS x86, CA APM, IBM HTTP x86"/>
    <s v="AP"/>
    <s v="CBOL"/>
    <s v="AP-CBOL"/>
    <m/>
    <x v="1"/>
    <m/>
    <m/>
    <m/>
    <m/>
    <m/>
    <m/>
    <x v="142"/>
    <n v="1"/>
    <m/>
    <m/>
    <x v="0"/>
    <s v="x86 Tier 3"/>
    <s v="x86"/>
    <m/>
    <x v="0"/>
    <n v="2"/>
    <m/>
    <n v="16"/>
    <s v=""/>
    <n v="128"/>
    <m/>
    <m/>
    <m/>
    <m/>
    <m/>
    <m/>
    <m/>
    <m/>
    <m/>
    <m/>
    <m/>
    <m/>
    <m/>
    <m/>
    <n v="202.20000000000002"/>
    <n v="600"/>
    <n v="808.80000000000007"/>
    <m/>
    <n v="808.80000000000007"/>
    <m/>
    <m/>
    <m/>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HKDC"/>
    <m/>
    <m/>
    <x v="5"/>
    <x v="3"/>
    <m/>
    <m/>
    <m/>
    <s v="GR2 App Server"/>
    <s v="IBM WAS x86, CA APM, IBM HTTP x86"/>
    <s v="AP"/>
    <s v="CBOL"/>
    <s v="AP-CBOL"/>
    <m/>
    <x v="1"/>
    <m/>
    <m/>
    <m/>
    <m/>
    <m/>
    <m/>
    <x v="143"/>
    <n v="1"/>
    <m/>
    <m/>
    <x v="0"/>
    <s v="x86 Tier 3"/>
    <s v="x86"/>
    <m/>
    <x v="0"/>
    <n v="2"/>
    <m/>
    <n v="16"/>
    <s v=""/>
    <n v="128"/>
    <m/>
    <m/>
    <m/>
    <m/>
    <m/>
    <m/>
    <m/>
    <m/>
    <m/>
    <m/>
    <m/>
    <m/>
    <m/>
    <m/>
    <n v="202.20000000000002"/>
    <n v="600"/>
    <n v="808.80000000000007"/>
    <m/>
    <n v="808.80000000000007"/>
    <m/>
    <m/>
    <m/>
    <n v="0"/>
    <m/>
    <n v="0"/>
    <m/>
    <m/>
    <n v="202.20000000000002"/>
    <n v="30.330000000000002"/>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m/>
    <m/>
    <n v="888.7"/>
    <n v="363.96000000000004"/>
    <n v="81.385500000000008"/>
    <n v="1334.0455000000002"/>
    <n v="1334.0455000000002"/>
    <n v="1334.0455000000002"/>
    <n v="888.7"/>
    <n v="2"/>
    <n v="16"/>
    <n v="128"/>
    <n v="0"/>
    <n v="0"/>
    <n v="0"/>
    <n v="0"/>
    <n v="608"/>
    <n v="0"/>
    <n v="0"/>
    <n v="93.600000000000009"/>
    <n v="0"/>
    <n v="187.1"/>
    <n v="0"/>
  </r>
  <r>
    <x v="0"/>
    <m/>
    <m/>
    <m/>
    <m/>
    <m/>
    <m/>
    <m/>
    <m/>
    <m/>
    <m/>
    <m/>
    <x v="0"/>
    <s v="HKDC"/>
    <m/>
    <m/>
    <x v="9"/>
    <x v="4"/>
    <m/>
    <m/>
    <m/>
    <s v="GR1 App Server"/>
    <s v="IBM WAS x86, CA APM, IBM HTTP x86"/>
    <s v="AP"/>
    <s v="CBOL"/>
    <s v="AP-CBOL"/>
    <m/>
    <x v="1"/>
    <m/>
    <m/>
    <m/>
    <m/>
    <m/>
    <m/>
    <x v="144"/>
    <n v="1"/>
    <m/>
    <m/>
    <x v="0"/>
    <s v="x86 Tier 3"/>
    <s v="x86"/>
    <m/>
    <x v="0"/>
    <n v="2"/>
    <m/>
    <n v="16"/>
    <s v=""/>
    <n v="128"/>
    <m/>
    <m/>
    <m/>
    <m/>
    <m/>
    <m/>
    <m/>
    <m/>
    <m/>
    <m/>
    <m/>
    <m/>
    <m/>
    <m/>
    <n v="202.20000000000002"/>
    <n v="800"/>
    <n v="1011.0000000000001"/>
    <m/>
    <n v="1011.0000000000001"/>
    <m/>
    <m/>
    <m/>
    <n v="0"/>
    <m/>
    <n v="0"/>
    <m/>
    <m/>
    <n v="252.75000000000003"/>
    <n v="37.912500000000001"/>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454.95000000000005"/>
    <n v="101.731875"/>
    <n v="1445.381875"/>
    <n v="1445.381875"/>
    <n v="1445.381875"/>
    <n v="888.7"/>
    <n v="2"/>
    <n v="16"/>
    <n v="128"/>
    <n v="0"/>
    <n v="0"/>
    <n v="0"/>
    <n v="0"/>
    <n v="608"/>
    <n v="0"/>
    <n v="0"/>
    <n v="93.600000000000009"/>
    <n v="0"/>
    <n v="187.1"/>
    <n v="0"/>
  </r>
  <r>
    <x v="0"/>
    <m/>
    <m/>
    <m/>
    <m/>
    <m/>
    <m/>
    <m/>
    <m/>
    <m/>
    <m/>
    <m/>
    <x v="0"/>
    <s v="HKDC"/>
    <m/>
    <m/>
    <x v="9"/>
    <x v="4"/>
    <m/>
    <m/>
    <m/>
    <s v="GR2 App Server"/>
    <s v="IBM WAS x86, CA APM, IBM HTTP x86"/>
    <s v="AP"/>
    <s v="CBOL"/>
    <s v="AP-CBOL"/>
    <m/>
    <x v="1"/>
    <m/>
    <m/>
    <m/>
    <m/>
    <m/>
    <m/>
    <x v="145"/>
    <n v="1"/>
    <m/>
    <m/>
    <x v="0"/>
    <s v="x86 Tier 3"/>
    <s v="x86"/>
    <m/>
    <x v="0"/>
    <n v="2"/>
    <m/>
    <n v="16"/>
    <s v=""/>
    <n v="128"/>
    <m/>
    <m/>
    <m/>
    <m/>
    <m/>
    <m/>
    <m/>
    <m/>
    <m/>
    <m/>
    <m/>
    <m/>
    <m/>
    <m/>
    <n v="202.20000000000002"/>
    <n v="800"/>
    <n v="1011.0000000000001"/>
    <m/>
    <n v="1011.0000000000001"/>
    <m/>
    <m/>
    <m/>
    <n v="0"/>
    <m/>
    <n v="0"/>
    <m/>
    <m/>
    <n v="252.75000000000003"/>
    <n v="37.912500000000001"/>
    <m/>
    <m/>
    <m/>
    <m/>
    <m/>
    <m/>
    <m/>
    <m/>
    <m/>
    <m/>
    <m/>
    <m/>
    <n v="0"/>
    <n v="1"/>
    <n v="0"/>
    <n v="0"/>
    <n v="0"/>
    <n v="0"/>
    <n v="0"/>
    <n v="0"/>
    <n v="0"/>
    <n v="16"/>
    <n v="0"/>
    <n v="0"/>
    <n v="16"/>
    <n v="0"/>
    <n v="0"/>
    <n v="0"/>
    <n v="0"/>
    <n v="0"/>
    <n v="0"/>
    <n v="0"/>
    <n v="0"/>
    <n v="0"/>
    <n v="0"/>
    <n v="0"/>
    <n v="0"/>
    <n v="0"/>
    <n v="0"/>
    <n v="0"/>
    <n v="0"/>
    <n v="0"/>
    <n v="0"/>
    <n v="0"/>
    <n v="0"/>
    <n v="0"/>
    <n v="0"/>
    <n v="0"/>
    <n v="0"/>
    <n v="0"/>
    <n v="0"/>
    <n v="0"/>
    <n v="0"/>
    <n v="0"/>
    <n v="0"/>
    <n v="0"/>
    <n v="0"/>
    <n v="0"/>
    <n v="0"/>
    <n v="0"/>
    <n v="0"/>
    <n v="0"/>
    <n v="0"/>
    <n v="0"/>
    <m/>
    <n v="0"/>
    <n v="0"/>
    <n v="888.7"/>
    <n v="454.95000000000005"/>
    <n v="101.731875"/>
    <n v="1445.381875"/>
    <n v="1445.381875"/>
    <n v="1445.381875"/>
    <n v="888.7"/>
    <n v="2"/>
    <n v="16"/>
    <n v="128"/>
    <n v="0"/>
    <n v="0"/>
    <n v="0"/>
    <n v="0"/>
    <n v="608"/>
    <n v="0"/>
    <n v="0"/>
    <n v="93.600000000000009"/>
    <n v="0"/>
    <n v="187.1"/>
    <n v="0"/>
  </r>
  <r>
    <x v="0"/>
    <m/>
    <m/>
    <m/>
    <m/>
    <m/>
    <m/>
    <m/>
    <m/>
    <m/>
    <m/>
    <m/>
    <x v="0"/>
    <s v="HKDC"/>
    <m/>
    <m/>
    <x v="5"/>
    <x v="3"/>
    <m/>
    <m/>
    <m/>
    <s v="DB Server"/>
    <s v="Oracle 11G, AWR"/>
    <s v="DB"/>
    <s v="CBOL"/>
    <s v="DB-CBOL"/>
    <m/>
    <x v="1"/>
    <m/>
    <m/>
    <m/>
    <m/>
    <m/>
    <m/>
    <x v="146"/>
    <n v="1"/>
    <m/>
    <m/>
    <x v="0"/>
    <s v="x86 Tier 3"/>
    <s v="x86"/>
    <m/>
    <x v="0"/>
    <n v="2"/>
    <m/>
    <n v="16"/>
    <m/>
    <n v="128"/>
    <m/>
    <m/>
    <m/>
    <m/>
    <m/>
    <m/>
    <m/>
    <m/>
    <m/>
    <m/>
    <m/>
    <m/>
    <m/>
    <m/>
    <n v="202.20000000000002"/>
    <n v="1500"/>
    <n v="1718.7000000000003"/>
    <m/>
    <n v="1718.7000000000003"/>
    <m/>
    <m/>
    <m/>
    <n v="0"/>
    <m/>
    <n v="0"/>
    <m/>
    <m/>
    <n v="429.67500000000007"/>
    <n v="64.451250000000002"/>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888.7"/>
    <n v="773.41500000000019"/>
    <n v="172.94418750000003"/>
    <n v="1835.0591875000002"/>
    <n v="1835.0591875000002"/>
    <n v="1835.0591875000002"/>
    <n v="888.7"/>
    <n v="2"/>
    <n v="16"/>
    <n v="128"/>
    <n v="0"/>
    <n v="0"/>
    <n v="0"/>
    <n v="0"/>
    <n v="608"/>
    <n v="0"/>
    <n v="0"/>
    <n v="93.600000000000009"/>
    <n v="0"/>
    <n v="187.1"/>
    <n v="0"/>
  </r>
  <r>
    <x v="0"/>
    <m/>
    <m/>
    <m/>
    <m/>
    <m/>
    <m/>
    <m/>
    <m/>
    <m/>
    <m/>
    <m/>
    <x v="0"/>
    <s v="HKDC"/>
    <m/>
    <m/>
    <x v="5"/>
    <x v="3"/>
    <m/>
    <m/>
    <m/>
    <s v="CitiAlert Server"/>
    <s v="java, MQ7, NDM"/>
    <s v="DB"/>
    <s v="CBOL"/>
    <s v="DB-CBOL"/>
    <m/>
    <x v="1"/>
    <m/>
    <m/>
    <m/>
    <m/>
    <m/>
    <m/>
    <x v="147"/>
    <n v="1"/>
    <m/>
    <m/>
    <x v="1"/>
    <s v="IBM P-Series Tier 2"/>
    <s v="pSeries"/>
    <m/>
    <x v="1"/>
    <n v="1"/>
    <m/>
    <n v="1"/>
    <m/>
    <n v="128"/>
    <m/>
    <m/>
    <m/>
    <m/>
    <m/>
    <m/>
    <m/>
    <m/>
    <m/>
    <m/>
    <m/>
    <m/>
    <m/>
    <m/>
    <n v="0"/>
    <n v="600"/>
    <n v="606.6"/>
    <m/>
    <n v="606.6"/>
    <m/>
    <m/>
    <m/>
    <n v="0"/>
    <m/>
    <n v="0"/>
    <m/>
    <m/>
    <n v="151.65"/>
    <n v="22.747499999999999"/>
    <m/>
    <m/>
    <m/>
    <m/>
    <m/>
    <m/>
    <m/>
    <m/>
    <m/>
    <m/>
    <m/>
    <m/>
    <n v="0"/>
    <n v="0"/>
    <n v="0"/>
    <n v="0"/>
    <n v="0"/>
    <n v="0"/>
    <n v="0"/>
    <n v="0"/>
    <n v="0"/>
    <n v="0"/>
    <n v="0"/>
    <n v="0"/>
    <n v="0"/>
    <n v="0"/>
    <n v="0"/>
    <n v="0"/>
    <n v="0"/>
    <n v="0"/>
    <n v="0"/>
    <n v="0"/>
    <n v="0"/>
    <n v="0"/>
    <n v="0"/>
    <n v="0"/>
    <n v="0"/>
    <n v="0"/>
    <n v="0"/>
    <n v="0"/>
    <n v="0"/>
    <n v="0"/>
    <n v="0"/>
    <n v="0"/>
    <n v="0"/>
    <n v="0"/>
    <n v="0"/>
    <n v="0"/>
    <n v="0"/>
    <n v="0"/>
    <n v="0"/>
    <n v="0"/>
    <n v="0"/>
    <n v="0"/>
    <n v="0"/>
    <n v="0"/>
    <n v="0"/>
    <n v="0"/>
    <n v="0"/>
    <n v="0"/>
    <n v="0"/>
    <n v="0"/>
    <n v="0"/>
    <n v="0"/>
    <m/>
    <m/>
    <m/>
    <n v="2024.1"/>
    <n v="272.97000000000003"/>
    <n v="61.039124999999999"/>
    <n v="2358.1091249999995"/>
    <n v="2358.1091249999995"/>
    <n v="2358.1091249999995"/>
    <n v="2024.1"/>
    <n v="1"/>
    <n v="1"/>
    <n v="128"/>
    <n v="0"/>
    <n v="0"/>
    <n v="0"/>
    <n v="0"/>
    <n v="829"/>
    <n v="0"/>
    <n v="0"/>
    <n v="1008"/>
    <n v="0"/>
    <n v="187.1"/>
    <n v="0"/>
  </r>
  <r>
    <x v="0"/>
    <m/>
    <m/>
    <m/>
    <m/>
    <m/>
    <m/>
    <m/>
    <m/>
    <m/>
    <m/>
    <m/>
    <x v="0"/>
    <s v="HKDC"/>
    <m/>
    <m/>
    <x v="8"/>
    <x v="3"/>
    <m/>
    <m/>
    <m/>
    <s v="ESTMT"/>
    <s v="Websphere7, NDM, ODWEK, MQ, IHS"/>
    <s v="DB"/>
    <s v="CBOL"/>
    <s v="DB-CBOL"/>
    <m/>
    <x v="1"/>
    <m/>
    <m/>
    <m/>
    <m/>
    <m/>
    <m/>
    <x v="148"/>
    <n v="1"/>
    <m/>
    <m/>
    <x v="1"/>
    <s v="IBM P-Series Tier 2"/>
    <s v="pSeries"/>
    <m/>
    <x v="1"/>
    <n v="1"/>
    <m/>
    <n v="2"/>
    <m/>
    <n v="48"/>
    <m/>
    <m/>
    <m/>
    <m/>
    <m/>
    <m/>
    <m/>
    <m/>
    <m/>
    <m/>
    <m/>
    <m/>
    <m/>
    <m/>
    <n v="0"/>
    <n v="600"/>
    <n v="606.6"/>
    <m/>
    <n v="606.6"/>
    <m/>
    <m/>
    <m/>
    <n v="0"/>
    <m/>
    <n v="0"/>
    <m/>
    <m/>
    <n v="151.65"/>
    <n v="22.747499999999999"/>
    <m/>
    <m/>
    <m/>
    <m/>
    <m/>
    <m/>
    <m/>
    <m/>
    <m/>
    <m/>
    <s v="Websphere7, NDM, ODWEK, MQ, IHS"/>
    <m/>
    <n v="0"/>
    <n v="0"/>
    <n v="0"/>
    <n v="0"/>
    <n v="0"/>
    <n v="0"/>
    <n v="0"/>
    <n v="0"/>
    <n v="0"/>
    <n v="0"/>
    <n v="0"/>
    <n v="0"/>
    <n v="0"/>
    <n v="0"/>
    <n v="0"/>
    <n v="0"/>
    <n v="0"/>
    <n v="0"/>
    <n v="0"/>
    <n v="0"/>
    <n v="0"/>
    <n v="0"/>
    <n v="0"/>
    <n v="0"/>
    <n v="0"/>
    <n v="0"/>
    <n v="0"/>
    <n v="0"/>
    <n v="0"/>
    <n v="0"/>
    <n v="0"/>
    <n v="0"/>
    <n v="0"/>
    <n v="0"/>
    <n v="0"/>
    <n v="0"/>
    <n v="0"/>
    <n v="0"/>
    <n v="0"/>
    <n v="0"/>
    <n v="0"/>
    <n v="0"/>
    <n v="0"/>
    <n v="0"/>
    <n v="0"/>
    <n v="0"/>
    <n v="0"/>
    <n v="0"/>
    <n v="0"/>
    <n v="0"/>
    <n v="0"/>
    <n v="0"/>
    <m/>
    <n v="512.75"/>
    <n v="204.75"/>
    <n v="1304.0999999999999"/>
    <n v="272.97000000000003"/>
    <n v="61.039124999999999"/>
    <n v="1638.1091249999999"/>
    <n v="2150.8591249999999"/>
    <n v="1842.8591249999999"/>
    <n v="1304.0999999999999"/>
    <n v="1"/>
    <n v="2"/>
    <n v="48"/>
    <n v="0"/>
    <n v="0"/>
    <n v="0"/>
    <n v="0"/>
    <n v="829"/>
    <n v="0"/>
    <n v="0"/>
    <n v="288"/>
    <n v="0"/>
    <n v="187.1"/>
    <n v="0"/>
  </r>
</pivotCacheRecords>
</file>

<file path=xl/pivotCache/pivotCacheRecords2.xml><?xml version="1.0" encoding="utf-8"?>
<pivotCacheRecords xmlns="http://schemas.openxmlformats.org/spreadsheetml/2006/main" xmlns:r="http://schemas.openxmlformats.org/officeDocument/2006/relationships" count="52">
  <r>
    <x v="0"/>
    <n v="0"/>
    <n v="0"/>
    <n v="0"/>
    <n v="0"/>
    <n v="0"/>
    <n v="0"/>
    <n v="0"/>
    <n v="0"/>
    <n v="0"/>
    <n v="0"/>
    <n v="0"/>
    <n v="0"/>
    <n v="0"/>
    <n v="0"/>
    <n v="0"/>
    <n v="0"/>
  </r>
  <r>
    <x v="1"/>
    <n v="0"/>
    <n v="0"/>
    <n v="0"/>
    <n v="0"/>
    <n v="0"/>
    <n v="0"/>
    <n v="0"/>
    <n v="0"/>
    <n v="0"/>
    <n v="0"/>
    <n v="0"/>
    <n v="0"/>
    <n v="0"/>
    <n v="0"/>
    <n v="0"/>
    <n v="0"/>
  </r>
  <r>
    <x v="2"/>
    <n v="0"/>
    <n v="0"/>
    <n v="0"/>
    <n v="0"/>
    <n v="0"/>
    <n v="0"/>
    <n v="0"/>
    <n v="0"/>
    <n v="0"/>
    <n v="0"/>
    <n v="0"/>
    <n v="0"/>
    <n v="0"/>
    <n v="0"/>
    <n v="0"/>
    <n v="0"/>
  </r>
  <r>
    <x v="3"/>
    <n v="0"/>
    <n v="0"/>
    <n v="0"/>
    <n v="0"/>
    <n v="0"/>
    <n v="0"/>
    <n v="0"/>
    <n v="0"/>
    <n v="0"/>
    <n v="0"/>
    <n v="0"/>
    <n v="0"/>
    <n v="0"/>
    <n v="0"/>
    <n v="0"/>
    <n v="0"/>
  </r>
  <r>
    <x v="4"/>
    <n v="0"/>
    <n v="0"/>
    <n v="0"/>
    <n v="0"/>
    <n v="0"/>
    <n v="0"/>
    <n v="0"/>
    <n v="0"/>
    <n v="0"/>
    <n v="0"/>
    <n v="0"/>
    <n v="0"/>
    <n v="0"/>
    <n v="0"/>
    <n v="0"/>
    <n v="0"/>
  </r>
  <r>
    <x v="5"/>
    <n v="0"/>
    <n v="0"/>
    <n v="0"/>
    <n v="0"/>
    <n v="0"/>
    <n v="0"/>
    <n v="0"/>
    <n v="0"/>
    <n v="0"/>
    <n v="0"/>
    <n v="0"/>
    <n v="0"/>
    <n v="0"/>
    <n v="0"/>
    <n v="0"/>
    <n v="0"/>
  </r>
  <r>
    <x v="6"/>
    <n v="0"/>
    <n v="0"/>
    <n v="0"/>
    <n v="0"/>
    <n v="0"/>
    <n v="0"/>
    <n v="0"/>
    <n v="0"/>
    <n v="0"/>
    <n v="0"/>
    <n v="0"/>
    <n v="0"/>
    <n v="0"/>
    <n v="0"/>
    <n v="0"/>
    <n v="0"/>
  </r>
  <r>
    <x v="7"/>
    <n v="0"/>
    <n v="0"/>
    <n v="0"/>
    <n v="0"/>
    <n v="0"/>
    <n v="0"/>
    <n v="0"/>
    <n v="0"/>
    <n v="0"/>
    <n v="0"/>
    <n v="0"/>
    <n v="0"/>
    <n v="0"/>
    <n v="0"/>
    <n v="0"/>
    <n v="0"/>
  </r>
  <r>
    <x v="8"/>
    <n v="0"/>
    <n v="0"/>
    <n v="0"/>
    <n v="0"/>
    <n v="0"/>
    <n v="0"/>
    <n v="0"/>
    <n v="0"/>
    <n v="0"/>
    <n v="0"/>
    <n v="0"/>
    <n v="0"/>
    <n v="0"/>
    <n v="0"/>
    <n v="0"/>
    <n v="0"/>
  </r>
  <r>
    <x v="9"/>
    <n v="0"/>
    <n v="0"/>
    <n v="0"/>
    <n v="0"/>
    <n v="0"/>
    <n v="0"/>
    <n v="0"/>
    <n v="0"/>
    <n v="0"/>
    <n v="0"/>
    <n v="0"/>
    <n v="0"/>
    <n v="0"/>
    <n v="0"/>
    <n v="0"/>
    <n v="0"/>
  </r>
  <r>
    <x v="10"/>
    <n v="0"/>
    <n v="0"/>
    <n v="0"/>
    <n v="0"/>
    <n v="0"/>
    <n v="0"/>
    <n v="0"/>
    <n v="0"/>
    <n v="0"/>
    <n v="0"/>
    <n v="0"/>
    <n v="0"/>
    <n v="0"/>
    <n v="0"/>
    <n v="0"/>
    <n v="0"/>
  </r>
  <r>
    <x v="11"/>
    <n v="0"/>
    <n v="0"/>
    <n v="0"/>
    <n v="0"/>
    <n v="0"/>
    <n v="0"/>
    <n v="0"/>
    <n v="0"/>
    <n v="0"/>
    <n v="0"/>
    <n v="0"/>
    <n v="0"/>
    <n v="0"/>
    <n v="0"/>
    <n v="0"/>
    <n v="0"/>
  </r>
  <r>
    <x v="12"/>
    <n v="0"/>
    <n v="0"/>
    <n v="246120"/>
    <n v="246120"/>
    <n v="0"/>
    <n v="0"/>
    <n v="0"/>
    <n v="0"/>
    <n v="147672"/>
    <n v="147672"/>
    <n v="98448"/>
    <n v="0"/>
    <n v="98448"/>
    <n v="0"/>
    <n v="0"/>
    <n v="984480"/>
  </r>
  <r>
    <x v="13"/>
    <n v="0"/>
    <n v="0"/>
    <n v="0"/>
    <n v="0"/>
    <n v="0"/>
    <n v="0"/>
    <n v="0"/>
    <n v="0"/>
    <n v="0"/>
    <n v="0"/>
    <n v="0"/>
    <n v="0"/>
    <n v="0"/>
    <n v="0"/>
    <n v="0"/>
    <n v="0"/>
  </r>
  <r>
    <x v="14"/>
    <n v="0"/>
    <n v="0"/>
    <n v="0"/>
    <n v="0"/>
    <n v="0"/>
    <n v="0"/>
    <n v="0"/>
    <n v="0"/>
    <n v="0"/>
    <n v="0"/>
    <n v="0"/>
    <n v="0"/>
    <n v="0"/>
    <n v="0"/>
    <n v="0"/>
    <n v="0"/>
  </r>
  <r>
    <x v="15"/>
    <n v="0"/>
    <n v="0"/>
    <n v="0"/>
    <n v="0"/>
    <n v="0"/>
    <n v="0"/>
    <n v="0"/>
    <n v="0"/>
    <n v="0"/>
    <n v="0"/>
    <n v="0"/>
    <n v="0"/>
    <n v="0"/>
    <n v="0"/>
    <n v="0"/>
    <n v="0"/>
  </r>
  <r>
    <x v="16"/>
    <n v="0"/>
    <n v="0"/>
    <n v="0"/>
    <n v="0"/>
    <n v="0"/>
    <n v="0"/>
    <n v="0"/>
    <n v="0"/>
    <n v="0"/>
    <n v="0"/>
    <n v="0"/>
    <n v="0"/>
    <n v="0"/>
    <n v="0"/>
    <n v="0"/>
    <n v="0"/>
  </r>
  <r>
    <x v="17"/>
    <n v="0"/>
    <n v="0"/>
    <n v="0"/>
    <n v="0"/>
    <n v="0"/>
    <n v="0"/>
    <n v="0"/>
    <n v="0"/>
    <n v="0"/>
    <n v="0"/>
    <n v="0"/>
    <n v="0"/>
    <n v="0"/>
    <n v="0"/>
    <n v="0"/>
    <n v="0"/>
  </r>
  <r>
    <x v="18"/>
    <n v="0"/>
    <n v="0"/>
    <n v="0"/>
    <n v="0"/>
    <n v="0"/>
    <n v="0"/>
    <n v="0"/>
    <n v="0"/>
    <n v="0"/>
    <n v="0"/>
    <n v="0"/>
    <n v="0"/>
    <n v="0"/>
    <n v="0"/>
    <n v="0"/>
    <n v="0"/>
  </r>
  <r>
    <x v="19"/>
    <n v="0"/>
    <n v="0"/>
    <n v="0"/>
    <n v="0"/>
    <n v="0"/>
    <n v="0"/>
    <n v="0"/>
    <n v="0"/>
    <n v="0"/>
    <n v="0"/>
    <n v="0"/>
    <n v="0"/>
    <n v="0"/>
    <n v="0"/>
    <n v="0"/>
    <n v="0"/>
  </r>
  <r>
    <x v="20"/>
    <n v="0"/>
    <n v="0"/>
    <n v="0"/>
    <n v="0"/>
    <n v="0"/>
    <n v="0"/>
    <n v="0"/>
    <n v="0"/>
    <n v="0"/>
    <n v="0"/>
    <n v="0"/>
    <n v="0"/>
    <n v="0"/>
    <n v="0"/>
    <n v="0"/>
    <n v="0"/>
  </r>
  <r>
    <x v="21"/>
    <n v="0"/>
    <n v="0"/>
    <n v="0"/>
    <n v="0"/>
    <n v="0"/>
    <n v="0"/>
    <n v="0"/>
    <n v="0"/>
    <n v="0"/>
    <n v="0"/>
    <n v="0"/>
    <n v="0"/>
    <n v="0"/>
    <n v="0"/>
    <n v="0"/>
    <n v="0"/>
  </r>
  <r>
    <x v="22"/>
    <n v="0"/>
    <n v="0"/>
    <n v="0"/>
    <n v="0"/>
    <n v="0"/>
    <n v="0"/>
    <n v="0"/>
    <n v="0"/>
    <n v="0"/>
    <n v="0"/>
    <n v="0"/>
    <n v="0"/>
    <n v="0"/>
    <n v="0"/>
    <n v="0"/>
    <n v="0"/>
  </r>
  <r>
    <x v="23"/>
    <n v="0"/>
    <n v="0"/>
    <n v="0"/>
    <n v="0"/>
    <n v="0"/>
    <n v="0"/>
    <n v="0"/>
    <n v="0"/>
    <n v="0"/>
    <n v="0"/>
    <n v="0"/>
    <n v="0"/>
    <n v="0"/>
    <n v="0"/>
    <n v="0"/>
    <n v="0"/>
  </r>
  <r>
    <x v="24"/>
    <n v="0"/>
    <n v="0"/>
    <n v="0"/>
    <n v="0"/>
    <n v="0"/>
    <n v="0"/>
    <n v="0"/>
    <n v="0"/>
    <n v="0"/>
    <n v="0"/>
    <n v="0"/>
    <n v="0"/>
    <n v="0"/>
    <n v="0"/>
    <n v="0"/>
    <n v="0"/>
  </r>
  <r>
    <x v="25"/>
    <n v="0"/>
    <n v="0"/>
    <n v="0"/>
    <n v="0"/>
    <n v="0"/>
    <n v="0"/>
    <n v="0"/>
    <n v="0"/>
    <n v="0"/>
    <n v="0"/>
    <n v="0"/>
    <n v="0"/>
    <n v="0"/>
    <n v="0"/>
    <n v="0"/>
    <n v="0"/>
  </r>
  <r>
    <x v="26"/>
    <n v="0"/>
    <n v="0"/>
    <n v="0"/>
    <n v="0"/>
    <n v="0"/>
    <n v="0"/>
    <n v="0"/>
    <n v="0"/>
    <n v="0"/>
    <n v="0"/>
    <n v="0"/>
    <n v="0"/>
    <n v="0"/>
    <n v="0"/>
    <n v="0"/>
    <n v="0"/>
  </r>
  <r>
    <x v="27"/>
    <n v="0"/>
    <n v="0"/>
    <n v="0"/>
    <n v="0"/>
    <n v="0"/>
    <n v="0"/>
    <n v="0"/>
    <n v="0"/>
    <n v="0"/>
    <n v="0"/>
    <n v="0"/>
    <n v="0"/>
    <n v="0"/>
    <n v="0"/>
    <n v="0"/>
    <n v="0"/>
  </r>
  <r>
    <x v="28"/>
    <n v="0"/>
    <n v="0"/>
    <n v="0"/>
    <n v="0"/>
    <n v="0"/>
    <n v="0"/>
    <n v="0"/>
    <n v="0"/>
    <n v="0"/>
    <n v="0"/>
    <n v="0"/>
    <n v="0"/>
    <n v="0"/>
    <n v="0"/>
    <n v="0"/>
    <n v="0"/>
  </r>
  <r>
    <x v="29"/>
    <n v="0"/>
    <n v="0"/>
    <n v="0"/>
    <n v="0"/>
    <n v="0"/>
    <n v="0"/>
    <n v="0"/>
    <n v="0"/>
    <n v="0"/>
    <n v="0"/>
    <n v="0"/>
    <n v="0"/>
    <n v="0"/>
    <n v="0"/>
    <n v="0"/>
    <n v="0"/>
  </r>
  <r>
    <x v="30"/>
    <n v="0"/>
    <n v="0"/>
    <n v="0"/>
    <n v="0"/>
    <n v="0"/>
    <n v="0"/>
    <n v="0"/>
    <n v="0"/>
    <n v="0"/>
    <n v="0"/>
    <n v="0"/>
    <n v="0"/>
    <n v="0"/>
    <n v="0"/>
    <n v="0"/>
    <n v="0"/>
  </r>
  <r>
    <x v="31"/>
    <n v="0"/>
    <n v="0"/>
    <n v="0"/>
    <n v="0"/>
    <n v="0"/>
    <n v="0"/>
    <n v="0"/>
    <n v="0"/>
    <n v="0"/>
    <n v="0"/>
    <n v="0"/>
    <n v="0"/>
    <n v="0"/>
    <n v="0"/>
    <n v="0"/>
    <n v="0"/>
  </r>
  <r>
    <x v="32"/>
    <n v="0"/>
    <n v="0"/>
    <n v="0"/>
    <n v="0"/>
    <n v="0"/>
    <n v="0"/>
    <n v="0"/>
    <n v="0"/>
    <n v="0"/>
    <n v="0"/>
    <n v="0"/>
    <n v="0"/>
    <n v="0"/>
    <n v="0"/>
    <n v="0"/>
    <n v="0"/>
  </r>
  <r>
    <x v="33"/>
    <n v="0"/>
    <n v="0"/>
    <n v="0"/>
    <n v="0"/>
    <n v="0"/>
    <n v="0"/>
    <n v="0"/>
    <n v="0"/>
    <n v="0"/>
    <n v="0"/>
    <n v="0"/>
    <n v="0"/>
    <n v="0"/>
    <n v="0"/>
    <n v="0"/>
    <n v="0"/>
  </r>
  <r>
    <x v="34"/>
    <n v="0"/>
    <n v="0"/>
    <n v="0"/>
    <n v="0"/>
    <n v="0"/>
    <n v="0"/>
    <n v="0"/>
    <n v="0"/>
    <n v="0"/>
    <n v="0"/>
    <n v="0"/>
    <n v="0"/>
    <n v="0"/>
    <n v="0"/>
    <n v="0"/>
    <n v="0"/>
  </r>
  <r>
    <x v="35"/>
    <n v="0"/>
    <n v="0"/>
    <n v="68986.559999999998"/>
    <n v="68986.559999999998"/>
    <n v="0"/>
    <n v="0"/>
    <n v="0"/>
    <n v="0"/>
    <n v="0"/>
    <n v="68986.559999999998"/>
    <n v="0"/>
    <n v="0"/>
    <n v="0"/>
    <n v="0"/>
    <n v="0"/>
    <n v="206959.68"/>
  </r>
  <r>
    <x v="36"/>
    <n v="4"/>
    <n v="0"/>
    <n v="0"/>
    <n v="0"/>
    <n v="0"/>
    <n v="0"/>
    <n v="0"/>
    <n v="0"/>
    <n v="0"/>
    <n v="0"/>
    <n v="0"/>
    <n v="0"/>
    <n v="0"/>
    <n v="0"/>
    <n v="0"/>
    <n v="0"/>
  </r>
  <r>
    <x v="37"/>
    <n v="0"/>
    <n v="0"/>
    <n v="0"/>
    <n v="0"/>
    <n v="0"/>
    <n v="0"/>
    <n v="0"/>
    <n v="0"/>
    <n v="0"/>
    <n v="0"/>
    <n v="0"/>
    <n v="0"/>
    <n v="0"/>
    <n v="0"/>
    <n v="0"/>
    <n v="0"/>
  </r>
  <r>
    <x v="38"/>
    <n v="0"/>
    <n v="0"/>
    <n v="0"/>
    <n v="0"/>
    <n v="0"/>
    <n v="0"/>
    <n v="0"/>
    <n v="0"/>
    <n v="0"/>
    <n v="0"/>
    <n v="0"/>
    <n v="0"/>
    <n v="0"/>
    <n v="0"/>
    <n v="0"/>
    <n v="0"/>
  </r>
  <r>
    <x v="39"/>
    <n v="0"/>
    <n v="0"/>
    <n v="0"/>
    <n v="0"/>
    <n v="0"/>
    <n v="0"/>
    <n v="0"/>
    <n v="0"/>
    <n v="0"/>
    <n v="0"/>
    <n v="0"/>
    <n v="0"/>
    <n v="0"/>
    <n v="0"/>
    <n v="0"/>
    <n v="0"/>
  </r>
  <r>
    <x v="40"/>
    <n v="0"/>
    <n v="0"/>
    <n v="0"/>
    <n v="0"/>
    <n v="0"/>
    <n v="0"/>
    <n v="0"/>
    <n v="0"/>
    <n v="0"/>
    <n v="0"/>
    <n v="0"/>
    <n v="0"/>
    <n v="0"/>
    <n v="0"/>
    <n v="0"/>
    <n v="0"/>
  </r>
  <r>
    <x v="41"/>
    <n v="0"/>
    <n v="0"/>
    <n v="0"/>
    <n v="0"/>
    <n v="0"/>
    <n v="0"/>
    <n v="0"/>
    <n v="0"/>
    <n v="0"/>
    <n v="0"/>
    <n v="0"/>
    <n v="0"/>
    <n v="0"/>
    <n v="0"/>
    <n v="0"/>
    <n v="0"/>
  </r>
  <r>
    <x v="42"/>
    <n v="0"/>
    <n v="0"/>
    <n v="0"/>
    <n v="0"/>
    <n v="0"/>
    <n v="0"/>
    <n v="0"/>
    <n v="0"/>
    <n v="0"/>
    <n v="0"/>
    <n v="0"/>
    <n v="0"/>
    <n v="0"/>
    <n v="0"/>
    <n v="0"/>
    <n v="0"/>
  </r>
  <r>
    <x v="43"/>
    <n v="0"/>
    <n v="0"/>
    <n v="0"/>
    <n v="0"/>
    <n v="0"/>
    <n v="0"/>
    <n v="0"/>
    <n v="0"/>
    <n v="0"/>
    <n v="0"/>
    <n v="0"/>
    <n v="0"/>
    <n v="0"/>
    <n v="0"/>
    <n v="0"/>
    <n v="0"/>
  </r>
  <r>
    <x v="44"/>
    <n v="0"/>
    <n v="0"/>
    <n v="0"/>
    <n v="0"/>
    <n v="0"/>
    <n v="0"/>
    <n v="0"/>
    <n v="0"/>
    <n v="0"/>
    <n v="0"/>
    <n v="0"/>
    <n v="0"/>
    <n v="0"/>
    <n v="0"/>
    <n v="0"/>
    <n v="0"/>
  </r>
  <r>
    <x v="45"/>
    <n v="0"/>
    <n v="0"/>
    <n v="0"/>
    <n v="0"/>
    <n v="0"/>
    <n v="0"/>
    <n v="0"/>
    <n v="0"/>
    <n v="0"/>
    <n v="0"/>
    <n v="0"/>
    <n v="0"/>
    <n v="0"/>
    <n v="0"/>
    <n v="0"/>
    <n v="0"/>
  </r>
  <r>
    <x v="46"/>
    <n v="0"/>
    <n v="0"/>
    <n v="0"/>
    <n v="0"/>
    <n v="0"/>
    <n v="0"/>
    <n v="0"/>
    <n v="0"/>
    <n v="0"/>
    <n v="0"/>
    <n v="0"/>
    <n v="0"/>
    <n v="0"/>
    <n v="0"/>
    <n v="0"/>
    <n v="0"/>
  </r>
  <r>
    <x v="47"/>
    <n v="0"/>
    <n v="0"/>
    <n v="0"/>
    <n v="0"/>
    <n v="0"/>
    <n v="0"/>
    <n v="0"/>
    <n v="0"/>
    <n v="0"/>
    <n v="0"/>
    <n v="0"/>
    <n v="0"/>
    <n v="0"/>
    <n v="0"/>
    <n v="0"/>
    <n v="0"/>
  </r>
  <r>
    <x v="48"/>
    <n v="0"/>
    <n v="0"/>
    <n v="1080000"/>
    <n v="0"/>
    <n v="0"/>
    <n v="0"/>
    <n v="0"/>
    <n v="0"/>
    <n v="540000"/>
    <n v="0"/>
    <n v="0"/>
    <n v="0"/>
    <n v="0"/>
    <n v="0"/>
    <n v="0"/>
    <n v="1620000"/>
  </r>
  <r>
    <x v="49"/>
    <n v="0"/>
    <n v="0"/>
    <n v="294000"/>
    <n v="0"/>
    <n v="0"/>
    <n v="0"/>
    <n v="0"/>
    <n v="0"/>
    <n v="144000"/>
    <n v="0"/>
    <n v="0"/>
    <n v="0"/>
    <n v="0"/>
    <n v="0"/>
    <n v="0"/>
    <n v="438000"/>
  </r>
  <r>
    <x v="50"/>
    <n v="0"/>
    <n v="0"/>
    <n v="0"/>
    <n v="0"/>
    <n v="0"/>
    <n v="0"/>
    <n v="0"/>
    <n v="0"/>
    <n v="0"/>
    <n v="0"/>
    <n v="0"/>
    <n v="0"/>
    <n v="0"/>
    <n v="0"/>
    <n v="0"/>
    <n v="0"/>
  </r>
  <r>
    <x v="51"/>
    <n v="0"/>
    <n v="0"/>
    <n v="11268"/>
    <n v="0"/>
    <n v="11268"/>
    <n v="0"/>
    <n v="0"/>
    <n v="0"/>
    <n v="0"/>
    <n v="0"/>
    <n v="0"/>
    <n v="0"/>
    <n v="0"/>
    <n v="0"/>
    <n v="0"/>
    <n v="22536"/>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4" cacheId="78" applyNumberFormats="0" applyBorderFormats="0" applyFontFormats="0" applyPatternFormats="0" applyAlignmentFormats="0" applyWidthHeightFormats="1" dataCaption="Totals" grandTotalCaption="Grand Totals" updatedVersion="4" minRefreshableVersion="3" showCalcMbrs="0" useAutoFormatting="1" itemPrintTitles="1" createdVersion="3" indent="0" outline="1" outlineData="1" multipleFieldFilters="0" rowHeaderCaption="PCR / Env">
  <location ref="L2:U15" firstHeaderRow="1" firstDataRow="2" firstDataCol="1"/>
  <pivotFields count="167">
    <pivotField axis="axisRow" showAll="0" sortType="ascending">
      <items count="4">
        <item m="1" x="2"/>
        <item x="0"/>
        <item m="1" x="1"/>
        <item t="default"/>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showAll="0" defaultSubtotal="0">
      <items count="16">
        <item x="1"/>
        <item x="3"/>
        <item m="1" x="14"/>
        <item m="1" x="12"/>
        <item m="1" x="15"/>
        <item x="4"/>
        <item x="5"/>
        <item x="9"/>
        <item m="1" x="13"/>
        <item m="1" x="11"/>
        <item m="1" x="10"/>
        <item x="6"/>
        <item x="2"/>
        <item x="0"/>
        <item x="8"/>
        <item x="7"/>
      </items>
    </pivotField>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dataField="1" showAll="0" defaultSubtotal="0"/>
    <pivotField showAll="0" defaultSubtotal="0"/>
    <pivotField showAll="0" defaultSubtotal="0"/>
    <pivotField showAll="0" defaultSubtotal="0"/>
    <pivotField showAll="0"/>
    <pivotField numFmtId="166" showAll="0" defaultSubtotal="0"/>
    <pivotField numFmtId="1" showAll="0" defaultSubtotal="0"/>
    <pivotField showAll="0" defaultSubtotal="0"/>
    <pivotField showAll="0" defaultSubtotal="0"/>
    <pivotField showAll="0"/>
    <pivotField showAll="0" defaultSubtota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dataField="1" numFmtId="165" showAll="0" defaultSubtotal="0"/>
    <pivotField showAll="0" defaultSubtotal="0"/>
    <pivotField dataField="1" numFmtId="44" showAll="0" defaultSubtotal="0"/>
    <pivotField dataField="1" numFmtId="44" showAll="0"/>
    <pivotField numFmtId="44" showAll="0" defaultSubtotal="0"/>
    <pivotField dataField="1" numFmtId="44" showAll="0"/>
    <pivotField dataField="1" numFmtId="44" showAll="0" defaultSubtotal="0"/>
    <pivotField dataField="1"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ataField="1" dragToRow="0" dragToCol="0" dragToPage="0" showAll="0" defaultSubtotal="0"/>
    <pivotField dataField="1" dragToRow="0" dragToCol="0" dragToPage="0" showAll="0" defaultSubtotal="0"/>
  </pivotFields>
  <rowFields count="2">
    <field x="0"/>
    <field x="16"/>
  </rowFields>
  <rowItems count="12">
    <i>
      <x v="1"/>
    </i>
    <i r="1">
      <x/>
    </i>
    <i r="1">
      <x v="1"/>
    </i>
    <i r="1">
      <x v="5"/>
    </i>
    <i r="1">
      <x v="6"/>
    </i>
    <i r="1">
      <x v="7"/>
    </i>
    <i r="1">
      <x v="11"/>
    </i>
    <i r="1">
      <x v="12"/>
    </i>
    <i r="1">
      <x v="13"/>
    </i>
    <i r="1">
      <x v="14"/>
    </i>
    <i r="1">
      <x v="15"/>
    </i>
    <i t="grand">
      <x/>
    </i>
  </rowItems>
  <colFields count="1">
    <field x="-2"/>
  </colFields>
  <colItems count="9">
    <i>
      <x/>
    </i>
    <i i="1">
      <x v="1"/>
    </i>
    <i i="2">
      <x v="2"/>
    </i>
    <i i="3">
      <x v="3"/>
    </i>
    <i i="4">
      <x v="4"/>
    </i>
    <i i="5">
      <x v="5"/>
    </i>
    <i i="6">
      <x v="6"/>
    </i>
    <i i="7">
      <x v="7"/>
    </i>
    <i i="8">
      <x v="8"/>
    </i>
  </colItems>
  <dataFields count="9">
    <dataField name="SW (Year 1) [Monthly]" fld="142" baseField="0" baseItem="0"/>
    <dataField name="Server HW Cost [Monthly]" fld="144" baseField="0" baseItem="0"/>
    <dataField name="Storage Costs [Monthly]" fld="145" baseField="0" baseItem="0"/>
    <dataField name="HW Costs [Monthly]" fld="147" baseField="0" baseItem="0"/>
    <dataField name="Total_x000a_Capital Costs (One-Time)" fld="85" baseField="4" baseItem="1"/>
    <dataField name="Total Server Costs_x000a_[Year 1]_x000a_HW+SW_x000a_[Monthly]" fld="148" baseField="0" baseItem="0"/>
    <dataField name="Total Server Costs_x000a_[After Year1]_x000a_HW+SW_x000a_[Monthly]" fld="149" baseField="0" baseItem="1"/>
    <dataField name="Total Server Year 1 Costs [Annual]" fld="165" baseField="0" baseItem="1" numFmtId="44"/>
    <dataField name="Total Server After Year 1 Cost [Annual]" fld="166" baseField="0" baseItem="1" numFmtId="44"/>
  </dataFields>
  <formats count="19">
    <format dxfId="704">
      <pivotArea outline="0" collapsedLevelsAreSubtotals="1" fieldPosition="0"/>
    </format>
    <format dxfId="703">
      <pivotArea dataOnly="0" labelOnly="1" outline="0" fieldPosition="0">
        <references count="1">
          <reference field="4294967294" count="4">
            <x v="0"/>
            <x v="1"/>
            <x v="2"/>
            <x v="3"/>
          </reference>
        </references>
      </pivotArea>
    </format>
    <format dxfId="702">
      <pivotArea dataOnly="0" labelOnly="1" outline="0" fieldPosition="0">
        <references count="1">
          <reference field="4294967294" count="4">
            <x v="0"/>
            <x v="1"/>
            <x v="2"/>
            <x v="3"/>
          </reference>
        </references>
      </pivotArea>
    </format>
    <format dxfId="701">
      <pivotArea dataOnly="0" labelOnly="1" outline="0" fieldPosition="0">
        <references count="1">
          <reference field="4294967294" count="4">
            <x v="0"/>
            <x v="1"/>
            <x v="2"/>
            <x v="3"/>
          </reference>
        </references>
      </pivotArea>
    </format>
    <format dxfId="700">
      <pivotArea field="0" grandRow="1" outline="0" collapsedLevelsAreSubtotals="1" axis="axisRow" fieldPosition="0">
        <references count="1">
          <reference field="4294967294" count="4" selected="0">
            <x v="0"/>
            <x v="1"/>
            <x v="2"/>
            <x v="3"/>
          </reference>
        </references>
      </pivotArea>
    </format>
    <format dxfId="699">
      <pivotArea grandRow="1" outline="0" collapsedLevelsAreSubtotals="1" fieldPosition="0"/>
    </format>
    <format dxfId="698">
      <pivotArea dataOnly="0" labelOnly="1" grandRow="1" outline="0" fieldPosition="0"/>
    </format>
    <format dxfId="697">
      <pivotArea dataOnly="0" labelOnly="1" outline="0" fieldPosition="0">
        <references count="1">
          <reference field="4294967294" count="2">
            <x v="7"/>
            <x v="8"/>
          </reference>
        </references>
      </pivotArea>
    </format>
    <format dxfId="696">
      <pivotArea dataOnly="0" labelOnly="1" outline="0" fieldPosition="0">
        <references count="1">
          <reference field="4294967294" count="1">
            <x v="4"/>
          </reference>
        </references>
      </pivotArea>
    </format>
    <format dxfId="695">
      <pivotArea dataOnly="0" outline="0" fieldPosition="0">
        <references count="1">
          <reference field="4294967294" count="1">
            <x v="7"/>
          </reference>
        </references>
      </pivotArea>
    </format>
    <format dxfId="694">
      <pivotArea outline="0" collapsedLevelsAreSubtotals="1" fieldPosition="0">
        <references count="1">
          <reference field="4294967294" count="1" selected="0">
            <x v="4"/>
          </reference>
        </references>
      </pivotArea>
    </format>
    <format dxfId="693">
      <pivotArea dataOnly="0" labelOnly="1" outline="0" fieldPosition="0">
        <references count="1">
          <reference field="4294967294" count="1">
            <x v="4"/>
          </reference>
        </references>
      </pivotArea>
    </format>
    <format dxfId="692">
      <pivotArea type="topRight" dataOnly="0" labelOnly="1" outline="0" offset="F1" fieldPosition="0"/>
    </format>
    <format dxfId="691">
      <pivotArea dataOnly="0" labelOnly="1" outline="0" fieldPosition="0">
        <references count="1">
          <reference field="4294967294" count="1">
            <x v="5"/>
          </reference>
        </references>
      </pivotArea>
    </format>
    <format dxfId="690">
      <pivotArea dataOnly="0" labelOnly="1" outline="0" fieldPosition="0">
        <references count="1">
          <reference field="4294967294" count="1">
            <x v="5"/>
          </reference>
        </references>
      </pivotArea>
    </format>
    <format dxfId="689">
      <pivotArea dataOnly="0" labelOnly="1" outline="0" fieldPosition="0">
        <references count="1">
          <reference field="4294967294" count="1">
            <x v="6"/>
          </reference>
        </references>
      </pivotArea>
    </format>
    <format dxfId="688">
      <pivotArea outline="0" collapsedLevelsAreSubtotals="1" fieldPosition="0">
        <references count="1">
          <reference field="4294967294" count="1" selected="0">
            <x v="7"/>
          </reference>
        </references>
      </pivotArea>
    </format>
    <format dxfId="687">
      <pivotArea type="topRight" dataOnly="0" labelOnly="1" outline="0" offset="G1" fieldPosition="0"/>
    </format>
    <format dxfId="686">
      <pivotArea dataOnly="0" labelOnly="1" outline="0" fieldPosition="0">
        <references count="1">
          <reference field="4294967294" count="1">
            <x v="7"/>
          </reference>
        </references>
      </pivotArea>
    </format>
  </formats>
  <pivotTableStyleInfo name="PivotStyleMedium9" showRowHeaders="1" showColHeaders="1" showRowStripes="0" showColStripes="0" showLastColumn="1"/>
</pivotTableDefinition>
</file>

<file path=xl/pivotTables/pivotTable2.xml><?xml version="1.0" encoding="utf-8"?>
<pivotTableDefinition xmlns="http://schemas.openxmlformats.org/spreadsheetml/2006/main" name="HostBuildByEnv" cacheId="78" applyNumberFormats="0" applyBorderFormats="0" applyFontFormats="0" applyPatternFormats="0" applyAlignmentFormats="0" applyWidthHeightFormats="1" dataCaption="Totals" grandTotalCaption="Grand Totals" updatedVersion="4" minRefreshableVersion="3" showCalcMbrs="0" useAutoFormatting="1" itemPrintTitles="1" createdVersion="3" indent="0" outline="1" outlineData="1" multipleFieldFilters="0" rowHeaderCaption="Env / PCR">
  <location ref="A2:J24" firstHeaderRow="1" firstDataRow="2" firstDataCol="1"/>
  <pivotFields count="167">
    <pivotField axis="axisRow" showAll="0" sortType="ascending" defaultSubtotal="0">
      <items count="3">
        <item m="1" x="2"/>
        <item x="0"/>
        <item m="1" x="1"/>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showAll="0">
      <items count="17">
        <item x="1"/>
        <item x="3"/>
        <item m="1" x="14"/>
        <item m="1" x="12"/>
        <item m="1" x="15"/>
        <item x="4"/>
        <item x="5"/>
        <item x="9"/>
        <item m="1" x="13"/>
        <item m="1" x="11"/>
        <item m="1" x="10"/>
        <item x="6"/>
        <item x="2"/>
        <item x="0"/>
        <item x="8"/>
        <item x="7"/>
        <item t="default"/>
      </items>
    </pivotField>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dataField="1" showAll="0" defaultSubtotal="0"/>
    <pivotField showAll="0" defaultSubtotal="0"/>
    <pivotField showAll="0" defaultSubtotal="0"/>
    <pivotField showAll="0" defaultSubtotal="0"/>
    <pivotField showAll="0"/>
    <pivotField numFmtId="166" showAll="0" defaultSubtotal="0"/>
    <pivotField numFmtId="1" showAll="0" defaultSubtotal="0"/>
    <pivotField showAll="0" defaultSubtotal="0"/>
    <pivotField showAll="0" defaultSubtotal="0"/>
    <pivotField showAll="0"/>
    <pivotField showAll="0" defaultSubtota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dataField="1" numFmtId="165" showAll="0" defaultSubtotal="0"/>
    <pivotField showAll="0" defaultSubtotal="0"/>
    <pivotField dataField="1" numFmtId="44" showAll="0" defaultSubtotal="0"/>
    <pivotField dataField="1" numFmtId="44" showAll="0"/>
    <pivotField numFmtId="44" showAll="0" defaultSubtotal="0"/>
    <pivotField dataField="1" numFmtId="44" showAll="0"/>
    <pivotField dataField="1" numFmtId="44" showAll="0" defaultSubtotal="0"/>
    <pivotField dataField="1"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ataField="1" dragToRow="0" dragToCol="0" dragToPage="0" showAll="0" defaultSubtotal="0"/>
    <pivotField dataField="1" dragToRow="0" dragToCol="0" dragToPage="0" showAll="0" defaultSubtotal="0"/>
  </pivotFields>
  <rowFields count="2">
    <field x="16"/>
    <field x="0"/>
  </rowFields>
  <rowItems count="21">
    <i>
      <x/>
    </i>
    <i r="1">
      <x v="1"/>
    </i>
    <i>
      <x v="1"/>
    </i>
    <i r="1">
      <x v="1"/>
    </i>
    <i>
      <x v="5"/>
    </i>
    <i r="1">
      <x v="1"/>
    </i>
    <i>
      <x v="6"/>
    </i>
    <i r="1">
      <x v="1"/>
    </i>
    <i>
      <x v="7"/>
    </i>
    <i r="1">
      <x v="1"/>
    </i>
    <i>
      <x v="11"/>
    </i>
    <i r="1">
      <x v="1"/>
    </i>
    <i>
      <x v="12"/>
    </i>
    <i r="1">
      <x v="1"/>
    </i>
    <i>
      <x v="13"/>
    </i>
    <i r="1">
      <x v="1"/>
    </i>
    <i>
      <x v="14"/>
    </i>
    <i r="1">
      <x v="1"/>
    </i>
    <i>
      <x v="15"/>
    </i>
    <i r="1">
      <x v="1"/>
    </i>
    <i t="grand">
      <x/>
    </i>
  </rowItems>
  <colFields count="1">
    <field x="-2"/>
  </colFields>
  <colItems count="9">
    <i>
      <x/>
    </i>
    <i i="1">
      <x v="1"/>
    </i>
    <i i="2">
      <x v="2"/>
    </i>
    <i i="3">
      <x v="3"/>
    </i>
    <i i="4">
      <x v="4"/>
    </i>
    <i i="5">
      <x v="5"/>
    </i>
    <i i="6">
      <x v="6"/>
    </i>
    <i i="7">
      <x v="7"/>
    </i>
    <i i="8">
      <x v="8"/>
    </i>
  </colItems>
  <dataFields count="9">
    <dataField name="SW (Year 1) [Monthly]" fld="142" baseField="0" baseItem="0"/>
    <dataField name="Server HW Cost [Monthly]" fld="144" baseField="0" baseItem="0"/>
    <dataField name="Storage Costs [Monthly]" fld="145" baseField="0" baseItem="0"/>
    <dataField name="HW Costs [Monthly]" fld="147" baseField="0" baseItem="0"/>
    <dataField name="Total_x000a_Capital Costs (One-Time)" fld="85" baseField="4" baseItem="0"/>
    <dataField name="Total Server Costs_x000a_[Year 1]_x000a_HW+SW_x000a_[Monthly]" fld="148" baseField="0" baseItem="0"/>
    <dataField name="Total Server Costs_x000a_[ After Year 1]_x000a_HW+SW_x000a_[Monthly]" fld="149" baseField="0" baseItem="0"/>
    <dataField name="Total Server Year 1 Costs [Annual]" fld="165" baseField="4" baseItem="0" numFmtId="44"/>
    <dataField name="Total Server After Year 1 Cost [Annual]" fld="166" baseField="4" baseItem="0" numFmtId="44"/>
  </dataFields>
  <formats count="22">
    <format dxfId="726">
      <pivotArea dataOnly="0" labelOnly="1" outline="0" fieldPosition="0">
        <references count="1">
          <reference field="4294967294" count="4">
            <x v="0"/>
            <x v="1"/>
            <x v="2"/>
            <x v="3"/>
          </reference>
        </references>
      </pivotArea>
    </format>
    <format dxfId="725">
      <pivotArea dataOnly="0" labelOnly="1" outline="0" fieldPosition="0">
        <references count="1">
          <reference field="4294967294" count="4">
            <x v="0"/>
            <x v="1"/>
            <x v="2"/>
            <x v="3"/>
          </reference>
        </references>
      </pivotArea>
    </format>
    <format dxfId="724">
      <pivotArea dataOnly="0" labelOnly="1" outline="0" fieldPosition="0">
        <references count="1">
          <reference field="4294967294" count="2">
            <x v="2"/>
            <x v="3"/>
          </reference>
        </references>
      </pivotArea>
    </format>
    <format dxfId="723">
      <pivotArea outline="0" collapsedLevelsAreSubtotals="1" fieldPosition="0"/>
    </format>
    <format dxfId="722">
      <pivotArea field="17" grandRow="1" outline="0" collapsedLevelsAreSubtotals="1">
        <references count="1">
          <reference field="4294967294" count="4" selected="0">
            <x v="0"/>
            <x v="1"/>
            <x v="2"/>
            <x v="3"/>
          </reference>
        </references>
      </pivotArea>
    </format>
    <format dxfId="721">
      <pivotArea dataOnly="0" labelOnly="1" grandRow="1" outline="0" fieldPosition="0"/>
    </format>
    <format dxfId="720">
      <pivotArea field="0" dataOnly="0" grandRow="1" axis="axisRow" fieldPosition="1">
        <references count="1">
          <reference field="0" count="0" defaultSubtotal="1" sumSubtotal="1" countASubtotal="1" avgSubtotal="1" maxSubtotal="1" minSubtotal="1" productSubtotal="1" countSubtotal="1" stdDevSubtotal="1" stdDevPSubtotal="1" varSubtotal="1" varPSubtotal="1"/>
        </references>
      </pivotArea>
    </format>
    <format dxfId="719">
      <pivotArea dataOnly="0" labelOnly="1" outline="0" fieldPosition="0">
        <references count="1">
          <reference field="4294967294" count="4">
            <x v="0"/>
            <x v="1"/>
            <x v="2"/>
            <x v="3"/>
          </reference>
        </references>
      </pivotArea>
    </format>
    <format dxfId="718">
      <pivotArea dataOnly="0" labelOnly="1" outline="0" fieldPosition="0">
        <references count="1">
          <reference field="4294967294" count="1">
            <x v="7"/>
          </reference>
        </references>
      </pivotArea>
    </format>
    <format dxfId="717">
      <pivotArea dataOnly="0" labelOnly="1" outline="0" fieldPosition="0">
        <references count="1">
          <reference field="4294967294" count="1">
            <x v="8"/>
          </reference>
        </references>
      </pivotArea>
    </format>
    <format dxfId="716">
      <pivotArea dataOnly="0" labelOnly="1" outline="0" fieldPosition="0">
        <references count="1">
          <reference field="4294967294" count="6">
            <x v="0"/>
            <x v="1"/>
            <x v="2"/>
            <x v="3"/>
            <x v="7"/>
            <x v="8"/>
          </reference>
        </references>
      </pivotArea>
    </format>
    <format dxfId="715">
      <pivotArea dataOnly="0" outline="0" fieldPosition="0">
        <references count="1">
          <reference field="4294967294" count="1">
            <x v="7"/>
          </reference>
        </references>
      </pivotArea>
    </format>
    <format dxfId="714">
      <pivotArea dataOnly="0" labelOnly="1" outline="0" fieldPosition="0">
        <references count="1">
          <reference field="4294967294" count="1">
            <x v="4"/>
          </reference>
        </references>
      </pivotArea>
    </format>
    <format dxfId="713">
      <pivotArea dataOnly="0" outline="0" fieldPosition="0">
        <references count="1">
          <reference field="4294967294" count="1">
            <x v="4"/>
          </reference>
        </references>
      </pivotArea>
    </format>
    <format dxfId="712">
      <pivotArea type="topRight" dataOnly="0" labelOnly="1" outline="0" offset="F1" fieldPosition="0"/>
    </format>
    <format dxfId="711">
      <pivotArea dataOnly="0" labelOnly="1" outline="0" fieldPosition="0">
        <references count="1">
          <reference field="4294967294" count="1">
            <x v="5"/>
          </reference>
        </references>
      </pivotArea>
    </format>
    <format dxfId="710">
      <pivotArea dataOnly="0" labelOnly="1" outline="0" fieldPosition="0">
        <references count="1">
          <reference field="4294967294" count="1">
            <x v="5"/>
          </reference>
        </references>
      </pivotArea>
    </format>
    <format dxfId="709">
      <pivotArea dataOnly="0" labelOnly="1" outline="0" fieldPosition="0">
        <references count="1">
          <reference field="4294967294" count="1">
            <x v="6"/>
          </reference>
        </references>
      </pivotArea>
    </format>
    <format dxfId="708">
      <pivotArea type="topRight" dataOnly="0" labelOnly="1" outline="0" offset="D1" fieldPosition="0"/>
    </format>
    <format dxfId="707">
      <pivotArea outline="0" collapsedLevelsAreSubtotals="1" fieldPosition="0">
        <references count="1">
          <reference field="4294967294" count="1" selected="0">
            <x v="7"/>
          </reference>
        </references>
      </pivotArea>
    </format>
    <format dxfId="706">
      <pivotArea type="topRight" dataOnly="0" labelOnly="1" outline="0" offset="G1" fieldPosition="0"/>
    </format>
    <format dxfId="705">
      <pivotArea dataOnly="0" labelOnly="1" outline="0" fieldPosition="0">
        <references count="1">
          <reference field="4294967294" count="1">
            <x v="7"/>
          </reference>
        </references>
      </pivotArea>
    </format>
  </formats>
  <pivotTableStyleInfo name="PivotStyleMedium9" showRowHeaders="1" showColHeaders="1" showRowStripes="0" showColStripes="0" showLastColumn="1"/>
</pivotTableDefinition>
</file>

<file path=xl/pivotTables/pivotTable3.xml><?xml version="1.0" encoding="utf-8"?>
<pivotTableDefinition xmlns="http://schemas.openxmlformats.org/spreadsheetml/2006/main" name="PivotTable2" cacheId="78" applyNumberFormats="0" applyBorderFormats="0" applyFontFormats="0" applyPatternFormats="0" applyAlignmentFormats="0" applyWidthHeightFormats="1" dataCaption="Values" updatedVersion="4" minRefreshableVersion="3" showCalcMbrs="0" useAutoFormatting="1" itemPrintTitles="1" createdVersion="3" indent="0" outline="1" outlineData="1" multipleFieldFilters="0" rowHeaderCaption="Operating System">
  <location ref="E6:F9" firstHeaderRow="1" firstDataRow="1" firstDataCol="1" rowPageCount="2" colPageCount="1"/>
  <pivotFields count="167">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4">
        <item m="1" x="2"/>
        <item m="1" x="1"/>
        <item x="0"/>
        <item m="1" x="3"/>
      </items>
    </pivotField>
    <pivotField showAll="0"/>
    <pivotField showAll="0"/>
    <pivotField showAll="0"/>
    <pivotField axis="axisPage" multipleItemSelectionAllowed="1" showAll="0">
      <items count="17">
        <item m="1" x="10"/>
        <item m="1" x="15"/>
        <item x="5"/>
        <item m="1" x="14"/>
        <item x="4"/>
        <item x="3"/>
        <item x="9"/>
        <item m="1" x="13"/>
        <item m="1" x="12"/>
        <item x="1"/>
        <item m="1" x="11"/>
        <item x="6"/>
        <item x="2"/>
        <item x="0"/>
        <item x="8"/>
        <item x="7"/>
        <item t="default"/>
      </items>
    </pivotField>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pivotField dataField="1" showAll="0" defaultSubtotal="0"/>
    <pivotField showAll="0"/>
    <pivotField showAll="0"/>
    <pivotField showAll="0"/>
    <pivotField showAll="0"/>
    <pivotField showAll="0"/>
    <pivotField showAll="0" defaultSubtotal="0"/>
    <pivotField axis="axisRow" showAll="0">
      <items count="6">
        <item m="1" x="2"/>
        <item m="1" x="4"/>
        <item x="1"/>
        <item x="0"/>
        <item m="1" x="3"/>
        <item t="default"/>
      </items>
    </pivotField>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6" showAll="0"/>
    <pivotField showAll="0"/>
    <pivotField numFmtId="166" showAll="0"/>
    <pivotField showAll="0"/>
    <pivotField showAll="0"/>
    <pivotField showAll="0"/>
    <pivotField showAll="0"/>
    <pivotField showAll="0"/>
    <pivotField numFmtId="1" showAll="0"/>
    <pivotField showAll="0"/>
    <pivotField showAll="0"/>
    <pivotField numFmtId="166" showAll="0"/>
    <pivotField numFmtId="166"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showAll="0" defaultSubtotal="0"/>
    <pivotField numFmtId="164" showAll="0" defaultSubtotal="0"/>
    <pivotField numFmtId="16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164"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ragToRow="0" dragToCol="0" dragToPage="0" showAll="0" defaultSubtotal="0"/>
    <pivotField dragToRow="0" dragToCol="0" dragToPage="0" showAll="0" defaultSubtotal="0"/>
  </pivotFields>
  <rowFields count="1">
    <field x="42"/>
  </rowFields>
  <rowItems count="3">
    <i>
      <x v="2"/>
    </i>
    <i>
      <x v="3"/>
    </i>
    <i t="grand">
      <x/>
    </i>
  </rowItems>
  <colItems count="1">
    <i/>
  </colItems>
  <pageFields count="2">
    <pageField fld="16" hier="-1"/>
    <pageField fld="12" item="2" hier="-1"/>
  </pageFields>
  <dataFields count="1">
    <dataField name="Server Count" fld="35" baseField="38" baseItem="0"/>
  </dataFields>
  <formats count="1">
    <format dxfId="683">
      <pivotArea collapsedLevelsAreSubtotals="1" fieldPosition="0">
        <references count="1">
          <reference field="42" count="0"/>
        </references>
      </pivotArea>
    </format>
  </formats>
  <pivotTableStyleInfo name="PivotStyleLight16" showRowHeaders="1" showColHeaders="1" showRowStripes="0" showColStripes="0" showLastColumn="1"/>
</pivotTableDefinition>
</file>

<file path=xl/pivotTables/pivotTable4.xml><?xml version="1.0" encoding="utf-8"?>
<pivotTableDefinition xmlns="http://schemas.openxmlformats.org/spreadsheetml/2006/main" name="PivotTable1" cacheId="78" applyNumberFormats="0" applyBorderFormats="0" applyFontFormats="0" applyPatternFormats="0" applyAlignmentFormats="0" applyWidthHeightFormats="1" dataCaption="Values" updatedVersion="4" minRefreshableVersion="3" showCalcMbrs="0" useAutoFormatting="1" itemPrintTitles="1" createdVersion="3" indent="0" outline="1" outlineData="1" multipleFieldFilters="0" rowHeaderCaption="Operating System">
  <location ref="B6:C9" firstHeaderRow="1" firstDataRow="1" firstDataCol="1" rowPageCount="2" colPageCount="1"/>
  <pivotFields count="167">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4">
        <item m="1" x="2"/>
        <item m="1" x="1"/>
        <item x="0"/>
        <item m="1" x="3"/>
      </items>
    </pivotField>
    <pivotField showAll="0"/>
    <pivotField showAll="0"/>
    <pivotField showAll="0"/>
    <pivotField axis="axisPage" multipleItemSelectionAllowed="1" showAll="0">
      <items count="17">
        <item m="1" x="10"/>
        <item m="1" x="15"/>
        <item x="5"/>
        <item m="1" x="14"/>
        <item x="4"/>
        <item x="3"/>
        <item x="9"/>
        <item m="1" x="13"/>
        <item m="1" x="12"/>
        <item x="1"/>
        <item m="1" x="11"/>
        <item x="6"/>
        <item x="2"/>
        <item x="0"/>
        <item x="8"/>
        <item x="7"/>
        <item t="default"/>
      </items>
    </pivotField>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pivotField dataField="1" showAll="0" defaultSubtotal="0"/>
    <pivotField showAll="0"/>
    <pivotField showAll="0"/>
    <pivotField showAll="0"/>
    <pivotField showAll="0"/>
    <pivotField showAll="0"/>
    <pivotField showAll="0" defaultSubtotal="0"/>
    <pivotField axis="axisRow" showAll="0">
      <items count="6">
        <item m="1" x="2"/>
        <item m="1" x="4"/>
        <item x="1"/>
        <item x="0"/>
        <item m="1" x="3"/>
        <item t="default"/>
      </items>
    </pivotField>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6" showAll="0"/>
    <pivotField showAll="0"/>
    <pivotField numFmtId="166" showAll="0"/>
    <pivotField showAll="0"/>
    <pivotField showAll="0"/>
    <pivotField showAll="0"/>
    <pivotField showAll="0"/>
    <pivotField showAll="0"/>
    <pivotField numFmtId="1" showAll="0"/>
    <pivotField showAll="0"/>
    <pivotField showAll="0"/>
    <pivotField numFmtId="166" showAll="0"/>
    <pivotField numFmtId="166"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showAll="0" defaultSubtotal="0"/>
    <pivotField numFmtId="164" showAll="0" defaultSubtotal="0"/>
    <pivotField numFmtId="16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164"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ragToRow="0" dragToCol="0" dragToPage="0" showAll="0" defaultSubtotal="0"/>
    <pivotField dragToRow="0" dragToCol="0" dragToPage="0" showAll="0" defaultSubtotal="0"/>
  </pivotFields>
  <rowFields count="1">
    <field x="42"/>
  </rowFields>
  <rowItems count="3">
    <i>
      <x v="2"/>
    </i>
    <i>
      <x v="3"/>
    </i>
    <i t="grand">
      <x/>
    </i>
  </rowItems>
  <colItems count="1">
    <i/>
  </colItems>
  <pageFields count="2">
    <pageField fld="16" hier="-1"/>
    <pageField fld="12" hier="-1"/>
  </pageFields>
  <dataFields count="1">
    <dataField name="Server Count" fld="35" baseField="38" baseItem="0"/>
  </dataFields>
  <formats count="1">
    <format dxfId="684">
      <pivotArea collapsedLevelsAreSubtotals="1" fieldPosition="0">
        <references count="1">
          <reference field="42" count="0"/>
        </references>
      </pivotArea>
    </format>
  </formats>
  <pivotTableStyleInfo name="PivotStyleLight16" showRowHeaders="1" showColHeaders="1" showRowStripes="0" showColStripes="0" showLastColumn="1"/>
</pivotTableDefinition>
</file>

<file path=xl/pivotTables/pivotTable5.xml><?xml version="1.0" encoding="utf-8"?>
<pivotTableDefinition xmlns="http://schemas.openxmlformats.org/spreadsheetml/2006/main" name="PivotTable3" cacheId="78" applyNumberFormats="0" applyBorderFormats="0" applyFontFormats="0" applyPatternFormats="0" applyAlignmentFormats="0" applyWidthHeightFormats="1" dataCaption="Values" updatedVersion="4" minRefreshableVersion="3" showCalcMbrs="0" useAutoFormatting="1" itemPrintTitles="1" createdVersion="3" indent="0" outline="1" outlineData="1" multipleFieldFilters="0" rowHeaderCaption="Operating System">
  <location ref="H6:I9" firstHeaderRow="1" firstDataRow="1" firstDataCol="1" rowPageCount="2" colPageCount="1"/>
  <pivotFields count="167">
    <pivotField showAl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4">
        <item m="1" x="2"/>
        <item m="1" x="1"/>
        <item x="0"/>
        <item m="1" x="3"/>
      </items>
    </pivotField>
    <pivotField showAll="0"/>
    <pivotField showAll="0"/>
    <pivotField showAll="0"/>
    <pivotField axis="axisPage" multipleItemSelectionAllowed="1" showAll="0">
      <items count="17">
        <item m="1" x="10"/>
        <item m="1" x="15"/>
        <item x="5"/>
        <item m="1" x="14"/>
        <item x="4"/>
        <item x="3"/>
        <item x="9"/>
        <item m="1" x="13"/>
        <item m="1" x="12"/>
        <item x="1"/>
        <item m="1" x="11"/>
        <item x="6"/>
        <item x="2"/>
        <item x="0"/>
        <item x="8"/>
        <item x="7"/>
        <item t="default"/>
      </items>
    </pivotField>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pivotField dataField="1" showAll="0" defaultSubtotal="0"/>
    <pivotField showAll="0"/>
    <pivotField showAll="0"/>
    <pivotField showAll="0"/>
    <pivotField showAll="0"/>
    <pivotField showAll="0"/>
    <pivotField showAll="0" defaultSubtotal="0"/>
    <pivotField axis="axisRow" showAll="0">
      <items count="6">
        <item m="1" x="2"/>
        <item m="1" x="4"/>
        <item x="1"/>
        <item x="0"/>
        <item m="1" x="3"/>
        <item t="default"/>
      </items>
    </pivotField>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6" showAll="0"/>
    <pivotField showAll="0"/>
    <pivotField numFmtId="166" showAll="0"/>
    <pivotField showAll="0"/>
    <pivotField showAll="0"/>
    <pivotField showAll="0"/>
    <pivotField showAll="0"/>
    <pivotField showAll="0"/>
    <pivotField numFmtId="1" showAll="0"/>
    <pivotField showAll="0"/>
    <pivotField showAll="0"/>
    <pivotField numFmtId="166" showAll="0"/>
    <pivotField numFmtId="166" showAll="0"/>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showAll="0" defaultSubtotal="0"/>
    <pivotField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showAll="0" defaultSubtotal="0"/>
    <pivotField numFmtId="164" showAll="0" defaultSubtotal="0"/>
    <pivotField numFmtId="16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164"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ragToRow="0" dragToCol="0" dragToPage="0" showAll="0" defaultSubtotal="0"/>
    <pivotField dragToRow="0" dragToCol="0" dragToPage="0" showAll="0" defaultSubtotal="0"/>
  </pivotFields>
  <rowFields count="1">
    <field x="42"/>
  </rowFields>
  <rowItems count="3">
    <i>
      <x v="2"/>
    </i>
    <i>
      <x v="3"/>
    </i>
    <i t="grand">
      <x/>
    </i>
  </rowItems>
  <colItems count="1">
    <i/>
  </colItems>
  <pageFields count="2">
    <pageField fld="16" hier="-1"/>
    <pageField fld="12" hier="-1"/>
  </pageFields>
  <dataFields count="1">
    <dataField name="Server Count" fld="35" baseField="38" baseItem="0"/>
  </dataFields>
  <formats count="1">
    <format dxfId="685">
      <pivotArea collapsedLevelsAreSubtotals="1" fieldPosition="0">
        <references count="1">
          <reference field="42" count="0"/>
        </references>
      </pivotArea>
    </format>
  </formats>
  <pivotTableStyleInfo name="PivotStyleLight16" showRowHeaders="1" showColHeaders="1" showRowStripes="0" showColStripes="0" showLastColumn="1"/>
</pivotTableDefinition>
</file>

<file path=xl/pivotTables/pivotTable6.xml><?xml version="1.0" encoding="utf-8"?>
<pivotTableDefinition xmlns="http://schemas.openxmlformats.org/spreadsheetml/2006/main" name="PivotTable7" cacheId="78" applyNumberFormats="0" applyBorderFormats="0" applyFontFormats="0" applyPatternFormats="0" applyAlignmentFormats="0" applyWidthHeightFormats="1" dataCaption=" " missingCaption="0" updatedVersion="4" minRefreshableVersion="3" showCalcMbrs="0" useAutoFormatting="1" itemPrintTitles="1" createdVersion="3" indent="0" outline="1" outlineData="1" multipleFieldFilters="0" rowHeaderCaption="PCR">
  <location ref="H2:M5" firstHeaderRow="1" firstDataRow="2" firstDataCol="1"/>
  <pivotFields count="167">
    <pivotField axis="axisRow" showAll="0">
      <items count="4">
        <item m="1" x="1"/>
        <item m="1" x="2"/>
        <item x="0"/>
        <item t="default"/>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defaultSubtotal="0"/>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dataField="1" numFmtId="166" showAll="0" defaultSubtotal="0"/>
    <pivotField dataField="1" showAll="0"/>
    <pivotField dataField="1" showAll="0"/>
    <pivotField showAll="0" defaultSubtotal="0"/>
    <pivotField showAll="0" defaultSubtotal="0"/>
    <pivotField showAll="0" defaultSubtotal="0"/>
    <pivotField showAll="0" defaultSubtotal="0"/>
    <pivotField showAll="0" defaultSubtotal="0"/>
    <pivotField dataField="1" showAll="0"/>
    <pivotField dataField="1"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pivotField showAll="0" defaultSubtotal="0"/>
    <pivotField showAll="0"/>
    <pivotField numFmtId="166" showAll="0" defaultSubtotal="0"/>
    <pivotField numFmtId="1" showAll="0" defaultSubtotal="0"/>
    <pivotField showAll="0"/>
    <pivotField showAll="0"/>
    <pivotField showAll="0"/>
    <pivotField showAl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numFmtId="165" showAll="0"/>
    <pivotField showAll="0" defaultSubtotal="0"/>
    <pivotField numFmtId="44" showAll="0"/>
    <pivotField numFmtId="44" showAll="0"/>
    <pivotField numFmtId="44" showAll="0" defaultSubtotal="0"/>
    <pivotField numFmtId="44" showAl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0"/>
  </rowFields>
  <rowItems count="2">
    <i>
      <x v="2"/>
    </i>
    <i t="grand">
      <x/>
    </i>
  </rowItems>
  <colFields count="1">
    <field x="-2"/>
  </colFields>
  <colItems count="5">
    <i>
      <x/>
    </i>
    <i i="1">
      <x v="1"/>
    </i>
    <i i="2">
      <x v="2"/>
    </i>
    <i i="3">
      <x v="3"/>
    </i>
    <i i="4">
      <x v="4"/>
    </i>
  </colItems>
  <dataFields count="5">
    <dataField name="Total of SAN (GB) Needed Today" fld="64" baseField="0" baseItem="9"/>
    <dataField name="Total SAN (GB)_x000a_Reserved" fld="65" baseField="0" baseItem="0"/>
    <dataField name="Total SAN (GB)_x000a_End-State" fld="66" baseField="0" baseItem="0"/>
    <dataField name="Total of NAS (GB) Dedicated" fld="72" baseField="0" baseItem="9"/>
    <dataField name="Total of NAS Shared (GB)" fld="73" baseField="0" baseItem="0"/>
  </dataFields>
  <formats count="10">
    <format dxfId="668">
      <pivotArea dataOnly="0" labelOnly="1" outline="0" axis="axisValues" fieldPosition="0"/>
    </format>
    <format dxfId="667">
      <pivotArea dataOnly="0" labelOnly="1" outline="0" fieldPosition="0">
        <references count="1">
          <reference field="4294967294" count="2">
            <x v="1"/>
            <x v="2"/>
          </reference>
        </references>
      </pivotArea>
    </format>
    <format dxfId="666">
      <pivotArea field="0" type="button" dataOnly="0" labelOnly="1" outline="0" axis="axisRow" fieldPosition="0"/>
    </format>
    <format dxfId="665">
      <pivotArea dataOnly="0" labelOnly="1" outline="0" fieldPosition="0">
        <references count="1">
          <reference field="4294967294" count="2">
            <x v="1"/>
            <x v="2"/>
          </reference>
        </references>
      </pivotArea>
    </format>
    <format dxfId="664">
      <pivotArea field="0" type="button" dataOnly="0" labelOnly="1" outline="0" axis="axisRow" fieldPosition="0"/>
    </format>
    <format dxfId="663">
      <pivotArea dataOnly="0" labelOnly="1" outline="0" fieldPosition="0">
        <references count="1">
          <reference field="4294967294" count="2">
            <x v="1"/>
            <x v="2"/>
          </reference>
        </references>
      </pivotArea>
    </format>
    <format dxfId="662">
      <pivotArea dataOnly="0" labelOnly="1" outline="0" fieldPosition="0">
        <references count="1">
          <reference field="4294967294" count="2">
            <x v="1"/>
            <x v="2"/>
          </reference>
        </references>
      </pivotArea>
    </format>
    <format dxfId="661">
      <pivotArea dataOnly="0" labelOnly="1" outline="0" fieldPosition="0">
        <references count="1">
          <reference field="4294967294" count="1">
            <x v="0"/>
          </reference>
        </references>
      </pivotArea>
    </format>
    <format dxfId="660">
      <pivotArea dataOnly="0" labelOnly="1" outline="0" fieldPosition="0">
        <references count="1">
          <reference field="4294967294" count="1">
            <x v="3"/>
          </reference>
        </references>
      </pivotArea>
    </format>
    <format dxfId="659">
      <pivotArea dataOnly="0" labelOnly="1" outline="0" fieldPosition="0">
        <references count="1">
          <reference field="4294967294" count="1">
            <x v="4"/>
          </reference>
        </references>
      </pivotArea>
    </format>
  </formats>
  <pivotTableStyleInfo name="PivotStyleLight16" showRowHeaders="1" showColHeaders="1" showRowStripes="0" showColStripes="0" showLastColumn="1"/>
</pivotTableDefinition>
</file>

<file path=xl/pivotTables/pivotTable7.xml><?xml version="1.0" encoding="utf-8"?>
<pivotTableDefinition xmlns="http://schemas.openxmlformats.org/spreadsheetml/2006/main" name="ptServerModelCount" cacheId="78" applyNumberFormats="0" applyBorderFormats="0" applyFontFormats="0" applyPatternFormats="0" applyAlignmentFormats="0" applyWidthHeightFormats="1" dataCaption="Values" missingCaption="0" updatedVersion="4" minRefreshableVersion="3" showCalcMbrs="0" useAutoFormatting="1" itemPrintTitles="1" createdVersion="3" indent="0" outline="1" outlineData="1" multipleFieldFilters="0" colHeaderCaption="">
  <location ref="O4:R14" firstHeaderRow="1" firstDataRow="2" firstDataCol="1" rowPageCount="1" colPageCount="1"/>
  <pivotFields count="167">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showAll="0" defaultSubtotal="0">
      <items count="16">
        <item x="1"/>
        <item x="3"/>
        <item m="1" x="14"/>
        <item m="1" x="12"/>
        <item m="1" x="15"/>
        <item x="4"/>
        <item x="5"/>
        <item x="9"/>
        <item m="1" x="13"/>
        <item m="1" x="11"/>
        <item m="1" x="10"/>
        <item x="6"/>
        <item x="2"/>
        <item x="0"/>
        <item x="8"/>
        <item x="7"/>
      </items>
    </pivotField>
    <pivotField showAll="0"/>
    <pivotField showAll="0"/>
    <pivotField showAll="0" defaultSubtotal="0"/>
    <pivotField showAll="0"/>
    <pivotField showAll="0"/>
    <pivotField showAll="0" defaultSubtotal="0"/>
    <pivotField showAll="0"/>
    <pivotField showAll="0"/>
    <pivotField showAll="0" defaultSubtotal="0"/>
    <pivotField showAll="0"/>
    <pivotField axis="axisPage" showAll="0" defaultSubtotal="0">
      <items count="4">
        <item m="1" x="3"/>
        <item x="1"/>
        <item x="0"/>
        <item x="2"/>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axis="axisCol" dataField="1" showAll="0" sortType="ascending" defaultSubtotal="0">
      <items count="9">
        <item m="1" x="6"/>
        <item m="1" x="7"/>
        <item x="0"/>
        <item m="1" x="5"/>
        <item m="1" x="4"/>
        <item m="1" x="3"/>
        <item x="1"/>
        <item m="1" x="8"/>
        <item m="1" x="2"/>
      </items>
    </pivotField>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defaultSubtotal="0"/>
    <pivotField showAll="0" defaultSubtotal="0"/>
    <pivotField showAll="0"/>
    <pivotField numFmtId="166" showAll="0" defaultSubtotal="0"/>
    <pivotField numFmtId="1" showAll="0" defaultSubtotal="0"/>
    <pivotField showAll="0" defaultSubtotal="0"/>
    <pivotField showAll="0" defaultSubtotal="0"/>
    <pivotField showAll="0"/>
    <pivotField showAll="0" defaultSubtota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numFmtId="165" showAll="0"/>
    <pivotField showAll="0" defaultSubtotal="0"/>
    <pivotField numFmtId="44" showAll="0"/>
    <pivotField numFmtId="44" showAll="0"/>
    <pivotField numFmtId="44" showAll="0" defaultSubtotal="0"/>
    <pivotField numFmtId="44" showAl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16"/>
  </rowFields>
  <rowItems count="9">
    <i>
      <x/>
    </i>
    <i>
      <x v="1"/>
    </i>
    <i>
      <x v="5"/>
    </i>
    <i>
      <x v="6"/>
    </i>
    <i>
      <x v="7"/>
    </i>
    <i>
      <x v="11"/>
    </i>
    <i>
      <x v="14"/>
    </i>
    <i>
      <x v="15"/>
    </i>
    <i t="grand">
      <x/>
    </i>
  </rowItems>
  <colFields count="1">
    <field x="38"/>
  </colFields>
  <colItems count="3">
    <i>
      <x v="2"/>
    </i>
    <i>
      <x v="6"/>
    </i>
    <i t="grand">
      <x/>
    </i>
  </colItems>
  <pageFields count="1">
    <pageField fld="27" item="1" hier="-1"/>
  </pageFields>
  <dataFields count="1">
    <dataField name="Count of Server Model" fld="38" subtotal="count" baseField="0" baseItem="0"/>
  </dataFields>
  <formats count="5">
    <format dxfId="673">
      <pivotArea outline="0" collapsedLevelsAreSubtotals="1" fieldPosition="0"/>
    </format>
    <format dxfId="672">
      <pivotArea outline="0" collapsedLevelsAreSubtotals="1" fieldPosition="0"/>
    </format>
    <format dxfId="671">
      <pivotArea dataOnly="0" labelOnly="1" grandCol="1" outline="0" fieldPosition="0"/>
    </format>
    <format dxfId="670">
      <pivotArea dataOnly="0" labelOnly="1" grandCol="1" outline="0" fieldPosition="0"/>
    </format>
    <format dxfId="669">
      <pivotArea dataOnly="0" labelOnly="1" grandCol="1" outline="0" fieldPosition="0"/>
    </format>
  </formats>
  <pivotTableStyleInfo name="PivotStyleLight16" showRowHeaders="1" showColHeaders="1" showRowStripes="0" showColStripes="0" showLastColumn="1"/>
</pivotTableDefinition>
</file>

<file path=xl/pivotTables/pivotTable8.xml><?xml version="1.0" encoding="utf-8"?>
<pivotTableDefinition xmlns="http://schemas.openxmlformats.org/spreadsheetml/2006/main" name="ptStorageByEnv" cacheId="78" applyNumberFormats="0" applyBorderFormats="0" applyFontFormats="0" applyPatternFormats="0" applyAlignmentFormats="0" applyWidthHeightFormats="1" dataCaption=" " updatedVersion="4" minRefreshableVersion="3" showCalcMbrs="0" useAutoFormatting="1" itemPrintTitles="1" createdVersion="3" indent="0" outline="1" outlineData="1" multipleFieldFilters="0" rowHeaderCaption="Environment">
  <location ref="A2:F19" firstHeaderRow="1" firstDataRow="2" firstDataCol="1"/>
  <pivotFields count="167">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defaultSubtotal="0">
      <items count="16">
        <item x="1"/>
        <item x="3"/>
        <item m="1" x="14"/>
        <item m="1" x="12"/>
        <item m="1" x="15"/>
        <item x="4"/>
        <item x="5"/>
        <item x="9"/>
        <item m="1" x="13"/>
        <item m="1" x="11"/>
        <item h="1" m="1" x="10"/>
        <item x="6"/>
        <item x="2"/>
        <item x="0"/>
        <item x="8"/>
        <item x="7"/>
      </items>
    </pivotField>
    <pivotField showAll="0" defaultSubtotal="0">
      <items count="10">
        <item x="0"/>
        <item x="1"/>
        <item m="1" x="7"/>
        <item m="1" x="9"/>
        <item m="1" x="6"/>
        <item x="2"/>
        <item x="3"/>
        <item x="4"/>
        <item m="1" x="8"/>
        <item m="1" x="5"/>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numFmtId="166" showAll="0" defaultSubtotal="0"/>
    <pivotField dataField="1" showAll="0" defaultSubtotal="0"/>
    <pivotField dataField="1" showAll="0" defaultSubtotal="0"/>
    <pivotField showAll="0" defaultSubtotal="0"/>
    <pivotField showAll="0" defaultSubtotal="0"/>
    <pivotField showAll="0" defaultSubtotal="0"/>
    <pivotField showAll="0" defaultSubtotal="0"/>
    <pivotField showAll="0" defaultSubtotal="0"/>
    <pivotField dataField="1" showAll="0" defaultSubtotal="0"/>
    <pivotField dataField="1" showAll="0" defaultSubtota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numFmtId="166"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 showAll="0" defaultSubtotal="0"/>
    <pivotField numFmtId="1" showAll="0" defaultSubtotal="0"/>
    <pivotField numFmtId="166" showAll="0" defaultSubtotal="0"/>
    <pivotField numFmtId="1" showAll="0" defaultSubtotal="0"/>
    <pivotField numFmtId="166" showAll="0" defaultSubtotal="0"/>
    <pivotField numFmtId="1" showAll="0" defaultSubtotal="0"/>
    <pivotField showAll="0" defaultSubtotal="0"/>
    <pivotField showAll="0" defaultSubtotal="0"/>
    <pivotField numFmtId="165" showAll="0" defaultSubtotal="0"/>
    <pivotField showAll="0" defaultSubtotal="0"/>
    <pivotField numFmtId="44" showAll="0" defaultSubtotal="0"/>
    <pivotField numFmtId="44" showAll="0" defaultSubtotal="0"/>
    <pivotField numFmtId="44" showAll="0" defaultSubtotal="0"/>
    <pivotField numFmtId="44" showAll="0" defaultSubtota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16"/>
  </rowFields>
  <rowItems count="16">
    <i>
      <x/>
    </i>
    <i>
      <x v="1"/>
    </i>
    <i>
      <x v="2"/>
    </i>
    <i>
      <x v="3"/>
    </i>
    <i>
      <x v="4"/>
    </i>
    <i>
      <x v="5"/>
    </i>
    <i>
      <x v="6"/>
    </i>
    <i>
      <x v="7"/>
    </i>
    <i>
      <x v="8"/>
    </i>
    <i>
      <x v="9"/>
    </i>
    <i>
      <x v="11"/>
    </i>
    <i>
      <x v="12"/>
    </i>
    <i>
      <x v="13"/>
    </i>
    <i>
      <x v="14"/>
    </i>
    <i>
      <x v="15"/>
    </i>
    <i t="grand">
      <x/>
    </i>
  </rowItems>
  <colFields count="1">
    <field x="-2"/>
  </colFields>
  <colItems count="5">
    <i>
      <x/>
    </i>
    <i i="1">
      <x v="1"/>
    </i>
    <i i="2">
      <x v="2"/>
    </i>
    <i i="3">
      <x v="3"/>
    </i>
    <i i="4">
      <x v="4"/>
    </i>
  </colItems>
  <dataFields count="5">
    <dataField name="Total of SAN Needed Today" fld="64" baseField="4" baseItem="0"/>
    <dataField name="Total SAN (GB) Reserved" fld="65" baseField="0" baseItem="0"/>
    <dataField name="Total SAN (GB) End-State" fld="66" baseField="0" baseItem="0"/>
    <dataField name="Total NAS (GB) Shared" fld="73" baseField="0" baseItem="0"/>
    <dataField name="Total NAS (GB) Dedicated" fld="72" baseField="0" baseItem="0"/>
  </dataFields>
  <formats count="9">
    <format dxfId="682">
      <pivotArea outline="0" collapsedLevelsAreSubtotals="1" fieldPosition="0"/>
    </format>
    <format dxfId="681">
      <pivotArea field="17" type="button" dataOnly="0" labelOnly="1" outline="0"/>
    </format>
    <format dxfId="680">
      <pivotArea dataOnly="0" labelOnly="1" outline="0" fieldPosition="0">
        <references count="1">
          <reference field="4294967294" count="4">
            <x v="1"/>
            <x v="2"/>
            <x v="3"/>
            <x v="4"/>
          </reference>
        </references>
      </pivotArea>
    </format>
    <format dxfId="679">
      <pivotArea field="17" type="button" dataOnly="0" labelOnly="1" outline="0"/>
    </format>
    <format dxfId="678">
      <pivotArea dataOnly="0" labelOnly="1" outline="0" fieldPosition="0">
        <references count="1">
          <reference field="4294967294" count="4">
            <x v="1"/>
            <x v="2"/>
            <x v="3"/>
            <x v="4"/>
          </reference>
        </references>
      </pivotArea>
    </format>
    <format dxfId="677">
      <pivotArea field="17" type="button" dataOnly="0" labelOnly="1" outline="0"/>
    </format>
    <format dxfId="676">
      <pivotArea dataOnly="0" labelOnly="1" outline="0" fieldPosition="0">
        <references count="1">
          <reference field="4294967294" count="4">
            <x v="1"/>
            <x v="2"/>
            <x v="3"/>
            <x v="4"/>
          </reference>
        </references>
      </pivotArea>
    </format>
    <format dxfId="675">
      <pivotArea dataOnly="0" labelOnly="1" outline="0" fieldPosition="0">
        <references count="1">
          <reference field="4294967294" count="1">
            <x v="0"/>
          </reference>
        </references>
      </pivotArea>
    </format>
    <format dxfId="674">
      <pivotArea dataOnly="0" labelOnly="1" outline="0" fieldPosition="0">
        <references count="1">
          <reference field="4294967294" count="1">
            <x v="0"/>
          </reference>
        </references>
      </pivotArea>
    </format>
  </formats>
  <pivotTableStyleInfo name="PivotStyleLight16" showRowHeaders="1" showColHeaders="1" showRowStripes="0" showColStripes="0" showLastColumn="1"/>
</pivotTableDefinition>
</file>

<file path=xl/pivotTables/pivotTable9.xml><?xml version="1.0" encoding="utf-8"?>
<pivotTableDefinition xmlns="http://schemas.openxmlformats.org/spreadsheetml/2006/main" name="PivotTable1" cacheId="78" applyNumberFormats="0" applyBorderFormats="0" applyFontFormats="0" applyPatternFormats="0" applyAlignmentFormats="0" applyWidthHeightFormats="1" dataCaption="Server Info" updatedVersion="4" minRefreshableVersion="3" showCalcMbrs="0" useAutoFormatting="1" itemPrintTitles="1" createdVersion="3" indent="0" outline="1" outlineData="1" multipleFieldFilters="0" rowHeaderCaption="Server Alias">
  <location ref="E1:N152" firstHeaderRow="1" firstDataRow="2" firstDataCol="1"/>
  <pivotFields count="167">
    <pivotField showAll="0"/>
    <pivotField dataField="1"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showAll="0" defaultSubtotal="0"/>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Row" showAll="0" sortType="ascending">
      <items count="230">
        <item m="1" x="218"/>
        <item x="98"/>
        <item x="107"/>
        <item x="108"/>
        <item x="109"/>
        <item x="110"/>
        <item x="111"/>
        <item x="112"/>
        <item x="113"/>
        <item x="114"/>
        <item x="115"/>
        <item x="116"/>
        <item x="99"/>
        <item x="117"/>
        <item x="100"/>
        <item x="101"/>
        <item x="102"/>
        <item x="103"/>
        <item x="104"/>
        <item x="105"/>
        <item x="106"/>
        <item m="1" x="177"/>
        <item m="1" x="176"/>
        <item m="1" x="153"/>
        <item m="1" x="210"/>
        <item m="1" x="178"/>
        <item m="1" x="179"/>
        <item m="1" x="181"/>
        <item m="1" x="182"/>
        <item m="1" x="183"/>
        <item m="1" x="184"/>
        <item m="1" x="187"/>
        <item m="1" x="188"/>
        <item m="1" x="224"/>
        <item m="1" x="211"/>
        <item x="12"/>
        <item x="21"/>
        <item x="22"/>
        <item x="23"/>
        <item x="13"/>
        <item x="14"/>
        <item x="15"/>
        <item x="16"/>
        <item x="17"/>
        <item x="18"/>
        <item x="19"/>
        <item x="20"/>
        <item x="8"/>
        <item x="9"/>
        <item x="10"/>
        <item x="11"/>
        <item x="26"/>
        <item m="1" x="226"/>
        <item x="120"/>
        <item m="1" x="220"/>
        <item x="121"/>
        <item x="37"/>
        <item x="0"/>
        <item x="38"/>
        <item x="1"/>
        <item x="39"/>
        <item x="2"/>
        <item x="40"/>
        <item x="3"/>
        <item x="24"/>
        <item x="25"/>
        <item x="29"/>
        <item x="30"/>
        <item x="31"/>
        <item x="32"/>
        <item x="33"/>
        <item x="34"/>
        <item x="35"/>
        <item x="36"/>
        <item x="41"/>
        <item x="4"/>
        <item x="42"/>
        <item x="5"/>
        <item x="43"/>
        <item x="6"/>
        <item x="44"/>
        <item x="7"/>
        <item x="27"/>
        <item x="28"/>
        <item x="96"/>
        <item x="97"/>
        <item m="1" x="199"/>
        <item m="1" x="158"/>
        <item m="1" x="197"/>
        <item m="1" x="156"/>
        <item m="1" x="194"/>
        <item m="1" x="155"/>
        <item m="1" x="215"/>
        <item m="1" x="172"/>
        <item m="1" x="213"/>
        <item m="1" x="169"/>
        <item m="1" x="212"/>
        <item m="1" x="173"/>
        <item m="1" x="151"/>
        <item m="1" x="209"/>
        <item m="1" x="180"/>
        <item m="1" x="216"/>
        <item x="118"/>
        <item x="119"/>
        <item m="1" x="157"/>
        <item m="1" x="159"/>
        <item x="49"/>
        <item x="58"/>
        <item x="59"/>
        <item x="60"/>
        <item x="50"/>
        <item x="51"/>
        <item x="52"/>
        <item x="53"/>
        <item x="54"/>
        <item x="55"/>
        <item x="56"/>
        <item x="57"/>
        <item x="45"/>
        <item x="46"/>
        <item x="47"/>
        <item x="48"/>
        <item x="63"/>
        <item x="92"/>
        <item x="140"/>
        <item m="1" x="161"/>
        <item x="66"/>
        <item m="1" x="165"/>
        <item x="67"/>
        <item m="1" x="214"/>
        <item x="68"/>
        <item m="1" x="185"/>
        <item x="69"/>
        <item x="61"/>
        <item x="90"/>
        <item x="62"/>
        <item x="91"/>
        <item m="1" x="186"/>
        <item x="70"/>
        <item m="1" x="160"/>
        <item x="71"/>
        <item m="1" x="217"/>
        <item x="72"/>
        <item m="1" x="191"/>
        <item x="73"/>
        <item x="64"/>
        <item x="93"/>
        <item x="65"/>
        <item x="94"/>
        <item x="78"/>
        <item x="87"/>
        <item x="88"/>
        <item x="89"/>
        <item x="79"/>
        <item x="80"/>
        <item x="81"/>
        <item x="82"/>
        <item x="83"/>
        <item x="84"/>
        <item x="85"/>
        <item x="86"/>
        <item x="74"/>
        <item x="75"/>
        <item x="76"/>
        <item x="77"/>
        <item x="95"/>
        <item x="141"/>
        <item x="142"/>
        <item x="143"/>
        <item x="144"/>
        <item x="145"/>
        <item x="146"/>
        <item x="147"/>
        <item x="148"/>
        <item m="1" x="189"/>
        <item m="1" x="190"/>
        <item m="1" x="192"/>
        <item m="1" x="193"/>
        <item m="1" x="195"/>
        <item m="1" x="196"/>
        <item m="1" x="198"/>
        <item m="1" x="200"/>
        <item m="1" x="201"/>
        <item m="1" x="162"/>
        <item m="1" x="163"/>
        <item m="1" x="164"/>
        <item m="1" x="166"/>
        <item m="1" x="167"/>
        <item m="1" x="168"/>
        <item m="1" x="170"/>
        <item m="1" x="171"/>
        <item m="1" x="174"/>
        <item m="1" x="175"/>
        <item m="1" x="219"/>
        <item m="1" x="221"/>
        <item m="1" x="222"/>
        <item m="1" x="223"/>
        <item m="1" x="225"/>
        <item m="1" x="227"/>
        <item m="1" x="228"/>
        <item m="1" x="150"/>
        <item m="1" x="152"/>
        <item m="1" x="154"/>
        <item m="1" x="202"/>
        <item m="1" x="203"/>
        <item m="1" x="204"/>
        <item m="1" x="205"/>
        <item m="1" x="206"/>
        <item m="1" x="207"/>
        <item m="1" x="208"/>
        <item x="122"/>
        <item x="131"/>
        <item x="132"/>
        <item x="133"/>
        <item x="134"/>
        <item x="135"/>
        <item x="136"/>
        <item x="137"/>
        <item x="123"/>
        <item x="124"/>
        <item x="125"/>
        <item x="126"/>
        <item x="127"/>
        <item x="128"/>
        <item x="129"/>
        <item x="130"/>
        <item x="138"/>
        <item x="139"/>
        <item m="1" x="149"/>
        <item t="default" sd="0"/>
      </items>
    </pivotField>
    <pivotField showAll="0" defaultSubtota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dataField="1" numFmtId="166"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pivotField dataField="1" showAll="0"/>
    <pivotField dataField="1"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defaultSubtotal="0"/>
    <pivotField showAll="0" defaultSubtotal="0"/>
    <pivotField showAll="0"/>
    <pivotField numFmtId="166" showAll="0" defaultSubtotal="0"/>
    <pivotField numFmtId="1" showAll="0" defaultSubtotal="0"/>
    <pivotField showAll="0"/>
    <pivotField showAll="0"/>
    <pivotField showAll="0"/>
    <pivotField showAll="0"/>
    <pivotField numFmtId="166" showAll="0" defaultSubtotal="0"/>
    <pivotField numFmtId="166" showAll="0" defaultSubtotal="0"/>
    <pivotField numFmtId="166" showAll="0" defaultSubtotal="0"/>
    <pivotField numFmtId="166" showAll="0" defaultSubtotal="0"/>
    <pivotField showAll="0"/>
    <pivotField showAll="0"/>
    <pivotField numFmtId="166" showAll="0" defaultSubtotal="0"/>
    <pivotField numFmtId="166" showAll="0" defaultSubtotal="0"/>
    <pivotField showAll="0"/>
    <pivotField showAll="0"/>
    <pivotField numFmtId="166" showAll="0" defaultSubtotal="0"/>
    <pivotField numFmtId="166" showAll="0" defaultSubtotal="0"/>
    <pivotField numFmtId="166" showAll="0" defaultSubtotal="0"/>
    <pivotField showAll="0"/>
    <pivotField numFmtId="1" showAll="0" defaultSubtotal="0"/>
    <pivotField numFmtId="166" showAll="0" defaultSubtotal="0"/>
    <pivotField numFmtId="1"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66" showAll="0" defaultSubtotal="0"/>
    <pivotField numFmtId="1" showAll="0" defaultSubtotal="0"/>
    <pivotField numFmtId="166" showAll="0" defaultSubtotal="0"/>
    <pivotField numFmtId="166" showAll="0" defaultSubtotal="0"/>
    <pivotField showAll="0"/>
    <pivotField showAll="0"/>
    <pivotField showAll="0"/>
    <pivotField numFmtId="1" showAll="0" defaultSubtotal="0"/>
    <pivotField showAll="0"/>
    <pivotField showAll="0"/>
    <pivotField showAll="0"/>
    <pivotField showAll="0"/>
    <pivotField showAll="0"/>
    <pivotField showAll="0" defaultSubtotal="0"/>
    <pivotField showAll="0" defaultSubtotal="0"/>
    <pivotField numFmtId="165" showAll="0"/>
    <pivotField showAll="0" defaultSubtotal="0"/>
    <pivotField numFmtId="44" showAll="0"/>
    <pivotField numFmtId="44" showAll="0"/>
    <pivotField numFmtId="44" showAll="0" defaultSubtotal="0"/>
    <pivotField dataField="1" numFmtId="44" showAll="0"/>
    <pivotField numFmtId="44" showAll="0" defaultSubtotal="0"/>
    <pivotField numFmtId="44" showAll="0" defaultSubtotal="0"/>
    <pivotField showAll="0" defaultSubtotal="0"/>
    <pivotField name="Total CPUs2" dataField="1" numFmtId="166" showAll="0" defaultSubtotal="0"/>
    <pivotField dataField="1" numFmtId="166" showAll="0" defaultSubtotal="0"/>
    <pivotField dataField="1"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34"/>
  </rowFields>
  <rowItems count="150">
    <i>
      <x v="1"/>
    </i>
    <i>
      <x v="2"/>
    </i>
    <i>
      <x v="3"/>
    </i>
    <i>
      <x v="4"/>
    </i>
    <i>
      <x v="5"/>
    </i>
    <i>
      <x v="6"/>
    </i>
    <i>
      <x v="7"/>
    </i>
    <i>
      <x v="8"/>
    </i>
    <i>
      <x v="9"/>
    </i>
    <i>
      <x v="10"/>
    </i>
    <i>
      <x v="11"/>
    </i>
    <i>
      <x v="12"/>
    </i>
    <i>
      <x v="13"/>
    </i>
    <i>
      <x v="14"/>
    </i>
    <i>
      <x v="15"/>
    </i>
    <i>
      <x v="16"/>
    </i>
    <i>
      <x v="17"/>
    </i>
    <i>
      <x v="18"/>
    </i>
    <i>
      <x v="19"/>
    </i>
    <i>
      <x v="20"/>
    </i>
    <i>
      <x v="35"/>
    </i>
    <i>
      <x v="36"/>
    </i>
    <i>
      <x v="37"/>
    </i>
    <i>
      <x v="38"/>
    </i>
    <i>
      <x v="39"/>
    </i>
    <i>
      <x v="40"/>
    </i>
    <i>
      <x v="41"/>
    </i>
    <i>
      <x v="42"/>
    </i>
    <i>
      <x v="43"/>
    </i>
    <i>
      <x v="44"/>
    </i>
    <i>
      <x v="45"/>
    </i>
    <i>
      <x v="46"/>
    </i>
    <i>
      <x v="47"/>
    </i>
    <i>
      <x v="48"/>
    </i>
    <i>
      <x v="49"/>
    </i>
    <i>
      <x v="50"/>
    </i>
    <i>
      <x v="51"/>
    </i>
    <i>
      <x v="53"/>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102"/>
    </i>
    <i>
      <x v="103"/>
    </i>
    <i>
      <x v="106"/>
    </i>
    <i>
      <x v="107"/>
    </i>
    <i>
      <x v="108"/>
    </i>
    <i>
      <x v="109"/>
    </i>
    <i>
      <x v="110"/>
    </i>
    <i>
      <x v="111"/>
    </i>
    <i>
      <x v="112"/>
    </i>
    <i>
      <x v="113"/>
    </i>
    <i>
      <x v="114"/>
    </i>
    <i>
      <x v="115"/>
    </i>
    <i>
      <x v="116"/>
    </i>
    <i>
      <x v="117"/>
    </i>
    <i>
      <x v="118"/>
    </i>
    <i>
      <x v="119"/>
    </i>
    <i>
      <x v="120"/>
    </i>
    <i>
      <x v="121"/>
    </i>
    <i>
      <x v="122"/>
    </i>
    <i>
      <x v="123"/>
    </i>
    <i>
      <x v="124"/>
    </i>
    <i>
      <x v="126"/>
    </i>
    <i>
      <x v="128"/>
    </i>
    <i>
      <x v="130"/>
    </i>
    <i>
      <x v="132"/>
    </i>
    <i>
      <x v="133"/>
    </i>
    <i>
      <x v="134"/>
    </i>
    <i>
      <x v="135"/>
    </i>
    <i>
      <x v="136"/>
    </i>
    <i>
      <x v="138"/>
    </i>
    <i>
      <x v="140"/>
    </i>
    <i>
      <x v="142"/>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210"/>
    </i>
    <i>
      <x v="211"/>
    </i>
    <i>
      <x v="212"/>
    </i>
    <i>
      <x v="213"/>
    </i>
    <i>
      <x v="214"/>
    </i>
    <i>
      <x v="215"/>
    </i>
    <i>
      <x v="216"/>
    </i>
    <i>
      <x v="217"/>
    </i>
    <i>
      <x v="218"/>
    </i>
    <i>
      <x v="219"/>
    </i>
    <i>
      <x v="220"/>
    </i>
    <i>
      <x v="221"/>
    </i>
    <i>
      <x v="222"/>
    </i>
    <i>
      <x v="223"/>
    </i>
    <i>
      <x v="224"/>
    </i>
    <i>
      <x v="225"/>
    </i>
    <i>
      <x v="226"/>
    </i>
    <i>
      <x v="227"/>
    </i>
    <i t="grand">
      <x/>
    </i>
  </rowItems>
  <colFields count="1">
    <field x="-2"/>
  </colFields>
  <colItems count="9">
    <i>
      <x/>
    </i>
    <i i="1">
      <x v="1"/>
    </i>
    <i i="2">
      <x v="2"/>
    </i>
    <i i="3">
      <x v="3"/>
    </i>
    <i i="4">
      <x v="4"/>
    </i>
    <i i="5">
      <x v="5"/>
    </i>
    <i i="6">
      <x v="6"/>
    </i>
    <i i="7">
      <x v="7"/>
    </i>
    <i i="8">
      <x v="8"/>
    </i>
  </colItems>
  <dataFields count="9">
    <dataField name="Priority " fld="1" subtotal="min" baseField="21" baseItem="98"/>
    <dataField name="Total CPUs" fld="151" baseField="19" baseItem="97" numFmtId="318"/>
    <dataField name="Total Cores " fld="152" baseField="19" baseItem="97"/>
    <dataField name="Total RAM " fld="153" baseField="19" baseItem="97"/>
    <dataField name="Total SAN (GB) Req'd Today" fld="64" baseField="19" baseItem="97"/>
    <dataField name="Total SAN (GB) End-State" fld="66" baseField="19" baseItem="97"/>
    <dataField name="Total NAS (GB) Dedicated" fld="72" baseField="19" baseItem="97"/>
    <dataField name="Total NAS (GB) Shared" fld="73" baseField="19" baseItem="97"/>
    <dataField name="Total Hardware Costs" fld="147" baseField="19" baseItem="97" numFmtId="164"/>
  </dataFields>
  <formats count="12">
    <format dxfId="655">
      <pivotArea outline="0" collapsedLevelsAreSubtotals="1" fieldPosition="0">
        <references count="1">
          <reference field="4294967294" count="1" selected="0">
            <x v="8"/>
          </reference>
        </references>
      </pivotArea>
    </format>
    <format dxfId="654">
      <pivotArea outline="0" collapsedLevelsAreSubtotals="1" fieldPosition="0">
        <references count="1">
          <reference field="4294967294" count="1" selected="0">
            <x v="8"/>
          </reference>
        </references>
      </pivotArea>
    </format>
    <format dxfId="653">
      <pivotArea dataOnly="0" labelOnly="1" outline="0" fieldPosition="0">
        <references count="1">
          <reference field="4294967294" count="1">
            <x v="8"/>
          </reference>
        </references>
      </pivotArea>
    </format>
    <format dxfId="652">
      <pivotArea dataOnly="0" labelOnly="1" outline="0" fieldPosition="0">
        <references count="1">
          <reference field="4294967294" count="1">
            <x v="7"/>
          </reference>
        </references>
      </pivotArea>
    </format>
    <format dxfId="651">
      <pivotArea dataOnly="0" labelOnly="1" outline="0" fieldPosition="0">
        <references count="1">
          <reference field="4294967294" count="2">
            <x v="7"/>
            <x v="8"/>
          </reference>
        </references>
      </pivotArea>
    </format>
    <format dxfId="650">
      <pivotArea dataOnly="0" labelOnly="1" outline="0" fieldPosition="0">
        <references count="1">
          <reference field="4294967294" count="2">
            <x v="7"/>
            <x v="8"/>
          </reference>
        </references>
      </pivotArea>
    </format>
    <format dxfId="649">
      <pivotArea dataOnly="0" labelOnly="1" outline="0" fieldPosition="0">
        <references count="1">
          <reference field="4294967294" count="6">
            <x v="1"/>
            <x v="2"/>
            <x v="3"/>
            <x v="4"/>
            <x v="5"/>
            <x v="6"/>
          </reference>
        </references>
      </pivotArea>
    </format>
    <format dxfId="648">
      <pivotArea field="34" type="button" dataOnly="0" labelOnly="1" outline="0" axis="axisRow" fieldPosition="0"/>
    </format>
    <format dxfId="647">
      <pivotArea field="34" type="button" dataOnly="0" labelOnly="1" outline="0" axis="axisRow" fieldPosition="0"/>
    </format>
    <format dxfId="646">
      <pivotArea collapsedLevelsAreSubtotals="1" fieldPosition="0">
        <references count="2">
          <reference field="4294967294" count="7" selected="0">
            <x v="1"/>
            <x v="2"/>
            <x v="3"/>
            <x v="4"/>
            <x v="5"/>
            <x v="6"/>
            <x v="7"/>
          </reference>
          <reference field="34" count="0"/>
        </references>
      </pivotArea>
    </format>
    <format dxfId="645">
      <pivotArea outline="0" fieldPosition="0">
        <references count="1">
          <reference field="4294967294" count="1">
            <x v="1"/>
          </reference>
        </references>
      </pivotArea>
    </format>
    <format dxfId="644">
      <pivotArea dataOnly="0" labelOnly="1" outline="0" fieldPosition="0">
        <references count="1">
          <reference field="4294967294" count="1">
            <x v="0"/>
          </reference>
        </references>
      </pivotArea>
    </format>
  </formats>
  <pivotTableStyleInfo name="PivotStyleDark2" showRowHeaders="1" showColHeaders="1" showRowStripes="1" showColStripes="0" showLastColumn="1"/>
</pivotTableDefinition>
</file>

<file path=xl/pivotTables/pivotTable10.xml><?xml version="1.0" encoding="utf-8"?>
<pivotTableDefinition xmlns="http://schemas.openxmlformats.org/spreadsheetml/2006/main" name="YearOneSWCost" cacheId="81" applyNumberFormats="0" applyBorderFormats="0" applyFontFormats="0" applyPatternFormats="0" applyAlignmentFormats="0" applyWidthHeightFormats="1" dataCaption="Values" grandTotalCaption="Grand Annual Total" updatedVersion="4" minRefreshableVersion="3" showCalcMbrs="0" useAutoFormatting="1" itemPrintTitles="1" createdVersion="3" indent="0" outline="1" outlineData="1" multipleFieldFilters="0" rowHeaderCaption="Product">
  <location ref="A2:B55" firstHeaderRow="1" firstDataRow="1" firstDataCol="1"/>
  <pivotFields count="17">
    <pivotField axis="axisRow" showAll="0" sortType="ascending">
      <items count="54">
        <item m="1" x="52"/>
        <item x="0"/>
        <item x="1"/>
        <item x="2"/>
        <item x="3"/>
        <item x="4"/>
        <item x="5"/>
        <item x="6"/>
        <item x="7"/>
        <item x="8"/>
        <item x="9"/>
        <item x="10"/>
        <item x="11"/>
        <item x="12"/>
        <item x="13"/>
        <item x="14"/>
        <item x="15"/>
        <item x="16"/>
        <item x="17"/>
        <item x="18"/>
        <item x="19"/>
        <item x="20"/>
        <item x="21"/>
        <item x="22"/>
        <item x="23"/>
        <item x="24"/>
        <item x="25"/>
        <item x="26"/>
        <item x="27"/>
        <item x="28"/>
        <item x="29"/>
        <item x="31"/>
        <item x="32"/>
        <item x="30"/>
        <item x="33"/>
        <item x="34"/>
        <item x="36"/>
        <item x="35"/>
        <item x="38"/>
        <item x="37"/>
        <item x="39"/>
        <item x="41"/>
        <item x="40"/>
        <item x="42"/>
        <item x="43"/>
        <item x="44"/>
        <item x="45"/>
        <item x="46"/>
        <item x="47"/>
        <item x="48"/>
        <item x="49"/>
        <item x="50"/>
        <item x="51"/>
        <item t="default"/>
      </items>
    </pivotField>
    <pivotField showAll="0" defaultSubtotal="0"/>
    <pivotField showAll="0" defaultSubtotal="0"/>
    <pivotField numFmtId="164" showAll="0" defaultSubtotal="0"/>
    <pivotField numFmtId="42" showAll="0" defaultSubtotal="0"/>
    <pivotField numFmtId="164" showAll="0" defaultSubtotal="0"/>
    <pivotField numFmtId="164" showAll="0"/>
    <pivotField numFmtId="164" showAll="0"/>
    <pivotField numFmtId="165" showAll="0" defaultSubtotal="0"/>
    <pivotField numFmtId="164" showAll="0" defaultSubtotal="0"/>
    <pivotField numFmtId="42" showAll="0" defaultSubtotal="0"/>
    <pivotField numFmtId="164" showAll="0" defaultSubtotal="0"/>
    <pivotField numFmtId="42" showAll="0" defaultSubtotal="0"/>
    <pivotField numFmtId="164" showAll="0"/>
    <pivotField numFmtId="164" showAll="0" defaultSubtotal="0"/>
    <pivotField numFmtId="164" showAll="0" defaultSubtotal="0"/>
    <pivotField dataField="1" numFmtId="164" showAll="0"/>
  </pivotFields>
  <rowFields count="1">
    <field x="0"/>
  </rowFields>
  <rowItems count="53">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t="grand">
      <x/>
    </i>
  </rowItems>
  <colItems count="1">
    <i/>
  </colItems>
  <dataFields count="1">
    <dataField name="Total Product Costs" fld="16" baseField="0" baseItem="1" numFmtId="165"/>
  </dataFields>
  <formats count="1">
    <format dxfId="637">
      <pivotArea outline="0" collapsedLevelsAreSubtotals="1" fieldPosition="0"/>
    </format>
  </formats>
  <pivotTableStyleInfo name="PivotStyleLight16" showRowHeaders="1" showColHeaders="1" showRowStripes="0" showColStripes="0" showLastColumn="1"/>
</pivotTableDefinition>
</file>

<file path=xl/pivotTables/pivotTable11.xml><?xml version="1.0" encoding="utf-8"?>
<pivotTableDefinition xmlns="http://schemas.openxmlformats.org/spreadsheetml/2006/main" name="ptSWLicAllocTable" cacheId="78" dataOnRows="1" applyNumberFormats="0" applyBorderFormats="0" applyFontFormats="0" applyPatternFormats="0" applyAlignmentFormats="0" applyWidthHeightFormats="1" dataCaption="Product Name" missingCaption="0" updatedVersion="4" minRefreshableVersion="3" showCalcMbrs="0" itemPrintTitles="1" createdVersion="3" indent="0" outline="1" outlineData="1" multipleFieldFilters="0" colHeaderCaption="Environments">
  <location ref="BD2:BT55" firstHeaderRow="1" firstDataRow="2" firstDataCol="1"/>
  <pivotFields count="167">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Col" defaultSubtotal="0">
      <items count="16">
        <item x="2"/>
        <item x="0"/>
        <item x="1"/>
        <item x="6"/>
        <item x="3"/>
        <item m="1" x="14"/>
        <item m="1" x="12"/>
        <item m="1" x="15"/>
        <item x="4"/>
        <item x="7"/>
        <item x="5"/>
        <item x="8"/>
        <item x="9"/>
        <item m="1" x="13"/>
        <item m="1" x="11"/>
        <item h="1" m="1" x="10"/>
      </items>
    </pivotField>
    <pivotField>
      <items count="11">
        <item x="0"/>
        <item x="1"/>
        <item m="1" x="7"/>
        <item m="1" x="9"/>
        <item m="1" x="6"/>
        <item x="2"/>
        <item x="3"/>
        <item x="4"/>
        <item m="1" x="8"/>
        <item m="1" x="5"/>
        <item t="default"/>
      </items>
    </pivotField>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pivotField showAl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pivotField showAll="0" defaultSubtotal="0"/>
    <pivotField dataField="1" showAll="0"/>
    <pivotField dataField="1" numFmtId="166" showAll="0" defaultSubtotal="0"/>
    <pivotField dataField="1" numFmtId="1" showAll="0" defaultSubtotal="0"/>
    <pivotField dataField="1" showAll="0"/>
    <pivotField dataField="1" showAll="0"/>
    <pivotField dataField="1" showAll="0"/>
    <pivotField dataField="1" showAll="0"/>
    <pivotField dataField="1" numFmtId="166" showAll="0" defaultSubtotal="0"/>
    <pivotField dataField="1" numFmtId="166" showAll="0" defaultSubtotal="0"/>
    <pivotField dataField="1" numFmtId="166" showAll="0" defaultSubtotal="0"/>
    <pivotField dataField="1" numFmtId="166" showAll="0" defaultSubtotal="0"/>
    <pivotField dataField="1" showAll="0"/>
    <pivotField dataField="1" showAll="0"/>
    <pivotField dataField="1" numFmtId="166" showAll="0" defaultSubtotal="0"/>
    <pivotField dataField="1" numFmtId="166" showAll="0" defaultSubtotal="0"/>
    <pivotField dataField="1" showAll="0"/>
    <pivotField dataField="1" showAll="0"/>
    <pivotField dataField="1" numFmtId="166" showAll="0" defaultSubtotal="0"/>
    <pivotField dataField="1" numFmtId="166" showAll="0" defaultSubtotal="0"/>
    <pivotField dataField="1" numFmtId="166" showAll="0" defaultSubtotal="0"/>
    <pivotField dataField="1" showAll="0"/>
    <pivotField dataField="1" numFmtId="1" showAll="0" defaultSubtotal="0"/>
    <pivotField dataField="1" numFmtId="166" showAll="0" defaultSubtotal="0"/>
    <pivotField dataField="1" numFmtId="1"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 showAll="0" defaultSubtotal="0"/>
    <pivotField dataField="1" numFmtId="166" showAll="0" defaultSubtotal="0"/>
    <pivotField dataField="1" numFmtId="166" showAll="0" defaultSubtotal="0"/>
    <pivotField dataField="1" showAll="0"/>
    <pivotField dataField="1" showAll="0"/>
    <pivotField dataField="1" showAll="0"/>
    <pivotField dataField="1" numFmtId="1" showAll="0" defaultSubtotal="0"/>
    <pivotField dataField="1" showAll="0"/>
    <pivotField dataField="1" showAll="0"/>
    <pivotField dataField="1" showAll="0"/>
    <pivotField dataField="1" showAll="0"/>
    <pivotField dataField="1" showAll="0"/>
    <pivotField dataField="1" showAll="0" defaultSubtotal="0"/>
    <pivotField showAll="0" defaultSubtotal="0"/>
    <pivotField numFmtId="165" showAll="0"/>
    <pivotField showAll="0" defaultSubtotal="0"/>
    <pivotField numFmtId="44" showAll="0"/>
    <pivotField numFmtId="44" showAll="0"/>
    <pivotField numFmtId="44" showAll="0" defaultSubtotal="0"/>
    <pivotField numFmtId="44" showAl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2"/>
  </rowFields>
  <rowItems count="52">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i i="23">
      <x v="23"/>
    </i>
    <i i="24">
      <x v="24"/>
    </i>
    <i i="25">
      <x v="25"/>
    </i>
    <i i="26">
      <x v="26"/>
    </i>
    <i i="27">
      <x v="27"/>
    </i>
    <i i="28">
      <x v="28"/>
    </i>
    <i i="29">
      <x v="29"/>
    </i>
    <i i="30">
      <x v="30"/>
    </i>
    <i i="31">
      <x v="31"/>
    </i>
    <i i="32">
      <x v="32"/>
    </i>
    <i i="33">
      <x v="33"/>
    </i>
    <i i="34">
      <x v="34"/>
    </i>
    <i i="35">
      <x v="35"/>
    </i>
    <i i="36">
      <x v="36"/>
    </i>
    <i i="37">
      <x v="37"/>
    </i>
    <i i="38">
      <x v="38"/>
    </i>
    <i i="39">
      <x v="39"/>
    </i>
    <i i="40">
      <x v="40"/>
    </i>
    <i i="41">
      <x v="41"/>
    </i>
    <i i="42">
      <x v="42"/>
    </i>
    <i i="43">
      <x v="43"/>
    </i>
    <i i="44">
      <x v="44"/>
    </i>
    <i i="45">
      <x v="45"/>
    </i>
    <i i="46">
      <x v="46"/>
    </i>
    <i i="47">
      <x v="47"/>
    </i>
    <i i="48">
      <x v="48"/>
    </i>
    <i i="49">
      <x v="49"/>
    </i>
    <i i="50">
      <x v="50"/>
    </i>
    <i i="51">
      <x v="51"/>
    </i>
  </rowItems>
  <colFields count="1">
    <field x="16"/>
  </colFields>
  <colItems count="16">
    <i>
      <x/>
    </i>
    <i>
      <x v="1"/>
    </i>
    <i>
      <x v="2"/>
    </i>
    <i>
      <x v="3"/>
    </i>
    <i>
      <x v="4"/>
    </i>
    <i>
      <x v="5"/>
    </i>
    <i>
      <x v="6"/>
    </i>
    <i>
      <x v="7"/>
    </i>
    <i>
      <x v="8"/>
    </i>
    <i>
      <x v="9"/>
    </i>
    <i>
      <x v="10"/>
    </i>
    <i>
      <x v="11"/>
    </i>
    <i>
      <x v="12"/>
    </i>
    <i>
      <x v="13"/>
    </i>
    <i>
      <x v="14"/>
    </i>
    <i t="grand">
      <x/>
    </i>
  </colItems>
  <dataFields count="52">
    <dataField name="Ab Initio " fld="89" baseField="0" baseItem="0"/>
    <dataField name="CA APM " fld="90" baseField="4" baseItem="1"/>
    <dataField name="FinCAD " fld="91" baseField="0" baseItem="0"/>
    <dataField name="IBM BG Web Client " fld="92" baseField="0" baseItem="0"/>
    <dataField name="IBM Biz Glossary " fld="93" baseField="0" baseItem="0"/>
    <dataField name="IBM Datastage " fld="94" baseField="0" baseItem="0"/>
    <dataField name="IBM DS Designer " fld="95" baseField="0" baseItem="0"/>
    <dataField name="IBM DS IS Dir " fld="96" baseField="4" baseItem="0"/>
    <dataField name="IBM HTTP pSeries " fld="97" baseField="0" baseItem="0"/>
    <dataField name="IBM HTTP x86 " fld="98" baseField="0" baseItem="0"/>
    <dataField name="IBM Tivoli DS " fld="99" baseField="4" baseItem="0"/>
    <dataField name="IBM WAS pSeries " fld="100" baseField="0" baseItem="0"/>
    <dataField name="IBM WAS x86 " fld="101" baseField="0" baseItem="0"/>
    <dataField name="IBM WBM pSeries " fld="102" baseField="4" baseItem="0"/>
    <dataField name="IBM WMQ x86 " fld="103" baseField="4" baseItem="0"/>
    <dataField name="IBM WPS pSeries " fld="104" baseField="0" baseItem="0"/>
    <dataField name="IBM WPS x86 " fld="105" baseField="0" baseItem="0"/>
    <dataField name="IBM WS Process Srvr " fld="106" baseField="4" baseItem="0"/>
    <dataField name="IBM WS VE (Cntrlr) " fld="107" baseField="11" baseItem="0"/>
    <dataField name="IBM WS VE (Node) " fld="108" baseField="11" baseItem="0"/>
    <dataField name="Kana (Both) " fld="109" baseField="0" baseItem="0"/>
    <dataField name="MS SQL EE (Ext) " fld="110" baseField="11" baseItem="2"/>
    <dataField name="MS SQL EE (Int) " fld="111" baseField="11" baseItem="0"/>
    <dataField name="MS SQL SE (Ext) " fld="112" baseField="11" baseItem="0"/>
    <dataField name="MS SQL SE (Int) " fld="113" baseField="11" baseItem="0"/>
    <dataField name="Oracle ASO pSeries " fld="114" baseField="7" baseItem="0"/>
    <dataField name="Oracle ASO x86 " fld="115" baseField="7" baseItem="0"/>
    <dataField name="Oracle Ext. Bundle pSeries " fld="116" baseField="7" baseItem="0"/>
    <dataField name="Oracle Ext. Bundle x86 " fld="117" baseField="7" baseItem="0"/>
    <dataField name="Oracle GG pSeries " fld="118" baseField="7" baseItem="0"/>
    <dataField name="Oracle GG x86 " fld="119" baseField="7" baseItem="0"/>
    <dataField name="Oracle GG Veridata pSeries " fld="120" baseField="7" baseItem="0"/>
    <dataField name="Oracle GG Veridata x86 " fld="121" baseField="7" baseItem="0"/>
    <dataField name="Oracle Partitioning pSeries " fld="122" baseField="7" baseItem="0"/>
    <dataField name="Oracle Partitioning x86 " fld="123" baseField="7" baseItem="0"/>
    <dataField name="Oracle RAC x86 " fld="125" baseField="7" baseItem="0"/>
    <dataField name="Oracle RAC pSeries " fld="124" baseField="7" baseItem="0"/>
    <dataField name="Oracle Spatial x86 " fld="127" baseField="7" baseItem="0"/>
    <dataField name="Oracle Spatial pSeries " fld="126" baseField="7" baseItem="0"/>
    <dataField name="Oracle Standalone " fld="128" baseField="4" baseItem="0"/>
    <dataField name="Oracle WebLogic x86 " fld="130" baseField="7" baseItem="0"/>
    <dataField name="Oracle WebLogic pSeries " fld="129" baseField="7" baseItem="0"/>
    <dataField name="PB Spectrum " fld="131" baseField="0" baseItem="0"/>
    <dataField name="SAP BO " fld="132" baseField="0" baseItem="0"/>
    <dataField name="Sterling NDM " fld="133" baseField="0" baseItem="0"/>
    <dataField name="TIBCO Adapter SDK " fld="134" baseField="4" baseItem="0"/>
    <dataField name="TIBCO AMX BPM " fld="135" baseField="0" baseItem="0"/>
    <dataField name="TIBCO BE " fld="136" baseField="0" baseItem="0"/>
    <dataField name="TIBCO BW " fld="137" baseField="0" baseItem="0"/>
    <dataField name="TIBCO EMS " fld="138" baseField="0" baseItem="0"/>
    <dataField name="TIBCO iProcess " fld="139" baseField="0" baseItem="0"/>
    <dataField name="Veritas Cluster/CFS " fld="140" baseField="0" baseItem="0"/>
  </dataFields>
  <formats count="8">
    <format dxfId="531">
      <pivotArea outline="0" collapsedLevelsAreSubtotals="1" fieldPosition="0"/>
    </format>
    <format dxfId="530">
      <pivotArea dataOnly="0" labelOnly="1" grandCol="1" outline="0" fieldPosition="0"/>
    </format>
    <format dxfId="529">
      <pivotArea dataOnly="0" labelOnly="1" grandCol="1" outline="0" fieldPosition="0"/>
    </format>
    <format dxfId="528">
      <pivotArea type="origin" dataOnly="0" labelOnly="1" outline="0" fieldPosition="0"/>
    </format>
    <format dxfId="527">
      <pivotArea field="-2" type="button" dataOnly="0" labelOnly="1" outline="0" axis="axisRow" fieldPosition="0"/>
    </format>
    <format dxfId="526">
      <pivotArea field="17" type="button" dataOnly="0" labelOnly="1" outline="0"/>
    </format>
    <format dxfId="525">
      <pivotArea type="topRight" dataOnly="0" labelOnly="1" outline="0" fieldPosition="0"/>
    </format>
    <format dxfId="524">
      <pivotArea dataOnly="0" labelOnly="1" grandCol="1" outline="0" fieldPosition="0"/>
    </format>
  </formats>
  <conditionalFormats count="1">
    <conditionalFormat priority="1">
      <pivotAreas count="1">
        <pivotArea type="data" grandCol="1" outline="0" collapsedLevelsAreSubtotals="1" fieldPosition="0"/>
      </pivotAreas>
    </conditionalFormat>
  </conditionalFormats>
  <pivotTableStyleInfo name="PivotStyleDark2" showRowHeaders="1" showColHeaders="1" showRowStripes="1" showColStripes="0" showLastColumn="1"/>
</pivotTableDefinition>
</file>

<file path=xl/pivotTables/pivotTable12.xml><?xml version="1.0" encoding="utf-8"?>
<pivotTableDefinition xmlns="http://schemas.openxmlformats.org/spreadsheetml/2006/main" name="ptSumOfSWLicByEnv" cacheId="78" applyNumberFormats="0" applyBorderFormats="0" applyFontFormats="0" applyPatternFormats="0" applyAlignmentFormats="0" applyWidthHeightFormats="1" dataCaption=" " missingCaption="0" updatedVersion="4" minRefreshableVersion="3" showCalcMbrs="0" useAutoFormatting="1" itemPrintTitles="1" createdVersion="3" indent="0" outline="1" outlineData="1" multipleFieldFilters="0" rowHeaderCaption="Env Label">
  <location ref="A1:BB18" firstHeaderRow="1" firstDataRow="2" firstDataCol="1"/>
  <pivotFields count="167">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defaultSubtotal="0"/>
    <pivotField axis="axisRow" defaultSubtotal="0">
      <items count="16">
        <item x="2"/>
        <item x="0"/>
        <item x="1"/>
        <item x="6"/>
        <item x="3"/>
        <item m="1" x="14"/>
        <item m="1" x="12"/>
        <item m="1" x="15"/>
        <item x="4"/>
        <item x="7"/>
        <item x="5"/>
        <item x="8"/>
        <item x="9"/>
        <item m="1" x="13"/>
        <item m="1" x="11"/>
        <item h="1" m="1" x="10"/>
      </items>
    </pivotField>
    <pivotField showAll="0"/>
    <pivotField showAll="0"/>
    <pivotField showAll="0" defaultSubtotal="0"/>
    <pivotField showAll="0"/>
    <pivotField showAll="0"/>
    <pivotField showAll="0" defaultSubtotal="0"/>
    <pivotField showAll="0"/>
    <pivotField showAl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defaultSubtota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defaultSubtotal="0"/>
    <pivotField showAll="0"/>
    <pivotField showAll="0" defaultSubtota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numFmtId="166" showAll="0" defaultSubtotal="0"/>
    <pivotField numFmtId="166" showAll="0" defaultSubtotal="0"/>
    <pivotField showAll="0" defaultSubtotal="0"/>
    <pivotField showAll="0" defaultSubtotal="0"/>
    <pivotField showAll="0" defaultSubtotal="0"/>
    <pivotField showAll="0" defaultSubtotal="0"/>
    <pivotField showAll="0" defaultSubtotal="0"/>
    <pivotField showAll="0" defaultSubtotal="0"/>
    <pivotField showAll="0"/>
    <pivotField showAll="0"/>
    <pivotField showAll="0" defaultSubtotal="0"/>
    <pivotField showAll="0" defaultSubtotal="0"/>
    <pivotField showAll="0" defaultSubtotal="0"/>
    <pivotField showAll="0" defaultSubtotal="0"/>
    <pivotField dataField="1" showAll="0"/>
    <pivotField dataField="1" numFmtId="166" showAll="0" defaultSubtotal="0"/>
    <pivotField dataField="1" numFmtId="1" showAll="0" defaultSubtotal="0"/>
    <pivotField dataField="1" showAll="0"/>
    <pivotField dataField="1" showAll="0"/>
    <pivotField dataField="1" showAll="0"/>
    <pivotField dataField="1" showAll="0"/>
    <pivotField dataField="1" numFmtId="166" showAll="0" defaultSubtotal="0"/>
    <pivotField dataField="1" numFmtId="166" showAll="0" defaultSubtotal="0"/>
    <pivotField dataField="1" numFmtId="166" showAll="0" defaultSubtotal="0"/>
    <pivotField dataField="1" numFmtId="166" showAll="0" defaultSubtotal="0"/>
    <pivotField dataField="1" showAll="0"/>
    <pivotField dataField="1" showAll="0"/>
    <pivotField dataField="1" numFmtId="166" showAll="0" defaultSubtotal="0"/>
    <pivotField dataField="1" numFmtId="166" showAll="0" defaultSubtotal="0"/>
    <pivotField dataField="1" showAll="0"/>
    <pivotField dataField="1" showAll="0"/>
    <pivotField dataField="1" numFmtId="166" showAll="0" defaultSubtotal="0"/>
    <pivotField dataField="1" numFmtId="166" showAll="0" defaultSubtotal="0"/>
    <pivotField dataField="1" numFmtId="166" showAll="0" defaultSubtotal="0"/>
    <pivotField dataField="1" showAll="0"/>
    <pivotField dataField="1" numFmtId="1" showAll="0" defaultSubtotal="0"/>
    <pivotField dataField="1" numFmtId="166" showAll="0" defaultSubtotal="0"/>
    <pivotField dataField="1" numFmtId="1"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66" showAll="0" defaultSubtotal="0"/>
    <pivotField dataField="1" numFmtId="1" showAll="0" defaultSubtotal="0"/>
    <pivotField dataField="1" numFmtId="166" showAll="0" defaultSubtotal="0"/>
    <pivotField dataField="1" numFmtId="166" showAll="0" defaultSubtotal="0"/>
    <pivotField dataField="1" showAll="0"/>
    <pivotField dataField="1" showAll="0"/>
    <pivotField dataField="1" showAll="0"/>
    <pivotField dataField="1" numFmtId="1" showAll="0" defaultSubtotal="0"/>
    <pivotField dataField="1" showAll="0"/>
    <pivotField dataField="1" showAll="0"/>
    <pivotField dataField="1" showAll="0"/>
    <pivotField dataField="1" showAll="0"/>
    <pivotField dataField="1" showAll="0"/>
    <pivotField dataField="1" showAll="0" defaultSubtotal="0"/>
    <pivotField showAll="0" defaultSubtotal="0"/>
    <pivotField dataField="1" numFmtId="165" showAll="0"/>
    <pivotField showAll="0" defaultSubtotal="0"/>
    <pivotField numFmtId="44" showAll="0"/>
    <pivotField numFmtId="44" showAll="0"/>
    <pivotField numFmtId="44" showAll="0" defaultSubtotal="0"/>
    <pivotField numFmtId="44" showAll="0"/>
    <pivotField numFmtId="44" showAll="0" defaultSubtotal="0"/>
    <pivotField numFmtId="44" showAll="0" defaultSubtotal="0"/>
    <pivotField showAll="0" defaultSubtotal="0"/>
    <pivotField numFmtId="166" showAll="0" defaultSubtotal="0"/>
    <pivotField numFmtId="166" showAll="0" defaultSubtotal="0"/>
    <pivotField numFmtId="166" showAll="0" defaultSubtotal="0"/>
    <pivotField numFmtId="164" showAll="0" defaultSubtotal="0"/>
    <pivotField numFmtId="164" showAll="0" defaultSubtotal="0"/>
    <pivotField numFmtId="164" showAll="0" defaultSubtotal="0"/>
    <pivotField numFmtId="164" showAll="0" defaultSubtotal="0"/>
    <pivotField showAll="0" defaultSubtotal="0"/>
    <pivotField numFmtId="44" showAll="0" defaultSubtotal="0"/>
    <pivotField numFmtId="44" showAll="0" defaultSubtotal="0"/>
    <pivotField numFmtId="164" showAll="0" defaultSubtotal="0"/>
    <pivotField numFmtId="164" showAll="0" defaultSubtotal="0"/>
    <pivotField numFmtId="44" showAll="0" defaultSubtotal="0"/>
    <pivotField numFmtId="44" showAll="0" defaultSubtotal="0"/>
    <pivotField dragToRow="0" dragToCol="0" dragToPage="0" showAll="0" defaultSubtotal="0"/>
    <pivotField dragToRow="0" dragToCol="0" dragToPage="0" showAll="0" defaultSubtotal="0"/>
  </pivotFields>
  <rowFields count="1">
    <field x="16"/>
  </rowFields>
  <rowItems count="16">
    <i>
      <x/>
    </i>
    <i>
      <x v="1"/>
    </i>
    <i>
      <x v="2"/>
    </i>
    <i>
      <x v="3"/>
    </i>
    <i>
      <x v="4"/>
    </i>
    <i>
      <x v="5"/>
    </i>
    <i>
      <x v="6"/>
    </i>
    <i>
      <x v="7"/>
    </i>
    <i>
      <x v="8"/>
    </i>
    <i>
      <x v="9"/>
    </i>
    <i>
      <x v="10"/>
    </i>
    <i>
      <x v="11"/>
    </i>
    <i>
      <x v="12"/>
    </i>
    <i>
      <x v="13"/>
    </i>
    <i>
      <x v="14"/>
    </i>
    <i t="grand">
      <x/>
    </i>
  </rowItems>
  <colFields count="1">
    <field x="-2"/>
  </colFields>
  <colItems count="53">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i i="23">
      <x v="23"/>
    </i>
    <i i="24">
      <x v="24"/>
    </i>
    <i i="25">
      <x v="25"/>
    </i>
    <i i="26">
      <x v="26"/>
    </i>
    <i i="27">
      <x v="27"/>
    </i>
    <i i="28">
      <x v="28"/>
    </i>
    <i i="29">
      <x v="29"/>
    </i>
    <i i="30">
      <x v="30"/>
    </i>
    <i i="31">
      <x v="31"/>
    </i>
    <i i="32">
      <x v="32"/>
    </i>
    <i i="33">
      <x v="33"/>
    </i>
    <i i="34">
      <x v="34"/>
    </i>
    <i i="35">
      <x v="35"/>
    </i>
    <i i="36">
      <x v="36"/>
    </i>
    <i i="37">
      <x v="37"/>
    </i>
    <i i="38">
      <x v="38"/>
    </i>
    <i i="39">
      <x v="39"/>
    </i>
    <i i="40">
      <x v="40"/>
    </i>
    <i i="41">
      <x v="41"/>
    </i>
    <i i="42">
      <x v="42"/>
    </i>
    <i i="43">
      <x v="43"/>
    </i>
    <i i="44">
      <x v="44"/>
    </i>
    <i i="45">
      <x v="45"/>
    </i>
    <i i="46">
      <x v="46"/>
    </i>
    <i i="47">
      <x v="47"/>
    </i>
    <i i="48">
      <x v="48"/>
    </i>
    <i i="49">
      <x v="49"/>
    </i>
    <i i="50">
      <x v="50"/>
    </i>
    <i i="51">
      <x v="51"/>
    </i>
    <i i="52">
      <x v="52"/>
    </i>
  </colItems>
  <dataFields count="53">
    <dataField name="Sum of Ab Initio" fld="89" baseField="0" baseItem="0"/>
    <dataField name="Sum of CA APM" fld="90" baseField="0" baseItem="0"/>
    <dataField name="Sum of FinCAD" fld="91" baseField="0" baseItem="0"/>
    <dataField name="Sum of IBM BG Web Client" fld="92" baseField="0" baseItem="0"/>
    <dataField name="Sum of IBM Biz Glossary" fld="93" baseField="0" baseItem="0"/>
    <dataField name="Sum of IBM Datastage" fld="94" baseField="0" baseItem="0"/>
    <dataField name="Sum of IBM DS Designer" fld="95" baseField="0" baseItem="0"/>
    <dataField name="Sum of IBM DS IS Dir" fld="96" baseField="0" baseItem="0"/>
    <dataField name="Sum of IBM HTTP pSeries" fld="97" baseField="0" baseItem="0"/>
    <dataField name="Sum of IBM HTTP x86" fld="98" baseField="0" baseItem="0"/>
    <dataField name="Sum of IBM Tivoli DS" fld="99" baseField="0" baseItem="0"/>
    <dataField name="Sum of IBM WAS pSeries" fld="100" baseField="0" baseItem="0"/>
    <dataField name="Sum of IBM WAS x86" fld="101" baseField="0" baseItem="0"/>
    <dataField name="Sum of IBM WBM pSeries" fld="102" baseField="0" baseItem="0"/>
    <dataField name="Sum of IBM WMQ x86" fld="103" baseField="0" baseItem="0"/>
    <dataField name="Sum of IBM WPS pSeries" fld="104" baseField="0" baseItem="0"/>
    <dataField name="Sum of IBM WPS x86" fld="105" baseField="0" baseItem="0"/>
    <dataField name="Sum of IBM WS Process Srvr" fld="106" baseField="0" baseItem="0"/>
    <dataField name="Sum of IBM WS VE (Cntrlr)" fld="107" baseField="0" baseItem="0"/>
    <dataField name="Sum of IBM WS VE (Node)" fld="108" baseField="0" baseItem="0"/>
    <dataField name="Sum of MS SQL EE (Ext)" fld="110" baseField="0" baseItem="0"/>
    <dataField name="Sum of MS SQL EE (Int)" fld="111" baseField="0" baseItem="0"/>
    <dataField name="Sum of MS SQL SE (Ext)" fld="112" baseField="0" baseItem="0"/>
    <dataField name="Sum of MS SQL SE (Int)" fld="113" baseField="0" baseItem="0"/>
    <dataField name="Sum of Kana (Both)" fld="109" baseField="0" baseItem="0"/>
    <dataField name="Sum of Oracle ASO pSeries" fld="114" baseField="0" baseItem="0"/>
    <dataField name="Sum of Oracle ASO x86" fld="115" baseField="0" baseItem="0"/>
    <dataField name="Sum of Oracle Ext. Bundle pSeries" fld="116" baseField="0" baseItem="0"/>
    <dataField name="Sum of Oracle Ext. Bundle x86" fld="117" baseField="0" baseItem="0"/>
    <dataField name="Sum of Oracle GG pSeries" fld="118" baseField="0" baseItem="0"/>
    <dataField name="Sum of Oracle GG x86" fld="119" baseField="0" baseItem="0"/>
    <dataField name="Sum of Oracle GG Veridata pSeries" fld="120" baseField="0" baseItem="0"/>
    <dataField name="Sum of Oracle GG Veridata x86" fld="121" baseField="0" baseItem="0"/>
    <dataField name="Sum of Oracle Partitioning pSeries" fld="122" baseField="0" baseItem="0"/>
    <dataField name="Sum of Oracle Partitioning x86" fld="123" baseField="0" baseItem="0"/>
    <dataField name="Sum of Oracle RAC pSeries" fld="124" baseField="0" baseItem="0"/>
    <dataField name="Sum of Oracle RAC x86" fld="125" baseField="0" baseItem="0"/>
    <dataField name="Sum of Oracle Spatial pSeries" fld="126" baseField="0" baseItem="0"/>
    <dataField name="Sum of Oracle Spatial x86" fld="127" baseField="0" baseItem="0"/>
    <dataField name="Sum of Oracle Standalone" fld="128" baseField="0" baseItem="0"/>
    <dataField name="Sum of Oracle WebLogic pSeries" fld="129" baseField="0" baseItem="0"/>
    <dataField name="Sum of Oracle WebLogic x86" fld="130" baseField="0" baseItem="0"/>
    <dataField name="Sum of PB Spectrum" fld="131" baseField="0" baseItem="0"/>
    <dataField name="Sum of SAP BO" fld="132" baseField="0" baseItem="0"/>
    <dataField name="Sum of Sterling NDM" fld="133" baseField="0" baseItem="0"/>
    <dataField name="Sum of TIBCO Adapter SDK" fld="134" baseField="0" baseItem="0"/>
    <dataField name="Sum of TIBCO AMX BPM" fld="135" baseField="0" baseItem="0"/>
    <dataField name="Sum of TIBCO BE" fld="136" baseField="0" baseItem="0"/>
    <dataField name="Sum of TIBCO BW" fld="137" baseField="0" baseItem="0"/>
    <dataField name="Sum of TIBCO EMS" fld="138" baseField="0" baseItem="0"/>
    <dataField name="Sum of TIBCO iProcess" fld="139" baseField="0" baseItem="0"/>
    <dataField name="Sum of Veritas Cluster/CFS" fld="140" baseField="0" baseItem="0"/>
    <dataField name="Sum of Software Costs_x000a_[Year 1]_x000a_(Monthly)" fld="142" baseField="0" baseItem="0" numFmtId="164"/>
  </dataFields>
  <formats count="30">
    <format dxfId="561">
      <pivotArea dataOnly="0" labelOnly="1" outline="0" fieldPosition="0">
        <references count="1">
          <reference field="4294967294" count="18">
            <x v="0"/>
            <x v="3"/>
            <x v="4"/>
            <x v="5"/>
            <x v="6"/>
            <x v="11"/>
            <x v="12"/>
            <x v="15"/>
            <x v="16"/>
            <x v="24"/>
            <x v="42"/>
            <x v="43"/>
            <x v="44"/>
            <x v="46"/>
            <x v="47"/>
            <x v="48"/>
            <x v="49"/>
            <x v="50"/>
          </reference>
        </references>
      </pivotArea>
    </format>
    <format dxfId="560">
      <pivotArea dataOnly="0" labelOnly="1" outline="0" fieldPosition="0">
        <references count="1">
          <reference field="4294967294" count="17">
            <x v="0"/>
            <x v="3"/>
            <x v="4"/>
            <x v="5"/>
            <x v="6"/>
            <x v="11"/>
            <x v="15"/>
            <x v="16"/>
            <x v="24"/>
            <x v="42"/>
            <x v="43"/>
            <x v="44"/>
            <x v="46"/>
            <x v="47"/>
            <x v="48"/>
            <x v="49"/>
            <x v="50"/>
          </reference>
        </references>
      </pivotArea>
    </format>
    <format dxfId="559">
      <pivotArea dataOnly="0" labelOnly="1" outline="0" fieldPosition="0">
        <references count="1">
          <reference field="4294967294" count="1">
            <x v="52"/>
          </reference>
        </references>
      </pivotArea>
    </format>
    <format dxfId="558">
      <pivotArea dataOnly="0" labelOnly="1" outline="0" fieldPosition="0">
        <references count="1">
          <reference field="4294967294" count="1">
            <x v="52"/>
          </reference>
        </references>
      </pivotArea>
    </format>
    <format dxfId="557">
      <pivotArea dataOnly="0" labelOnly="1" outline="0" fieldPosition="0">
        <references count="1">
          <reference field="4294967294" count="1">
            <x v="52"/>
          </reference>
        </references>
      </pivotArea>
    </format>
    <format dxfId="556">
      <pivotArea outline="0" collapsedLevelsAreSubtotals="1" fieldPosition="0">
        <references count="1">
          <reference field="4294967294" count="1" selected="0">
            <x v="52"/>
          </reference>
        </references>
      </pivotArea>
    </format>
    <format dxfId="555">
      <pivotArea outline="0" collapsedLevelsAreSubtotals="1" fieldPosition="0">
        <references count="1">
          <reference field="4294967294" count="1" selected="0">
            <x v="52"/>
          </reference>
        </references>
      </pivotArea>
    </format>
    <format dxfId="554">
      <pivotArea dataOnly="0" labelOnly="1" outline="0" fieldPosition="0">
        <references count="1">
          <reference field="4294967294" count="1">
            <x v="12"/>
          </reference>
        </references>
      </pivotArea>
    </format>
    <format dxfId="553">
      <pivotArea field="-2" type="button" dataOnly="0" labelOnly="1" outline="0" axis="axisCol" fieldPosition="0"/>
    </format>
    <format dxfId="552">
      <pivotArea type="topRight" dataOnly="0" labelOnly="1" outline="0" fieldPosition="0"/>
    </format>
    <format dxfId="551">
      <pivotArea dataOnly="0" labelOnly="1" outline="0" fieldPosition="0">
        <references count="1">
          <reference field="4294967294" count="1">
            <x v="42"/>
          </reference>
        </references>
      </pivotArea>
    </format>
    <format dxfId="550">
      <pivotArea dataOnly="0" labelOnly="1" outline="0" fieldPosition="0">
        <references count="1">
          <reference field="4294967294" count="1">
            <x v="51"/>
          </reference>
        </references>
      </pivotArea>
    </format>
    <format dxfId="549">
      <pivotArea dataOnly="0" labelOnly="1" outline="0" fieldPosition="0">
        <references count="1">
          <reference field="4294967294" count="1">
            <x v="2"/>
          </reference>
        </references>
      </pivotArea>
    </format>
    <format dxfId="548">
      <pivotArea outline="0" collapsedLevelsAreSubtotals="1" fieldPosition="0">
        <references count="1">
          <reference field="4294967294" count="1" selected="0">
            <x v="2"/>
          </reference>
        </references>
      </pivotArea>
    </format>
    <format dxfId="547">
      <pivotArea outline="0" collapsedLevelsAreSubtotals="1" fieldPosition="0">
        <references count="1">
          <reference field="4294967294" count="1" selected="0">
            <x v="2"/>
          </reference>
        </references>
      </pivotArea>
    </format>
    <format dxfId="546">
      <pivotArea dataOnly="0" labelOnly="1" outline="0" fieldPosition="0">
        <references count="1">
          <reference field="4294967294" count="1">
            <x v="8"/>
          </reference>
        </references>
      </pivotArea>
    </format>
    <format dxfId="545">
      <pivotArea dataOnly="0" labelOnly="1" outline="0" fieldPosition="0">
        <references count="1">
          <reference field="4294967294" count="1">
            <x v="9"/>
          </reference>
        </references>
      </pivotArea>
    </format>
    <format dxfId="544">
      <pivotArea dataOnly="0" labelOnly="1" outline="0" fieldPosition="0">
        <references count="1">
          <reference field="4294967294" count="1">
            <x v="7"/>
          </reference>
        </references>
      </pivotArea>
    </format>
    <format dxfId="543">
      <pivotArea field="17" grandRow="1" outline="0" collapsedLevelsAreSubtotals="1">
        <references count="1">
          <reference field="4294967294" count="23" selected="0">
            <x v="0"/>
            <x v="2"/>
            <x v="3"/>
            <x v="4"/>
            <x v="5"/>
            <x v="6"/>
            <x v="7"/>
            <x v="8"/>
            <x v="9"/>
            <x v="11"/>
            <x v="12"/>
            <x v="15"/>
            <x v="16"/>
            <x v="24"/>
            <x v="42"/>
            <x v="43"/>
            <x v="44"/>
            <x v="46"/>
            <x v="47"/>
            <x v="48"/>
            <x v="49"/>
            <x v="50"/>
            <x v="51"/>
          </reference>
        </references>
      </pivotArea>
    </format>
    <format dxfId="542">
      <pivotArea dataOnly="0" labelOnly="1" outline="0" fieldPosition="0">
        <references count="1">
          <reference field="4294967294" count="1">
            <x v="45"/>
          </reference>
        </references>
      </pivotArea>
    </format>
    <format dxfId="541">
      <pivotArea dataOnly="0" labelOnly="1" outline="0" fieldPosition="0">
        <references count="1">
          <reference field="4294967294" count="4">
            <x v="10"/>
            <x v="13"/>
            <x v="14"/>
            <x v="39"/>
          </reference>
        </references>
      </pivotArea>
    </format>
    <format dxfId="540">
      <pivotArea dataOnly="0" labelOnly="1" outline="0" fieldPosition="0">
        <references count="1">
          <reference field="4294967294" count="1">
            <x v="17"/>
          </reference>
        </references>
      </pivotArea>
    </format>
    <format dxfId="539">
      <pivotArea field="16" grandRow="1" outline="0" collapsedLevelsAreSubtotals="1" axis="axisRow" fieldPosition="0">
        <references count="1">
          <reference field="4294967294" count="29" selected="0">
            <x v="0"/>
            <x v="2"/>
            <x v="3"/>
            <x v="4"/>
            <x v="5"/>
            <x v="6"/>
            <x v="7"/>
            <x v="8"/>
            <x v="9"/>
            <x v="10"/>
            <x v="11"/>
            <x v="12"/>
            <x v="13"/>
            <x v="14"/>
            <x v="15"/>
            <x v="16"/>
            <x v="17"/>
            <x v="24"/>
            <x v="39"/>
            <x v="42"/>
            <x v="43"/>
            <x v="44"/>
            <x v="45"/>
            <x v="46"/>
            <x v="47"/>
            <x v="48"/>
            <x v="49"/>
            <x v="50"/>
            <x v="51"/>
          </reference>
        </references>
      </pivotArea>
    </format>
    <format dxfId="538">
      <pivotArea dataOnly="0" labelOnly="1" outline="0" fieldPosition="0">
        <references count="1">
          <reference field="4294967294" count="1">
            <x v="1"/>
          </reference>
        </references>
      </pivotArea>
    </format>
    <format dxfId="537">
      <pivotArea field="16" type="button" dataOnly="0" labelOnly="1" outline="0" axis="axisRow" fieldPosition="0"/>
    </format>
    <format dxfId="536">
      <pivotArea field="16" type="button" dataOnly="0" labelOnly="1" outline="0" axis="axisRow" fieldPosition="0"/>
    </format>
    <format dxfId="535">
      <pivotArea dataOnly="0" labelOnly="1" outline="0" fieldPosition="0">
        <references count="1">
          <reference field="4294967294" count="16">
            <x v="25"/>
            <x v="26"/>
            <x v="27"/>
            <x v="28"/>
            <x v="29"/>
            <x v="30"/>
            <x v="31"/>
            <x v="32"/>
            <x v="33"/>
            <x v="34"/>
            <x v="35"/>
            <x v="36"/>
            <x v="37"/>
            <x v="38"/>
            <x v="40"/>
            <x v="41"/>
          </reference>
        </references>
      </pivotArea>
    </format>
    <format dxfId="534">
      <pivotArea dataOnly="0" labelOnly="1" outline="0" fieldPosition="0">
        <references count="1">
          <reference field="4294967294" count="1">
            <x v="18"/>
          </reference>
        </references>
      </pivotArea>
    </format>
    <format dxfId="533">
      <pivotArea dataOnly="0" labelOnly="1" outline="0" fieldPosition="0">
        <references count="1">
          <reference field="4294967294" count="1">
            <x v="19"/>
          </reference>
        </references>
      </pivotArea>
    </format>
    <format dxfId="532">
      <pivotArea dataOnly="0" labelOnly="1" outline="0" fieldPosition="0">
        <references count="1">
          <reference field="4294967294" count="4">
            <x v="20"/>
            <x v="21"/>
            <x v="22"/>
            <x v="23"/>
          </reference>
        </references>
      </pivotArea>
    </format>
  </formats>
  <pivotTableStyleInfo name="PivotStyleDark2" showRowHeaders="1" showColHeaders="1" showRowStripes="0" showColStripes="0" showLastColumn="1"/>
</pivotTableDefinition>
</file>

<file path=xl/tables/table1.xml><?xml version="1.0" encoding="utf-8"?>
<table xmlns="http://schemas.openxmlformats.org/spreadsheetml/2006/main" id="30" name="Table30" displayName="Table30" ref="B29:D34" totalsRowShown="0" headerRowDxfId="941" headerRowBorderDxfId="940">
  <tableColumns count="3">
    <tableColumn id="1" name="#"/>
    <tableColumn id="2" name="Description"/>
    <tableColumn id="3" name="Due Date" dataDxfId="939"/>
  </tableColumns>
  <tableStyleInfo name="TableStyleMedium11" showFirstColumn="0" showLastColumn="0" showRowStripes="1" showColumnStripes="0"/>
</table>
</file>

<file path=xl/tables/table2.xml><?xml version="1.0" encoding="utf-8"?>
<table xmlns="http://schemas.openxmlformats.org/spreadsheetml/2006/main" id="32" name="Table32" displayName="Table32" ref="A7:C15" totalsRowShown="0" headerRowBorderDxfId="938" tableBorderDxfId="937" totalsRowBorderDxfId="936">
  <tableColumns count="3">
    <tableColumn id="3" name="#" dataDxfId="935"/>
    <tableColumn id="2" name="Approver(s)" dataDxfId="934"/>
    <tableColumn id="1" name="Infrastructure Capacity assumptions and notes" dataDxfId="933"/>
  </tableColumns>
  <tableStyleInfo name="TableStyleMedium9" showFirstColumn="0" showLastColumn="0" showRowStripes="1" showColumnStripes="0"/>
</table>
</file>

<file path=xl/tables/table3.xml><?xml version="1.0" encoding="utf-8"?>
<table xmlns="http://schemas.openxmlformats.org/spreadsheetml/2006/main" id="33" name="Table33" displayName="Table33" ref="B18:D25" totalsRowShown="0" headerRowDxfId="932" headerRowBorderDxfId="931" tableBorderDxfId="930" totalsRowBorderDxfId="929">
  <tableColumns count="3">
    <tableColumn id="1" name="Version #" dataDxfId="928"/>
    <tableColumn id="2" name="Description" dataDxfId="927"/>
    <tableColumn id="3" name="Rev. Date" dataDxfId="926"/>
  </tableColumns>
  <tableStyleInfo name="TableStyleMedium14" showFirstColumn="0" showLastColumn="0" showRowStripes="1" showColumnStripes="0"/>
</table>
</file>

<file path=xl/tables/table4.xml><?xml version="1.0" encoding="utf-8"?>
<table xmlns="http://schemas.openxmlformats.org/spreadsheetml/2006/main" id="1" name="HostBuild" displayName="HostBuild" ref="A1:FI151" totalsRowCount="1" headerRowDxfId="894" dataDxfId="893" tableBorderDxfId="892" dataCellStyle="Currency">
  <sortState ref="A2:FJ37">
    <sortCondition ref="R2" customList="PROD,COB,CERT,PERF,TRAINING,UAT,SIT,DIT,RND"/>
    <sortCondition ref="Q2"/>
    <sortCondition ref="A2"/>
    <sortCondition ref="N2"/>
    <sortCondition ref="AI2"/>
  </sortState>
  <tableColumns count="165">
    <tableColumn id="63" name="PCR" totalsRowLabel="NOTE: DO NOT DELETE THIS ROW" dataDxfId="891" totalsRowDxfId="164"/>
    <tableColumn id="131" name="Priority" dataDxfId="890" totalsRowDxfId="163"/>
    <tableColumn id="132" name="Status" dataDxfId="889" totalsRowDxfId="162"/>
    <tableColumn id="153" name="CTI Build Status Commentary" dataDxfId="888" totalsRowDxfId="161"/>
    <tableColumn id="145" name="CTI Cloud / Frame Built / Incremental Added" dataDxfId="887" totalsRowDxfId="160" dataCellStyle="Hyperlink"/>
    <tableColumn id="146" name="CTI SA Build Completed" dataDxfId="886" totalsRowDxfId="159" dataCellStyle="Hyperlink"/>
    <tableColumn id="144" name="CTI Target Completion" dataDxfId="885" totalsRowDxfId="158" dataCellStyle="Hyperlink"/>
    <tableColumn id="133" name="CTO Server / DBA Build Spec Completed" dataDxfId="884" totalsRowDxfId="157" dataCellStyle="Hyperlink"/>
    <tableColumn id="162" name="CTO Build Spec Link" dataDxfId="883" totalsRowDxfId="156"/>
    <tableColumn id="160" name="CTI DBA Build Completed" dataDxfId="882" totalsRowDxfId="155" dataCellStyle="Hyperlink"/>
    <tableColumn id="161" name="CTI Handover" dataDxfId="881" totalsRowDxfId="154" dataCellStyle="Hyperlink"/>
    <tableColumn id="147" name="CTO Acceptance" dataDxfId="880" totalsRowDxfId="153" dataCellStyle="Hyperlink"/>
    <tableColumn id="155" name="CTI Complete (Y/N)" dataDxfId="879" totalsRowDxfId="152" dataCellStyle="Hyperlink">
      <calculatedColumnFormula>IF(rngIsDate(HostBuild[CTO Acceptance]),"Y","N")</calculatedColumnFormula>
    </tableColumn>
    <tableColumn id="32" name="DC" dataDxfId="878" totalsRowDxfId="151"/>
    <tableColumn id="99" name="Region" dataDxfId="877" totalsRowDxfId="150"/>
    <tableColumn id="100" name="Country" dataDxfId="876" totalsRowDxfId="149"/>
    <tableColumn id="118" name="Env Label" dataDxfId="875" totalsRowDxfId="148"/>
    <tableColumn id="1" name="Env" dataDxfId="874" totalsRowDxfId="147">
      <calculatedColumnFormula>IF(NOT(ISBLANK(HostBuild[Env Label])),IFERROR(VLOOKUP(HostBuild[Env Label],tEnv[],3,FALSE),""),"")</calculatedColumnFormula>
    </tableColumn>
    <tableColumn id="2" name="Server TCRS" dataDxfId="873" totalsRowDxfId="146"/>
    <tableColumn id="158" name="Aperture" dataDxfId="872" totalsRowDxfId="145"/>
    <tableColumn id="3" name="Product Owner" dataDxfId="871" totalsRowDxfId="144"/>
    <tableColumn id="7" name="Description" dataDxfId="870" totalsRowDxfId="143"/>
    <tableColumn id="34" name="Software List" dataDxfId="869" totalsRowDxfId="142"/>
    <tableColumn id="6" name="Type" dataDxfId="868" totalsRowDxfId="141"/>
    <tableColumn id="35" name="Product _x000a_(Acronym)" dataDxfId="867" totalsRowDxfId="140"/>
    <tableColumn id="91" name="Usage" dataDxfId="866" totalsRowDxfId="139">
      <calculatedColumnFormula>IF(NOT(ISBLANK(HostBuild[[#This Row],[Product 
(Acronym)]])),CONCATENATE(HostBuild[[#This Row],[Type]],"-",HostBuild[[#This Row],[Product 
(Acronym)]]),"")</calculatedColumnFormula>
    </tableColumn>
    <tableColumn id="8" name="CSI App ID" dataDxfId="865" totalsRowDxfId="138"/>
    <tableColumn id="70" name="Existing Server?" dataDxfId="864" totalsRowDxfId="137"/>
    <tableColumn id="115" name="Existing CPUs" dataDxfId="863" totalsRowDxfId="136" dataCellStyle="Hyperlink"/>
    <tableColumn id="125" name="Existing Cores" dataDxfId="862" totalsRowDxfId="135" dataCellStyle="Hyperlink"/>
    <tableColumn id="116" name="Existing RAM (GB)" dataDxfId="861" totalsRowDxfId="134" dataCellStyle="Hyperlink"/>
    <tableColumn id="130" name="Use existing server config towards SW Licensing?" dataDxfId="860" totalsRowDxfId="133" dataCellStyle="Hyperlink"/>
    <tableColumn id="121" name="Original Alias" dataDxfId="859" totalsRowDxfId="132" dataCellStyle="Hyperlink"/>
    <tableColumn id="165" name="Decommission" dataDxfId="858" totalsRowDxfId="131" dataCellStyle="Hyperlink"/>
    <tableColumn id="9" name="Alias" totalsRowFunction="custom" dataDxfId="857" totalsRowDxfId="130" dataCellStyle="Hyperlink">
      <totalsRowFormula array="1">SUM(IF(FREQUENCY(IF(LEN(AI2:AI150)&gt;0,MATCH(AI2:AI150,AI2:AI150,0),""),IF(LEN(AI2:AI150)&gt;0,MATCH(AI2:AI150,AI2:AI150,0),""))&gt;0,1))</totalsRowFormula>
    </tableColumn>
    <tableColumn id="159" name="Uniqueness Factor" dataDxfId="856" totalsRowDxfId="129">
      <calculatedColumnFormula>IF(COUNTIF(HostBuild[Alias],HostBuild[Alias]),1/COUNTIF(HostBuild[Alias],HostBuild[Alias]),0)</calculatedColumnFormula>
    </tableColumn>
    <tableColumn id="52" name="Hostname" dataDxfId="855" totalsRowDxfId="128" dataCellStyle="Hyperlink"/>
    <tableColumn id="10" name="Domain" dataDxfId="854" totalsRowDxfId="127" dataCellStyle="Hyperlink"/>
    <tableColumn id="11" name="Server Model" dataDxfId="853" totalsRowDxfId="126" dataCellStyle="Hyperlink"/>
    <tableColumn id="76" name="Server Tier" dataDxfId="852" totalsRowDxfId="125" dataCellStyle="Hyperlink">
      <calculatedColumnFormula>IF(NOT(ISBLANK(HostBuild[Server Model])),VLOOKUP(HostBuild[Server Model],ServerModelsTier[],2,FALSE),"")</calculatedColumnFormula>
    </tableColumn>
    <tableColumn id="119" name="Server Type" dataDxfId="851" totalsRowDxfId="124" dataCellStyle="Hyperlink">
      <calculatedColumnFormula>IF(NOT(ISBLANK(HostBuild[Server Model])),VLOOKUP(HostBuild[Server Model],ServerModelsTier[],5,FALSE),"")</calculatedColumnFormula>
    </tableColumn>
    <tableColumn id="117" name="Virtual Platform Storage Type" dataDxfId="850" totalsRowDxfId="123" dataCellStyle="Hyperlink"/>
    <tableColumn id="12" name="O/S" dataDxfId="849" totalsRowDxfId="122" dataCellStyle="Hyperlink"/>
    <tableColumn id="17" name="CPU" totalsRowFunction="sum" dataDxfId="848" totalsRowDxfId="121" dataCellStyle="Hyperlink"/>
    <tableColumn id="13" name="CPU Speed" dataDxfId="847" totalsRowDxfId="120" dataCellStyle="Hyperlink"/>
    <tableColumn id="18" name="Cores _x000a_(Licensed Units)" totalsRowFunction="sum" dataDxfId="846" totalsRowDxfId="119" dataCellStyle="Hyperlink"/>
    <tableColumn id="105" name="Recommended RAM (GB)" dataDxfId="845" totalsRowDxfId="118" dataCellStyle="Hyperlink">
      <calculatedColumnFormula>IF(IFERROR(FIND("P-Series",HostBuild[Server Tier]),0),CEILING((HostBuild[Existing CPUs]+HostBuild[CPU])*16,8),"")</calculatedColumnFormula>
    </tableColumn>
    <tableColumn id="26" name="RAM _x000a_(GB)" totalsRowFunction="sum" dataDxfId="844" totalsRowDxfId="117" dataCellStyle="Hyperlink"/>
    <tableColumn id="5" name="Is Clustered? (ID #)" dataDxfId="843" totalsRowDxfId="116" dataCellStyle="Hyperlink"/>
    <tableColumn id="164" name="Cluster Type" dataDxfId="842" totalsRowDxfId="115" dataCellStyle="Hyperlink"/>
    <tableColumn id="163" name="Cluster Mode" dataDxfId="841" totalsRowDxfId="114" dataCellStyle="Hyperlink"/>
    <tableColumn id="4" name="Affinity" dataDxfId="840" totalsRowDxfId="113" dataCellStyle="Hyperlink"/>
    <tableColumn id="14" name="Frame/Chassis #" dataDxfId="839" totalsRowDxfId="112" dataCellStyle="Hyperlink"/>
    <tableColumn id="15" name="Slot #" dataDxfId="838" totalsRowDxfId="111" dataCellStyle="Hyperlink"/>
    <tableColumn id="16" name="Frame S/N" dataDxfId="837" totalsRowDxfId="110" dataCellStyle="Hyperlink"/>
    <tableColumn id="19" name="Min Virtual Processors" dataDxfId="836" totalsRowDxfId="109" dataCellStyle="Hyperlink"/>
    <tableColumn id="20" name="Desired Virtual Processors" dataDxfId="835" totalsRowDxfId="108" dataCellStyle="Hyperlink"/>
    <tableColumn id="21" name="Max Virtual Processors" dataDxfId="834" totalsRowDxfId="107" dataCellStyle="Hyperlink"/>
    <tableColumn id="22" name="Min Processing Units" dataDxfId="833" totalsRowDxfId="106" dataCellStyle="Hyperlink"/>
    <tableColumn id="23" name="Desired Processing Units" dataDxfId="832" totalsRowDxfId="105" dataCellStyle="Hyperlink"/>
    <tableColumn id="24" name="Max Processing Units" dataDxfId="831" totalsRowDxfId="104" dataCellStyle="Hyperlink"/>
    <tableColumn id="25" name="Weight_x000a_(0-256)" dataDxfId="830" totalsRowDxfId="103" dataCellStyle="Hyperlink"/>
    <tableColumn id="106" name="Recommended SAN (GB)" dataDxfId="829" totalsRowDxfId="102">
      <calculatedColumnFormula>IF(HostBuild[Existing Server?]&lt;&gt;"Yes - Inside this BoM",IF(ISNUMBER(HostBuild[RAM 
(GB)]),IF(HostBuild[Existing RAM (GB)]+HostBuild[RAM 
(GB)]&gt;0,IF(OR(HostBuild[Server Type]="x86",IFERROR(FIND("SAN", HostBuild[Virtual Platform Storage Type]),FALSE)),CEILING(2*LUN+(HostBuild[Existing RAM (GB)]+HostBuild[RAM 
(GB)]),LUN),0),0),0),0)</calculatedColumnFormula>
    </tableColumn>
    <tableColumn id="77" name="Additional SAN (GB)" dataDxfId="828" totalsRowDxfId="101" dataCellStyle="Hyperlink"/>
    <tableColumn id="27" name="SAN (GB)_x000a_NEEDED TODAY" totalsRowFunction="sum" dataDxfId="827" totalsRowDxfId="100">
      <calculatedColumnFormula>IF(ISNUMBER(HostBuild[Recommended SAN (GB)]),HostBuild[Recommended SAN (GB)])+IF(HostBuild[Additional SAN (GB)]&gt;0,CEILING(HostBuild[Additional SAN (GB)],LUN),-(CEILING(-HostBuild[Additional SAN (GB)],LUN)))</calculatedColumnFormula>
    </tableColumn>
    <tableColumn id="73" name="SAN (GB)_x000a_RESERVED_x000a_DO NOT USE TO BUILD" totalsRowFunction="sum" dataDxfId="826" totalsRowDxfId="99"/>
    <tableColumn id="72" name="SAN (GB)_x000a_End-State_x000a_DO NOT USE TO BUILD" totalsRowFunction="sum" dataDxfId="825" totalsRowDxfId="98">
      <calculatedColumnFormula>HostBuild[SAN (GB)
NEEDED TODAY]+CEILING(HostBuild[SAN (GB)
RESERVED
DO NOT USE TO BUILD], LUN)</calculatedColumnFormula>
    </tableColumn>
    <tableColumn id="150" name="SAN (GB) Shared" dataDxfId="824" totalsRowDxfId="97"/>
    <tableColumn id="151" name="Shared SAN Group Name" dataDxfId="823" totalsRowDxfId="96"/>
    <tableColumn id="107" name="Require SRDF?" dataDxfId="822" totalsRowDxfId="95"/>
    <tableColumn id="108" name="Recommended NAS (GB)" dataDxfId="821" totalsRowDxfId="94">
      <calculatedColumnFormula>IF(HostBuild[Existing Server?]&lt;&gt;"Yes - Inside this BoM",IF(ISNUMBER(HostBuild[RAM 
(GB)]),IF(HostBuild[Existing RAM (GB)]+HostBuild[RAM 
(GB)]&gt;0,IF(HostBuild[Virtual Platform Storage Type]="NAS",110+HostBuild[Existing RAM (GB)]+HostBuild[RAM 
(GB)]*1.75,0),0),0),0)</calculatedColumnFormula>
    </tableColumn>
    <tableColumn id="109" name="Additional NAS (GB)" dataDxfId="820" totalsRowDxfId="93"/>
    <tableColumn id="31" name="NAS (GB) Dedicated" totalsRowFunction="sum" dataDxfId="819" totalsRowDxfId="92">
      <calculatedColumnFormula>IF(ISNUMBER(HostBuild[Recommended NAS (GB)]),HostBuild[Recommended NAS (GB)])+HostBuild[Additional NAS (GB)]</calculatedColumnFormula>
    </tableColumn>
    <tableColumn id="28" name="NAS _x000a_(GB) Shared" totalsRowFunction="sum" dataDxfId="818" totalsRowDxfId="91"/>
    <tableColumn id="85" name="NAS Shared Groups" dataDxfId="817" totalsRowDxfId="90"/>
    <tableColumn id="78" name="Archive_x000a_Full (GB)" totalsRowFunction="sum" dataDxfId="816" totalsRowDxfId="89">
      <calculatedColumnFormula>IFERROR((HostBuild[SAN (GB)
End-State
DO NOT USE TO BUILD]+HostBuild[SAN (GB) Shared])*25%,"")</calculatedColumnFormula>
    </tableColumn>
    <tableColumn id="79" name="Archive_x000a_Incr (GB)" totalsRowFunction="sum" dataDxfId="815" totalsRowDxfId="88">
      <calculatedColumnFormula>IFERROR(HostBuild[Archive
Full (GB)]*15%,"")</calculatedColumnFormula>
    </tableColumn>
    <tableColumn id="148" name="HSM Required?" dataDxfId="814" totalsRowDxfId="87"/>
    <tableColumn id="154" name="DMZ Required?" dataDxfId="813" totalsRowDxfId="86"/>
    <tableColumn id="69" name="Type of Network Connection I" dataDxfId="812" totalsRowDxfId="85"/>
    <tableColumn id="83" name="# of Connections I" dataDxfId="811" totalsRowDxfId="84"/>
    <tableColumn id="65" name="Type of Network Connection II" dataDxfId="810" totalsRowDxfId="83"/>
    <tableColumn id="64" name="# of Connections II" dataDxfId="809" totalsRowDxfId="82"/>
    <tableColumn id="29" name="Primary_x000a_IP" dataDxfId="808" totalsRowDxfId="81"/>
    <tableColumn id="30" name="Secondary_x000a_IP" dataDxfId="807" totalsRowDxfId="80"/>
    <tableColumn id="90" name="Capital Costs_x000a_(One-Time)" totalsRowFunction="sum" dataDxfId="806" totalsRowDxfId="79" dataCellStyle="Currency"/>
    <tableColumn id="89" name="Capital Costs_x000a_(Annual)" totalsRowFunction="sum" dataDxfId="805" totalsRowDxfId="78" dataCellStyle="Currency"/>
    <tableColumn id="71" name="Notes" dataDxfId="804" totalsRowDxfId="77"/>
    <tableColumn id="33" name="SW Start" dataDxfId="803" totalsRowDxfId="76"/>
    <tableColumn id="48" name="Ab Initio" totalsRowFunction="custom" dataDxfId="802" totalsRowDxfId="75">
      <calculatedColumnFormula>IFERROR(IF(FIND(CL$1,$W2)&gt;0,IF(INDEX(Product_Pricing_Table[],MATCH(CL$1,Products,0),2)="Cores",IF(HostBuild[Use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calculatedColumnFormula>
      <totalsRowFormula>SUBTOTAL(109,CL2:CL150)</totalsRowFormula>
    </tableColumn>
    <tableColumn id="128" name="CA APM" totalsRowFunction="sum" dataDxfId="801" totalsRowDxfId="74">
      <calculatedColumnFormula>IFERROR(IF(FIND(CM$1,$W2)&gt;0,IF(INDEX(Product_Pricing_Table[],MATCH(CM$1,Products,0),2)="Cores",IF(HostBuild[Use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calculatedColumnFormula>
    </tableColumn>
    <tableColumn id="87" name="FinCAD" totalsRowFunction="custom" dataDxfId="800" totalsRowDxfId="73">
      <calculatedColumnFormula>IFERROR(IF(FIND(CN$1,$W2)&gt;0,IF(INDEX(Product_Pricing_Table[],MATCH(CN$1,Products,0),2)="Cores",IF(HostBuild[Use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calculatedColumnFormula>
      <totalsRowFormula>SUBTOTAL(109,CN2:CN150)</totalsRowFormula>
    </tableColumn>
    <tableColumn id="61" name="IBM BG Web Client" totalsRowFunction="custom" dataDxfId="799" totalsRowDxfId="72">
      <calculatedColumnFormula>IFERROR(IF(FIND(CO$1,$W2)&gt;0,IF(INDEX(Product_Pricing_Table[],MATCH(CO$1,Products,0),2)="Cores",IF(HostBuild[Use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calculatedColumnFormula>
      <totalsRowFormula>SUBTOTAL(109,CO2:CO150)</totalsRowFormula>
    </tableColumn>
    <tableColumn id="54" name="IBM Biz Glossary" totalsRowFunction="custom" dataDxfId="798" totalsRowDxfId="71">
      <calculatedColumnFormula>IFERROR(IF(FIND(CP$1,$W2)&gt;0,IF(INDEX(Product_Pricing_Table[],MATCH(CP$1,Products,0),2)="Cores",IF(HostBuild[Use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calculatedColumnFormula>
      <totalsRowFormula>SUBTOTAL(109,CP2:CP150)</totalsRowFormula>
    </tableColumn>
    <tableColumn id="39" name="IBM Datastage" totalsRowFunction="custom" dataDxfId="797" totalsRowDxfId="70">
      <calculatedColumnFormula>IFERROR(IF(FIND(CQ$1,$W2)&gt;0,IF(INDEX(Product_Pricing_Table[],MATCH(CQ$1,Products,0),2)="Cores",IF(HostBuild[Use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calculatedColumnFormula>
      <totalsRowFormula>SUBTOTAL(109,CQ2:CQ150)</totalsRowFormula>
    </tableColumn>
    <tableColumn id="53" name="IBM DS Designer" totalsRowFunction="custom" dataDxfId="796" totalsRowDxfId="69">
      <calculatedColumnFormula>IFERROR(IF(FIND(CR$1,$W2)&gt;0,IF(INDEX(Product_Pricing_Table[],MATCH(CR$1,Products,0),2)="Cores",IF(HostBuild[Use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calculatedColumnFormula>
      <totalsRowFormula>SUBTOTAL(109,CR2:CR150)</totalsRowFormula>
    </tableColumn>
    <tableColumn id="101" name="IBM DS IS Dir" totalsRowFunction="sum" dataDxfId="795" totalsRowDxfId="68">
      <calculatedColumnFormula>IFERROR(IF(FIND(CS$1,$W2)&gt;0,IF(INDEX(Product_Pricing_Table[],MATCH(CS$1,Products,0),2)="Cores",IF(HostBuild[Use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calculatedColumnFormula>
    </tableColumn>
    <tableColumn id="92" name="IBM HTTP pSeries" totalsRowFunction="sum" dataDxfId="794" totalsRowDxfId="67">
      <calculatedColumnFormula>IFERROR(IF(FIND(CT$1,$W2)&gt;0,IF(INDEX(Product_Pricing_Table[],MATCH(CT$1,Products,0),2)="Cores",IF(HostBuild[Use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calculatedColumnFormula>
    </tableColumn>
    <tableColumn id="88" name="IBM HTTP x86" totalsRowFunction="sum" dataDxfId="793" totalsRowDxfId="66">
      <calculatedColumnFormula>IFERROR(IF(FIND(CU$1,$W2)&gt;0,IF(INDEX(Product_Pricing_Table[],MATCH(CU$1,Products,0),2)="Cores",IF(HostBuild[Use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calculatedColumnFormula>
    </tableColumn>
    <tableColumn id="112" name="IBM Tivoli DS" totalsRowFunction="sum" dataDxfId="792" totalsRowDxfId="65">
      <calculatedColumnFormula>IFERROR(IF(FIND(CV$1,$W2)&gt;0,IF(INDEX(Product_Pricing_Table[],MATCH(CV$1,Products,0),2)="Cores",IF(HostBuild[Use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calculatedColumnFormula>
    </tableColumn>
    <tableColumn id="59" name="IBM WAS pSeries" totalsRowFunction="custom" dataDxfId="791" totalsRowDxfId="64">
      <calculatedColumnFormula>IFERROR(IF(FIND(CW$1,$W2)&gt;0,IF(INDEX(Product_Pricing_Table[],MATCH(CW$1,Products,0),2)="Cores",IF(HostBuild[Use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calculatedColumnFormula>
      <totalsRowFormula>SUBTOTAL(109,CW2:CW150)</totalsRowFormula>
    </tableColumn>
    <tableColumn id="36" name="IBM WAS x86" totalsRowFunction="custom" dataDxfId="790" totalsRowDxfId="63">
      <calculatedColumnFormula>IFERROR(IF(FIND(CX$1,$W2)&gt;0,IF(INDEX(Product_Pricing_Table[],MATCH(CX$1,Products,0),2)="Cores",IF(HostBuild[Use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calculatedColumnFormula>
      <totalsRowFormula>SUBTOTAL(109,CX2:CX150)</totalsRowFormula>
    </tableColumn>
    <tableColumn id="113" name="IBM WBM pSeries" totalsRowFunction="sum" dataDxfId="789" totalsRowDxfId="62">
      <calculatedColumnFormula>IFERROR(IF(FIND(CY$1,$W2)&gt;0,IF(INDEX(Product_Pricing_Table[],MATCH(CY$1,Products,0),2)="Cores",IF(HostBuild[Use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calculatedColumnFormula>
    </tableColumn>
    <tableColumn id="38" name="IBM WMQ x86" totalsRowFunction="custom" dataDxfId="788" totalsRowDxfId="61">
      <calculatedColumnFormula>IFERROR(IF(FIND(CZ$1,$W2)&gt;0,IF(INDEX(Product_Pricing_Table[],MATCH(CZ$1,Products,0),2)="Cores",IF(HostBuild[Use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calculatedColumnFormula>
      <totalsRowFormula>SUBTOTAL(109,CZ2:CZ150)</totalsRowFormula>
    </tableColumn>
    <tableColumn id="58" name="IBM WPS pSeries" totalsRowFunction="custom" dataDxfId="787" totalsRowDxfId="60">
      <calculatedColumnFormula>IFERROR(IF(FIND(DA$1,$W2)&gt;0,IF(INDEX(Product_Pricing_Table[],MATCH(DA$1,Products,0),2)="Cores",IF(HostBuild[Use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calculatedColumnFormula>
      <totalsRowFormula>SUBTOTAL(109,DA2:DA150)</totalsRowFormula>
    </tableColumn>
    <tableColumn id="37" name="IBM WPS x86" totalsRowFunction="custom" dataDxfId="786" totalsRowDxfId="59">
      <calculatedColumnFormula>IFERROR(IF(FIND(DB$1,$W2)&gt;0,IF(INDEX(Product_Pricing_Table[],MATCH(DB$1,Products,0),2)="Cores",IF(HostBuild[Use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calculatedColumnFormula>
      <totalsRowFormula>SUBTOTAL(109,DB2:DB150)</totalsRowFormula>
    </tableColumn>
    <tableColumn id="114" name="IBM WS Process Srvr" totalsRowFunction="sum" dataDxfId="785" totalsRowDxfId="58">
      <calculatedColumnFormula>IFERROR(IF(FIND(DC$1,$W2)&gt;0,IF(INDEX(Product_Pricing_Table[],MATCH(DC$1,Products,0),2)="Cores",IF(HostBuild[Use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calculatedColumnFormula>
    </tableColumn>
    <tableColumn id="149" name="IBM WS VE (Cntrlr)" totalsRowFunction="sum" dataDxfId="784" totalsRowDxfId="57">
      <calculatedColumnFormula>IFERROR(IF(FIND(DD$1,$W2)&gt;0,IF(INDEX(Product_Pricing_Table[],MATCH(DD$1,Products,0),2)="Cores",IF(HostBuild[Use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calculatedColumnFormula>
    </tableColumn>
    <tableColumn id="152" name="IBM WS VE (Node)" totalsRowFunction="sum" dataDxfId="783" totalsRowDxfId="56">
      <calculatedColumnFormula>IFERROR(IF(FIND(DE$1,$W2)&gt;0,IF(INDEX(Product_Pricing_Table[],MATCH(DE$1,Products,0),2)="Cores",IF(HostBuild[Use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calculatedColumnFormula>
    </tableColumn>
    <tableColumn id="47" name="Kana (Both)" totalsRowFunction="custom" dataDxfId="782" totalsRowDxfId="55">
      <calculatedColumnFormula>IFERROR(IF(FIND(DF$1,$W2)&gt;0,IF(INDEX(Product_Pricing_Table[],MATCH(DF$1,Products,0),2)="Cores",IF(HostBuild[Use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calculatedColumnFormula>
      <totalsRowFormula>SUBTOTAL(109,DF2:DF150)</totalsRowFormula>
    </tableColumn>
    <tableColumn id="156" name="MS SQL EE (Ext)" totalsRowFunction="sum" dataDxfId="781" totalsRowDxfId="54">
      <calculatedColumnFormula>IFERROR(IF(FIND(DG$1,$W2)&gt;0,IF(INDEX(Product_Pricing_Table[],MATCH(DG$1,Products,0),2)="Cores",IF(HostBuild[Use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calculatedColumnFormula>
    </tableColumn>
    <tableColumn id="49" name="MS SQL EE (Int)" totalsRowFunction="custom" dataDxfId="780" totalsRowDxfId="53">
      <calculatedColumnFormula>IFERROR(IF(FIND(DH$1,$W2)&gt;0,IF(INDEX(Product_Pricing_Table[],MATCH(DH$1,Products,0),2)="Cores",IF(HostBuild[Use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calculatedColumnFormula>
      <totalsRowFormula>SUBTOTAL(109,DH2:DH150)</totalsRowFormula>
    </tableColumn>
    <tableColumn id="157" name="MS SQL SE (Ext)" totalsRowFunction="sum" dataDxfId="779" totalsRowDxfId="52">
      <calculatedColumnFormula>IFERROR(IF(FIND(DI$1,$W2)&gt;0,IF(INDEX(Product_Pricing_Table[],MATCH(DI$1,Products,0),2)="Cores",IF(HostBuild[Use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calculatedColumnFormula>
    </tableColumn>
    <tableColumn id="81" name="MS SQL SE (Int)" totalsRowFunction="custom" dataDxfId="778" totalsRowDxfId="51">
      <calculatedColumnFormula>IFERROR(IF(FIND(DJ$1,$W2)&gt;0,IF(INDEX(Product_Pricing_Table[],MATCH(DJ$1,Products,0),2)="Cores",IF(HostBuild[Use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calculatedColumnFormula>
      <totalsRowFormula>SUBTOTAL(109,DJ2:DJ150)</totalsRowFormula>
    </tableColumn>
    <tableColumn id="134" name="Oracle ASO pSeries" totalsRowFunction="custom" dataDxfId="777" totalsRowDxfId="50">
      <calculatedColumnFormula>IFERROR(IF(FIND(DK$1,$W2)&gt;0,IF(INDEX(Product_Pricing_Table[],MATCH(DK$1,Products,0),2)="Cores",IF(HostBuild[Use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calculatedColumnFormula>
      <totalsRowFormula>SUBTOTAL(109,DK2:DK150)</totalsRowFormula>
    </tableColumn>
    <tableColumn id="135" name="Oracle ASO x86" totalsRowFunction="custom" dataDxfId="776" totalsRowDxfId="49">
      <calculatedColumnFormula>IFERROR(IF(FIND(DL$1,$W2)&gt;0,IF(INDEX(Product_Pricing_Table[],MATCH(DL$1,Products,0),2)="Cores",IF(HostBuild[Use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calculatedColumnFormula>
      <totalsRowFormula>SUBTOTAL(109,DL2:DL150)</totalsRowFormula>
    </tableColumn>
    <tableColumn id="136" name="Oracle Ext. Bundle pSeries" totalsRowFunction="custom" dataDxfId="775" totalsRowDxfId="48">
      <calculatedColumnFormula>IFERROR(IF(FIND(DM$1,$W2)&gt;0,IF(INDEX(Product_Pricing_Table[],MATCH(DM$1,Products,0),2)="Cores",IF(HostBuild[Use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calculatedColumnFormula>
      <totalsRowFormula>SUBTOTAL(109,DM2:DM150)</totalsRowFormula>
    </tableColumn>
    <tableColumn id="137" name="Oracle Ext. Bundle x86" totalsRowFunction="custom" dataDxfId="774" totalsRowDxfId="47">
      <calculatedColumnFormula>IFERROR(IF(FIND(DN$1,$W2)&gt;0,IF(INDEX(Product_Pricing_Table[],MATCH(DN$1,Products,0),2)="Cores",IF(HostBuild[Use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calculatedColumnFormula>
      <totalsRowFormula>SUBTOTAL(109,DN2:DN150)</totalsRowFormula>
    </tableColumn>
    <tableColumn id="138" name="Oracle GG pSeries" totalsRowFunction="custom" dataDxfId="773" totalsRowDxfId="46">
      <calculatedColumnFormula>IFERROR(IF(FIND(DO$1,$W2)&gt;0,IF(INDEX(Product_Pricing_Table[],MATCH(DO$1,Products,0),2)="Cores",IF(HostBuild[Use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calculatedColumnFormula>
      <totalsRowFormula>SUBTOTAL(109,DO2:DO150)</totalsRowFormula>
    </tableColumn>
    <tableColumn id="139" name="Oracle GG x86" totalsRowFunction="custom" dataDxfId="772" totalsRowDxfId="45">
      <calculatedColumnFormula>IFERROR(IF(FIND(DP$1,$W2)&gt;0,IF(INDEX(Product_Pricing_Table[],MATCH(DP$1,Products,0),2)="Cores",IF(HostBuild[Use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calculatedColumnFormula>
      <totalsRowFormula>SUBTOTAL(109,DP2:DP150)</totalsRowFormula>
    </tableColumn>
    <tableColumn id="140" name="Oracle GG Veridata pSeries" totalsRowFunction="custom" dataDxfId="771" totalsRowDxfId="44">
      <calculatedColumnFormula>IFERROR(IF(FIND(DQ$1,$W2)&gt;0,IF(INDEX(Product_Pricing_Table[],MATCH(DQ$1,Products,0),2)="Cores",IF(HostBuild[Use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calculatedColumnFormula>
      <totalsRowFormula>SUBTOTAL(109,DQ2:DQ150)</totalsRowFormula>
    </tableColumn>
    <tableColumn id="141" name="Oracle GG Veridata x86" totalsRowFunction="custom" dataDxfId="770" totalsRowDxfId="43">
      <calculatedColumnFormula>IFERROR(IF(FIND(DR$1,$W2)&gt;0,IF(INDEX(Product_Pricing_Table[],MATCH(DR$1,Products,0),2)="Cores",IF(HostBuild[Use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calculatedColumnFormula>
      <totalsRowFormula>SUBTOTAL(109,DR2:DR150)</totalsRowFormula>
    </tableColumn>
    <tableColumn id="142" name="Oracle Partitioning pSeries" totalsRowFunction="custom" dataDxfId="769" totalsRowDxfId="42">
      <calculatedColumnFormula>IFERROR(IF(FIND(DS$1,$W2)&gt;0,IF(INDEX(Product_Pricing_Table[],MATCH(DS$1,Products,0),2)="Cores",IF(HostBuild[Use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calculatedColumnFormula>
      <totalsRowFormula>SUBTOTAL(109,DS2:DS150)</totalsRowFormula>
    </tableColumn>
    <tableColumn id="143" name="Oracle Partitioning x86" totalsRowFunction="custom" dataDxfId="768" totalsRowDxfId="41">
      <calculatedColumnFormula>IFERROR(IF(FIND(DT$1,$W2)&gt;0,IF(INDEX(Product_Pricing_Table[],MATCH(DT$1,Products,0),2)="Cores",IF(HostBuild[Use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calculatedColumnFormula>
      <totalsRowFormula>SUBTOTAL(109,DT2:DT150)</totalsRowFormula>
    </tableColumn>
    <tableColumn id="75" name="Oracle RAC pSeries" totalsRowFunction="custom" dataDxfId="767" totalsRowDxfId="40">
      <calculatedColumnFormula>IFERROR(IF(FIND(DU$1,$W2)&gt;0,IF(INDEX(Product_Pricing_Table[],MATCH(DU$1,Products,0),2)="Cores",IF(HostBuild[Use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calculatedColumnFormula>
      <totalsRowFormula>SUBTOTAL(109,DU2:DU150)</totalsRowFormula>
    </tableColumn>
    <tableColumn id="74" name="Oracle RAC x86" totalsRowFunction="custom" dataDxfId="766" totalsRowDxfId="39">
      <calculatedColumnFormula>IFERROR(IF(FIND(DV$1,$W2)&gt;0,IF(INDEX(Product_Pricing_Table[],MATCH(DV$1,Products,0),2)="Cores",IF(HostBuild[Use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calculatedColumnFormula>
      <totalsRowFormula>SUBTOTAL(109,DV2:DV150)</totalsRowFormula>
    </tableColumn>
    <tableColumn id="51" name="Oracle Spatial pSeries" totalsRowFunction="custom" dataDxfId="765" totalsRowDxfId="38">
      <calculatedColumnFormula>IFERROR(IF(FIND(DW$1,$W2)&gt;0,IF(INDEX(Product_Pricing_Table[],MATCH(DW$1,Products,0),2)="Cores",IF(HostBuild[Use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calculatedColumnFormula>
      <totalsRowFormula>SUBTOTAL(109,DW2:DW150)</totalsRowFormula>
    </tableColumn>
    <tableColumn id="104" name="Oracle Spatial x86" totalsRowFunction="sum" dataDxfId="764" totalsRowDxfId="37">
      <calculatedColumnFormula>IFERROR(IF(FIND(DX$1,$W2)&gt;0,IF(INDEX(Product_Pricing_Table[],MATCH(DX$1,Products,0),2)="Cores",IF(HostBuild[Use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calculatedColumnFormula>
    </tableColumn>
    <tableColumn id="102" name="Oracle Standalone" totalsRowFunction="sum" dataDxfId="763" totalsRowDxfId="36">
      <calculatedColumnFormula>IFERROR(IF(FIND(DY$1,$W2)&gt;0,IF(INDEX(Product_Pricing_Table[],MATCH(DY$1,Products,0),2)="Cores",IF(HostBuild[Use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calculatedColumnFormula>
    </tableColumn>
    <tableColumn id="103" name="Oracle WebLogic pSeries" totalsRowFunction="sum" dataDxfId="762" totalsRowDxfId="35">
      <calculatedColumnFormula>IFERROR(IF(FIND(DZ$1,$W2)&gt;0,IF(INDEX(Product_Pricing_Table[],MATCH(DZ$1,Products,0),2)="Cores",IF(HostBuild[Use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calculatedColumnFormula>
    </tableColumn>
    <tableColumn id="93" name="Oracle WebLogic x86" totalsRowFunction="sum" dataDxfId="761" totalsRowDxfId="34">
      <calculatedColumnFormula>IFERROR(IF(FIND(EA$1,$W2)&gt;0,IF(INDEX(Product_Pricing_Table[],MATCH(EA$1,Products,0),2)="Cores",IF(HostBuild[Use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calculatedColumnFormula>
    </tableColumn>
    <tableColumn id="50" name="PB Spectrum" totalsRowFunction="custom" dataDxfId="760" totalsRowDxfId="33">
      <calculatedColumnFormula>IFERROR(IF(FIND(EB$1,$W2)&gt;0,IF(INDEX(Product_Pricing_Table[],MATCH(EB$1,Products,0),2)="Cores",IF(HostBuild[Use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calculatedColumnFormula>
      <totalsRowFormula>SUBTOTAL(109,EB2:EB150)</totalsRowFormula>
    </tableColumn>
    <tableColumn id="46" name="SAP BO" totalsRowFunction="custom" dataDxfId="759" totalsRowDxfId="32">
      <calculatedColumnFormula>IFERROR(IF(FIND(EC$1,$W2)&gt;0,IF(INDEX(Product_Pricing_Table[],MATCH(EC$1,Products,0),2)="Cores",IF(HostBuild[Use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calculatedColumnFormula>
      <totalsRowFormula>SUBTOTAL(109,EC2:EC150)</totalsRowFormula>
    </tableColumn>
    <tableColumn id="40" name="Sterling NDM" totalsRowFunction="custom" dataDxfId="758" totalsRowDxfId="31">
      <calculatedColumnFormula>IFERROR(IF(FIND(ED$1,$W2)&gt;0,IF(INDEX(Product_Pricing_Table[],MATCH(ED$1,Products,0),2)="Cores",IF(HostBuild[Use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calculatedColumnFormula>
      <totalsRowFormula>SUBTOTAL(109,ED2:ED150)</totalsRowFormula>
    </tableColumn>
    <tableColumn id="111" name="TIBCO Adapter SDK" totalsRowFunction="sum" dataDxfId="757" totalsRowDxfId="30">
      <calculatedColumnFormula>IFERROR(IF(FIND(EE$1,$W2)&gt;0,IF(INDEX(Product_Pricing_Table[],MATCH(EE$1,Products,0),2)="Cores",IF(HostBuild[Use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calculatedColumnFormula>
    </tableColumn>
    <tableColumn id="45" name="TIBCO AMX BPM" totalsRowFunction="custom" dataDxfId="756" totalsRowDxfId="29">
      <calculatedColumnFormula>IFERROR(IF(FIND(EF$1,$W2)&gt;0,IF(INDEX(Product_Pricing_Table[],MATCH(EF$1,Products,0),2)="Cores",IF(HostBuild[Use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calculatedColumnFormula>
      <totalsRowFormula>SUBTOTAL(109,EF2:EF150)</totalsRowFormula>
    </tableColumn>
    <tableColumn id="43" name="TIBCO BE" totalsRowFunction="custom" dataDxfId="755" totalsRowDxfId="28">
      <calculatedColumnFormula>IFERROR(IF(FIND(EG$1,$W2)&gt;0,IF(INDEX(Product_Pricing_Table[],MATCH(EG$1,Products,0),2)="Cores",IF(HostBuild[Use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calculatedColumnFormula>
      <totalsRowFormula>SUBTOTAL(109,EG2:EG150)</totalsRowFormula>
    </tableColumn>
    <tableColumn id="41" name="TIBCO BW" totalsRowFunction="custom" dataDxfId="754" totalsRowDxfId="27">
      <calculatedColumnFormula>IFERROR(IF(FIND(EH$1,$W2)&gt;0,IF(INDEX(Product_Pricing_Table[],MATCH(EH$1,Products,0),2)="Cores",IF(HostBuild[Use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calculatedColumnFormula>
      <totalsRowFormula>SUBTOTAL(109,EH2:EH150)</totalsRowFormula>
    </tableColumn>
    <tableColumn id="42" name="TIBCO EMS" totalsRowFunction="custom" dataDxfId="753" totalsRowDxfId="26">
      <calculatedColumnFormula>IFERROR(IF(FIND(EI$1,$W2)&gt;0,IF(INDEX(Product_Pricing_Table[],MATCH(EI$1,Products,0),2)="Cores",IF(HostBuild[Use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calculatedColumnFormula>
      <totalsRowFormula>SUBTOTAL(109,EI2:EI150)</totalsRowFormula>
    </tableColumn>
    <tableColumn id="44" name="TIBCO iProcess" totalsRowFunction="custom" dataDxfId="752" totalsRowDxfId="25">
      <calculatedColumnFormula>IFERROR(IF(FIND(EJ$1,$W2)&gt;0,IF(INDEX(Product_Pricing_Table[],MATCH(EJ$1,Products,0),2)="Cores",IF(HostBuild[Use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calculatedColumnFormula>
      <totalsRowFormula>SUBTOTAL(109,EJ2:EJ150)</totalsRowFormula>
    </tableColumn>
    <tableColumn id="82" name="Veritas Cluster/CFS" totalsRowFunction="custom" dataDxfId="751" totalsRowDxfId="24">
      <calculatedColumnFormula>IFERROR(IF(FIND(EK$1,$W2)&gt;0,IF(INDEX(Product_Pricing_Table[],MATCH(EK$1,Products,0),2)="Cores",IF(HostBuild[Use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calculatedColumnFormula>
      <totalsRowFormula>SUBTOTAL(109,EK2:EK150)</totalsRowFormula>
    </tableColumn>
    <tableColumn id="110" name="SW End" dataDxfId="750" totalsRowDxfId="23"/>
    <tableColumn id="55" name="Software Costs_x000a_[Year 1]_x000a_(Monthly)" totalsRowFunction="sum" dataDxfId="749" totalsRowDxfId="22"/>
    <tableColumn id="56" name="Software Costs_x000a_[After Year 1]_x000a_(Monthly)" totalsRowFunction="sum" dataDxfId="748" totalsRowDxfId="21"/>
    <tableColumn id="57" name="Server HW Costs_x000a_(Monthly)" totalsRowFunction="custom" dataDxfId="747" totalsRowDxfId="20" dataCellStyle="Currency">
      <calculatedColumnFormula>IF(OR(ISBLANK(HostBuild[Alias]),HostBuild[Server Tier]="",),0,IF(HostBuild[Server Tier]="SafeNet",Safenet_PSE_PL600+HostBuild[Network Cost],IF(HostBuild[Server Tier]="VMware",HostBuild[New VMware (Adjusted)]+HostBuild[Initial Server Cost],IF(HostBuild[Server Tier]="XI52",IBM_DIA_XI52,HostBuild[Initial Server Cost]))))</calculatedColumnFormula>
      <totalsRowFormula>SUBTOTAL(109,EO2:EO150)</totalsRowFormula>
    </tableColumn>
    <tableColumn id="60" name="Storage Costs_x000a_(Monthly)" totalsRowFunction="custom" dataDxfId="746" totalsRowDxfId="19" dataCellStyle="Currency">
      <calculatedColumnFormula>(Storage_DC_SAN_2014*HostBuild[SAN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calculatedColumnFormula>
      <totalsRowFormula>SUBTOTAL(109,EP2:EP150)</totalsRowFormula>
    </tableColumn>
    <tableColumn id="80" name="Tape Costs_x000a_(Monthly)" totalsRowFunction="sum" dataDxfId="745" totalsRowDxfId="18" dataCellStyle="Currency">
      <calculatedColumnFormula>(HostBuild[Archive
Full (GB)]+HostBuild[Archive
Incr (GB)])*Storage_DC_Dist_Tape_2014</calculatedColumnFormula>
    </tableColumn>
    <tableColumn id="66" name="Total Hardware Costs_x000a_(Monthly)" totalsRowFunction="custom" dataDxfId="744" totalsRowDxfId="17" dataCellStyle="Currency">
      <calculatedColumnFormula>IF(ISNUMBER(HostBuild[Server HW Costs
(Monthly)]),SUM(HostBuild[[#This Row],[Server HW Costs
(Monthly)]:[Tape Costs
(Monthly)]]),0)</calculatedColumnFormula>
      <totalsRowFormula>SUBTOTAL(109,ER2:ER150)</totalsRowFormula>
    </tableColumn>
    <tableColumn id="67" name="Total Server Costs_x000a_[Year 1]_x000a_SW+HW_x000a_(Monthly)" totalsRowFunction="sum" dataDxfId="743" totalsRowDxfId="16" dataCellStyle="Currency">
      <calculatedColumnFormula>HostBuild[Software Costs
'[Year 1']
(Monthly)]+HostBuild[Total Hardware Costs
(Monthly)]</calculatedColumnFormula>
    </tableColumn>
    <tableColumn id="62" name="Total Server Costs_x000a_[After Year 1]_x000a_SW+HW_x000a_(Monthly)" totalsRowFunction="sum" dataDxfId="742" totalsRowDxfId="15" dataCellStyle="Currency">
      <calculatedColumnFormula>IFERROR(IF(FIND("Safenet",HostBuild[Server Model]),Safenet_PSE_PL600_Maint,0),0)+IFERROR(IF(FIND("XI52",HostBuild[Server Model]),IBM_DIA_XI52_Maint,0),0)+HostBuild[Software Costs
'[After Year 1']
(Monthly)]+HostBuild[Total Hardware Costs
(Monthly)]</calculatedColumnFormula>
    </tableColumn>
    <tableColumn id="84" name="Initial Server Cost" dataDxfId="741" totalsRowDxfId="14" dataCellStyle="Currency">
      <calculatedColumnFormula>SUM(HostBuild[[#This Row],[Server Cost Breakdown]:[Network Cost]])</calculatedColumnFormula>
    </tableColumn>
    <tableColumn id="94" name="Total CPUs" dataDxfId="740" totalsRowDxfId="13" dataCellStyle="Currency">
      <calculatedColumnFormula>IF(HostBuild[Existing Server?]="Yes - Inside this BoM",0,SUMIF(HostBuild[Alias],HostBuild[Alias],HostBuild[CPU])+SUMIF(HostBuild[Alias],HostBuild[Alias],HostBuild[Existing CPUs]))</calculatedColumnFormula>
    </tableColumn>
    <tableColumn id="123" name="Total Cores" dataDxfId="739" totalsRowDxfId="12" dataCellStyle="Currency">
      <calculatedColumnFormula>IF(HostBuild[Existing Server?]="Yes - Inside this BoM",0,SUMIF(HostBuild[Alias],HostBuild[Alias],HostBuild[Cores 
(Licensed Units)])+SUMIF(HostBuild[Alias],HostBuild[Alias],HostBuild[Existing Cores]))</calculatedColumnFormula>
    </tableColumn>
    <tableColumn id="95" name="Total RAM" dataDxfId="738" totalsRowDxfId="11" dataCellStyle="Currency">
      <calculatedColumnFormula>IF(HostBuild[Existing Server?]="Yes - Inside this BoM",0,SUMIF(HostBuild[Alias],HostBuild[Alias],HostBuild[RAM 
(GB)])+SUMIF(HostBuild[Alias],HostBuild[Alias],HostBuild[Existing RAM (GB)]))</calculatedColumnFormula>
    </tableColumn>
    <tableColumn id="126" name="Total VMware Costs" dataDxfId="737" totalsRowDxfId="10" dataCellStyle="Currency">
      <calculatedColumnFormula>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calculatedColumnFormula>
    </tableColumn>
    <tableColumn id="127" name="Outside VMware Costs" dataDxfId="736" totalsRowDxfId="9">
      <calculatedColumnFormula>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calculatedColumnFormula>
    </tableColumn>
    <tableColumn id="120" name="Existing VMware Costs" dataDxfId="735" totalsRowDxfId="8" dataCellStyle="Currency">
      <calculatedColumnFormula>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calculatedColumnFormula>
    </tableColumn>
    <tableColumn id="68" name="New VMware (Adjusted)" dataDxfId="734" totalsRowDxfId="7" dataCellStyle="Currency">
      <calculatedColumnFormula>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calculatedColumnFormula>
    </tableColumn>
    <tableColumn id="96" name="Server Cost Breakdown" dataDxfId="733" totalsRowDxfId="6" dataCellStyle="Currency">
      <calculatedColumnFormula>IF(ISBLANK(HostBuild[Server Model]),0,IF(HostBuild[Server Tier]="VMware",0,VLOOKUP(HostBuild[Server Tier],ServerTierRates[#Data],2,0))*HostBuild[CPU]*IF(AND(HostBuild[Server Type]="pSeries",HostBuild[Virtual Platform Storage Type]="Cloud-SAN"),0.25,1))</calculatedColumnFormula>
    </tableColumn>
    <tableColumn id="122" name="OS/SW Costs" dataDxfId="732" totalsRowDxfId="5" dataCellStyle="Currency">
      <calculatedColumnFormula>0</calculatedColumnFormula>
    </tableColumn>
    <tableColumn id="124" name="VMware Memory" dataDxfId="731" totalsRowDxfId="4" dataCellStyle="Currency">
      <calculatedColumnFormula>IF(HostBuild[Server Type]="VMware",HostBuild[RAM 
(GB)]*IF(ISERROR(FIND("DevCloud", HostBuild[Server Model])&gt;0),vRAM_per_vCPU_2014_Monthly,vRAM_per_vCPU_2014_Daily*30),0)</calculatedColumnFormula>
    </tableColumn>
    <tableColumn id="129" name="New Memory Cost (Initial)" dataDxfId="730" totalsRowDxfId="3" dataCellStyle="Currency">
      <calculatedColumnFormula>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calculatedColumnFormula>
    </tableColumn>
    <tableColumn id="97" name="New Memory Cost (Adjusted)" dataDxfId="729" totalsRowDxfId="2" dataCellStyle="Currency">
      <calculatedColumnFormula>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calculatedColumnFormula>
    </tableColumn>
    <tableColumn id="98" name="Support Cost" dataDxfId="728" totalsRowDxfId="1" dataCellStyle="Currency">
      <calculatedColumnFormula>IF(HostBuild[Server Tier]="VMware",0,IF(LEFT(HostBuild[Existing Server?],3)="Yes",0,IF(OR(HostBuild[Server Type]="Sun",HostBuild[Server Type]="pSeries"),Support_Direct_Server_Sun_per_OS_2014,IF(HostBuild[Server Type]="x86",Support_Direct_Server_x86_Wintel_per_OS_2014,0))))</calculatedColumnFormula>
    </tableColumn>
    <tableColumn id="86" name="Network Cost" dataDxfId="727" totalsRowDxfId="0">
      <calculatedColumnFormula>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calculatedColumnFormula>
    </tableColumn>
  </tableColumns>
  <tableStyleInfo name="TableStyleMedium10" showFirstColumn="0" showLastColumn="0" showRowStripes="1" showColumnStripes="0"/>
</table>
</file>

<file path=xl/tables/table5.xml><?xml version="1.0" encoding="utf-8"?>
<table xmlns="http://schemas.openxmlformats.org/spreadsheetml/2006/main" id="26" name="Table26" displayName="Table26" ref="A2:D1200" totalsRowShown="0" headerRowDxfId="643" headerRowBorderDxfId="642">
  <tableColumns count="4">
    <tableColumn id="1" name="Server Hostname" dataDxfId="641">
      <calculatedColumnFormula>IF(AND(NOT(ISBLANK(E3)),E3&lt;&gt;"(blank)"),IFERROR(IF(INDEX(HostBuild[],MATCH(E3,HostBuild[Alias],0),COLUMN(HostBuild[Hostname]))&lt;&gt;0,INDEX(HostBuild[],MATCH(E3,HostBuild[Alias],0),COLUMN(HostBuild[Hostname])),""),""),"")</calculatedColumnFormula>
    </tableColumn>
    <tableColumn id="5" name="Status" dataDxfId="640">
      <calculatedColumnFormula>IF(AND(NOT(ISBLANK(E3)),E3&lt;&gt;"(blank)"),IFERROR(IF(INDEX(HostBuild[],MATCH(E3,HostBuild[Alias],0),COLUMN(HostBuild[Status]))&lt;&gt;0,INDEX(HostBuild[],MATCH(E3,HostBuild[Alias],0),COLUMN(HostBuild[Status])),""),""),"")</calculatedColumnFormula>
    </tableColumn>
    <tableColumn id="4" name="Completion Date" dataDxfId="639">
      <calculatedColumnFormula>IF(AND(NOT(ISBLANK(E3)),E3&lt;&gt;"(blank)"),IFERROR(IF(INDEX(HostBuild[],MATCH(E3,HostBuild[Alias],0),COLUMN(HostBuild[CTI Target Completion]))&lt;&gt;0,INDEX(HostBuild[],MATCH(E3,HostBuild[Alias],0),COLUMN(HostBuild[CTI Target Completion])),""),""),"")</calculatedColumnFormula>
    </tableColumn>
    <tableColumn id="2" name="Server Description" dataDxfId="638">
      <calculatedColumnFormula>IF(AND(NOT(ISBLANK(E3)),E3&lt;&gt;"(blank)"),IFERROR(IF(INDEX(HostBuild[],MATCH(E3,HostBuild[Alias],0),COLUMN(HostBuild[Description]))&lt;&gt;0,INDEX(HostBuild[],MATCH(E3,HostBuild[Alias],0),COLUMN(HostBuild[Description])),""),""),"")</calculatedColumnFormula>
    </tableColumn>
  </tableColumns>
  <tableStyleInfo showFirstColumn="0" showLastColumn="0" showRowStripes="1" showColumnStripes="0"/>
</table>
</file>

<file path=xl/tables/table6.xml><?xml version="1.0" encoding="utf-8"?>
<table xmlns="http://schemas.openxmlformats.org/spreadsheetml/2006/main" id="16" name="SummarySWYr1" displayName="SummarySWYr1" ref="D2:T55" totalsRowCount="1" headerRowDxfId="636" totalsRowDxfId="633" headerRowBorderDxfId="635" tableBorderDxfId="634">
  <tableColumns count="17">
    <tableColumn id="1" name="Product Name" totalsRowDxfId="632">
      <calculatedColumnFormula>'SW Details'!BV4</calculatedColumnFormula>
    </tableColumn>
    <tableColumn id="14" name="PAT" dataDxfId="631" totalsRowDxfId="630">
      <calculatedColumnFormula>'SW Details'!BW4</calculatedColumnFormula>
    </tableColumn>
    <tableColumn id="15" name="PAT/PROD" dataDxfId="629" totalsRowDxfId="628">
      <calculatedColumnFormula>'SW Details'!BX4</calculatedColumnFormula>
    </tableColumn>
    <tableColumn id="2" name="PROD" totalsRowFunction="sum" dataDxfId="627" totalsRowDxfId="626" dataCellStyle="Currency">
      <calculatedColumnFormula>'SW Details'!BY4</calculatedColumnFormula>
    </tableColumn>
    <tableColumn id="13" name="PROD2" dataDxfId="625" totalsRowDxfId="624" dataCellStyle="Currency">
      <calculatedColumnFormula>'SW Details'!BZ4</calculatedColumnFormula>
    </tableColumn>
    <tableColumn id="3" name="COB" totalsRowFunction="sum" dataDxfId="623" totalsRowDxfId="622" dataCellStyle="Currency">
      <calculatedColumnFormula>'SW Details'!CA4</calculatedColumnFormula>
    </tableColumn>
    <tableColumn id="4" name="CERT" totalsRowFunction="sum" dataDxfId="621" totalsRowDxfId="620" dataCellStyle="Currency">
      <calculatedColumnFormula>'SW Details'!CB4</calculatedColumnFormula>
    </tableColumn>
    <tableColumn id="5" name="PERF" totalsRowFunction="sum" dataDxfId="619" totalsRowDxfId="618" dataCellStyle="Currency">
      <calculatedColumnFormula>'SW Details'!CC4</calculatedColumnFormula>
    </tableColumn>
    <tableColumn id="11" name="TRAINING" totalsRowFunction="sum" dataDxfId="617" totalsRowDxfId="616" dataCellStyle="Currency">
      <calculatedColumnFormula>'SW Details'!CD4</calculatedColumnFormula>
    </tableColumn>
    <tableColumn id="6" name="UAT" totalsRowFunction="sum" dataDxfId="615" totalsRowDxfId="614" dataCellStyle="Currency">
      <calculatedColumnFormula>'SW Details'!CE4</calculatedColumnFormula>
    </tableColumn>
    <tableColumn id="17" name="UAT2" dataDxfId="613" totalsRowDxfId="612" dataCellStyle="Currency">
      <calculatedColumnFormula>'SW Details'!CF4</calculatedColumnFormula>
    </tableColumn>
    <tableColumn id="7" name="SIT" totalsRowFunction="sum" dataDxfId="611" totalsRowDxfId="610" dataCellStyle="Currency">
      <calculatedColumnFormula>'SW Details'!CG4</calculatedColumnFormula>
    </tableColumn>
    <tableColumn id="16" name="SIT/DIT" dataDxfId="609" totalsRowDxfId="608" dataCellStyle="Currency">
      <calculatedColumnFormula>'SW Details'!CH4</calculatedColumnFormula>
    </tableColumn>
    <tableColumn id="8" name="DIT" totalsRowFunction="sum" dataDxfId="607" totalsRowDxfId="606" dataCellStyle="Currency">
      <calculatedColumnFormula>'SW Details'!CI4</calculatedColumnFormula>
    </tableColumn>
    <tableColumn id="9" name="RND" totalsRowFunction="sum" dataDxfId="605" totalsRowDxfId="604" dataCellStyle="Currency">
      <calculatedColumnFormula>'SW Details'!CJ4</calculatedColumnFormula>
    </tableColumn>
    <tableColumn id="10" name="DEV" totalsRowFunction="sum" dataDxfId="603" totalsRowDxfId="602" dataCellStyle="Currency">
      <calculatedColumnFormula>'SW Details'!CK4</calculatedColumnFormula>
    </tableColumn>
    <tableColumn id="12" name="Totals" totalsRowFunction="sum" totalsRowDxfId="601" dataCellStyle="Currency">
      <calculatedColumnFormula>SUM(SummarySWYr1[[#This Row],[PROD]:[DEV]])</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22" name="SummarySWAfterYr1" displayName="SummarySWAfterYr1" ref="V2:AL55" totalsRowCount="1" headerRowDxfId="600" totalsRowDxfId="597" headerRowBorderDxfId="599" tableBorderDxfId="598">
  <tableColumns count="17">
    <tableColumn id="1" name="Product Name" dataDxfId="596" totalsRowDxfId="595">
      <calculatedColumnFormula>'SW Details'!CN4</calculatedColumnFormula>
    </tableColumn>
    <tableColumn id="14" name="PAT" dataDxfId="594" totalsRowDxfId="593">
      <calculatedColumnFormula>'SW Details'!CO4</calculatedColumnFormula>
    </tableColumn>
    <tableColumn id="15" name="PAT/PROD" dataDxfId="592" totalsRowDxfId="591">
      <calculatedColumnFormula>'SW Details'!CP4</calculatedColumnFormula>
    </tableColumn>
    <tableColumn id="2" name="PROD" totalsRowFunction="sum" dataDxfId="590" totalsRowDxfId="589">
      <calculatedColumnFormula>'SW Details'!CQ4</calculatedColumnFormula>
    </tableColumn>
    <tableColumn id="13" name="PROD2" dataDxfId="588" totalsRowDxfId="587">
      <calculatedColumnFormula>'SW Details'!CR4</calculatedColumnFormula>
    </tableColumn>
    <tableColumn id="3" name="COB" totalsRowFunction="sum" dataDxfId="586" totalsRowDxfId="585">
      <calculatedColumnFormula>'SW Details'!CS4</calculatedColumnFormula>
    </tableColumn>
    <tableColumn id="4" name="CERT" totalsRowFunction="sum" dataDxfId="584" totalsRowDxfId="583">
      <calculatedColumnFormula>'SW Details'!CT4</calculatedColumnFormula>
    </tableColumn>
    <tableColumn id="5" name="PERF" totalsRowFunction="sum" dataDxfId="582" totalsRowDxfId="581">
      <calculatedColumnFormula>'SW Details'!CU4</calculatedColumnFormula>
    </tableColumn>
    <tableColumn id="11" name="TRAINING" totalsRowFunction="sum" dataDxfId="580" totalsRowDxfId="579">
      <calculatedColumnFormula>'SW Details'!CV4</calculatedColumnFormula>
    </tableColumn>
    <tableColumn id="6" name="UAT" totalsRowFunction="sum" dataDxfId="578" totalsRowDxfId="577">
      <calculatedColumnFormula>'SW Details'!CW4</calculatedColumnFormula>
    </tableColumn>
    <tableColumn id="17" name="UAT2" dataDxfId="576" totalsRowDxfId="575">
      <calculatedColumnFormula>'SW Details'!CX4</calculatedColumnFormula>
    </tableColumn>
    <tableColumn id="7" name="SIT" totalsRowFunction="sum" dataDxfId="574" totalsRowDxfId="573">
      <calculatedColumnFormula>'SW Details'!CY4</calculatedColumnFormula>
    </tableColumn>
    <tableColumn id="16" name="SIT/DIT" dataDxfId="572" totalsRowDxfId="571">
      <calculatedColumnFormula>'SW Details'!CZ4</calculatedColumnFormula>
    </tableColumn>
    <tableColumn id="8" name="DIT" totalsRowFunction="sum" dataDxfId="570" totalsRowDxfId="569">
      <calculatedColumnFormula>'SW Details'!DA4</calculatedColumnFormula>
    </tableColumn>
    <tableColumn id="9" name="RND" totalsRowFunction="sum" dataDxfId="568" totalsRowDxfId="567">
      <calculatedColumnFormula>'SW Details'!DB4</calculatedColumnFormula>
    </tableColumn>
    <tableColumn id="10" name="DEV" totalsRowFunction="sum" dataDxfId="566" totalsRowDxfId="565">
      <calculatedColumnFormula>'SW Details'!DC4</calculatedColumnFormula>
    </tableColumn>
    <tableColumn id="12" name="Totals" totalsRowFunction="sum" dataDxfId="564" totalsRowDxfId="563" dataCellStyle="Currency">
      <calculatedColumnFormula>SUM(SummarySWAfterYr1[[#This Row],[PROD]:[DEV]])</calculatedColumnFormula>
    </tableColumn>
  </tableColumns>
  <tableStyleInfo name="TableStyleMedium2" showFirstColumn="0" showLastColumn="0" showRowStripes="1" showColumnStripes="0"/>
</table>
</file>

<file path=xl/tables/table8.xml><?xml version="1.0" encoding="utf-8"?>
<table xmlns="http://schemas.openxmlformats.org/spreadsheetml/2006/main" id="4" name="AnnualSWCostByProdByEnv" displayName="AnnualSWCostByProdByEnv" ref="BV3:CL56" totalsRowCount="1" headerRowDxfId="523">
  <tableColumns count="17">
    <tableColumn id="1" name="Product Name" totalsRowLabel="Total" dataDxfId="522">
      <calculatedColumnFormula>BD4</calculatedColumnFormula>
    </tableColumn>
    <tableColumn id="14" name="PAT">
      <calculatedColumnFormula>BE4</calculatedColumnFormula>
    </tableColumn>
    <tableColumn id="15" name="PAT/PROD">
      <calculatedColumnFormula>BF4</calculatedColumnFormula>
    </tableColumn>
    <tableColumn id="8" name="PROD" totalsRowFunction="sum" dataDxfId="521" totalsRowDxfId="520">
      <calculatedColumnFormula>INDEX(Product_Pricing_Schedule,MATCH(TRIM($BV4),Products,0),MATCH(VLOOKUP(BY$3,tEnv[],3,FALSE),Envs,0))*GETPIVOTDATA(CELL("contents",$BV4),$BD$2,"Env Label",BY$3)</calculatedColumnFormula>
    </tableColumn>
    <tableColumn id="13" name="PROD2" dataDxfId="519" totalsRowDxfId="518">
      <calculatedColumnFormula>INDEX(Product_Pricing_Schedule,MATCH(TRIM($BV4),Products,0),MATCH(VLOOKUP(BZ$3,tEnv[],3,FALSE),Envs,0))*GETPIVOTDATA(CELL("contents",$BV4),$BD$2,"Env Label",BZ$3)</calculatedColumnFormula>
    </tableColumn>
    <tableColumn id="7" name="COB" totalsRowFunction="sum" dataDxfId="517" totalsRowDxfId="516">
      <calculatedColumnFormula>INDEX(Product_Pricing_Schedule,MATCH(TRIM($BV4),Products,0),MATCH(VLOOKUP(CA$3,tEnv[],3,FALSE),Envs,0))*GETPIVOTDATA(CELL("contents",$BV4),$BD$2,"Env Label",CA$3)</calculatedColumnFormula>
    </tableColumn>
    <tableColumn id="2" name="CERT" totalsRowFunction="sum" dataDxfId="515" totalsRowDxfId="514">
      <calculatedColumnFormula>INDEX(Product_Pricing_Schedule,MATCH(TRIM($BV4),Products,0),MATCH(VLOOKUP(CB$3,tEnv[],3,FALSE),Envs,0))*GETPIVOTDATA(CELL("contents",$BV4),$BD$2,"Env Label",CB$3)</calculatedColumnFormula>
    </tableColumn>
    <tableColumn id="3" name="PERF" totalsRowFunction="sum" dataDxfId="513" totalsRowDxfId="512">
      <calculatedColumnFormula>INDEX(Product_Pricing_Schedule,MATCH(TRIM($BV4),Products,0),MATCH(VLOOKUP(CC$3,tEnv[],3,FALSE),Envs,0))*GETPIVOTDATA(CELL("contents",$BV4),$BD$2,"Env Label",CC$3)</calculatedColumnFormula>
    </tableColumn>
    <tableColumn id="10" name="TRAINING" totalsRowFunction="sum" dataDxfId="511" totalsRowDxfId="510">
      <calculatedColumnFormula>INDEX(Product_Pricing_Schedule,MATCH(TRIM($BV4),Products,0),MATCH(VLOOKUP(CD$3,tEnv[],3,FALSE),Envs,0))*GETPIVOTDATA(CELL("contents",$BV4),$BD$2,"Env Label",CD$3)</calculatedColumnFormula>
    </tableColumn>
    <tableColumn id="9" name="UAT" totalsRowFunction="sum" dataDxfId="509" totalsRowDxfId="508">
      <calculatedColumnFormula>INDEX(Product_Pricing_Schedule,MATCH(TRIM($BV4),Products,0),MATCH(VLOOKUP(CE$3,tEnv[],3,FALSE),Envs,0))*GETPIVOTDATA(CELL("contents",$BV4),$BD$2,"Env Label",CE$3)</calculatedColumnFormula>
    </tableColumn>
    <tableColumn id="17" name="UAT2" dataDxfId="507" totalsRowDxfId="506">
      <calculatedColumnFormula>INDEX(Product_Pricing_Schedule,MATCH(TRIM($BV4),Products,0),MATCH(VLOOKUP(CF$3,tEnv[],3,FALSE),Envs,0))*GETPIVOTDATA(CELL("contents",$BV4),$BD$2,"Env Label",CF$3)</calculatedColumnFormula>
    </tableColumn>
    <tableColumn id="11" name="SIT" totalsRowFunction="sum" dataDxfId="505" totalsRowDxfId="504">
      <calculatedColumnFormula>INDEX(Product_Pricing_Schedule,MATCH(TRIM($BV4),Products,0),MATCH(VLOOKUP(CG$3,tEnv[],3,FALSE),Envs,0))*GETPIVOTDATA(CELL("contents",$BV4),$BD$2,"Env Label",CG$3)</calculatedColumnFormula>
    </tableColumn>
    <tableColumn id="16" name="SIT/DIT" dataDxfId="503" totalsRowDxfId="502">
      <calculatedColumnFormula>INDEX(Product_Pricing_Schedule,MATCH(TRIM($BV4),Products,0),MATCH(VLOOKUP(CH$3,tEnv[],3,FALSE),Envs,0))*GETPIVOTDATA(CELL("contents",$BV4),$BD$2,"Env Label",CH$3)</calculatedColumnFormula>
    </tableColumn>
    <tableColumn id="4" name="DIT" totalsRowFunction="sum" dataDxfId="501" totalsRowDxfId="500">
      <calculatedColumnFormula>INDEX(Product_Pricing_Schedule,MATCH(TRIM($BV4),Products,0),MATCH(VLOOKUP(CI$3,tEnv[],3,FALSE),Envs,0))*GETPIVOTDATA(CELL("contents",$BV4),$BD$2,"Env Label",CI$3)</calculatedColumnFormula>
    </tableColumn>
    <tableColumn id="12" name="RND" totalsRowFunction="sum" dataDxfId="499" totalsRowDxfId="498">
      <calculatedColumnFormula>INDEX(Product_Pricing_Schedule,MATCH(TRIM($BV4),Products,0),MATCH(VLOOKUP(CJ$3,tEnv[],3,FALSE),Envs,0))*GETPIVOTDATA(CELL("contents",$BV4),$BD$2,"Env Label",CJ$3)</calculatedColumnFormula>
    </tableColumn>
    <tableColumn id="5" name="DEV" totalsRowFunction="sum" dataDxfId="497" totalsRowDxfId="496">
      <calculatedColumnFormula>INDEX(Product_Pricing_Schedule,MATCH(TRIM($BV4),Products,0),MATCH(VLOOKUP(CK$3,tEnv[],3,FALSE),Envs,0))*GETPIVOTDATA(CELL("contents",$BV4),$BD$2,"Env Label",CK$3)</calculatedColumnFormula>
    </tableColumn>
    <tableColumn id="6" name="Totals" totalsRowFunction="sum" dataDxfId="495" totalsRowDxfId="494">
      <calculatedColumnFormula>SUM(AnnualSWCostByProdByEnv[[#This Row],[PROD]:[DEV]])</calculatedColumnFormula>
    </tableColumn>
  </tableColumns>
  <tableStyleInfo name="TableStyleMedium2" showFirstColumn="1" showLastColumn="1" showRowStripes="1" showColumnStripes="0"/>
</table>
</file>

<file path=xl/tables/table9.xml><?xml version="1.0" encoding="utf-8"?>
<table xmlns="http://schemas.openxmlformats.org/spreadsheetml/2006/main" id="21" name="AnnualSWMaintCostByProdByEnv" displayName="AnnualSWMaintCostByProdByEnv" ref="CN3:DD56" totalsRowCount="1" headerRowDxfId="493">
  <tableColumns count="17">
    <tableColumn id="1" name="Product Name" totalsRowLabel="Total">
      <calculatedColumnFormula>BV4</calculatedColumnFormula>
    </tableColumn>
    <tableColumn id="14" name="PAT">
      <calculatedColumnFormula>BY4</calculatedColumnFormula>
    </tableColumn>
    <tableColumn id="15" name="PAT/PROD">
      <calculatedColumnFormula>BZ4</calculatedColumnFormula>
    </tableColumn>
    <tableColumn id="8" name="PROD" totalsRowFunction="sum" dataDxfId="492" totalsRowDxfId="491" dataCellStyle="Currency">
      <calculatedColumnFormula>INDEX(Maint_Pricing_Schedule,MATCH(TRIM($CN4),Products,0),MATCH(VLOOKUP(CQ$3,tEnv[],3,FALSE),Envs,0))*GETPIVOTDATA(CELL("contents",$CN4),$BD$2,"Env Label",CQ$3)</calculatedColumnFormula>
    </tableColumn>
    <tableColumn id="13" name="PROD2" dataDxfId="490" totalsRowDxfId="489" dataCellStyle="Currency">
      <calculatedColumnFormula>INDEX(Maint_Pricing_Schedule,MATCH(TRIM($CN4),Products,0),MATCH(VLOOKUP(CR$3,tEnv[],3,FALSE),Envs,0))*GETPIVOTDATA(CELL("contents",$CN4),$BD$2,"Env Label",CR$3)</calculatedColumnFormula>
    </tableColumn>
    <tableColumn id="7" name="COB" totalsRowFunction="sum" dataDxfId="488" totalsRowDxfId="487" dataCellStyle="Currency">
      <calculatedColumnFormula>INDEX(Maint_Pricing_Schedule,MATCH(TRIM($CN4),Products,0),MATCH(VLOOKUP(CS$3,tEnv[],3,FALSE),Envs,0))*GETPIVOTDATA(CELL("contents",$CN4),$BD$2,"Env Label",CS$3)</calculatedColumnFormula>
    </tableColumn>
    <tableColumn id="2" name="CERT" totalsRowFunction="sum" dataDxfId="486" totalsRowDxfId="485" dataCellStyle="Currency">
      <calculatedColumnFormula>INDEX(Maint_Pricing_Schedule,MATCH(TRIM($CN4),Products,0),MATCH(VLOOKUP(CT$3,tEnv[],3,FALSE),Envs,0))*GETPIVOTDATA(CELL("contents",$CN4),$BD$2,"Env Label",CT$3)</calculatedColumnFormula>
    </tableColumn>
    <tableColumn id="3" name="PERF" totalsRowFunction="sum" dataDxfId="484" totalsRowDxfId="483" dataCellStyle="Currency">
      <calculatedColumnFormula>INDEX(Maint_Pricing_Schedule,MATCH(TRIM($CN4),Products,0),MATCH(VLOOKUP(CU$3,tEnv[],3,FALSE),Envs,0))*GETPIVOTDATA(CELL("contents",$CN4),$BD$2,"Env Label",CU$3)</calculatedColumnFormula>
    </tableColumn>
    <tableColumn id="10" name="TRAINING" totalsRowFunction="sum" dataDxfId="482" totalsRowDxfId="481" dataCellStyle="Currency">
      <calculatedColumnFormula>INDEX(Maint_Pricing_Schedule,MATCH(TRIM($CN4),Products,0),MATCH(VLOOKUP(CV$3,tEnv[],3,FALSE),Envs,0))*GETPIVOTDATA(CELL("contents",$CN4),$BD$2,"Env Label",CV$3)</calculatedColumnFormula>
    </tableColumn>
    <tableColumn id="9" name="UAT" totalsRowFunction="sum" dataDxfId="480" totalsRowDxfId="479" dataCellStyle="Currency">
      <calculatedColumnFormula>INDEX(Maint_Pricing_Schedule,MATCH(TRIM($CN4),Products,0),MATCH(VLOOKUP(CW$3,tEnv[],3,FALSE),Envs,0))*GETPIVOTDATA(CELL("contents",$CN4),$BD$2,"Env Label",CW$3)</calculatedColumnFormula>
    </tableColumn>
    <tableColumn id="17" name="UAT2" dataDxfId="478" totalsRowDxfId="477" dataCellStyle="Currency">
      <calculatedColumnFormula>INDEX(Maint_Pricing_Schedule,MATCH(TRIM($CN4),Products,0),MATCH(VLOOKUP(CX$3,tEnv[],3,FALSE),Envs,0))*GETPIVOTDATA(CELL("contents",$CN4),$BD$2,"Env Label",CX$3)</calculatedColumnFormula>
    </tableColumn>
    <tableColumn id="11" name="SIT" totalsRowFunction="sum" dataDxfId="476" totalsRowDxfId="475" dataCellStyle="Currency">
      <calculatedColumnFormula>INDEX(Maint_Pricing_Schedule,MATCH(TRIM($CN4),Products,0),MATCH(VLOOKUP(CY$3,tEnv[],3,FALSE),Envs,0))*GETPIVOTDATA(CELL("contents",$CN4),$BD$2,"Env Label",CY$3)</calculatedColumnFormula>
    </tableColumn>
    <tableColumn id="16" name="SIT/DIT" dataDxfId="474" totalsRowDxfId="473" dataCellStyle="Currency">
      <calculatedColumnFormula>INDEX(Maint_Pricing_Schedule,MATCH(TRIM($CN4),Products,0),MATCH(VLOOKUP(CZ$3,tEnv[],3,FALSE),Envs,0))*GETPIVOTDATA(CELL("contents",$CN4),$BD$2,"Env Label",CZ$3)</calculatedColumnFormula>
    </tableColumn>
    <tableColumn id="4" name="DIT" totalsRowFunction="sum" dataDxfId="472" totalsRowDxfId="471" dataCellStyle="Currency">
      <calculatedColumnFormula>INDEX(Maint_Pricing_Schedule,MATCH(TRIM($CN4),Products,0),MATCH(VLOOKUP(DA$3,tEnv[],3,FALSE),Envs,0))*GETPIVOTDATA(CELL("contents",$CN4),$BD$2,"Env Label",DA$3)</calculatedColumnFormula>
    </tableColumn>
    <tableColumn id="12" name="RND" totalsRowFunction="sum" dataDxfId="470" totalsRowDxfId="469" dataCellStyle="Currency">
      <calculatedColumnFormula>INDEX(Maint_Pricing_Schedule,MATCH(TRIM($CN4),Products,0),MATCH(VLOOKUP(DB$3,tEnv[],3,FALSE),Envs,0))*GETPIVOTDATA(CELL("contents",$CN4),$BD$2,"Env Label",DB$3)</calculatedColumnFormula>
    </tableColumn>
    <tableColumn id="5" name="DEV" totalsRowFunction="sum" dataDxfId="468" totalsRowDxfId="467" dataCellStyle="Currency">
      <calculatedColumnFormula>INDEX(Maint_Pricing_Schedule,MATCH(TRIM($CN4),Products,0),MATCH(VLOOKUP(DC$3,tEnv[],3,FALSE),Envs,0))*GETPIVOTDATA(CELL("contents",$CN4),$BD$2,"Env Label",DC$3)</calculatedColumnFormula>
    </tableColumn>
    <tableColumn id="6" name="Totals" totalsRowFunction="sum" dataDxfId="466" totalsRowDxfId="465" dataCellStyle="Currency">
      <calculatedColumnFormula>SUM(AnnualSWMaintCostByProdByEnv[[#This Row],[PROD]:[DEV]])</calculatedColumnFormula>
    </tableColumn>
  </tableColumns>
  <tableStyleInfo name="TableStyleMedium2" showFirstColumn="1" showLastColumn="1" showRowStripes="1" showColumnStripes="0"/>
</table>
</file>

<file path=xl/tables/table10.xml><?xml version="1.0" encoding="utf-8"?>
<table xmlns="http://schemas.openxmlformats.org/spreadsheetml/2006/main" id="2" name="Product_Pricing_Table" displayName="Product_Pricing_Table" ref="L2:X54" totalsRowShown="0" headerRowDxfId="387" dataDxfId="386" dataCellStyle="Currency">
  <autoFilter ref="L2:X54"/>
  <sortState ref="L3:U25">
    <sortCondition ref="L3:L25"/>
  </sortState>
  <tableColumns count="13">
    <tableColumn id="1" name="Product Name" dataDxfId="385"/>
    <tableColumn id="12" name="Licensing Rule" dataDxfId="384">
      <calculatedColumnFormula>INDEX(SW_Pricing_Table[],MATCH(Product_Pricing_Table[[#This Row],[Product Name]],SW_Pricing_Table[Prod Alias],0),6)</calculatedColumnFormula>
    </tableColumn>
    <tableColumn id="13" name="Required SW" dataDxfId="383"/>
    <tableColumn id="2" name="PROD" dataDxfId="382" dataCellStyle="Currency"/>
    <tableColumn id="11" name="COB" dataDxfId="381" dataCellStyle="Currency"/>
    <tableColumn id="3" name="CERT" dataDxfId="380" dataCellStyle="Currency"/>
    <tableColumn id="4" name="PERF" dataDxfId="379" dataCellStyle="Currency"/>
    <tableColumn id="9" name="TRAINING" dataDxfId="378" dataCellStyle="Currency"/>
    <tableColumn id="10" name="UAT" dataDxfId="377" dataCellStyle="Currency"/>
    <tableColumn id="5" name="SIT" dataDxfId="376" dataCellStyle="Currency"/>
    <tableColumn id="6" name="DIT" dataDxfId="375" dataCellStyle="Currency"/>
    <tableColumn id="7" name="DEV" dataDxfId="374" dataCellStyle="Currency"/>
    <tableColumn id="8" name="RND" dataDxfId="373" dataCellStyle="Currency"/>
  </tableColumns>
  <tableStyleInfo name="TableStyleMedium9" showFirstColumn="0" showLastColumn="0" showRowStripes="1" showColumnStripes="0"/>
</table>
</file>

<file path=xl/tables/table11.xml><?xml version="1.0" encoding="utf-8"?>
<table xmlns="http://schemas.openxmlformats.org/spreadsheetml/2006/main" id="3" name="Product_Maint_Table" displayName="Product_Maint_Table" ref="Z2:AJ54" totalsRowShown="0" headerRowDxfId="372" dataDxfId="371" dataCellStyle="Currency">
  <autoFilter ref="Z2:AJ54"/>
  <sortState ref="Z3:AI25">
    <sortCondition ref="Z3:Z25"/>
  </sortState>
  <tableColumns count="11">
    <tableColumn id="1" name="Product Name" dataDxfId="370"/>
    <tableColumn id="2" name="PROD" dataDxfId="369" dataCellStyle="Currency"/>
    <tableColumn id="11" name="COB" dataDxfId="368" dataCellStyle="Currency"/>
    <tableColumn id="3" name="CERT"/>
    <tableColumn id="4" name="PERF" dataDxfId="367" dataCellStyle="Currency"/>
    <tableColumn id="9" name="TRAINING" dataDxfId="366" dataCellStyle="Currency"/>
    <tableColumn id="10" name="UAT" dataDxfId="365" dataCellStyle="Currency"/>
    <tableColumn id="5" name="SIT" dataDxfId="364" dataCellStyle="Currency"/>
    <tableColumn id="6" name="DIT" dataDxfId="363" dataCellStyle="Currency"/>
    <tableColumn id="7" name="DEV" dataDxfId="362" dataCellStyle="Currency"/>
    <tableColumn id="8" name="RND" dataDxfId="361" dataCellStyle="Currency"/>
  </tableColumns>
  <tableStyleInfo name="TableStyleMedium9" showFirstColumn="0" showLastColumn="0" showRowStripes="1" showColumnStripes="0"/>
</table>
</file>

<file path=xl/tables/table12.xml><?xml version="1.0" encoding="utf-8"?>
<table xmlns="http://schemas.openxmlformats.org/spreadsheetml/2006/main" id="7" name="SW_Pricing_Table" displayName="SW_Pricing_Table" ref="A2:J122" totalsRowShown="0" dataDxfId="360">
  <autoFilter ref="A2:J122"/>
  <tableColumns count="10">
    <tableColumn id="1" name="Vendor"/>
    <tableColumn id="2" name="Environment"/>
    <tableColumn id="3" name="Platform"/>
    <tableColumn id="4" name="Product" dataDxfId="359"/>
    <tableColumn id="10" name="Prod Alias"/>
    <tableColumn id="9" name="Licensing Rule"/>
    <tableColumn id="5" name="SW Cost (Annual)" dataDxfId="358" dataCellStyle="Currency"/>
    <tableColumn id="6" name="Maintenance (Annual)" dataDxfId="357" dataCellStyle="Currency"/>
    <tableColumn id="7" name="Include Maint in Year 1?" dataDxfId="356"/>
    <tableColumn id="8" name="Year 1 Costs" dataDxfId="355" dataCellStyle="Currency">
      <calculatedColumnFormula>IF(SW_Pricing_Table[[#This Row],[Include Maint in Year 1?]]="No",SW_Pricing_Table[[#This Row],[SW Cost (Annual)]],SW_Pricing_Table[[#This Row],[SW Cost (Annual)]]+SW_Pricing_Table[[#This Row],[Maintenance (Annual)]])</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id="25" name="CTI_Rate_Card_2013" displayName="CTI_Rate_Card_2013" ref="A2:J970" totalsRowShown="0" headerRowDxfId="354" dataDxfId="352" headerRowBorderDxfId="353" tableBorderDxfId="351" headerRowCellStyle="Comma">
  <autoFilter ref="A2:J970"/>
  <tableColumns count="10">
    <tableColumn id="1" name="Region" dataDxfId="350"/>
    <tableColumn id="2" name="Country" dataDxfId="349"/>
    <tableColumn id="3" name="Product" dataDxfId="348"/>
    <tableColumn id="4" name="Service Order Area" dataDxfId="347"/>
    <tableColumn id="5" name="Service Order ID" dataDxfId="346"/>
    <tableColumn id="6" name="Service Order Name" dataDxfId="345"/>
    <tableColumn id="7" name="Description" dataDxfId="344"/>
    <tableColumn id="8" name="Driver" dataDxfId="343"/>
    <tableColumn id="9" name="Monthly Rate (USD)" dataDxfId="342" dataCellStyle="Comma"/>
    <tableColumn id="10" name="Monthly Rate (Local Currency)" dataDxfId="341" dataCellStyle="Comma"/>
  </tableColumns>
  <tableStyleInfo name="TableStyleMedium9" showFirstColumn="0" showLastColumn="0" showRowStripes="1" showColumnStripes="0"/>
</table>
</file>

<file path=xl/tables/table14.xml><?xml version="1.0" encoding="utf-8"?>
<table xmlns="http://schemas.openxmlformats.org/spreadsheetml/2006/main" id="29" name="CTI_Rate_Card_2014" displayName="CTI_Rate_Card_2014" ref="A4:O1598" totalsRowShown="0" headerRowDxfId="340" dataDxfId="338" headerRowBorderDxfId="339" tableBorderDxfId="337" totalsRowBorderDxfId="336" headerRowCellStyle="Normal 2">
  <autoFilter ref="A4:O1598">
    <filterColumn colId="8">
      <colorFilter dxfId="335"/>
    </filterColumn>
  </autoFilter>
  <tableColumns count="15">
    <tableColumn id="1" name="2014 SOID" dataDxfId="334" dataCellStyle="Comma"/>
    <tableColumn id="2" name="2014 Product Name" dataDxfId="333"/>
    <tableColumn id="3" name="2014 SOID Name (APS)" dataDxfId="332"/>
    <tableColumn id="4" name="2014 Driver" dataDxfId="331"/>
    <tableColumn id="5" name="SOID Currency " dataDxfId="330"/>
    <tableColumn id="6" name="2013 Rate _x000a_(USD)" dataDxfId="329"/>
    <tableColumn id="7" name="2013 Adjusted Rate (USD)" dataDxfId="328"/>
    <tableColumn id="8" name="2014 Rate _x000a_(Local Currency)" dataDxfId="327" dataCellStyle="Comma"/>
    <tableColumn id="9" name="2014 Rate _x000a_(USD)" dataDxfId="326" dataCellStyle="Currency"/>
    <tableColumn id="10" name="Service Provider Region" dataDxfId="325" dataCellStyle="Comma"/>
    <tableColumn id="11" name="Service Provider Country" dataDxfId="324"/>
    <tableColumn id="12" name="2014 Prod Cat 1" dataDxfId="323"/>
    <tableColumn id="13" name="2014 Prod Cat 2" dataDxfId="322"/>
    <tableColumn id="14" name="2014 Prod Cat 3" dataDxfId="321"/>
    <tableColumn id="15" name="2014 Prod Cat 4" dataDxfId="320"/>
  </tableColumns>
  <tableStyleInfo name="TableStyleMedium9" showFirstColumn="0" showLastColumn="0" showRowStripes="1" showColumnStripes="0"/>
</table>
</file>

<file path=xl/tables/table15.xml><?xml version="1.0" encoding="utf-8"?>
<table xmlns="http://schemas.openxmlformats.org/spreadsheetml/2006/main" id="6" name="tModelTypes" displayName="tModelTypes" ref="A1:A5" totalsRowShown="0" headerRowDxfId="318">
  <tableColumns count="1">
    <tableColumn id="1" name="Model Types"/>
  </tableColumns>
  <tableStyleInfo name="TableStyleMedium9" showFirstColumn="0" showLastColumn="0" showRowStripes="1" showColumnStripes="0"/>
</table>
</file>

<file path=xl/tables/table16.xml><?xml version="1.0" encoding="utf-8"?>
<table xmlns="http://schemas.openxmlformats.org/spreadsheetml/2006/main" id="8" name="tEnv" displayName="tEnv" ref="C1:F16" totalsRowShown="0" headerRowDxfId="317">
  <sortState ref="C2:F16">
    <sortCondition ref="E2:E11" customList="PROD,COB,CERT,PERF,TRAINING,UAT,SIT,DIT,RND"/>
    <sortCondition ref="C2:C11"/>
  </sortState>
  <tableColumns count="4">
    <tableColumn id="1" name="Envs"/>
    <tableColumn id="2" name="Env Color" dataDxfId="316"/>
    <tableColumn id="3" name="Env Same As" dataDxfId="315"/>
    <tableColumn id="4" name="Is Std?"/>
  </tableColumns>
  <tableStyleInfo name="TableStyleMedium9" showFirstColumn="0" showLastColumn="0" showRowStripes="1" showColumnStripes="0"/>
</table>
</file>

<file path=xl/tables/table17.xml><?xml version="1.0" encoding="utf-8"?>
<table xmlns="http://schemas.openxmlformats.org/spreadsheetml/2006/main" id="9" name="tTypes" displayName="tTypes" ref="H1:H4" totalsRowShown="0">
  <tableColumns count="1">
    <tableColumn id="1" name="Types"/>
  </tableColumns>
  <tableStyleInfo name="TableStyleMedium9" showFirstColumn="0" showLastColumn="0" showRowStripes="1" showColumnStripes="0"/>
</table>
</file>

<file path=xl/tables/table18.xml><?xml version="1.0" encoding="utf-8"?>
<table xmlns="http://schemas.openxmlformats.org/spreadsheetml/2006/main" id="10" name="tOS" displayName="tOS" ref="J1:J18" totalsRowShown="0">
  <sortState ref="J2:J18">
    <sortCondition ref="J4"/>
  </sortState>
  <tableColumns count="1">
    <tableColumn id="1" name="OS"/>
  </tableColumns>
  <tableStyleInfo name="TableStyleMedium9" showFirstColumn="0" showLastColumn="0" showRowStripes="1" showColumnStripes="0"/>
</table>
</file>

<file path=xl/tables/table19.xml><?xml version="1.0" encoding="utf-8"?>
<table xmlns="http://schemas.openxmlformats.org/spreadsheetml/2006/main" id="11" name="ServerModelsTier" displayName="ServerModelsTier" ref="AA1:AE136" totalsRowShown="0">
  <autoFilter ref="AA1:AE136"/>
  <sortState ref="AA2:AD113">
    <sortCondition ref="AA2:AA113"/>
  </sortState>
  <tableColumns count="5">
    <tableColumn id="1" name="Server Model"/>
    <tableColumn id="2" name="Server Tier"/>
    <tableColumn id="5" name="CPU"/>
    <tableColumn id="3" name="Memory Tier"/>
    <tableColumn id="4" name="Server Type" dataDxfId="314">
      <calculatedColumnFormula>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calculatedColumnFormula>
    </tableColumn>
  </tableColumns>
  <tableStyleInfo name="TableStyleMedium9" showFirstColumn="0" showLastColumn="0" showRowStripes="1" showColumnStripes="0"/>
</table>
</file>

<file path=xl/tables/table20.xml><?xml version="1.0" encoding="utf-8"?>
<table xmlns="http://schemas.openxmlformats.org/spreadsheetml/2006/main" id="12" name="NetworkRates" displayName="NetworkRates" ref="AG1:AH4" totalsRowShown="0" headerRowDxfId="313" dataDxfId="312" dataCellStyle="Normal 52">
  <autoFilter ref="AG1:AH4"/>
  <tableColumns count="2">
    <tableColumn id="1" name="Type of Network Connection" dataDxfId="311" dataCellStyle="Normal 52"/>
    <tableColumn id="2" name="Rate" dataDxfId="310" dataCellStyle="Normal 52"/>
  </tableColumns>
  <tableStyleInfo name="TableStyleMedium9" showFirstColumn="0" showLastColumn="0" showRowStripes="1" showColumnStripes="0"/>
</table>
</file>

<file path=xl/tables/table21.xml><?xml version="1.0" encoding="utf-8"?>
<table xmlns="http://schemas.openxmlformats.org/spreadsheetml/2006/main" id="13" name="ServerTierRates" displayName="ServerTierRates" ref="AJ1:AK10" totalsRowShown="0" headerRowDxfId="309" dataDxfId="307" headerRowBorderDxfId="308" tableBorderDxfId="306" dataCellStyle="Currency 24">
  <autoFilter ref="AJ1:AK10"/>
  <sortState ref="AJ2:AK10">
    <sortCondition ref="AJ2:AJ10"/>
  </sortState>
  <tableColumns count="2">
    <tableColumn id="1" name="Server Tier" dataDxfId="305" dataCellStyle="Normal 53"/>
    <tableColumn id="2" name="Rate" dataDxfId="304" dataCellStyle="Currency 24"/>
  </tableColumns>
  <tableStyleInfo name="TableStyleMedium9" showFirstColumn="0" showLastColumn="0" showRowStripes="1" showColumnStripes="0"/>
</table>
</file>

<file path=xl/tables/table22.xml><?xml version="1.0" encoding="utf-8"?>
<table xmlns="http://schemas.openxmlformats.org/spreadsheetml/2006/main" id="14" name="SWList" displayName="SWList" ref="N1:N53" totalsRowShown="0">
  <tableColumns count="1">
    <tableColumn id="1" name="Software List" dataDxfId="303"/>
  </tableColumns>
  <tableStyleInfo name="TableStyleMedium9" showFirstColumn="0" showLastColumn="0" showRowStripes="1" showColumnStripes="0"/>
</table>
</file>

<file path=xl/tables/table23.xml><?xml version="1.0" encoding="utf-8"?>
<table xmlns="http://schemas.openxmlformats.org/spreadsheetml/2006/main" id="17" name="tRegion" displayName="tRegion" ref="L1:L5" totalsRowShown="0">
  <tableColumns count="1">
    <tableColumn id="1" name="Region"/>
  </tableColumns>
  <tableStyleInfo name="TableStyleMedium9" showFirstColumn="0" showLastColumn="0" showRowStripes="1" showColumnStripes="0"/>
</table>
</file>

<file path=xl/tables/table24.xml><?xml version="1.0" encoding="utf-8"?>
<table xmlns="http://schemas.openxmlformats.org/spreadsheetml/2006/main" id="19" name="tProdList" displayName="tProdList" ref="P1:P38" totalsRowShown="0">
  <sortState ref="P2:P38">
    <sortCondition ref="P2:P38"/>
  </sortState>
  <tableColumns count="1">
    <tableColumn id="1" name="Product List"/>
  </tableColumns>
  <tableStyleInfo name="TableStyleMedium9" showFirstColumn="0" showLastColumn="0" showRowStripes="1" showColumnStripes="0"/>
</table>
</file>

<file path=xl/tables/table25.xml><?xml version="1.0" encoding="utf-8"?>
<table xmlns="http://schemas.openxmlformats.org/spreadsheetml/2006/main" id="23" name="tLicRules" displayName="tLicRules" ref="R1:R4" totalsRowShown="0">
  <tableColumns count="1">
    <tableColumn id="1" name="Licensing Rules"/>
  </tableColumns>
  <tableStyleInfo name="TableStyleMedium9" showFirstColumn="0" showLastColumn="0" showRowStripes="1" showColumnStripes="0"/>
</table>
</file>

<file path=xl/tables/table26.xml><?xml version="1.0" encoding="utf-8"?>
<table xmlns="http://schemas.openxmlformats.org/spreadsheetml/2006/main" id="24" name="tDCInfo" displayName="tDCInfo" ref="T1:V4" totalsRowShown="0">
  <tableColumns count="3">
    <tableColumn id="1" name="Data Center"/>
    <tableColumn id="2" name="Region"/>
    <tableColumn id="3" name="Country"/>
  </tableColumns>
  <tableStyleInfo name="TableStyleMedium9" showFirstColumn="0" showLastColumn="0" showRowStripes="1" showColumnStripes="0"/>
</table>
</file>

<file path=xl/tables/table27.xml><?xml version="1.0" encoding="utf-8"?>
<table xmlns="http://schemas.openxmlformats.org/spreadsheetml/2006/main" id="27" name="tStdEnvs" displayName="tStdEnvs" ref="C19:C28" totalsRowShown="0">
  <tableColumns count="1">
    <tableColumn id="1" name="Std Envs"/>
  </tableColumns>
  <tableStyleInfo name="TableStyleMedium9" showFirstColumn="0" showLastColumn="0" showRowStripes="1" showColumnStripes="0"/>
</table>
</file>

<file path=xl/tables/table28.xml><?xml version="1.0" encoding="utf-8"?>
<table xmlns="http://schemas.openxmlformats.org/spreadsheetml/2006/main" id="28" name="tClusterTypes" displayName="tClusterTypes" ref="E19:E24" totalsRowShown="0">
  <autoFilter ref="E19:E24"/>
  <sortState ref="E15:E19">
    <sortCondition ref="E14"/>
  </sortState>
  <tableColumns count="1">
    <tableColumn id="1" name="Cluster Types"/>
  </tableColumns>
  <tableStyleInfo name="TableStyleMedium9" showFirstColumn="0" showLastColumn="0" showRowStripes="1" showColumnStripes="0"/>
</table>
</file>

<file path=xl/tables/table29.xml><?xml version="1.0" encoding="utf-8"?>
<table xmlns="http://schemas.openxmlformats.org/spreadsheetml/2006/main" id="15" name="BoMDesignLog" displayName="BoMDesignLog" ref="A1:F77" totalsRowShown="0" headerRowDxfId="302">
  <autoFilter ref="A1:F77"/>
  <sortState ref="A2:F9">
    <sortCondition descending="1" ref="A2"/>
  </sortState>
  <tableColumns count="6">
    <tableColumn id="1" name="Version" dataDxfId="301"/>
    <tableColumn id="2" name="Date" dataDxfId="300"/>
    <tableColumn id="3" name="Tab" dataDxfId="299"/>
    <tableColumn id="4" name="Cell Column" dataDxfId="298"/>
    <tableColumn id="6" name="Notes" dataDxfId="297"/>
    <tableColumn id="5" name="Additional notes" dataDxfId="296"/>
  </tableColumns>
  <tableStyleInfo name="TableStyleMedium9" showFirstColumn="0" showLastColumn="0" showRowStripes="1" showColumnStripes="0"/>
</table>
</file>

<file path=xl/tables/table30.xml><?xml version="1.0" encoding="utf-8"?>
<table xmlns="http://schemas.openxmlformats.org/spreadsheetml/2006/main" id="18" name="BoMStdRules" displayName="BoMStdRules" ref="A1:D8" totalsRowShown="0">
  <sortState ref="A2:C5">
    <sortCondition ref="A2:A5"/>
  </sortState>
  <tableColumns count="4">
    <tableColumn id="1" name="Description" dataDxfId="295"/>
    <tableColumn id="2" name="Rule" dataDxfId="294"/>
    <tableColumn id="4" name="Source" dataDxfId="293"/>
    <tableColumn id="3" name="BoM Version" dataDxfId="292"/>
  </tableColumns>
  <tableStyleInfo name="TableStyleMedium9" showFirstColumn="0" showLastColumn="0" showRowStripes="1" showColumnStripes="0"/>
</table>
</file>

<file path=xl/tables/table31.xml><?xml version="1.0" encoding="utf-8"?>
<table xmlns="http://schemas.openxmlformats.org/spreadsheetml/2006/main" id="20" name="FutureEnhancements" displayName="FutureEnhancements" ref="A1:G17" totalsRowShown="0" headerRowDxfId="291">
  <autoFilter ref="A1:G17"/>
  <tableColumns count="7">
    <tableColumn id="1" name="Item #" dataDxfId="290"/>
    <tableColumn id="2" name="Requestor" dataDxfId="289"/>
    <tableColumn id="3" name="Priority" dataDxfId="288"/>
    <tableColumn id="4" name="Description" dataDxfId="287"/>
    <tableColumn id="5" name="Comments" dataDxfId="286"/>
    <tableColumn id="6" name="Status" dataDxfId="285"/>
    <tableColumn id="7" name="BoM Version" dataDxfId="284"/>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5.xml"/><Relationship Id="rId2" Type="http://schemas.openxmlformats.org/officeDocument/2006/relationships/pivotTable" Target="../pivotTables/pivotTable4.xml"/><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8.xml"/><Relationship Id="rId2" Type="http://schemas.openxmlformats.org/officeDocument/2006/relationships/pivotTable" Target="../pivotTables/pivotTable7.xml"/><Relationship Id="rId1" Type="http://schemas.openxmlformats.org/officeDocument/2006/relationships/pivotTable" Target="../pivotTables/pivotTable6.x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printerSettings" Target="../printerSettings/printerSettings5.bin"/><Relationship Id="rId1" Type="http://schemas.openxmlformats.org/officeDocument/2006/relationships/pivotTable" Target="../pivotTables/pivotTable9.xml"/></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printerSettings" Target="../printerSettings/printerSettings6.bin"/><Relationship Id="rId1" Type="http://schemas.openxmlformats.org/officeDocument/2006/relationships/pivotTable" Target="../pivotTables/pivotTable10.xml"/><Relationship Id="rId4" Type="http://schemas.openxmlformats.org/officeDocument/2006/relationships/table" Target="../tables/table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ivotTable" Target="../pivotTables/pivotTable12.xml"/><Relationship Id="rId1" Type="http://schemas.openxmlformats.org/officeDocument/2006/relationships/pivotTable" Target="../pivotTables/pivotTable11.xml"/><Relationship Id="rId5" Type="http://schemas.openxmlformats.org/officeDocument/2006/relationships/table" Target="../tables/table9.xml"/><Relationship Id="rId4" Type="http://schemas.openxmlformats.org/officeDocument/2006/relationships/table" Target="../tables/table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2.vml"/><Relationship Id="rId1" Type="http://schemas.openxmlformats.org/officeDocument/2006/relationships/printerSettings" Target="../printerSettings/printerSettings8.bin"/><Relationship Id="rId6" Type="http://schemas.openxmlformats.org/officeDocument/2006/relationships/comments" Target="../comments2.xml"/><Relationship Id="rId5" Type="http://schemas.openxmlformats.org/officeDocument/2006/relationships/table" Target="../tables/table12.xml"/><Relationship Id="rId4" Type="http://schemas.openxmlformats.org/officeDocument/2006/relationships/table" Target="../tables/table11.xml"/></Relationships>
</file>

<file path=xl/worksheets/_rels/sheet10.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3.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comments" Target="../comments3.xml"/><Relationship Id="rId2" Type="http://schemas.openxmlformats.org/officeDocument/2006/relationships/drawing" Target="../drawings/drawing1.xml"/><Relationship Id="rId16" Type="http://schemas.openxmlformats.org/officeDocument/2006/relationships/table" Target="../tables/table13.xml"/><Relationship Id="rId1" Type="http://schemas.openxmlformats.org/officeDocument/2006/relationships/printerSettings" Target="../printerSettings/printerSettings9.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11.xml.rels><?xml version="1.0" encoding="UTF-8" standalone="yes"?>
<Relationships xmlns="http://schemas.openxmlformats.org/package/2006/relationships"><Relationship Id="rId8" Type="http://schemas.openxmlformats.org/officeDocument/2006/relationships/control" Target="../activeX/activeX9.xml"/><Relationship Id="rId13" Type="http://schemas.openxmlformats.org/officeDocument/2006/relationships/image" Target="../media/image11.emf"/><Relationship Id="rId18" Type="http://schemas.openxmlformats.org/officeDocument/2006/relationships/table" Target="../tables/table14.xml"/><Relationship Id="rId3" Type="http://schemas.openxmlformats.org/officeDocument/2006/relationships/vmlDrawing" Target="../drawings/vmlDrawing4.vml"/><Relationship Id="rId7" Type="http://schemas.openxmlformats.org/officeDocument/2006/relationships/image" Target="../media/image8.emf"/><Relationship Id="rId12" Type="http://schemas.openxmlformats.org/officeDocument/2006/relationships/control" Target="../activeX/activeX11.xml"/><Relationship Id="rId17" Type="http://schemas.openxmlformats.org/officeDocument/2006/relationships/image" Target="../media/image13.emf"/><Relationship Id="rId2" Type="http://schemas.openxmlformats.org/officeDocument/2006/relationships/drawing" Target="../drawings/drawing2.xml"/><Relationship Id="rId16" Type="http://schemas.openxmlformats.org/officeDocument/2006/relationships/control" Target="../activeX/activeX13.xml"/><Relationship Id="rId1" Type="http://schemas.openxmlformats.org/officeDocument/2006/relationships/printerSettings" Target="../printerSettings/printerSettings10.bin"/><Relationship Id="rId6" Type="http://schemas.openxmlformats.org/officeDocument/2006/relationships/control" Target="../activeX/activeX8.xml"/><Relationship Id="rId11" Type="http://schemas.openxmlformats.org/officeDocument/2006/relationships/image" Target="../media/image10.emf"/><Relationship Id="rId5" Type="http://schemas.openxmlformats.org/officeDocument/2006/relationships/image" Target="../media/image7.emf"/><Relationship Id="rId15" Type="http://schemas.openxmlformats.org/officeDocument/2006/relationships/image" Target="../media/image12.emf"/><Relationship Id="rId10" Type="http://schemas.openxmlformats.org/officeDocument/2006/relationships/control" Target="../activeX/activeX10.xml"/><Relationship Id="rId19" Type="http://schemas.openxmlformats.org/officeDocument/2006/relationships/comments" Target="../comments4.xml"/><Relationship Id="rId4" Type="http://schemas.openxmlformats.org/officeDocument/2006/relationships/control" Target="../activeX/activeX7.xml"/><Relationship Id="rId9" Type="http://schemas.openxmlformats.org/officeDocument/2006/relationships/image" Target="../media/image9.emf"/><Relationship Id="rId14" Type="http://schemas.openxmlformats.org/officeDocument/2006/relationships/control" Target="../activeX/activeX1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8" Type="http://schemas.openxmlformats.org/officeDocument/2006/relationships/table" Target="../tables/table20.xml"/><Relationship Id="rId13" Type="http://schemas.openxmlformats.org/officeDocument/2006/relationships/table" Target="../tables/table25.xml"/><Relationship Id="rId3" Type="http://schemas.openxmlformats.org/officeDocument/2006/relationships/table" Target="../tables/table15.xml"/><Relationship Id="rId7" Type="http://schemas.openxmlformats.org/officeDocument/2006/relationships/table" Target="../tables/table19.xml"/><Relationship Id="rId12" Type="http://schemas.openxmlformats.org/officeDocument/2006/relationships/table" Target="../tables/table24.xml"/><Relationship Id="rId17" Type="http://schemas.openxmlformats.org/officeDocument/2006/relationships/comments" Target="../comments6.xml"/><Relationship Id="rId2" Type="http://schemas.openxmlformats.org/officeDocument/2006/relationships/vmlDrawing" Target="../drawings/vmlDrawing6.vml"/><Relationship Id="rId16" Type="http://schemas.openxmlformats.org/officeDocument/2006/relationships/table" Target="../tables/table28.xml"/><Relationship Id="rId1" Type="http://schemas.openxmlformats.org/officeDocument/2006/relationships/printerSettings" Target="../printerSettings/printerSettings13.bin"/><Relationship Id="rId6" Type="http://schemas.openxmlformats.org/officeDocument/2006/relationships/table" Target="../tables/table18.xml"/><Relationship Id="rId11" Type="http://schemas.openxmlformats.org/officeDocument/2006/relationships/table" Target="../tables/table23.xml"/><Relationship Id="rId5" Type="http://schemas.openxmlformats.org/officeDocument/2006/relationships/table" Target="../tables/table17.xml"/><Relationship Id="rId15" Type="http://schemas.openxmlformats.org/officeDocument/2006/relationships/table" Target="../tables/table27.xml"/><Relationship Id="rId10" Type="http://schemas.openxmlformats.org/officeDocument/2006/relationships/table" Target="../tables/table22.xml"/><Relationship Id="rId4" Type="http://schemas.openxmlformats.org/officeDocument/2006/relationships/table" Target="../tables/table16.xml"/><Relationship Id="rId9" Type="http://schemas.openxmlformats.org/officeDocument/2006/relationships/table" Target="../tables/table21.xml"/><Relationship Id="rId14" Type="http://schemas.openxmlformats.org/officeDocument/2006/relationships/table" Target="../tables/table26.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2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table" Target="../tables/table30.xml"/><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3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G34"/>
  <sheetViews>
    <sheetView topLeftCell="A5" workbookViewId="0">
      <selection activeCell="C15" sqref="C15"/>
    </sheetView>
  </sheetViews>
  <sheetFormatPr defaultRowHeight="15"/>
  <cols>
    <col min="1" max="1" width="3" style="262" bestFit="1" customWidth="1"/>
    <col min="2" max="2" width="33.28515625" style="262" customWidth="1"/>
    <col min="3" max="3" width="103" style="262" customWidth="1"/>
    <col min="4" max="4" width="12.7109375" style="281" customWidth="1"/>
    <col min="5" max="7" width="9.140625" style="262" customWidth="1"/>
    <col min="8" max="8" width="9.140625" style="262"/>
    <col min="9" max="10" width="9.140625" style="262" customWidth="1"/>
    <col min="11" max="11" width="10.140625" style="262" bestFit="1" customWidth="1"/>
    <col min="12" max="16384" width="9.140625" style="262"/>
  </cols>
  <sheetData>
    <row r="1" spans="1:6">
      <c r="C1" s="262" t="s">
        <v>4145</v>
      </c>
    </row>
    <row r="2" spans="1:6" ht="27.75" customHeight="1">
      <c r="B2" s="629" t="s">
        <v>2194</v>
      </c>
      <c r="C2" s="403" t="s">
        <v>37</v>
      </c>
    </row>
    <row r="3" spans="1:6" ht="23.25" customHeight="1">
      <c r="B3" s="629"/>
      <c r="C3" s="403" t="s">
        <v>2195</v>
      </c>
    </row>
    <row r="4" spans="1:6">
      <c r="B4" s="4" t="s">
        <v>38</v>
      </c>
      <c r="C4" s="5" t="str">
        <f>CONCATENATE("v",MAX(B19:B25))</f>
        <v>v0.5</v>
      </c>
    </row>
    <row r="5" spans="1:6">
      <c r="C5" s="6" t="s">
        <v>39</v>
      </c>
      <c r="D5" s="618"/>
    </row>
    <row r="6" spans="1:6">
      <c r="C6" s="2"/>
      <c r="D6" s="619"/>
    </row>
    <row r="7" spans="1:6">
      <c r="A7" s="395" t="s">
        <v>40</v>
      </c>
      <c r="B7" s="393" t="s">
        <v>2189</v>
      </c>
      <c r="C7" s="392" t="s">
        <v>41</v>
      </c>
      <c r="E7"/>
      <c r="F7"/>
    </row>
    <row r="8" spans="1:6">
      <c r="A8" s="7">
        <v>1</v>
      </c>
      <c r="B8" s="389"/>
      <c r="C8" s="628" t="s">
        <v>4142</v>
      </c>
      <c r="E8"/>
      <c r="F8"/>
    </row>
    <row r="9" spans="1:6">
      <c r="A9" s="7"/>
      <c r="B9" s="627"/>
      <c r="C9" s="628" t="s">
        <v>4149</v>
      </c>
    </row>
    <row r="10" spans="1:6">
      <c r="A10" s="7"/>
      <c r="B10" s="627"/>
      <c r="C10" s="628" t="s">
        <v>4147</v>
      </c>
    </row>
    <row r="11" spans="1:6">
      <c r="A11" s="7">
        <v>2</v>
      </c>
      <c r="B11" s="390"/>
      <c r="C11" s="628" t="s">
        <v>4148</v>
      </c>
      <c r="E11"/>
      <c r="F11"/>
    </row>
    <row r="12" spans="1:6">
      <c r="A12" s="7">
        <v>3</v>
      </c>
      <c r="B12" s="391"/>
      <c r="C12" s="628" t="s">
        <v>4140</v>
      </c>
      <c r="E12"/>
      <c r="F12"/>
    </row>
    <row r="13" spans="1:6">
      <c r="A13" s="7">
        <v>4</v>
      </c>
      <c r="B13" s="391"/>
      <c r="C13" s="628" t="s">
        <v>4141</v>
      </c>
      <c r="E13"/>
      <c r="F13"/>
    </row>
    <row r="14" spans="1:6">
      <c r="A14" s="7">
        <v>5</v>
      </c>
      <c r="B14" s="394"/>
      <c r="C14" s="388"/>
      <c r="E14"/>
      <c r="F14"/>
    </row>
    <row r="15" spans="1:6">
      <c r="A15" s="613"/>
      <c r="B15" s="614"/>
    </row>
    <row r="16" spans="1:6">
      <c r="D16" s="620"/>
      <c r="F16" s="3"/>
    </row>
    <row r="17" spans="2:7" ht="18.75">
      <c r="C17" s="401" t="s">
        <v>2190</v>
      </c>
      <c r="E17"/>
      <c r="F17"/>
    </row>
    <row r="18" spans="2:7">
      <c r="B18" s="400" t="s">
        <v>432</v>
      </c>
      <c r="C18" s="402" t="s">
        <v>3</v>
      </c>
      <c r="D18" s="621" t="s">
        <v>2191</v>
      </c>
      <c r="E18"/>
      <c r="F18"/>
      <c r="G18"/>
    </row>
    <row r="19" spans="2:7">
      <c r="B19" s="396">
        <v>0.1</v>
      </c>
      <c r="C19" s="383" t="s">
        <v>4084</v>
      </c>
      <c r="D19" s="622">
        <v>41914</v>
      </c>
      <c r="E19"/>
      <c r="F19"/>
      <c r="G19"/>
    </row>
    <row r="20" spans="2:7">
      <c r="B20" s="396">
        <v>0.2</v>
      </c>
      <c r="C20" s="383" t="s">
        <v>4143</v>
      </c>
      <c r="D20" s="623" t="s">
        <v>4083</v>
      </c>
      <c r="E20"/>
      <c r="F20"/>
      <c r="G20"/>
    </row>
    <row r="21" spans="2:7" s="185" customFormat="1">
      <c r="B21" s="397">
        <v>0.3</v>
      </c>
      <c r="C21" s="382" t="s">
        <v>4090</v>
      </c>
      <c r="D21" s="623" t="s">
        <v>4091</v>
      </c>
      <c r="E21"/>
      <c r="F21"/>
      <c r="G21"/>
    </row>
    <row r="22" spans="2:7">
      <c r="B22" s="397">
        <v>0.4</v>
      </c>
      <c r="C22" s="382" t="s">
        <v>4146</v>
      </c>
      <c r="D22" s="623">
        <v>41700</v>
      </c>
      <c r="E22"/>
      <c r="F22"/>
      <c r="G22"/>
    </row>
    <row r="23" spans="2:7">
      <c r="B23" s="397">
        <v>0.5</v>
      </c>
      <c r="C23" s="382" t="s">
        <v>4144</v>
      </c>
      <c r="D23" s="623">
        <v>41732</v>
      </c>
      <c r="E23"/>
      <c r="F23"/>
      <c r="G23"/>
    </row>
    <row r="24" spans="2:7">
      <c r="B24" s="397"/>
      <c r="C24" s="382"/>
      <c r="D24" s="623"/>
      <c r="E24"/>
      <c r="F24"/>
      <c r="G24"/>
    </row>
    <row r="25" spans="2:7">
      <c r="B25" s="398"/>
      <c r="C25" s="399"/>
      <c r="D25" s="624"/>
      <c r="E25"/>
      <c r="F25"/>
      <c r="G25"/>
    </row>
    <row r="26" spans="2:7">
      <c r="B26" s="185"/>
    </row>
    <row r="28" spans="2:7" ht="18.75">
      <c r="C28" s="404" t="s">
        <v>2188</v>
      </c>
      <c r="E28"/>
      <c r="F28"/>
    </row>
    <row r="29" spans="2:7">
      <c r="B29" s="405" t="s">
        <v>40</v>
      </c>
      <c r="C29" s="406" t="s">
        <v>3</v>
      </c>
      <c r="D29" s="625" t="s">
        <v>2192</v>
      </c>
      <c r="E29"/>
      <c r="F29"/>
    </row>
    <row r="30" spans="2:7">
      <c r="B30">
        <v>1</v>
      </c>
      <c r="D30" s="626"/>
      <c r="E30"/>
      <c r="F30"/>
    </row>
    <row r="31" spans="2:7">
      <c r="B31">
        <v>2</v>
      </c>
      <c r="C31"/>
      <c r="D31" s="626"/>
      <c r="E31"/>
      <c r="F31"/>
    </row>
    <row r="32" spans="2:7">
      <c r="B32">
        <v>3</v>
      </c>
      <c r="C32"/>
      <c r="D32" s="626"/>
      <c r="E32"/>
      <c r="F32"/>
    </row>
    <row r="33" spans="2:6">
      <c r="B33">
        <v>4</v>
      </c>
      <c r="C33"/>
      <c r="D33" s="626"/>
      <c r="E33"/>
      <c r="F33"/>
    </row>
    <row r="34" spans="2:6">
      <c r="B34">
        <v>5</v>
      </c>
      <c r="C34"/>
      <c r="D34" s="626"/>
      <c r="E34"/>
      <c r="F34"/>
    </row>
  </sheetData>
  <mergeCells count="1">
    <mergeCell ref="B2:B3"/>
  </mergeCells>
  <pageMargins left="0.7" right="0.7" top="0.75" bottom="0.75" header="0.3" footer="0.3"/>
  <pageSetup orientation="portrait" horizontalDpi="4294967293" verticalDpi="4294967293" r:id="rId1"/>
  <tableParts count="3">
    <tablePart r:id="rId2"/>
    <tablePart r:id="rId3"/>
    <tablePart r:id="rId4"/>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stBuild" filterMode="1"/>
  <dimension ref="A1:FV629"/>
  <sheetViews>
    <sheetView tabSelected="1" workbookViewId="0">
      <pane ySplit="1" topLeftCell="A2" activePane="bottomLeft" state="frozen"/>
      <selection activeCell="BT12" sqref="BT12"/>
      <selection pane="bottomLeft" activeCell="X10" sqref="X10"/>
    </sheetView>
  </sheetViews>
  <sheetFormatPr defaultRowHeight="15"/>
  <cols>
    <col min="1" max="1" width="11.5703125" style="1" customWidth="1"/>
    <col min="2" max="2" width="8.140625" style="1" hidden="1" customWidth="1"/>
    <col min="3" max="3" width="8.42578125" style="1" hidden="1" customWidth="1"/>
    <col min="4" max="4" width="26.5703125" style="1" hidden="1" customWidth="1"/>
    <col min="5" max="5" width="14.42578125" style="1" hidden="1" customWidth="1"/>
    <col min="6" max="6" width="13" style="1" hidden="1" customWidth="1"/>
    <col min="7" max="7" width="12.42578125" style="1" hidden="1" customWidth="1"/>
    <col min="8" max="8" width="10.140625" style="1" hidden="1" customWidth="1"/>
    <col min="9" max="9" width="10.5703125" style="1" hidden="1" customWidth="1"/>
    <col min="10" max="10" width="9.5703125" style="1" hidden="1" customWidth="1"/>
    <col min="11" max="11" width="12.140625" style="1" hidden="1" customWidth="1"/>
    <col min="12" max="12" width="11.85546875" style="1" hidden="1" customWidth="1"/>
    <col min="13" max="13" width="14.42578125" style="1" hidden="1" customWidth="1"/>
    <col min="14" max="14" width="9.140625" style="1" customWidth="1"/>
    <col min="15" max="15" width="7.7109375" style="1" hidden="1" customWidth="1"/>
    <col min="16" max="16" width="8.140625" hidden="1" customWidth="1"/>
    <col min="17" max="17" width="12.28515625" style="130" customWidth="1"/>
    <col min="18" max="19" width="12.28515625" style="1" hidden="1" customWidth="1"/>
    <col min="20" max="20" width="13.5703125" style="1" hidden="1" customWidth="1"/>
    <col min="21" max="21" width="15.85546875" style="1" hidden="1" customWidth="1"/>
    <col min="22" max="22" width="22.7109375" style="1" customWidth="1"/>
    <col min="23" max="23" width="28" style="1" customWidth="1"/>
    <col min="24" max="24" width="7" style="1" customWidth="1"/>
    <col min="25" max="25" width="20.28515625" style="1" customWidth="1"/>
    <col min="26" max="26" width="10.140625" style="1" hidden="1" customWidth="1"/>
    <col min="27" max="27" width="13.5703125" style="1" hidden="1" customWidth="1"/>
    <col min="28" max="28" width="15.85546875" style="1" bestFit="1" customWidth="1"/>
    <col min="29" max="29" width="12.42578125" style="1" hidden="1" customWidth="1"/>
    <col min="30" max="30" width="20.140625" style="1" hidden="1" customWidth="1"/>
    <col min="31" max="31" width="19.5703125" style="1" hidden="1" customWidth="1"/>
    <col min="32" max="32" width="13.42578125" style="1" hidden="1" customWidth="1"/>
    <col min="33" max="33" width="11.140625" style="1" hidden="1" customWidth="1"/>
    <col min="34" max="34" width="2.7109375" style="1" hidden="1" customWidth="1"/>
    <col min="35" max="35" width="27.7109375" style="1" customWidth="1"/>
    <col min="36" max="36" width="10" style="1" hidden="1" customWidth="1"/>
    <col min="37" max="37" width="14.5703125" style="1" hidden="1" customWidth="1"/>
    <col min="38" max="38" width="3.7109375" style="1" hidden="1" customWidth="1"/>
    <col min="39" max="39" width="26.42578125" style="1" customWidth="1"/>
    <col min="40" max="40" width="13.5703125" hidden="1" customWidth="1"/>
    <col min="41" max="41" width="12.7109375" style="228" hidden="1" customWidth="1"/>
    <col min="42" max="42" width="21.140625" style="189" hidden="1" customWidth="1"/>
    <col min="43" max="43" width="21.28515625" customWidth="1"/>
    <col min="44" max="44" width="8.85546875" customWidth="1"/>
    <col min="45" max="45" width="11.28515625" style="228" hidden="1" customWidth="1"/>
    <col min="46" max="46" width="12.5703125" style="139" customWidth="1"/>
    <col min="47" max="47" width="11.42578125" style="139" hidden="1" customWidth="1"/>
    <col min="48" max="48" width="10" customWidth="1"/>
    <col min="49" max="49" width="10" style="262" hidden="1" customWidth="1"/>
    <col min="50" max="51" width="11.7109375" hidden="1" customWidth="1"/>
    <col min="52" max="52" width="13.42578125" hidden="1" customWidth="1"/>
    <col min="53" max="53" width="13" hidden="1" customWidth="1"/>
    <col min="54" max="54" width="15" hidden="1" customWidth="1"/>
    <col min="55" max="55" width="13" hidden="1" customWidth="1"/>
    <col min="56" max="56" width="15.5703125" hidden="1" customWidth="1"/>
    <col min="57" max="57" width="13.7109375" hidden="1" customWidth="1"/>
    <col min="58" max="58" width="13.28515625" hidden="1" customWidth="1"/>
    <col min="59" max="59" width="10.140625" style="262" hidden="1" customWidth="1"/>
    <col min="60" max="60" width="11.42578125" style="31" hidden="1" customWidth="1"/>
    <col min="61" max="61" width="12.7109375" hidden="1" customWidth="1"/>
    <col min="62" max="62" width="15.85546875" style="262" hidden="1" customWidth="1"/>
    <col min="63" max="63" width="12.7109375" customWidth="1"/>
    <col min="64" max="64" width="16.28515625" customWidth="1"/>
    <col min="65" max="65" width="11" style="108" customWidth="1"/>
    <col min="66" max="66" width="15.7109375" hidden="1" customWidth="1"/>
    <col min="67" max="67" width="9.85546875" hidden="1" customWidth="1"/>
    <col min="68" max="68" width="12" customWidth="1"/>
    <col min="69" max="69" width="12.85546875" hidden="1" customWidth="1"/>
    <col min="70" max="70" width="11.28515625" style="262" hidden="1" customWidth="1"/>
    <col min="71" max="71" width="13.7109375" hidden="1" customWidth="1"/>
    <col min="72" max="72" width="10.5703125" hidden="1" customWidth="1"/>
    <col min="73" max="73" width="11.5703125" hidden="1" customWidth="1"/>
    <col min="74" max="74" width="10.7109375" style="31" hidden="1" customWidth="1"/>
    <col min="75" max="75" width="9.85546875" style="31" hidden="1" customWidth="1"/>
    <col min="76" max="77" width="10.28515625" hidden="1" customWidth="1"/>
    <col min="78" max="79" width="2.7109375" hidden="1" customWidth="1"/>
    <col min="80" max="80" width="13.85546875" hidden="1" customWidth="1"/>
    <col min="81" max="81" width="14.85546875" hidden="1" customWidth="1"/>
    <col min="82" max="82" width="14.85546875" style="141" hidden="1" customWidth="1"/>
    <col min="83" max="85" width="14.5703125" hidden="1" customWidth="1"/>
    <col min="86" max="87" width="15.7109375" hidden="1" customWidth="1"/>
    <col min="88" max="88" width="46.42578125" bestFit="1" customWidth="1"/>
    <col min="89" max="89" width="0.42578125" customWidth="1"/>
    <col min="90" max="94" width="4.85546875" customWidth="1"/>
    <col min="95" max="96" width="4.85546875" style="143" customWidth="1"/>
    <col min="97" max="97" width="4.85546875" customWidth="1"/>
    <col min="98" max="98" width="4.85546875" style="262" customWidth="1"/>
    <col min="99" max="101" width="4.85546875" customWidth="1"/>
    <col min="102" max="105" width="4.85546875" style="143" customWidth="1"/>
    <col min="106" max="107" width="4.85546875" customWidth="1"/>
    <col min="108" max="108" width="4.85546875" style="143" customWidth="1"/>
    <col min="109" max="109" width="4.85546875" customWidth="1"/>
    <col min="110" max="110" width="4.85546875" style="143" customWidth="1"/>
    <col min="111" max="115" width="4.85546875" customWidth="1"/>
    <col min="116" max="116" width="4.85546875" style="139" customWidth="1"/>
    <col min="117" max="117" width="4.85546875" customWidth="1"/>
    <col min="118" max="119" width="4.85546875" style="26" customWidth="1"/>
    <col min="120" max="120" width="4.85546875" customWidth="1"/>
    <col min="121" max="121" width="4.85546875" style="262" customWidth="1"/>
    <col min="122" max="138" width="4.85546875" customWidth="1"/>
    <col min="139" max="139" width="3.85546875" customWidth="1"/>
    <col min="140" max="141" width="4.85546875" customWidth="1"/>
    <col min="142" max="142" width="0.42578125" customWidth="1"/>
    <col min="143" max="149" width="16.7109375" customWidth="1"/>
    <col min="150" max="151" width="11.7109375" customWidth="1"/>
    <col min="152" max="161" width="14.7109375" customWidth="1"/>
    <col min="162" max="164" width="11.7109375" customWidth="1"/>
    <col min="165" max="165" width="9.140625" customWidth="1"/>
  </cols>
  <sheetData>
    <row r="1" spans="1:178" ht="124.5" customHeight="1">
      <c r="A1" s="8" t="s">
        <v>130</v>
      </c>
      <c r="B1" s="439" t="s">
        <v>396</v>
      </c>
      <c r="C1" s="440" t="s">
        <v>399</v>
      </c>
      <c r="D1" s="440" t="s">
        <v>2375</v>
      </c>
      <c r="E1" s="440" t="s">
        <v>2385</v>
      </c>
      <c r="F1" s="440" t="s">
        <v>2386</v>
      </c>
      <c r="G1" s="440" t="s">
        <v>2388</v>
      </c>
      <c r="H1" s="440" t="s">
        <v>2384</v>
      </c>
      <c r="I1" s="440" t="s">
        <v>2391</v>
      </c>
      <c r="J1" s="440" t="s">
        <v>2387</v>
      </c>
      <c r="K1" s="440" t="s">
        <v>2373</v>
      </c>
      <c r="L1" s="440" t="s">
        <v>2374</v>
      </c>
      <c r="M1" s="440" t="s">
        <v>2376</v>
      </c>
      <c r="N1" s="8" t="s">
        <v>22</v>
      </c>
      <c r="O1" s="230" t="s">
        <v>418</v>
      </c>
      <c r="P1" s="230" t="s">
        <v>419</v>
      </c>
      <c r="Q1" s="186" t="s">
        <v>2113</v>
      </c>
      <c r="R1" s="305" t="s">
        <v>74</v>
      </c>
      <c r="S1" s="9" t="s">
        <v>1</v>
      </c>
      <c r="T1" s="230" t="s">
        <v>2424</v>
      </c>
      <c r="U1" s="9" t="s">
        <v>2</v>
      </c>
      <c r="V1" s="10" t="s">
        <v>3</v>
      </c>
      <c r="W1" s="186" t="s">
        <v>357</v>
      </c>
      <c r="X1" s="8" t="s">
        <v>33</v>
      </c>
      <c r="Y1" s="8" t="s">
        <v>75</v>
      </c>
      <c r="Z1" s="305" t="s">
        <v>390</v>
      </c>
      <c r="AA1" s="230" t="s">
        <v>4</v>
      </c>
      <c r="AB1" s="9" t="s">
        <v>445</v>
      </c>
      <c r="AC1" s="246" t="s">
        <v>2096</v>
      </c>
      <c r="AD1" s="230" t="s">
        <v>2162</v>
      </c>
      <c r="AE1" s="230" t="s">
        <v>2097</v>
      </c>
      <c r="AF1" s="230" t="s">
        <v>2196</v>
      </c>
      <c r="AG1" s="230" t="s">
        <v>2147</v>
      </c>
      <c r="AH1" s="442" t="s">
        <v>2451</v>
      </c>
      <c r="AI1" s="186" t="s">
        <v>136</v>
      </c>
      <c r="AJ1" s="438" t="s">
        <v>2380</v>
      </c>
      <c r="AK1" s="9" t="s">
        <v>5</v>
      </c>
      <c r="AL1" s="9" t="s">
        <v>6</v>
      </c>
      <c r="AM1" s="186" t="s">
        <v>352</v>
      </c>
      <c r="AN1" s="304" t="s">
        <v>351</v>
      </c>
      <c r="AO1" s="306" t="s">
        <v>2110</v>
      </c>
      <c r="AP1" s="186" t="s">
        <v>2403</v>
      </c>
      <c r="AQ1" s="10" t="s">
        <v>7</v>
      </c>
      <c r="AR1" s="355" t="s">
        <v>12</v>
      </c>
      <c r="AS1" s="230" t="s">
        <v>8</v>
      </c>
      <c r="AT1" s="355" t="s">
        <v>73</v>
      </c>
      <c r="AU1" s="303" t="s">
        <v>479</v>
      </c>
      <c r="AV1" s="253" t="s">
        <v>76</v>
      </c>
      <c r="AW1" s="230" t="s">
        <v>43</v>
      </c>
      <c r="AX1" s="230" t="s">
        <v>2418</v>
      </c>
      <c r="AY1" s="230" t="s">
        <v>2445</v>
      </c>
      <c r="AZ1" s="9" t="s">
        <v>42</v>
      </c>
      <c r="BA1" s="9" t="s">
        <v>9</v>
      </c>
      <c r="BB1" s="11" t="s">
        <v>10</v>
      </c>
      <c r="BC1" s="246" t="s">
        <v>11</v>
      </c>
      <c r="BD1" s="9" t="s">
        <v>13</v>
      </c>
      <c r="BE1" s="9" t="s">
        <v>14</v>
      </c>
      <c r="BF1" s="9" t="s">
        <v>15</v>
      </c>
      <c r="BG1" s="9" t="s">
        <v>16</v>
      </c>
      <c r="BH1" s="9" t="s">
        <v>17</v>
      </c>
      <c r="BI1" s="9" t="s">
        <v>18</v>
      </c>
      <c r="BJ1" s="251" t="s">
        <v>406</v>
      </c>
      <c r="BK1" s="303" t="s">
        <v>476</v>
      </c>
      <c r="BL1" s="10" t="s">
        <v>526</v>
      </c>
      <c r="BM1" s="304" t="s">
        <v>439</v>
      </c>
      <c r="BN1" s="230" t="s">
        <v>174</v>
      </c>
      <c r="BO1" s="304" t="s">
        <v>172</v>
      </c>
      <c r="BP1" s="230" t="s">
        <v>2311</v>
      </c>
      <c r="BQ1" s="246" t="s">
        <v>2312</v>
      </c>
      <c r="BR1" s="431" t="s">
        <v>487</v>
      </c>
      <c r="BS1" s="303" t="s">
        <v>477</v>
      </c>
      <c r="BT1" s="230" t="s">
        <v>478</v>
      </c>
      <c r="BU1" s="304" t="s">
        <v>21</v>
      </c>
      <c r="BV1" s="9" t="s">
        <v>77</v>
      </c>
      <c r="BW1" s="251" t="s">
        <v>366</v>
      </c>
      <c r="BX1" s="303" t="s">
        <v>2105</v>
      </c>
      <c r="BY1" s="306" t="s">
        <v>2106</v>
      </c>
      <c r="BZ1" s="430" t="s">
        <v>2314</v>
      </c>
      <c r="CA1" s="434" t="s">
        <v>2333</v>
      </c>
      <c r="CB1" s="429" t="s">
        <v>362</v>
      </c>
      <c r="CC1" s="190" t="s">
        <v>363</v>
      </c>
      <c r="CD1" s="190" t="s">
        <v>364</v>
      </c>
      <c r="CE1" s="230" t="s">
        <v>365</v>
      </c>
      <c r="CF1" s="11" t="s">
        <v>19</v>
      </c>
      <c r="CG1" s="252" t="s">
        <v>20</v>
      </c>
      <c r="CH1" s="359" t="s">
        <v>388</v>
      </c>
      <c r="CI1" s="359" t="s">
        <v>389</v>
      </c>
      <c r="CJ1" s="433" t="s">
        <v>152</v>
      </c>
      <c r="CK1" s="301" t="s">
        <v>524</v>
      </c>
      <c r="CL1" s="407" t="s">
        <v>53</v>
      </c>
      <c r="CM1" s="410" t="s">
        <v>2214</v>
      </c>
      <c r="CN1" s="410" t="s">
        <v>380</v>
      </c>
      <c r="CO1" s="407" t="s">
        <v>143</v>
      </c>
      <c r="CP1" s="407" t="s">
        <v>142</v>
      </c>
      <c r="CQ1" s="407" t="s">
        <v>51</v>
      </c>
      <c r="CR1" s="407" t="s">
        <v>141</v>
      </c>
      <c r="CS1" s="407" t="s">
        <v>470</v>
      </c>
      <c r="CT1" s="407" t="s">
        <v>404</v>
      </c>
      <c r="CU1" s="407" t="s">
        <v>405</v>
      </c>
      <c r="CV1" s="407" t="s">
        <v>539</v>
      </c>
      <c r="CW1" s="407" t="s">
        <v>83</v>
      </c>
      <c r="CX1" s="408" t="s">
        <v>80</v>
      </c>
      <c r="CY1" s="408" t="s">
        <v>544</v>
      </c>
      <c r="CZ1" s="407" t="s">
        <v>547</v>
      </c>
      <c r="DA1" s="407" t="s">
        <v>82</v>
      </c>
      <c r="DB1" s="407" t="s">
        <v>81</v>
      </c>
      <c r="DC1" s="407" t="s">
        <v>546</v>
      </c>
      <c r="DD1" s="407" t="s">
        <v>2327</v>
      </c>
      <c r="DE1" s="407" t="s">
        <v>2328</v>
      </c>
      <c r="DF1" s="412" t="s">
        <v>52</v>
      </c>
      <c r="DG1" s="412" t="s">
        <v>2346</v>
      </c>
      <c r="DH1" s="410" t="s">
        <v>2344</v>
      </c>
      <c r="DI1" s="412" t="s">
        <v>2347</v>
      </c>
      <c r="DJ1" s="410" t="s">
        <v>2345</v>
      </c>
      <c r="DK1" s="409" t="s">
        <v>2251</v>
      </c>
      <c r="DL1" s="409" t="s">
        <v>2252</v>
      </c>
      <c r="DM1" s="409" t="s">
        <v>2260</v>
      </c>
      <c r="DN1" s="409" t="s">
        <v>2261</v>
      </c>
      <c r="DO1" s="409" t="s">
        <v>2244</v>
      </c>
      <c r="DP1" s="409" t="s">
        <v>2245</v>
      </c>
      <c r="DQ1" s="409" t="s">
        <v>2258</v>
      </c>
      <c r="DR1" s="409" t="s">
        <v>2259</v>
      </c>
      <c r="DS1" s="409" t="s">
        <v>2246</v>
      </c>
      <c r="DT1" s="409" t="s">
        <v>2247</v>
      </c>
      <c r="DU1" s="409" t="s">
        <v>2248</v>
      </c>
      <c r="DV1" s="409" t="s">
        <v>2249</v>
      </c>
      <c r="DW1" s="409" t="s">
        <v>2237</v>
      </c>
      <c r="DX1" s="409" t="s">
        <v>2238</v>
      </c>
      <c r="DY1" s="409" t="s">
        <v>483</v>
      </c>
      <c r="DZ1" s="409" t="s">
        <v>2254</v>
      </c>
      <c r="EA1" s="409" t="s">
        <v>2255</v>
      </c>
      <c r="EB1" s="407" t="s">
        <v>72</v>
      </c>
      <c r="EC1" s="412" t="s">
        <v>50</v>
      </c>
      <c r="ED1" s="411" t="s">
        <v>49</v>
      </c>
      <c r="EE1" s="409" t="s">
        <v>490</v>
      </c>
      <c r="EF1" s="407" t="s">
        <v>70</v>
      </c>
      <c r="EG1" s="407" t="s">
        <v>46</v>
      </c>
      <c r="EH1" s="407" t="s">
        <v>44</v>
      </c>
      <c r="EI1" s="407" t="s">
        <v>45</v>
      </c>
      <c r="EJ1" s="407" t="s">
        <v>47</v>
      </c>
      <c r="EK1" s="413" t="s">
        <v>69</v>
      </c>
      <c r="EL1" s="302" t="s">
        <v>525</v>
      </c>
      <c r="EM1" s="261" t="s">
        <v>103</v>
      </c>
      <c r="EN1" s="33" t="s">
        <v>521</v>
      </c>
      <c r="EO1" s="356" t="s">
        <v>104</v>
      </c>
      <c r="EP1" s="357" t="s">
        <v>100</v>
      </c>
      <c r="EQ1" s="357" t="s">
        <v>220</v>
      </c>
      <c r="ER1" s="357" t="s">
        <v>101</v>
      </c>
      <c r="ES1" s="358" t="s">
        <v>528</v>
      </c>
      <c r="ET1" s="358" t="s">
        <v>529</v>
      </c>
      <c r="EU1" s="305" t="s">
        <v>522</v>
      </c>
      <c r="EV1" s="305" t="s">
        <v>234</v>
      </c>
      <c r="EW1" s="305" t="s">
        <v>2161</v>
      </c>
      <c r="EX1" s="305" t="s">
        <v>353</v>
      </c>
      <c r="EY1" s="305" t="s">
        <v>2165</v>
      </c>
      <c r="EZ1" s="305" t="s">
        <v>2169</v>
      </c>
      <c r="FA1" s="305" t="s">
        <v>2152</v>
      </c>
      <c r="FB1" s="305" t="s">
        <v>2151</v>
      </c>
      <c r="FC1" s="304" t="s">
        <v>354</v>
      </c>
      <c r="FD1" s="304" t="s">
        <v>2150</v>
      </c>
      <c r="FE1" s="304" t="s">
        <v>2153</v>
      </c>
      <c r="FF1" s="304" t="s">
        <v>2179</v>
      </c>
      <c r="FG1" s="304" t="s">
        <v>2178</v>
      </c>
      <c r="FH1" s="304" t="s">
        <v>368</v>
      </c>
      <c r="FI1" s="304" t="s">
        <v>367</v>
      </c>
    </row>
    <row r="2" spans="1:178" s="262" customFormat="1" ht="15" customHeight="1">
      <c r="A2" s="360" t="s">
        <v>3942</v>
      </c>
      <c r="B2" s="521"/>
      <c r="C2" s="521"/>
      <c r="D2" s="521"/>
      <c r="E2" s="522"/>
      <c r="F2" s="522"/>
      <c r="G2" s="597"/>
      <c r="H2" s="597"/>
      <c r="I2" s="523"/>
      <c r="J2" s="522"/>
      <c r="K2" s="522"/>
      <c r="L2" s="522"/>
      <c r="M2" s="597" t="e">
        <f ca="1">IF(rngIsDate(HostBuild[CTO Acceptance]),"Y","N")</f>
        <v>#NAME?</v>
      </c>
      <c r="N2" s="361" t="s">
        <v>3938</v>
      </c>
      <c r="O2" s="525"/>
      <c r="P2" s="525"/>
      <c r="Q2" s="361" t="s">
        <v>4005</v>
      </c>
      <c r="R2" s="526" t="str">
        <f>IF(NOT(ISBLANK(HostBuild[Env Label])),IFERROR(VLOOKUP(HostBuild[Env Label],tEnv[],3,FALSE),""),"")</f>
        <v>PROD</v>
      </c>
      <c r="S2" s="598"/>
      <c r="T2" s="527"/>
      <c r="U2" s="599"/>
      <c r="V2" s="524" t="s">
        <v>206</v>
      </c>
      <c r="W2" s="524" t="s">
        <v>3999</v>
      </c>
      <c r="X2" s="524" t="s">
        <v>35</v>
      </c>
      <c r="Y2" s="361" t="s">
        <v>481</v>
      </c>
      <c r="Z2" s="526" t="str">
        <f>IF(NOT(ISBLANK(HostBuild[[#This Row],[Product 
(Acronym)]])),CONCATENATE(HostBuild[[#This Row],[Type]],"-",HostBuild[[#This Row],[Product 
(Acronym)]]),"")</f>
        <v>AP-ESB</v>
      </c>
      <c r="AA2" s="600"/>
      <c r="AB2" s="600" t="s">
        <v>3985</v>
      </c>
      <c r="AC2" s="528"/>
      <c r="AD2" s="529"/>
      <c r="AE2" s="529"/>
      <c r="AF2" s="530" t="s">
        <v>3986</v>
      </c>
      <c r="AG2" s="531"/>
      <c r="AH2" s="601"/>
      <c r="AI2" s="362" t="s">
        <v>3995</v>
      </c>
      <c r="AJ2" s="524">
        <f>IF(COUNTIF(HostBuild[Alias],HostBuild[Alias]),1/COUNTIF(HostBuild[Alias],HostBuild[Alias]),0)</f>
        <v>1</v>
      </c>
      <c r="AK2" s="531"/>
      <c r="AL2" s="531"/>
      <c r="AM2" s="532" t="s">
        <v>2173</v>
      </c>
      <c r="AN2" s="533" t="str">
        <f>IF(NOT(ISBLANK(HostBuild[Server Model])),VLOOKUP(HostBuild[Server Model],ServerModelsTier[],2,FALSE),"")</f>
        <v>x86 Tier 3</v>
      </c>
      <c r="AO2" s="533" t="str">
        <f>IF(NOT(ISBLANK(HostBuild[Server Model])),VLOOKUP(HostBuild[Server Model],ServerModelsTier[],5,FALSE),"")</f>
        <v>x86</v>
      </c>
      <c r="AP2" s="532"/>
      <c r="AQ2" s="532" t="s">
        <v>2337</v>
      </c>
      <c r="AR2" s="534"/>
      <c r="AS2" s="602"/>
      <c r="AT2" s="535"/>
      <c r="AU2" s="603" t="str">
        <f>IF(IFERROR(FIND("P-Series",HostBuild[Server Tier]),0),CEILING((HostBuild[Existing CPUs]+HostBuild[CPU])*16,8),"")</f>
        <v/>
      </c>
      <c r="AV2" s="536"/>
      <c r="AW2" s="531"/>
      <c r="AX2" s="531"/>
      <c r="AY2" s="531"/>
      <c r="AZ2" s="537"/>
      <c r="BA2" s="531"/>
      <c r="BB2" s="531"/>
      <c r="BC2" s="529"/>
      <c r="BD2" s="531"/>
      <c r="BE2" s="531"/>
      <c r="BF2" s="531"/>
      <c r="BG2" s="531"/>
      <c r="BH2" s="531"/>
      <c r="BI2" s="531"/>
      <c r="BJ2" s="531"/>
      <c r="BK2"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2" s="538">
        <v>60</v>
      </c>
      <c r="BM2" s="540">
        <f>IF(ISNUMBER(HostBuild[Recommended SAN (GB)]),HostBuild[Recommended SAN (GB)])+IF(HostBuild[Additional SAN (GB)]&gt;0,CEILING(HostBuild[Additional SAN (GB)],LUN),-(CEILING(-HostBuild[Additional SAN (GB)],LUN)))</f>
        <v>67.400000000000006</v>
      </c>
      <c r="BN2" s="539"/>
      <c r="BO2" s="540">
        <f>HostBuild[SAN (GB)
NEEDED TODAY]+CEILING(HostBuild[SAN (GB)
RESERVED
DO NOT USE TO BUILD], LUN)</f>
        <v>67.400000000000006</v>
      </c>
      <c r="BP2" s="541"/>
      <c r="BQ2" s="542"/>
      <c r="BR2" s="432" t="s">
        <v>106</v>
      </c>
      <c r="BS2" s="605">
        <f>IF(HostBuild[Existing Server?]&lt;&gt;"Yes - Inside this BoM",IF(ISNUMBER(HostBuild[RAM 
(GB)]),IF(HostBuild[Existing RAM (GB)]+HostBuild[RAM 
(GB)]&gt;0,IF(HostBuild[Virtual Platform Storage Type]="NAS",110+HostBuild[Existing RAM (GB)]+HostBuild[RAM 
(GB)]*1.75,0),0),0),0)</f>
        <v>0</v>
      </c>
      <c r="BT2" s="606"/>
      <c r="BU2" s="607">
        <f>IF(ISNUMBER(HostBuild[Recommended NAS (GB)]),HostBuild[Recommended NAS (GB)])+HostBuild[Additional NAS (GB)]</f>
        <v>0</v>
      </c>
      <c r="BV2" s="543"/>
      <c r="BW2" s="543"/>
      <c r="BX2" s="604">
        <f>IFERROR((HostBuild[SAN (GB)
End-State
DO NOT USE TO BUILD]+HostBuild[SAN (GB) Shared])*25%,"")</f>
        <v>16.850000000000001</v>
      </c>
      <c r="BY2" s="608">
        <f>IFERROR(HostBuild[Archive
Full (GB)]*15%,"")</f>
        <v>2.5275000000000003</v>
      </c>
      <c r="BZ2" s="544"/>
      <c r="CA2" s="544"/>
      <c r="CB2" s="545"/>
      <c r="CC2" s="546"/>
      <c r="CD2" s="545"/>
      <c r="CE2" s="547"/>
      <c r="CF2" s="539"/>
      <c r="CG2" s="609"/>
      <c r="CH2" s="548"/>
      <c r="CI2" s="549"/>
      <c r="CJ2" s="550" t="s">
        <v>4127</v>
      </c>
      <c r="CK2" s="551"/>
      <c r="CL2" s="552">
        <f>IFERROR(IF(FIND(CL$1,$W2)&gt;0,IF(INDEX(Product_Pricing_Table[],MATCH(CL$1,Products,0),2)="Cores",IF(HostBuild[Use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 s="552">
        <f>IFERROR(IF(FIND(CM$1,$W2)&gt;0,IF(INDEX(Product_Pricing_Table[],MATCH(CM$1,Products,0),2)="Cores",IF(HostBuild[Use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 s="552">
        <f>IFERROR(IF(FIND(CN$1,$W2)&gt;0,IF(INDEX(Product_Pricing_Table[],MATCH(CN$1,Products,0),2)="Cores",IF(HostBuild[Use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 s="552">
        <f>IFERROR(IF(FIND(CO$1,$W2)&gt;0,IF(INDEX(Product_Pricing_Table[],MATCH(CO$1,Products,0),2)="Cores",IF(HostBuild[Use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 s="552">
        <f>IFERROR(IF(FIND(CP$1,$W2)&gt;0,IF(INDEX(Product_Pricing_Table[],MATCH(CP$1,Products,0),2)="Cores",IF(HostBuild[Use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 s="552">
        <f>IFERROR(IF(FIND(CQ$1,$W2)&gt;0,IF(INDEX(Product_Pricing_Table[],MATCH(CQ$1,Products,0),2)="Cores",IF(HostBuild[Use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 s="552">
        <f>IFERROR(IF(FIND(CR$1,$W2)&gt;0,IF(INDEX(Product_Pricing_Table[],MATCH(CR$1,Products,0),2)="Cores",IF(HostBuild[Use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 s="552">
        <f>IFERROR(IF(FIND(CS$1,$W2)&gt;0,IF(INDEX(Product_Pricing_Table[],MATCH(CS$1,Products,0),2)="Cores",IF(HostBuild[Use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 s="552">
        <f>IFERROR(IF(FIND(CT$1,$W2)&gt;0,IF(INDEX(Product_Pricing_Table[],MATCH(CT$1,Products,0),2)="Cores",IF(HostBuild[Use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 s="552">
        <f>IFERROR(IF(FIND(CU$1,$W2)&gt;0,IF(INDEX(Product_Pricing_Table[],MATCH(CU$1,Products,0),2)="Cores",IF(HostBuild[Use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 s="552">
        <f>IFERROR(IF(FIND(CV$1,$W2)&gt;0,IF(INDEX(Product_Pricing_Table[],MATCH(CV$1,Products,0),2)="Cores",IF(HostBuild[Use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 s="552">
        <f>IFERROR(IF(FIND(CW$1,$W2)&gt;0,IF(INDEX(Product_Pricing_Table[],MATCH(CW$1,Products,0),2)="Cores",IF(HostBuild[Use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 s="552">
        <f>IFERROR(IF(FIND(CX$1,$W2)&gt;0,IF(INDEX(Product_Pricing_Table[],MATCH(CX$1,Products,0),2)="Cores",IF(HostBuild[Use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 s="552">
        <f>IFERROR(IF(FIND(CY$1,$W2)&gt;0,IF(INDEX(Product_Pricing_Table[],MATCH(CY$1,Products,0),2)="Cores",IF(HostBuild[Use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 s="552">
        <f>IFERROR(IF(FIND(CZ$1,$W2)&gt;0,IF(INDEX(Product_Pricing_Table[],MATCH(CZ$1,Products,0),2)="Cores",IF(HostBuild[Use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 s="552">
        <f>IFERROR(IF(FIND(DA$1,$W2)&gt;0,IF(INDEX(Product_Pricing_Table[],MATCH(DA$1,Products,0),2)="Cores",IF(HostBuild[Use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 s="552">
        <f>IFERROR(IF(FIND(DB$1,$W2)&gt;0,IF(INDEX(Product_Pricing_Table[],MATCH(DB$1,Products,0),2)="Cores",IF(HostBuild[Use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 s="552">
        <f>IFERROR(IF(FIND(DC$1,$W2)&gt;0,IF(INDEX(Product_Pricing_Table[],MATCH(DC$1,Products,0),2)="Cores",IF(HostBuild[Use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 s="552">
        <f>IFERROR(IF(FIND(DD$1,$W2)&gt;0,IF(INDEX(Product_Pricing_Table[],MATCH(DD$1,Products,0),2)="Cores",IF(HostBuild[Use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 s="552">
        <f>IFERROR(IF(FIND(DE$1,$W2)&gt;0,IF(INDEX(Product_Pricing_Table[],MATCH(DE$1,Products,0),2)="Cores",IF(HostBuild[Use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 s="553">
        <f>IFERROR(IF(FIND(DF$1,$W2)&gt;0,IF(INDEX(Product_Pricing_Table[],MATCH(DF$1,Products,0),2)="Cores",IF(HostBuild[Use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 s="553">
        <f>IFERROR(IF(FIND(DG$1,$W2)&gt;0,IF(INDEX(Product_Pricing_Table[],MATCH(DG$1,Products,0),2)="Cores",IF(HostBuild[Use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 s="552">
        <f>IFERROR(IF(FIND(DH$1,$W2)&gt;0,IF(INDEX(Product_Pricing_Table[],MATCH(DH$1,Products,0),2)="Cores",IF(HostBuild[Use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 s="553">
        <f>IFERROR(IF(FIND(DI$1,$W2)&gt;0,IF(INDEX(Product_Pricing_Table[],MATCH(DI$1,Products,0),2)="Cores",IF(HostBuild[Use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 s="552">
        <f>IFERROR(IF(FIND(DJ$1,$W2)&gt;0,IF(INDEX(Product_Pricing_Table[],MATCH(DJ$1,Products,0),2)="Cores",IF(HostBuild[Use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 s="552">
        <f>IFERROR(IF(FIND(DK$1,$W2)&gt;0,IF(INDEX(Product_Pricing_Table[],MATCH(DK$1,Products,0),2)="Cores",IF(HostBuild[Use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 s="552">
        <f>IFERROR(IF(FIND(DL$1,$W2)&gt;0,IF(INDEX(Product_Pricing_Table[],MATCH(DL$1,Products,0),2)="Cores",IF(HostBuild[Use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 s="552">
        <f>IFERROR(IF(FIND(DM$1,$W2)&gt;0,IF(INDEX(Product_Pricing_Table[],MATCH(DM$1,Products,0),2)="Cores",IF(HostBuild[Use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 s="552">
        <f>IFERROR(IF(FIND(DN$1,$W2)&gt;0,IF(INDEX(Product_Pricing_Table[],MATCH(DN$1,Products,0),2)="Cores",IF(HostBuild[Use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 s="552">
        <f>IFERROR(IF(FIND(DO$1,$W2)&gt;0,IF(INDEX(Product_Pricing_Table[],MATCH(DO$1,Products,0),2)="Cores",IF(HostBuild[Use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 s="552">
        <f>IFERROR(IF(FIND(DP$1,$W2)&gt;0,IF(INDEX(Product_Pricing_Table[],MATCH(DP$1,Products,0),2)="Cores",IF(HostBuild[Use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 s="552">
        <f>IFERROR(IF(FIND(DQ$1,$W2)&gt;0,IF(INDEX(Product_Pricing_Table[],MATCH(DQ$1,Products,0),2)="Cores",IF(HostBuild[Use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 s="552">
        <f>IFERROR(IF(FIND(DR$1,$W2)&gt;0,IF(INDEX(Product_Pricing_Table[],MATCH(DR$1,Products,0),2)="Cores",IF(HostBuild[Use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 s="552">
        <f>IFERROR(IF(FIND(DS$1,$W2)&gt;0,IF(INDEX(Product_Pricing_Table[],MATCH(DS$1,Products,0),2)="Cores",IF(HostBuild[Use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 s="552">
        <f>IFERROR(IF(FIND(DT$1,$W2)&gt;0,IF(INDEX(Product_Pricing_Table[],MATCH(DT$1,Products,0),2)="Cores",IF(HostBuild[Use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 s="552">
        <f>IFERROR(IF(FIND(DU$1,$W2)&gt;0,IF(INDEX(Product_Pricing_Table[],MATCH(DU$1,Products,0),2)="Cores",IF(HostBuild[Use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 s="552">
        <f>IFERROR(IF(FIND(DV$1,$W2)&gt;0,IF(INDEX(Product_Pricing_Table[],MATCH(DV$1,Products,0),2)="Cores",IF(HostBuild[Use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 s="552">
        <f>IFERROR(IF(FIND(DW$1,$W2)&gt;0,IF(INDEX(Product_Pricing_Table[],MATCH(DW$1,Products,0),2)="Cores",IF(HostBuild[Use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 s="552">
        <f>IFERROR(IF(FIND(DX$1,$W2)&gt;0,IF(INDEX(Product_Pricing_Table[],MATCH(DX$1,Products,0),2)="Cores",IF(HostBuild[Use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 s="552">
        <f>IFERROR(IF(FIND(DY$1,$W2)&gt;0,IF(INDEX(Product_Pricing_Table[],MATCH(DY$1,Products,0),2)="Cores",IF(HostBuild[Use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 s="552">
        <f>IFERROR(IF(FIND(DZ$1,$W2)&gt;0,IF(INDEX(Product_Pricing_Table[],MATCH(DZ$1,Products,0),2)="Cores",IF(HostBuild[Use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 s="552">
        <f>IFERROR(IF(FIND(EA$1,$W2)&gt;0,IF(INDEX(Product_Pricing_Table[],MATCH(EA$1,Products,0),2)="Cores",IF(HostBuild[Use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 s="552">
        <f>IFERROR(IF(FIND(EB$1,$W2)&gt;0,IF(INDEX(Product_Pricing_Table[],MATCH(EB$1,Products,0),2)="Cores",IF(HostBuild[Use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 s="553">
        <f>IFERROR(IF(FIND(EC$1,$W2)&gt;0,IF(INDEX(Product_Pricing_Table[],MATCH(EC$1,Products,0),2)="Cores",IF(HostBuild[Use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 s="552">
        <f>IFERROR(IF(FIND(ED$1,$W2)&gt;0,IF(INDEX(Product_Pricing_Table[],MATCH(ED$1,Products,0),2)="Cores",IF(HostBuild[Use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 s="552">
        <f>IFERROR(IF(FIND(EE$1,$W2)&gt;0,IF(INDEX(Product_Pricing_Table[],MATCH(EE$1,Products,0),2)="Cores",IF(HostBuild[Use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 s="552">
        <f>IFERROR(IF(FIND(EF$1,$W2)&gt;0,IF(INDEX(Product_Pricing_Table[],MATCH(EF$1,Products,0),2)="Cores",IF(HostBuild[Use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 s="552">
        <f>IFERROR(IF(FIND(EG$1,$W2)&gt;0,IF(INDEX(Product_Pricing_Table[],MATCH(EG$1,Products,0),2)="Cores",IF(HostBuild[Use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 s="552">
        <f>IFERROR(IF(FIND(EH$1,$W2)&gt;0,IF(INDEX(Product_Pricing_Table[],MATCH(EH$1,Products,0),2)="Cores",IF(HostBuild[Use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 s="552">
        <f>IFERROR(IF(FIND(EI$1,$W2)&gt;0,IF(INDEX(Product_Pricing_Table[],MATCH(EI$1,Products,0),2)="Cores",IF(HostBuild[Use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 s="552">
        <f>IFERROR(IF(FIND(EJ$1,$W2)&gt;0,IF(INDEX(Product_Pricing_Table[],MATCH(EJ$1,Products,0),2)="Cores",IF(HostBuild[Use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 s="553">
        <f>IFERROR(IF(FIND(EK$1,$W2)&gt;0,IF(INDEX(Product_Pricing_Table[],MATCH(EK$1,Products,0),2)="Cores",IF(HostBuild[Use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 s="554"/>
      <c r="EM2" s="555">
        <v>0</v>
      </c>
      <c r="EN2" s="556">
        <v>0</v>
      </c>
      <c r="EO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2" s="558">
        <f>(HostBuild[Archive
Full (GB)]+HostBuild[Archive
Incr (GB)])*Storage_DC_Dist_Tape_2014</f>
        <v>6.7821249999999997</v>
      </c>
      <c r="ER2" s="558">
        <f>IF(ISNUMBER(HostBuild[Server HW Costs
(Monthly)]),SUM(HostBuild[[#This Row],[Server HW Costs
(Monthly)]:[Tape Costs
(Monthly)]]),0)</f>
        <v>78.900125000000003</v>
      </c>
      <c r="ES2" s="559">
        <f>HostBuild[Software Costs
'[Year 1']
(Monthly)]+HostBuild[Total Hardware Costs
(Monthly)]</f>
        <v>78.900125000000003</v>
      </c>
      <c r="ET2" s="559">
        <f>IFERROR(IF(FIND("Safenet",HostBuild[Server Model]),Safenet_PSE_PL600_Maint,0),0)+IFERROR(IF(FIND("XI52",HostBuild[Server Model]),IBM_DIA_XI52_Maint,0),0)+HostBuild[Software Costs
'[After Year 1']
(Monthly)]+HostBuild[Total Hardware Costs
(Monthly)]</f>
        <v>78.900125000000003</v>
      </c>
      <c r="EU2" s="560">
        <f>SUM(HostBuild[[#This Row],[Server Cost Breakdown]:[Network Cost]])</f>
        <v>0</v>
      </c>
      <c r="EV2" s="561">
        <f>IF(HostBuild[Existing Server?]="Yes - Inside this BoM",0,SUMIF(HostBuild[Alias],HostBuild[Alias],HostBuild[CPU])+SUMIF(HostBuild[Alias],HostBuild[Alias],HostBuild[Existing CPUs]))</f>
        <v>0</v>
      </c>
      <c r="EW2" s="561">
        <f>IF(HostBuild[Existing Server?]="Yes - Inside this BoM",0,SUMIF(HostBuild[Alias],HostBuild[Alias],HostBuild[Cores 
(Licensed Units)])+SUMIF(HostBuild[Alias],HostBuild[Alias],HostBuild[Existing Cores]))</f>
        <v>0</v>
      </c>
      <c r="EX2" s="561">
        <f>IF(HostBuild[Existing Server?]="Yes - Inside this BoM",0,SUMIF(HostBuild[Alias],HostBuild[Alias],HostBuild[RAM 
(GB)])+SUMIF(HostBuild[Alias],HostBuild[Alias],HostBuild[Existing RAM (GB)]))</f>
        <v>0</v>
      </c>
      <c r="EY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 s="560">
        <f>IF(ISBLANK(HostBuild[Server Model]),0,IF(HostBuild[Server Tier]="VMware",0,VLOOKUP(HostBuild[Server Tier],ServerTierRates[#Data],2,0))*HostBuild[CPU]*IF(AND(HostBuild[Server Type]="pSeries",HostBuild[Virtual Platform Storage Type]="Cloud-SAN"),0.25,1))</f>
        <v>0</v>
      </c>
      <c r="FD2" s="560">
        <f>0</f>
        <v>0</v>
      </c>
      <c r="FE2" s="560">
        <f>IF(HostBuild[Server Type]="VMware",HostBuild[RAM 
(GB)]*IF(ISERROR(FIND("DevCloud", HostBuild[Server Model])&gt;0),vRAM_per_vCPU_2014_Monthly,vRAM_per_vCPU_2014_Daily*30),0)</f>
        <v>0</v>
      </c>
      <c r="FF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 s="563">
        <f>IF(HostBuild[Server Tier]="VMware",0,IF(LEFT(HostBuild[Existing Server?],3)="Yes",0,IF(OR(HostBuild[Server Type]="Sun",HostBuild[Server Type]="pSeries"),Support_Direct_Server_Sun_per_OS_2014,IF(HostBuild[Server Type]="x86",Support_Direct_Server_x86_Wintel_per_OS_2014,0))))</f>
        <v>0</v>
      </c>
      <c r="FI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 spans="1:178" s="262" customFormat="1" ht="15" customHeight="1">
      <c r="A3" s="360" t="s">
        <v>3942</v>
      </c>
      <c r="B3" s="521"/>
      <c r="C3" s="521"/>
      <c r="D3" s="521"/>
      <c r="E3" s="522"/>
      <c r="F3" s="522"/>
      <c r="G3" s="597"/>
      <c r="H3" s="597"/>
      <c r="I3" s="523"/>
      <c r="J3" s="522"/>
      <c r="K3" s="522"/>
      <c r="L3" s="522"/>
      <c r="M3" s="597" t="e">
        <f ca="1">IF(rngIsDate(HostBuild[CTO Acceptance]),"Y","N")</f>
        <v>#NAME?</v>
      </c>
      <c r="N3" s="361" t="s">
        <v>3938</v>
      </c>
      <c r="O3" s="525"/>
      <c r="P3" s="525"/>
      <c r="Q3" s="361" t="s">
        <v>4005</v>
      </c>
      <c r="R3" s="526" t="str">
        <f>IF(NOT(ISBLANK(HostBuild[Env Label])),IFERROR(VLOOKUP(HostBuild[Env Label],tEnv[],3,FALSE),""),"")</f>
        <v>PROD</v>
      </c>
      <c r="S3" s="598"/>
      <c r="T3" s="527"/>
      <c r="U3" s="599"/>
      <c r="V3" s="524" t="s">
        <v>206</v>
      </c>
      <c r="W3" s="524" t="s">
        <v>3999</v>
      </c>
      <c r="X3" s="524" t="s">
        <v>35</v>
      </c>
      <c r="Y3" s="361" t="s">
        <v>481</v>
      </c>
      <c r="Z3" s="526" t="str">
        <f>IF(NOT(ISBLANK(HostBuild[[#This Row],[Product 
(Acronym)]])),CONCATENATE(HostBuild[[#This Row],[Type]],"-",HostBuild[[#This Row],[Product 
(Acronym)]]),"")</f>
        <v>AP-ESB</v>
      </c>
      <c r="AA3" s="600"/>
      <c r="AB3" s="600" t="s">
        <v>3985</v>
      </c>
      <c r="AC3" s="528"/>
      <c r="AD3" s="529"/>
      <c r="AE3" s="529"/>
      <c r="AF3" s="530" t="s">
        <v>3986</v>
      </c>
      <c r="AG3" s="531"/>
      <c r="AH3" s="601"/>
      <c r="AI3" s="362" t="s">
        <v>3996</v>
      </c>
      <c r="AJ3" s="524">
        <f>IF(COUNTIF(HostBuild[Alias],HostBuild[Alias]),1/COUNTIF(HostBuild[Alias],HostBuild[Alias]),0)</f>
        <v>1</v>
      </c>
      <c r="AK3" s="531"/>
      <c r="AL3" s="531"/>
      <c r="AM3" s="532" t="s">
        <v>2173</v>
      </c>
      <c r="AN3" s="533" t="str">
        <f>IF(NOT(ISBLANK(HostBuild[Server Model])),VLOOKUP(HostBuild[Server Model],ServerModelsTier[],2,FALSE),"")</f>
        <v>x86 Tier 3</v>
      </c>
      <c r="AO3" s="533" t="str">
        <f>IF(NOT(ISBLANK(HostBuild[Server Model])),VLOOKUP(HostBuild[Server Model],ServerModelsTier[],5,FALSE),"")</f>
        <v>x86</v>
      </c>
      <c r="AP3" s="532"/>
      <c r="AQ3" s="532" t="s">
        <v>2337</v>
      </c>
      <c r="AR3" s="534"/>
      <c r="AS3" s="602"/>
      <c r="AT3" s="535"/>
      <c r="AU3" s="603" t="str">
        <f>IF(IFERROR(FIND("P-Series",HostBuild[Server Tier]),0),CEILING((HostBuild[Existing CPUs]+HostBuild[CPU])*16,8),"")</f>
        <v/>
      </c>
      <c r="AV3" s="536"/>
      <c r="AW3" s="531"/>
      <c r="AX3" s="531"/>
      <c r="AY3" s="531"/>
      <c r="AZ3" s="537"/>
      <c r="BA3" s="531"/>
      <c r="BB3" s="531"/>
      <c r="BC3" s="529"/>
      <c r="BD3" s="531"/>
      <c r="BE3" s="531"/>
      <c r="BF3" s="531"/>
      <c r="BG3" s="531"/>
      <c r="BH3" s="531"/>
      <c r="BI3" s="531"/>
      <c r="BJ3" s="531"/>
      <c r="BK3"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 s="538">
        <v>60</v>
      </c>
      <c r="BM3" s="540">
        <f>IF(ISNUMBER(HostBuild[Recommended SAN (GB)]),HostBuild[Recommended SAN (GB)])+IF(HostBuild[Additional SAN (GB)]&gt;0,CEILING(HostBuild[Additional SAN (GB)],LUN),-(CEILING(-HostBuild[Additional SAN (GB)],LUN)))</f>
        <v>67.400000000000006</v>
      </c>
      <c r="BN3" s="539"/>
      <c r="BO3" s="540">
        <f>HostBuild[SAN (GB)
NEEDED TODAY]+CEILING(HostBuild[SAN (GB)
RESERVED
DO NOT USE TO BUILD], LUN)</f>
        <v>67.400000000000006</v>
      </c>
      <c r="BP3" s="541"/>
      <c r="BQ3" s="542"/>
      <c r="BR3" s="432" t="s">
        <v>106</v>
      </c>
      <c r="BS3" s="605">
        <f>IF(HostBuild[Existing Server?]&lt;&gt;"Yes - Inside this BoM",IF(ISNUMBER(HostBuild[RAM 
(GB)]),IF(HostBuild[Existing RAM (GB)]+HostBuild[RAM 
(GB)]&gt;0,IF(HostBuild[Virtual Platform Storage Type]="NAS",110+HostBuild[Existing RAM (GB)]+HostBuild[RAM 
(GB)]*1.75,0),0),0),0)</f>
        <v>0</v>
      </c>
      <c r="BT3" s="606"/>
      <c r="BU3" s="607">
        <f>IF(ISNUMBER(HostBuild[Recommended NAS (GB)]),HostBuild[Recommended NAS (GB)])+HostBuild[Additional NAS (GB)]</f>
        <v>0</v>
      </c>
      <c r="BV3" s="543"/>
      <c r="BW3" s="543"/>
      <c r="BX3" s="604">
        <f>IFERROR((HostBuild[SAN (GB)
End-State
DO NOT USE TO BUILD]+HostBuild[SAN (GB) Shared])*25%,"")</f>
        <v>16.850000000000001</v>
      </c>
      <c r="BY3" s="608">
        <f>IFERROR(HostBuild[Archive
Full (GB)]*15%,"")</f>
        <v>2.5275000000000003</v>
      </c>
      <c r="BZ3" s="544"/>
      <c r="CA3" s="544"/>
      <c r="CB3" s="545"/>
      <c r="CC3" s="546"/>
      <c r="CD3" s="545"/>
      <c r="CE3" s="547"/>
      <c r="CF3" s="539"/>
      <c r="CG3" s="609"/>
      <c r="CH3" s="548"/>
      <c r="CI3" s="549"/>
      <c r="CJ3" s="550" t="s">
        <v>4127</v>
      </c>
      <c r="CK3" s="551"/>
      <c r="CL3" s="552">
        <f>IFERROR(IF(FIND(CL$1,$W3)&gt;0,IF(INDEX(Product_Pricing_Table[],MATCH(CL$1,Products,0),2)="Cores",IF(HostBuild[Use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 s="552">
        <f>IFERROR(IF(FIND(CM$1,$W3)&gt;0,IF(INDEX(Product_Pricing_Table[],MATCH(CM$1,Products,0),2)="Cores",IF(HostBuild[Use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 s="552">
        <f>IFERROR(IF(FIND(CN$1,$W3)&gt;0,IF(INDEX(Product_Pricing_Table[],MATCH(CN$1,Products,0),2)="Cores",IF(HostBuild[Use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 s="552">
        <f>IFERROR(IF(FIND(CO$1,$W3)&gt;0,IF(INDEX(Product_Pricing_Table[],MATCH(CO$1,Products,0),2)="Cores",IF(HostBuild[Use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 s="552">
        <f>IFERROR(IF(FIND(CP$1,$W3)&gt;0,IF(INDEX(Product_Pricing_Table[],MATCH(CP$1,Products,0),2)="Cores",IF(HostBuild[Use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 s="552">
        <f>IFERROR(IF(FIND(CQ$1,$W3)&gt;0,IF(INDEX(Product_Pricing_Table[],MATCH(CQ$1,Products,0),2)="Cores",IF(HostBuild[Use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 s="552">
        <f>IFERROR(IF(FIND(CR$1,$W3)&gt;0,IF(INDEX(Product_Pricing_Table[],MATCH(CR$1,Products,0),2)="Cores",IF(HostBuild[Use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 s="552">
        <f>IFERROR(IF(FIND(CS$1,$W3)&gt;0,IF(INDEX(Product_Pricing_Table[],MATCH(CS$1,Products,0),2)="Cores",IF(HostBuild[Use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 s="552">
        <f>IFERROR(IF(FIND(CT$1,$W3)&gt;0,IF(INDEX(Product_Pricing_Table[],MATCH(CT$1,Products,0),2)="Cores",IF(HostBuild[Use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 s="552">
        <f>IFERROR(IF(FIND(CU$1,$W3)&gt;0,IF(INDEX(Product_Pricing_Table[],MATCH(CU$1,Products,0),2)="Cores",IF(HostBuild[Use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 s="552">
        <f>IFERROR(IF(FIND(CV$1,$W3)&gt;0,IF(INDEX(Product_Pricing_Table[],MATCH(CV$1,Products,0),2)="Cores",IF(HostBuild[Use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 s="552">
        <f>IFERROR(IF(FIND(CW$1,$W3)&gt;0,IF(INDEX(Product_Pricing_Table[],MATCH(CW$1,Products,0),2)="Cores",IF(HostBuild[Use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 s="552">
        <f>IFERROR(IF(FIND(CX$1,$W3)&gt;0,IF(INDEX(Product_Pricing_Table[],MATCH(CX$1,Products,0),2)="Cores",IF(HostBuild[Use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 s="552">
        <f>IFERROR(IF(FIND(CY$1,$W3)&gt;0,IF(INDEX(Product_Pricing_Table[],MATCH(CY$1,Products,0),2)="Cores",IF(HostBuild[Use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 s="552">
        <f>IFERROR(IF(FIND(CZ$1,$W3)&gt;0,IF(INDEX(Product_Pricing_Table[],MATCH(CZ$1,Products,0),2)="Cores",IF(HostBuild[Use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 s="552">
        <f>IFERROR(IF(FIND(DA$1,$W3)&gt;0,IF(INDEX(Product_Pricing_Table[],MATCH(DA$1,Products,0),2)="Cores",IF(HostBuild[Use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 s="552">
        <f>IFERROR(IF(FIND(DB$1,$W3)&gt;0,IF(INDEX(Product_Pricing_Table[],MATCH(DB$1,Products,0),2)="Cores",IF(HostBuild[Use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 s="552">
        <f>IFERROR(IF(FIND(DC$1,$W3)&gt;0,IF(INDEX(Product_Pricing_Table[],MATCH(DC$1,Products,0),2)="Cores",IF(HostBuild[Use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 s="552">
        <f>IFERROR(IF(FIND(DD$1,$W3)&gt;0,IF(INDEX(Product_Pricing_Table[],MATCH(DD$1,Products,0),2)="Cores",IF(HostBuild[Use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 s="552">
        <f>IFERROR(IF(FIND(DE$1,$W3)&gt;0,IF(INDEX(Product_Pricing_Table[],MATCH(DE$1,Products,0),2)="Cores",IF(HostBuild[Use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 s="553">
        <f>IFERROR(IF(FIND(DF$1,$W3)&gt;0,IF(INDEX(Product_Pricing_Table[],MATCH(DF$1,Products,0),2)="Cores",IF(HostBuild[Use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 s="553">
        <f>IFERROR(IF(FIND(DG$1,$W3)&gt;0,IF(INDEX(Product_Pricing_Table[],MATCH(DG$1,Products,0),2)="Cores",IF(HostBuild[Use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 s="552">
        <f>IFERROR(IF(FIND(DH$1,$W3)&gt;0,IF(INDEX(Product_Pricing_Table[],MATCH(DH$1,Products,0),2)="Cores",IF(HostBuild[Use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 s="553">
        <f>IFERROR(IF(FIND(DI$1,$W3)&gt;0,IF(INDEX(Product_Pricing_Table[],MATCH(DI$1,Products,0),2)="Cores",IF(HostBuild[Use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 s="552">
        <f>IFERROR(IF(FIND(DJ$1,$W3)&gt;0,IF(INDEX(Product_Pricing_Table[],MATCH(DJ$1,Products,0),2)="Cores",IF(HostBuild[Use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 s="552">
        <f>IFERROR(IF(FIND(DK$1,$W3)&gt;0,IF(INDEX(Product_Pricing_Table[],MATCH(DK$1,Products,0),2)="Cores",IF(HostBuild[Use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 s="552">
        <f>IFERROR(IF(FIND(DL$1,$W3)&gt;0,IF(INDEX(Product_Pricing_Table[],MATCH(DL$1,Products,0),2)="Cores",IF(HostBuild[Use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 s="552">
        <f>IFERROR(IF(FIND(DM$1,$W3)&gt;0,IF(INDEX(Product_Pricing_Table[],MATCH(DM$1,Products,0),2)="Cores",IF(HostBuild[Use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 s="552">
        <f>IFERROR(IF(FIND(DN$1,$W3)&gt;0,IF(INDEX(Product_Pricing_Table[],MATCH(DN$1,Products,0),2)="Cores",IF(HostBuild[Use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 s="552">
        <f>IFERROR(IF(FIND(DO$1,$W3)&gt;0,IF(INDEX(Product_Pricing_Table[],MATCH(DO$1,Products,0),2)="Cores",IF(HostBuild[Use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 s="552">
        <f>IFERROR(IF(FIND(DP$1,$W3)&gt;0,IF(INDEX(Product_Pricing_Table[],MATCH(DP$1,Products,0),2)="Cores",IF(HostBuild[Use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 s="552">
        <f>IFERROR(IF(FIND(DQ$1,$W3)&gt;0,IF(INDEX(Product_Pricing_Table[],MATCH(DQ$1,Products,0),2)="Cores",IF(HostBuild[Use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 s="552">
        <f>IFERROR(IF(FIND(DR$1,$W3)&gt;0,IF(INDEX(Product_Pricing_Table[],MATCH(DR$1,Products,0),2)="Cores",IF(HostBuild[Use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 s="552">
        <f>IFERROR(IF(FIND(DS$1,$W3)&gt;0,IF(INDEX(Product_Pricing_Table[],MATCH(DS$1,Products,0),2)="Cores",IF(HostBuild[Use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 s="552">
        <f>IFERROR(IF(FIND(DT$1,$W3)&gt;0,IF(INDEX(Product_Pricing_Table[],MATCH(DT$1,Products,0),2)="Cores",IF(HostBuild[Use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 s="552">
        <f>IFERROR(IF(FIND(DU$1,$W3)&gt;0,IF(INDEX(Product_Pricing_Table[],MATCH(DU$1,Products,0),2)="Cores",IF(HostBuild[Use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 s="552">
        <f>IFERROR(IF(FIND(DV$1,$W3)&gt;0,IF(INDEX(Product_Pricing_Table[],MATCH(DV$1,Products,0),2)="Cores",IF(HostBuild[Use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 s="552">
        <f>IFERROR(IF(FIND(DW$1,$W3)&gt;0,IF(INDEX(Product_Pricing_Table[],MATCH(DW$1,Products,0),2)="Cores",IF(HostBuild[Use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 s="552">
        <f>IFERROR(IF(FIND(DX$1,$W3)&gt;0,IF(INDEX(Product_Pricing_Table[],MATCH(DX$1,Products,0),2)="Cores",IF(HostBuild[Use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 s="552">
        <f>IFERROR(IF(FIND(DY$1,$W3)&gt;0,IF(INDEX(Product_Pricing_Table[],MATCH(DY$1,Products,0),2)="Cores",IF(HostBuild[Use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 s="552">
        <f>IFERROR(IF(FIND(DZ$1,$W3)&gt;0,IF(INDEX(Product_Pricing_Table[],MATCH(DZ$1,Products,0),2)="Cores",IF(HostBuild[Use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 s="552">
        <f>IFERROR(IF(FIND(EA$1,$W3)&gt;0,IF(INDEX(Product_Pricing_Table[],MATCH(EA$1,Products,0),2)="Cores",IF(HostBuild[Use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 s="552">
        <f>IFERROR(IF(FIND(EB$1,$W3)&gt;0,IF(INDEX(Product_Pricing_Table[],MATCH(EB$1,Products,0),2)="Cores",IF(HostBuild[Use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 s="553">
        <f>IFERROR(IF(FIND(EC$1,$W3)&gt;0,IF(INDEX(Product_Pricing_Table[],MATCH(EC$1,Products,0),2)="Cores",IF(HostBuild[Use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 s="552">
        <f>IFERROR(IF(FIND(ED$1,$W3)&gt;0,IF(INDEX(Product_Pricing_Table[],MATCH(ED$1,Products,0),2)="Cores",IF(HostBuild[Use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 s="552">
        <f>IFERROR(IF(FIND(EE$1,$W3)&gt;0,IF(INDEX(Product_Pricing_Table[],MATCH(EE$1,Products,0),2)="Cores",IF(HostBuild[Use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 s="552">
        <f>IFERROR(IF(FIND(EF$1,$W3)&gt;0,IF(INDEX(Product_Pricing_Table[],MATCH(EF$1,Products,0),2)="Cores",IF(HostBuild[Use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 s="552">
        <f>IFERROR(IF(FIND(EG$1,$W3)&gt;0,IF(INDEX(Product_Pricing_Table[],MATCH(EG$1,Products,0),2)="Cores",IF(HostBuild[Use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 s="552">
        <f>IFERROR(IF(FIND(EH$1,$W3)&gt;0,IF(INDEX(Product_Pricing_Table[],MATCH(EH$1,Products,0),2)="Cores",IF(HostBuild[Use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 s="552">
        <f>IFERROR(IF(FIND(EI$1,$W3)&gt;0,IF(INDEX(Product_Pricing_Table[],MATCH(EI$1,Products,0),2)="Cores",IF(HostBuild[Use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 s="552">
        <f>IFERROR(IF(FIND(EJ$1,$W3)&gt;0,IF(INDEX(Product_Pricing_Table[],MATCH(EJ$1,Products,0),2)="Cores",IF(HostBuild[Use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 s="553">
        <f>IFERROR(IF(FIND(EK$1,$W3)&gt;0,IF(INDEX(Product_Pricing_Table[],MATCH(EK$1,Products,0),2)="Cores",IF(HostBuild[Use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 s="554"/>
      <c r="EM3" s="555"/>
      <c r="EN3" s="556"/>
      <c r="EO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3" s="558">
        <f>(HostBuild[Archive
Full (GB)]+HostBuild[Archive
Incr (GB)])*Storage_DC_Dist_Tape_2014</f>
        <v>6.7821249999999997</v>
      </c>
      <c r="ER3" s="558">
        <f>IF(ISNUMBER(HostBuild[Server HW Costs
(Monthly)]),SUM(HostBuild[[#This Row],[Server HW Costs
(Monthly)]:[Tape Costs
(Monthly)]]),0)</f>
        <v>78.900125000000003</v>
      </c>
      <c r="ES3" s="559">
        <f>HostBuild[Software Costs
'[Year 1']
(Monthly)]+HostBuild[Total Hardware Costs
(Monthly)]</f>
        <v>78.900125000000003</v>
      </c>
      <c r="ET3" s="559">
        <f>IFERROR(IF(FIND("Safenet",HostBuild[Server Model]),Safenet_PSE_PL600_Maint,0),0)+IFERROR(IF(FIND("XI52",HostBuild[Server Model]),IBM_DIA_XI52_Maint,0),0)+HostBuild[Software Costs
'[After Year 1']
(Monthly)]+HostBuild[Total Hardware Costs
(Monthly)]</f>
        <v>78.900125000000003</v>
      </c>
      <c r="EU3" s="560">
        <f>SUM(HostBuild[[#This Row],[Server Cost Breakdown]:[Network Cost]])</f>
        <v>0</v>
      </c>
      <c r="EV3" s="561">
        <f>IF(HostBuild[Existing Server?]="Yes - Inside this BoM",0,SUMIF(HostBuild[Alias],HostBuild[Alias],HostBuild[CPU])+SUMIF(HostBuild[Alias],HostBuild[Alias],HostBuild[Existing CPUs]))</f>
        <v>0</v>
      </c>
      <c r="EW3" s="561">
        <f>IF(HostBuild[Existing Server?]="Yes - Inside this BoM",0,SUMIF(HostBuild[Alias],HostBuild[Alias],HostBuild[Cores 
(Licensed Units)])+SUMIF(HostBuild[Alias],HostBuild[Alias],HostBuild[Existing Cores]))</f>
        <v>0</v>
      </c>
      <c r="EX3" s="561">
        <f>IF(HostBuild[Existing Server?]="Yes - Inside this BoM",0,SUMIF(HostBuild[Alias],HostBuild[Alias],HostBuild[RAM 
(GB)])+SUMIF(HostBuild[Alias],HostBuild[Alias],HostBuild[Existing RAM (GB)]))</f>
        <v>0</v>
      </c>
      <c r="EY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 s="560">
        <f>IF(ISBLANK(HostBuild[Server Model]),0,IF(HostBuild[Server Tier]="VMware",0,VLOOKUP(HostBuild[Server Tier],ServerTierRates[#Data],2,0))*HostBuild[CPU]*IF(AND(HostBuild[Server Type]="pSeries",HostBuild[Virtual Platform Storage Type]="Cloud-SAN"),0.25,1))</f>
        <v>0</v>
      </c>
      <c r="FD3" s="560">
        <f>0</f>
        <v>0</v>
      </c>
      <c r="FE3" s="560">
        <f>IF(HostBuild[Server Type]="VMware",HostBuild[RAM 
(GB)]*IF(ISERROR(FIND("DevCloud", HostBuild[Server Model])&gt;0),vRAM_per_vCPU_2014_Monthly,vRAM_per_vCPU_2014_Daily*30),0)</f>
        <v>0</v>
      </c>
      <c r="FF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 s="563">
        <f>IF(HostBuild[Server Tier]="VMware",0,IF(LEFT(HostBuild[Existing Server?],3)="Yes",0,IF(OR(HostBuild[Server Type]="Sun",HostBuild[Server Type]="pSeries"),Support_Direct_Server_Sun_per_OS_2014,IF(HostBuild[Server Type]="x86",Support_Direct_Server_x86_Wintel_per_OS_2014,0))))</f>
        <v>0</v>
      </c>
      <c r="FI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 spans="1:178" s="262" customFormat="1" ht="15" customHeight="1">
      <c r="A4" s="360" t="s">
        <v>3942</v>
      </c>
      <c r="B4" s="521"/>
      <c r="C4" s="521"/>
      <c r="D4" s="521"/>
      <c r="E4" s="522"/>
      <c r="F4" s="522"/>
      <c r="G4" s="597"/>
      <c r="H4" s="597"/>
      <c r="I4" s="523"/>
      <c r="J4" s="522"/>
      <c r="K4" s="522"/>
      <c r="L4" s="522"/>
      <c r="M4" s="597" t="e">
        <f ca="1">IF(rngIsDate(HostBuild[CTO Acceptance]),"Y","N")</f>
        <v>#NAME?</v>
      </c>
      <c r="N4" s="361" t="s">
        <v>3938</v>
      </c>
      <c r="O4" s="525"/>
      <c r="P4" s="525"/>
      <c r="Q4" s="361" t="s">
        <v>4005</v>
      </c>
      <c r="R4" s="526" t="str">
        <f>IF(NOT(ISBLANK(HostBuild[Env Label])),IFERROR(VLOOKUP(HostBuild[Env Label],tEnv[],3,FALSE),""),"")</f>
        <v>PROD</v>
      </c>
      <c r="S4" s="598"/>
      <c r="T4" s="527"/>
      <c r="U4" s="599"/>
      <c r="V4" s="524" t="s">
        <v>206</v>
      </c>
      <c r="W4" s="524" t="s">
        <v>3999</v>
      </c>
      <c r="X4" s="524" t="s">
        <v>35</v>
      </c>
      <c r="Y4" s="361" t="s">
        <v>481</v>
      </c>
      <c r="Z4" s="526" t="str">
        <f>IF(NOT(ISBLANK(HostBuild[[#This Row],[Product 
(Acronym)]])),CONCATENATE(HostBuild[[#This Row],[Type]],"-",HostBuild[[#This Row],[Product 
(Acronym)]]),"")</f>
        <v>AP-ESB</v>
      </c>
      <c r="AA4" s="600"/>
      <c r="AB4" s="600" t="s">
        <v>3985</v>
      </c>
      <c r="AC4" s="528"/>
      <c r="AD4" s="529"/>
      <c r="AE4" s="529"/>
      <c r="AF4" s="530" t="s">
        <v>3986</v>
      </c>
      <c r="AG4" s="531"/>
      <c r="AH4" s="601"/>
      <c r="AI4" s="362" t="s">
        <v>3997</v>
      </c>
      <c r="AJ4" s="524">
        <f>IF(COUNTIF(HostBuild[Alias],HostBuild[Alias]),1/COUNTIF(HostBuild[Alias],HostBuild[Alias]),0)</f>
        <v>1</v>
      </c>
      <c r="AK4" s="531"/>
      <c r="AL4" s="531"/>
      <c r="AM4" s="532" t="s">
        <v>2173</v>
      </c>
      <c r="AN4" s="533" t="str">
        <f>IF(NOT(ISBLANK(HostBuild[Server Model])),VLOOKUP(HostBuild[Server Model],ServerModelsTier[],2,FALSE),"")</f>
        <v>x86 Tier 3</v>
      </c>
      <c r="AO4" s="533" t="str">
        <f>IF(NOT(ISBLANK(HostBuild[Server Model])),VLOOKUP(HostBuild[Server Model],ServerModelsTier[],5,FALSE),"")</f>
        <v>x86</v>
      </c>
      <c r="AP4" s="532"/>
      <c r="AQ4" s="532" t="s">
        <v>2337</v>
      </c>
      <c r="AR4" s="534"/>
      <c r="AS4" s="602"/>
      <c r="AT4" s="535"/>
      <c r="AU4" s="603" t="str">
        <f>IF(IFERROR(FIND("P-Series",HostBuild[Server Tier]),0),CEILING((HostBuild[Existing CPUs]+HostBuild[CPU])*16,8),"")</f>
        <v/>
      </c>
      <c r="AV4" s="536"/>
      <c r="AW4" s="531"/>
      <c r="AX4" s="531"/>
      <c r="AY4" s="531"/>
      <c r="AZ4" s="537"/>
      <c r="BA4" s="531"/>
      <c r="BB4" s="531"/>
      <c r="BC4" s="529"/>
      <c r="BD4" s="531"/>
      <c r="BE4" s="531"/>
      <c r="BF4" s="531"/>
      <c r="BG4" s="531"/>
      <c r="BH4" s="531"/>
      <c r="BI4" s="531"/>
      <c r="BJ4" s="531"/>
      <c r="BK4"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4" s="538">
        <v>60</v>
      </c>
      <c r="BM4" s="540">
        <f>IF(ISNUMBER(HostBuild[Recommended SAN (GB)]),HostBuild[Recommended SAN (GB)])+IF(HostBuild[Additional SAN (GB)]&gt;0,CEILING(HostBuild[Additional SAN (GB)],LUN),-(CEILING(-HostBuild[Additional SAN (GB)],LUN)))</f>
        <v>67.400000000000006</v>
      </c>
      <c r="BN4" s="539"/>
      <c r="BO4" s="540">
        <f>HostBuild[SAN (GB)
NEEDED TODAY]+CEILING(HostBuild[SAN (GB)
RESERVED
DO NOT USE TO BUILD], LUN)</f>
        <v>67.400000000000006</v>
      </c>
      <c r="BP4" s="541"/>
      <c r="BQ4" s="542"/>
      <c r="BR4" s="432" t="s">
        <v>106</v>
      </c>
      <c r="BS4" s="605">
        <f>IF(HostBuild[Existing Server?]&lt;&gt;"Yes - Inside this BoM",IF(ISNUMBER(HostBuild[RAM 
(GB)]),IF(HostBuild[Existing RAM (GB)]+HostBuild[RAM 
(GB)]&gt;0,IF(HostBuild[Virtual Platform Storage Type]="NAS",110+HostBuild[Existing RAM (GB)]+HostBuild[RAM 
(GB)]*1.75,0),0),0),0)</f>
        <v>0</v>
      </c>
      <c r="BT4" s="606"/>
      <c r="BU4" s="607">
        <f>IF(ISNUMBER(HostBuild[Recommended NAS (GB)]),HostBuild[Recommended NAS (GB)])+HostBuild[Additional NAS (GB)]</f>
        <v>0</v>
      </c>
      <c r="BV4" s="543"/>
      <c r="BW4" s="543"/>
      <c r="BX4" s="604">
        <f>IFERROR((HostBuild[SAN (GB)
End-State
DO NOT USE TO BUILD]+HostBuild[SAN (GB) Shared])*25%,"")</f>
        <v>16.850000000000001</v>
      </c>
      <c r="BY4" s="608">
        <f>IFERROR(HostBuild[Archive
Full (GB)]*15%,"")</f>
        <v>2.5275000000000003</v>
      </c>
      <c r="BZ4" s="544"/>
      <c r="CA4" s="544"/>
      <c r="CB4" s="545"/>
      <c r="CC4" s="546"/>
      <c r="CD4" s="545"/>
      <c r="CE4" s="547"/>
      <c r="CF4" s="539"/>
      <c r="CG4" s="609"/>
      <c r="CH4" s="548"/>
      <c r="CI4" s="549"/>
      <c r="CJ4" s="550" t="s">
        <v>4127</v>
      </c>
      <c r="CK4" s="551"/>
      <c r="CL4" s="552">
        <f>IFERROR(IF(FIND(CL$1,$W4)&gt;0,IF(INDEX(Product_Pricing_Table[],MATCH(CL$1,Products,0),2)="Cores",IF(HostBuild[Use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 s="552">
        <f>IFERROR(IF(FIND(CM$1,$W4)&gt;0,IF(INDEX(Product_Pricing_Table[],MATCH(CM$1,Products,0),2)="Cores",IF(HostBuild[Use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 s="552">
        <f>IFERROR(IF(FIND(CN$1,$W4)&gt;0,IF(INDEX(Product_Pricing_Table[],MATCH(CN$1,Products,0),2)="Cores",IF(HostBuild[Use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 s="552">
        <f>IFERROR(IF(FIND(CO$1,$W4)&gt;0,IF(INDEX(Product_Pricing_Table[],MATCH(CO$1,Products,0),2)="Cores",IF(HostBuild[Use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 s="552">
        <f>IFERROR(IF(FIND(CP$1,$W4)&gt;0,IF(INDEX(Product_Pricing_Table[],MATCH(CP$1,Products,0),2)="Cores",IF(HostBuild[Use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 s="552">
        <f>IFERROR(IF(FIND(CQ$1,$W4)&gt;0,IF(INDEX(Product_Pricing_Table[],MATCH(CQ$1,Products,0),2)="Cores",IF(HostBuild[Use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 s="552">
        <f>IFERROR(IF(FIND(CR$1,$W4)&gt;0,IF(INDEX(Product_Pricing_Table[],MATCH(CR$1,Products,0),2)="Cores",IF(HostBuild[Use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 s="552">
        <f>IFERROR(IF(FIND(CS$1,$W4)&gt;0,IF(INDEX(Product_Pricing_Table[],MATCH(CS$1,Products,0),2)="Cores",IF(HostBuild[Use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 s="552">
        <f>IFERROR(IF(FIND(CT$1,$W4)&gt;0,IF(INDEX(Product_Pricing_Table[],MATCH(CT$1,Products,0),2)="Cores",IF(HostBuild[Use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 s="552">
        <f>IFERROR(IF(FIND(CU$1,$W4)&gt;0,IF(INDEX(Product_Pricing_Table[],MATCH(CU$1,Products,0),2)="Cores",IF(HostBuild[Use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 s="552">
        <f>IFERROR(IF(FIND(CV$1,$W4)&gt;0,IF(INDEX(Product_Pricing_Table[],MATCH(CV$1,Products,0),2)="Cores",IF(HostBuild[Use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 s="552">
        <f>IFERROR(IF(FIND(CW$1,$W4)&gt;0,IF(INDEX(Product_Pricing_Table[],MATCH(CW$1,Products,0),2)="Cores",IF(HostBuild[Use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 s="552">
        <f>IFERROR(IF(FIND(CX$1,$W4)&gt;0,IF(INDEX(Product_Pricing_Table[],MATCH(CX$1,Products,0),2)="Cores",IF(HostBuild[Use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 s="552">
        <f>IFERROR(IF(FIND(CY$1,$W4)&gt;0,IF(INDEX(Product_Pricing_Table[],MATCH(CY$1,Products,0),2)="Cores",IF(HostBuild[Use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 s="552">
        <f>IFERROR(IF(FIND(CZ$1,$W4)&gt;0,IF(INDEX(Product_Pricing_Table[],MATCH(CZ$1,Products,0),2)="Cores",IF(HostBuild[Use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 s="552">
        <f>IFERROR(IF(FIND(DA$1,$W4)&gt;0,IF(INDEX(Product_Pricing_Table[],MATCH(DA$1,Products,0),2)="Cores",IF(HostBuild[Use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 s="552">
        <f>IFERROR(IF(FIND(DB$1,$W4)&gt;0,IF(INDEX(Product_Pricing_Table[],MATCH(DB$1,Products,0),2)="Cores",IF(HostBuild[Use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 s="552">
        <f>IFERROR(IF(FIND(DC$1,$W4)&gt;0,IF(INDEX(Product_Pricing_Table[],MATCH(DC$1,Products,0),2)="Cores",IF(HostBuild[Use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 s="552">
        <f>IFERROR(IF(FIND(DD$1,$W4)&gt;0,IF(INDEX(Product_Pricing_Table[],MATCH(DD$1,Products,0),2)="Cores",IF(HostBuild[Use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 s="552">
        <f>IFERROR(IF(FIND(DE$1,$W4)&gt;0,IF(INDEX(Product_Pricing_Table[],MATCH(DE$1,Products,0),2)="Cores",IF(HostBuild[Use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 s="553">
        <f>IFERROR(IF(FIND(DF$1,$W4)&gt;0,IF(INDEX(Product_Pricing_Table[],MATCH(DF$1,Products,0),2)="Cores",IF(HostBuild[Use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 s="553">
        <f>IFERROR(IF(FIND(DG$1,$W4)&gt;0,IF(INDEX(Product_Pricing_Table[],MATCH(DG$1,Products,0),2)="Cores",IF(HostBuild[Use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 s="552">
        <f>IFERROR(IF(FIND(DH$1,$W4)&gt;0,IF(INDEX(Product_Pricing_Table[],MATCH(DH$1,Products,0),2)="Cores",IF(HostBuild[Use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 s="553">
        <f>IFERROR(IF(FIND(DI$1,$W4)&gt;0,IF(INDEX(Product_Pricing_Table[],MATCH(DI$1,Products,0),2)="Cores",IF(HostBuild[Use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 s="552">
        <f>IFERROR(IF(FIND(DJ$1,$W4)&gt;0,IF(INDEX(Product_Pricing_Table[],MATCH(DJ$1,Products,0),2)="Cores",IF(HostBuild[Use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 s="552">
        <f>IFERROR(IF(FIND(DK$1,$W4)&gt;0,IF(INDEX(Product_Pricing_Table[],MATCH(DK$1,Products,0),2)="Cores",IF(HostBuild[Use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 s="552">
        <f>IFERROR(IF(FIND(DL$1,$W4)&gt;0,IF(INDEX(Product_Pricing_Table[],MATCH(DL$1,Products,0),2)="Cores",IF(HostBuild[Use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 s="552">
        <f>IFERROR(IF(FIND(DM$1,$W4)&gt;0,IF(INDEX(Product_Pricing_Table[],MATCH(DM$1,Products,0),2)="Cores",IF(HostBuild[Use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 s="552">
        <f>IFERROR(IF(FIND(DN$1,$W4)&gt;0,IF(INDEX(Product_Pricing_Table[],MATCH(DN$1,Products,0),2)="Cores",IF(HostBuild[Use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 s="552">
        <f>IFERROR(IF(FIND(DO$1,$W4)&gt;0,IF(INDEX(Product_Pricing_Table[],MATCH(DO$1,Products,0),2)="Cores",IF(HostBuild[Use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 s="552">
        <f>IFERROR(IF(FIND(DP$1,$W4)&gt;0,IF(INDEX(Product_Pricing_Table[],MATCH(DP$1,Products,0),2)="Cores",IF(HostBuild[Use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 s="552">
        <f>IFERROR(IF(FIND(DQ$1,$W4)&gt;0,IF(INDEX(Product_Pricing_Table[],MATCH(DQ$1,Products,0),2)="Cores",IF(HostBuild[Use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 s="552">
        <f>IFERROR(IF(FIND(DR$1,$W4)&gt;0,IF(INDEX(Product_Pricing_Table[],MATCH(DR$1,Products,0),2)="Cores",IF(HostBuild[Use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 s="552">
        <f>IFERROR(IF(FIND(DS$1,$W4)&gt;0,IF(INDEX(Product_Pricing_Table[],MATCH(DS$1,Products,0),2)="Cores",IF(HostBuild[Use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 s="552">
        <f>IFERROR(IF(FIND(DT$1,$W4)&gt;0,IF(INDEX(Product_Pricing_Table[],MATCH(DT$1,Products,0),2)="Cores",IF(HostBuild[Use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 s="552">
        <f>IFERROR(IF(FIND(DU$1,$W4)&gt;0,IF(INDEX(Product_Pricing_Table[],MATCH(DU$1,Products,0),2)="Cores",IF(HostBuild[Use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 s="552">
        <f>IFERROR(IF(FIND(DV$1,$W4)&gt;0,IF(INDEX(Product_Pricing_Table[],MATCH(DV$1,Products,0),2)="Cores",IF(HostBuild[Use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 s="552">
        <f>IFERROR(IF(FIND(DW$1,$W4)&gt;0,IF(INDEX(Product_Pricing_Table[],MATCH(DW$1,Products,0),2)="Cores",IF(HostBuild[Use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 s="552">
        <f>IFERROR(IF(FIND(DX$1,$W4)&gt;0,IF(INDEX(Product_Pricing_Table[],MATCH(DX$1,Products,0),2)="Cores",IF(HostBuild[Use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 s="552">
        <f>IFERROR(IF(FIND(DY$1,$W4)&gt;0,IF(INDEX(Product_Pricing_Table[],MATCH(DY$1,Products,0),2)="Cores",IF(HostBuild[Use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 s="552">
        <f>IFERROR(IF(FIND(DZ$1,$W4)&gt;0,IF(INDEX(Product_Pricing_Table[],MATCH(DZ$1,Products,0),2)="Cores",IF(HostBuild[Use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 s="552">
        <f>IFERROR(IF(FIND(EA$1,$W4)&gt;0,IF(INDEX(Product_Pricing_Table[],MATCH(EA$1,Products,0),2)="Cores",IF(HostBuild[Use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 s="552">
        <f>IFERROR(IF(FIND(EB$1,$W4)&gt;0,IF(INDEX(Product_Pricing_Table[],MATCH(EB$1,Products,0),2)="Cores",IF(HostBuild[Use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 s="553">
        <f>IFERROR(IF(FIND(EC$1,$W4)&gt;0,IF(INDEX(Product_Pricing_Table[],MATCH(EC$1,Products,0),2)="Cores",IF(HostBuild[Use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 s="552">
        <f>IFERROR(IF(FIND(ED$1,$W4)&gt;0,IF(INDEX(Product_Pricing_Table[],MATCH(ED$1,Products,0),2)="Cores",IF(HostBuild[Use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 s="552">
        <f>IFERROR(IF(FIND(EE$1,$W4)&gt;0,IF(INDEX(Product_Pricing_Table[],MATCH(EE$1,Products,0),2)="Cores",IF(HostBuild[Use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 s="552">
        <f>IFERROR(IF(FIND(EF$1,$W4)&gt;0,IF(INDEX(Product_Pricing_Table[],MATCH(EF$1,Products,0),2)="Cores",IF(HostBuild[Use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 s="552">
        <f>IFERROR(IF(FIND(EG$1,$W4)&gt;0,IF(INDEX(Product_Pricing_Table[],MATCH(EG$1,Products,0),2)="Cores",IF(HostBuild[Use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 s="552">
        <f>IFERROR(IF(FIND(EH$1,$W4)&gt;0,IF(INDEX(Product_Pricing_Table[],MATCH(EH$1,Products,0),2)="Cores",IF(HostBuild[Use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 s="552">
        <f>IFERROR(IF(FIND(EI$1,$W4)&gt;0,IF(INDEX(Product_Pricing_Table[],MATCH(EI$1,Products,0),2)="Cores",IF(HostBuild[Use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 s="552">
        <f>IFERROR(IF(FIND(EJ$1,$W4)&gt;0,IF(INDEX(Product_Pricing_Table[],MATCH(EJ$1,Products,0),2)="Cores",IF(HostBuild[Use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 s="553">
        <f>IFERROR(IF(FIND(EK$1,$W4)&gt;0,IF(INDEX(Product_Pricing_Table[],MATCH(EK$1,Products,0),2)="Cores",IF(HostBuild[Use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 s="554"/>
      <c r="EM4" s="555"/>
      <c r="EN4" s="556"/>
      <c r="EO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4" s="558">
        <f>(HostBuild[Archive
Full (GB)]+HostBuild[Archive
Incr (GB)])*Storage_DC_Dist_Tape_2014</f>
        <v>6.7821249999999997</v>
      </c>
      <c r="ER4" s="558">
        <f>IF(ISNUMBER(HostBuild[Server HW Costs
(Monthly)]),SUM(HostBuild[[#This Row],[Server HW Costs
(Monthly)]:[Tape Costs
(Monthly)]]),0)</f>
        <v>78.900125000000003</v>
      </c>
      <c r="ES4" s="559">
        <f>HostBuild[Software Costs
'[Year 1']
(Monthly)]+HostBuild[Total Hardware Costs
(Monthly)]</f>
        <v>78.900125000000003</v>
      </c>
      <c r="ET4" s="559">
        <f>IFERROR(IF(FIND("Safenet",HostBuild[Server Model]),Safenet_PSE_PL600_Maint,0),0)+IFERROR(IF(FIND("XI52",HostBuild[Server Model]),IBM_DIA_XI52_Maint,0),0)+HostBuild[Software Costs
'[After Year 1']
(Monthly)]+HostBuild[Total Hardware Costs
(Monthly)]</f>
        <v>78.900125000000003</v>
      </c>
      <c r="EU4" s="560">
        <f>SUM(HostBuild[[#This Row],[Server Cost Breakdown]:[Network Cost]])</f>
        <v>0</v>
      </c>
      <c r="EV4" s="561">
        <f>IF(HostBuild[Existing Server?]="Yes - Inside this BoM",0,SUMIF(HostBuild[Alias],HostBuild[Alias],HostBuild[CPU])+SUMIF(HostBuild[Alias],HostBuild[Alias],HostBuild[Existing CPUs]))</f>
        <v>0</v>
      </c>
      <c r="EW4" s="561">
        <f>IF(HostBuild[Existing Server?]="Yes - Inside this BoM",0,SUMIF(HostBuild[Alias],HostBuild[Alias],HostBuild[Cores 
(Licensed Units)])+SUMIF(HostBuild[Alias],HostBuild[Alias],HostBuild[Existing Cores]))</f>
        <v>0</v>
      </c>
      <c r="EX4" s="561">
        <f>IF(HostBuild[Existing Server?]="Yes - Inside this BoM",0,SUMIF(HostBuild[Alias],HostBuild[Alias],HostBuild[RAM 
(GB)])+SUMIF(HostBuild[Alias],HostBuild[Alias],HostBuild[Existing RAM (GB)]))</f>
        <v>0</v>
      </c>
      <c r="EY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 s="560">
        <f>IF(ISBLANK(HostBuild[Server Model]),0,IF(HostBuild[Server Tier]="VMware",0,VLOOKUP(HostBuild[Server Tier],ServerTierRates[#Data],2,0))*HostBuild[CPU]*IF(AND(HostBuild[Server Type]="pSeries",HostBuild[Virtual Platform Storage Type]="Cloud-SAN"),0.25,1))</f>
        <v>0</v>
      </c>
      <c r="FD4" s="560">
        <f>0</f>
        <v>0</v>
      </c>
      <c r="FE4" s="560">
        <f>IF(HostBuild[Server Type]="VMware",HostBuild[RAM 
(GB)]*IF(ISERROR(FIND("DevCloud", HostBuild[Server Model])&gt;0),vRAM_per_vCPU_2014_Monthly,vRAM_per_vCPU_2014_Daily*30),0)</f>
        <v>0</v>
      </c>
      <c r="FF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 s="563">
        <f>IF(HostBuild[Server Tier]="VMware",0,IF(LEFT(HostBuild[Existing Server?],3)="Yes",0,IF(OR(HostBuild[Server Type]="Sun",HostBuild[Server Type]="pSeries"),Support_Direct_Server_Sun_per_OS_2014,IF(HostBuild[Server Type]="x86",Support_Direct_Server_x86_Wintel_per_OS_2014,0))))</f>
        <v>0</v>
      </c>
      <c r="FI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 spans="1:178" s="262" customFormat="1" ht="15" customHeight="1">
      <c r="A5" s="360" t="s">
        <v>3942</v>
      </c>
      <c r="B5" s="521"/>
      <c r="C5" s="521"/>
      <c r="D5" s="521"/>
      <c r="E5" s="522"/>
      <c r="F5" s="522"/>
      <c r="G5" s="597"/>
      <c r="H5" s="597"/>
      <c r="I5" s="523"/>
      <c r="J5" s="522"/>
      <c r="K5" s="522"/>
      <c r="L5" s="522"/>
      <c r="M5" s="597" t="e">
        <f ca="1">IF(rngIsDate(HostBuild[CTO Acceptance]),"Y","N")</f>
        <v>#NAME?</v>
      </c>
      <c r="N5" s="361" t="s">
        <v>3938</v>
      </c>
      <c r="O5" s="525"/>
      <c r="P5" s="525"/>
      <c r="Q5" s="361" t="s">
        <v>4005</v>
      </c>
      <c r="R5" s="526" t="str">
        <f>IF(NOT(ISBLANK(HostBuild[Env Label])),IFERROR(VLOOKUP(HostBuild[Env Label],tEnv[],3,FALSE),""),"")</f>
        <v>PROD</v>
      </c>
      <c r="S5" s="598"/>
      <c r="T5" s="527"/>
      <c r="U5" s="599"/>
      <c r="V5" s="524" t="s">
        <v>206</v>
      </c>
      <c r="W5" s="524" t="s">
        <v>3999</v>
      </c>
      <c r="X5" s="524" t="s">
        <v>35</v>
      </c>
      <c r="Y5" s="361" t="s">
        <v>481</v>
      </c>
      <c r="Z5" s="526" t="str">
        <f>IF(NOT(ISBLANK(HostBuild[[#This Row],[Product 
(Acronym)]])),CONCATENATE(HostBuild[[#This Row],[Type]],"-",HostBuild[[#This Row],[Product 
(Acronym)]]),"")</f>
        <v>AP-ESB</v>
      </c>
      <c r="AA5" s="600"/>
      <c r="AB5" s="600" t="s">
        <v>3985</v>
      </c>
      <c r="AC5" s="528"/>
      <c r="AD5" s="529"/>
      <c r="AE5" s="529"/>
      <c r="AF5" s="530" t="s">
        <v>3986</v>
      </c>
      <c r="AG5" s="531"/>
      <c r="AH5" s="601"/>
      <c r="AI5" s="362" t="s">
        <v>3998</v>
      </c>
      <c r="AJ5" s="524">
        <f>IF(COUNTIF(HostBuild[Alias],HostBuild[Alias]),1/COUNTIF(HostBuild[Alias],HostBuild[Alias]),0)</f>
        <v>1</v>
      </c>
      <c r="AK5" s="531"/>
      <c r="AL5" s="531"/>
      <c r="AM5" s="532" t="s">
        <v>2173</v>
      </c>
      <c r="AN5" s="533" t="str">
        <f>IF(NOT(ISBLANK(HostBuild[Server Model])),VLOOKUP(HostBuild[Server Model],ServerModelsTier[],2,FALSE),"")</f>
        <v>x86 Tier 3</v>
      </c>
      <c r="AO5" s="533" t="str">
        <f>IF(NOT(ISBLANK(HostBuild[Server Model])),VLOOKUP(HostBuild[Server Model],ServerModelsTier[],5,FALSE),"")</f>
        <v>x86</v>
      </c>
      <c r="AP5" s="532"/>
      <c r="AQ5" s="532" t="s">
        <v>2337</v>
      </c>
      <c r="AR5" s="534"/>
      <c r="AS5" s="602"/>
      <c r="AT5" s="535"/>
      <c r="AU5" s="603" t="str">
        <f>IF(IFERROR(FIND("P-Series",HostBuild[Server Tier]),0),CEILING((HostBuild[Existing CPUs]+HostBuild[CPU])*16,8),"")</f>
        <v/>
      </c>
      <c r="AV5" s="536"/>
      <c r="AW5" s="531"/>
      <c r="AX5" s="531"/>
      <c r="AY5" s="531"/>
      <c r="AZ5" s="537"/>
      <c r="BA5" s="531"/>
      <c r="BB5" s="531"/>
      <c r="BC5" s="529"/>
      <c r="BD5" s="531"/>
      <c r="BE5" s="531"/>
      <c r="BF5" s="531"/>
      <c r="BG5" s="531"/>
      <c r="BH5" s="531"/>
      <c r="BI5" s="531"/>
      <c r="BJ5" s="531"/>
      <c r="BK5"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5" s="538">
        <v>60</v>
      </c>
      <c r="BM5" s="540">
        <f>IF(ISNUMBER(HostBuild[Recommended SAN (GB)]),HostBuild[Recommended SAN (GB)])+IF(HostBuild[Additional SAN (GB)]&gt;0,CEILING(HostBuild[Additional SAN (GB)],LUN),-(CEILING(-HostBuild[Additional SAN (GB)],LUN)))</f>
        <v>67.400000000000006</v>
      </c>
      <c r="BN5" s="539"/>
      <c r="BO5" s="540">
        <f>HostBuild[SAN (GB)
NEEDED TODAY]+CEILING(HostBuild[SAN (GB)
RESERVED
DO NOT USE TO BUILD], LUN)</f>
        <v>67.400000000000006</v>
      </c>
      <c r="BP5" s="541"/>
      <c r="BQ5" s="542"/>
      <c r="BR5" s="432" t="s">
        <v>106</v>
      </c>
      <c r="BS5" s="605">
        <f>IF(HostBuild[Existing Server?]&lt;&gt;"Yes - Inside this BoM",IF(ISNUMBER(HostBuild[RAM 
(GB)]),IF(HostBuild[Existing RAM (GB)]+HostBuild[RAM 
(GB)]&gt;0,IF(HostBuild[Virtual Platform Storage Type]="NAS",110+HostBuild[Existing RAM (GB)]+HostBuild[RAM 
(GB)]*1.75,0),0),0),0)</f>
        <v>0</v>
      </c>
      <c r="BT5" s="606"/>
      <c r="BU5" s="607">
        <f>IF(ISNUMBER(HostBuild[Recommended NAS (GB)]),HostBuild[Recommended NAS (GB)])+HostBuild[Additional NAS (GB)]</f>
        <v>0</v>
      </c>
      <c r="BV5" s="543"/>
      <c r="BW5" s="543"/>
      <c r="BX5" s="604">
        <f>IFERROR((HostBuild[SAN (GB)
End-State
DO NOT USE TO BUILD]+HostBuild[SAN (GB) Shared])*25%,"")</f>
        <v>16.850000000000001</v>
      </c>
      <c r="BY5" s="608">
        <f>IFERROR(HostBuild[Archive
Full (GB)]*15%,"")</f>
        <v>2.5275000000000003</v>
      </c>
      <c r="BZ5" s="544"/>
      <c r="CA5" s="544"/>
      <c r="CB5" s="545"/>
      <c r="CC5" s="546"/>
      <c r="CD5" s="545"/>
      <c r="CE5" s="547"/>
      <c r="CF5" s="539"/>
      <c r="CG5" s="609"/>
      <c r="CH5" s="548"/>
      <c r="CI5" s="549"/>
      <c r="CJ5" s="550" t="s">
        <v>4127</v>
      </c>
      <c r="CK5" s="551"/>
      <c r="CL5" s="552">
        <f>IFERROR(IF(FIND(CL$1,$W5)&gt;0,IF(INDEX(Product_Pricing_Table[],MATCH(CL$1,Products,0),2)="Cores",IF(HostBuild[Use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 s="552">
        <f>IFERROR(IF(FIND(CM$1,$W5)&gt;0,IF(INDEX(Product_Pricing_Table[],MATCH(CM$1,Products,0),2)="Cores",IF(HostBuild[Use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5" s="552">
        <f>IFERROR(IF(FIND(CN$1,$W5)&gt;0,IF(INDEX(Product_Pricing_Table[],MATCH(CN$1,Products,0),2)="Cores",IF(HostBuild[Use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 s="552">
        <f>IFERROR(IF(FIND(CO$1,$W5)&gt;0,IF(INDEX(Product_Pricing_Table[],MATCH(CO$1,Products,0),2)="Cores",IF(HostBuild[Use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 s="552">
        <f>IFERROR(IF(FIND(CP$1,$W5)&gt;0,IF(INDEX(Product_Pricing_Table[],MATCH(CP$1,Products,0),2)="Cores",IF(HostBuild[Use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 s="552">
        <f>IFERROR(IF(FIND(CQ$1,$W5)&gt;0,IF(INDEX(Product_Pricing_Table[],MATCH(CQ$1,Products,0),2)="Cores",IF(HostBuild[Use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 s="552">
        <f>IFERROR(IF(FIND(CR$1,$W5)&gt;0,IF(INDEX(Product_Pricing_Table[],MATCH(CR$1,Products,0),2)="Cores",IF(HostBuild[Use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 s="552">
        <f>IFERROR(IF(FIND(CS$1,$W5)&gt;0,IF(INDEX(Product_Pricing_Table[],MATCH(CS$1,Products,0),2)="Cores",IF(HostBuild[Use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 s="552">
        <f>IFERROR(IF(FIND(CT$1,$W5)&gt;0,IF(INDEX(Product_Pricing_Table[],MATCH(CT$1,Products,0),2)="Cores",IF(HostBuild[Use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 s="552">
        <f>IFERROR(IF(FIND(CU$1,$W5)&gt;0,IF(INDEX(Product_Pricing_Table[],MATCH(CU$1,Products,0),2)="Cores",IF(HostBuild[Use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 s="552">
        <f>IFERROR(IF(FIND(CV$1,$W5)&gt;0,IF(INDEX(Product_Pricing_Table[],MATCH(CV$1,Products,0),2)="Cores",IF(HostBuild[Use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 s="552">
        <f>IFERROR(IF(FIND(CW$1,$W5)&gt;0,IF(INDEX(Product_Pricing_Table[],MATCH(CW$1,Products,0),2)="Cores",IF(HostBuild[Use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 s="552">
        <f>IFERROR(IF(FIND(CX$1,$W5)&gt;0,IF(INDEX(Product_Pricing_Table[],MATCH(CX$1,Products,0),2)="Cores",IF(HostBuild[Use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 s="552">
        <f>IFERROR(IF(FIND(CY$1,$W5)&gt;0,IF(INDEX(Product_Pricing_Table[],MATCH(CY$1,Products,0),2)="Cores",IF(HostBuild[Use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 s="552">
        <f>IFERROR(IF(FIND(CZ$1,$W5)&gt;0,IF(INDEX(Product_Pricing_Table[],MATCH(CZ$1,Products,0),2)="Cores",IF(HostBuild[Use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 s="552">
        <f>IFERROR(IF(FIND(DA$1,$W5)&gt;0,IF(INDEX(Product_Pricing_Table[],MATCH(DA$1,Products,0),2)="Cores",IF(HostBuild[Use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 s="552">
        <f>IFERROR(IF(FIND(DB$1,$W5)&gt;0,IF(INDEX(Product_Pricing_Table[],MATCH(DB$1,Products,0),2)="Cores",IF(HostBuild[Use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 s="552">
        <f>IFERROR(IF(FIND(DC$1,$W5)&gt;0,IF(INDEX(Product_Pricing_Table[],MATCH(DC$1,Products,0),2)="Cores",IF(HostBuild[Use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 s="552">
        <f>IFERROR(IF(FIND(DD$1,$W5)&gt;0,IF(INDEX(Product_Pricing_Table[],MATCH(DD$1,Products,0),2)="Cores",IF(HostBuild[Use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 s="552">
        <f>IFERROR(IF(FIND(DE$1,$W5)&gt;0,IF(INDEX(Product_Pricing_Table[],MATCH(DE$1,Products,0),2)="Cores",IF(HostBuild[Use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 s="553">
        <f>IFERROR(IF(FIND(DF$1,$W5)&gt;0,IF(INDEX(Product_Pricing_Table[],MATCH(DF$1,Products,0),2)="Cores",IF(HostBuild[Use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 s="553">
        <f>IFERROR(IF(FIND(DG$1,$W5)&gt;0,IF(INDEX(Product_Pricing_Table[],MATCH(DG$1,Products,0),2)="Cores",IF(HostBuild[Use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 s="552">
        <f>IFERROR(IF(FIND(DH$1,$W5)&gt;0,IF(INDEX(Product_Pricing_Table[],MATCH(DH$1,Products,0),2)="Cores",IF(HostBuild[Use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 s="553">
        <f>IFERROR(IF(FIND(DI$1,$W5)&gt;0,IF(INDEX(Product_Pricing_Table[],MATCH(DI$1,Products,0),2)="Cores",IF(HostBuild[Use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 s="552">
        <f>IFERROR(IF(FIND(DJ$1,$W5)&gt;0,IF(INDEX(Product_Pricing_Table[],MATCH(DJ$1,Products,0),2)="Cores",IF(HostBuild[Use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 s="552">
        <f>IFERROR(IF(FIND(DK$1,$W5)&gt;0,IF(INDEX(Product_Pricing_Table[],MATCH(DK$1,Products,0),2)="Cores",IF(HostBuild[Use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 s="552">
        <f>IFERROR(IF(FIND(DL$1,$W5)&gt;0,IF(INDEX(Product_Pricing_Table[],MATCH(DL$1,Products,0),2)="Cores",IF(HostBuild[Use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 s="552">
        <f>IFERROR(IF(FIND(DM$1,$W5)&gt;0,IF(INDEX(Product_Pricing_Table[],MATCH(DM$1,Products,0),2)="Cores",IF(HostBuild[Use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 s="552">
        <f>IFERROR(IF(FIND(DN$1,$W5)&gt;0,IF(INDEX(Product_Pricing_Table[],MATCH(DN$1,Products,0),2)="Cores",IF(HostBuild[Use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 s="552">
        <f>IFERROR(IF(FIND(DO$1,$W5)&gt;0,IF(INDEX(Product_Pricing_Table[],MATCH(DO$1,Products,0),2)="Cores",IF(HostBuild[Use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 s="552">
        <f>IFERROR(IF(FIND(DP$1,$W5)&gt;0,IF(INDEX(Product_Pricing_Table[],MATCH(DP$1,Products,0),2)="Cores",IF(HostBuild[Use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 s="552">
        <f>IFERROR(IF(FIND(DQ$1,$W5)&gt;0,IF(INDEX(Product_Pricing_Table[],MATCH(DQ$1,Products,0),2)="Cores",IF(HostBuild[Use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 s="552">
        <f>IFERROR(IF(FIND(DR$1,$W5)&gt;0,IF(INDEX(Product_Pricing_Table[],MATCH(DR$1,Products,0),2)="Cores",IF(HostBuild[Use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 s="552">
        <f>IFERROR(IF(FIND(DS$1,$W5)&gt;0,IF(INDEX(Product_Pricing_Table[],MATCH(DS$1,Products,0),2)="Cores",IF(HostBuild[Use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 s="552">
        <f>IFERROR(IF(FIND(DT$1,$W5)&gt;0,IF(INDEX(Product_Pricing_Table[],MATCH(DT$1,Products,0),2)="Cores",IF(HostBuild[Use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 s="552">
        <f>IFERROR(IF(FIND(DU$1,$W5)&gt;0,IF(INDEX(Product_Pricing_Table[],MATCH(DU$1,Products,0),2)="Cores",IF(HostBuild[Use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 s="552">
        <f>IFERROR(IF(FIND(DV$1,$W5)&gt;0,IF(INDEX(Product_Pricing_Table[],MATCH(DV$1,Products,0),2)="Cores",IF(HostBuild[Use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 s="552">
        <f>IFERROR(IF(FIND(DW$1,$W5)&gt;0,IF(INDEX(Product_Pricing_Table[],MATCH(DW$1,Products,0),2)="Cores",IF(HostBuild[Use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 s="552">
        <f>IFERROR(IF(FIND(DX$1,$W5)&gt;0,IF(INDEX(Product_Pricing_Table[],MATCH(DX$1,Products,0),2)="Cores",IF(HostBuild[Use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 s="552">
        <f>IFERROR(IF(FIND(DY$1,$W5)&gt;0,IF(INDEX(Product_Pricing_Table[],MATCH(DY$1,Products,0),2)="Cores",IF(HostBuild[Use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 s="552">
        <f>IFERROR(IF(FIND(DZ$1,$W5)&gt;0,IF(INDEX(Product_Pricing_Table[],MATCH(DZ$1,Products,0),2)="Cores",IF(HostBuild[Use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 s="552">
        <f>IFERROR(IF(FIND(EA$1,$W5)&gt;0,IF(INDEX(Product_Pricing_Table[],MATCH(EA$1,Products,0),2)="Cores",IF(HostBuild[Use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 s="552">
        <f>IFERROR(IF(FIND(EB$1,$W5)&gt;0,IF(INDEX(Product_Pricing_Table[],MATCH(EB$1,Products,0),2)="Cores",IF(HostBuild[Use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 s="553">
        <f>IFERROR(IF(FIND(EC$1,$W5)&gt;0,IF(INDEX(Product_Pricing_Table[],MATCH(EC$1,Products,0),2)="Cores",IF(HostBuild[Use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 s="552">
        <f>IFERROR(IF(FIND(ED$1,$W5)&gt;0,IF(INDEX(Product_Pricing_Table[],MATCH(ED$1,Products,0),2)="Cores",IF(HostBuild[Use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 s="552">
        <f>IFERROR(IF(FIND(EE$1,$W5)&gt;0,IF(INDEX(Product_Pricing_Table[],MATCH(EE$1,Products,0),2)="Cores",IF(HostBuild[Use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 s="552">
        <f>IFERROR(IF(FIND(EF$1,$W5)&gt;0,IF(INDEX(Product_Pricing_Table[],MATCH(EF$1,Products,0),2)="Cores",IF(HostBuild[Use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 s="552">
        <f>IFERROR(IF(FIND(EG$1,$W5)&gt;0,IF(INDEX(Product_Pricing_Table[],MATCH(EG$1,Products,0),2)="Cores",IF(HostBuild[Use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 s="552">
        <f>IFERROR(IF(FIND(EH$1,$W5)&gt;0,IF(INDEX(Product_Pricing_Table[],MATCH(EH$1,Products,0),2)="Cores",IF(HostBuild[Use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 s="552">
        <f>IFERROR(IF(FIND(EI$1,$W5)&gt;0,IF(INDEX(Product_Pricing_Table[],MATCH(EI$1,Products,0),2)="Cores",IF(HostBuild[Use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 s="552">
        <f>IFERROR(IF(FIND(EJ$1,$W5)&gt;0,IF(INDEX(Product_Pricing_Table[],MATCH(EJ$1,Products,0),2)="Cores",IF(HostBuild[Use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 s="553">
        <f>IFERROR(IF(FIND(EK$1,$W5)&gt;0,IF(INDEX(Product_Pricing_Table[],MATCH(EK$1,Products,0),2)="Cores",IF(HostBuild[Use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 s="554"/>
      <c r="EM5" s="555"/>
      <c r="EN5" s="556"/>
      <c r="EO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5" s="558">
        <f>(HostBuild[Archive
Full (GB)]+HostBuild[Archive
Incr (GB)])*Storage_DC_Dist_Tape_2014</f>
        <v>6.7821249999999997</v>
      </c>
      <c r="ER5" s="558">
        <f>IF(ISNUMBER(HostBuild[Server HW Costs
(Monthly)]),SUM(HostBuild[[#This Row],[Server HW Costs
(Monthly)]:[Tape Costs
(Monthly)]]),0)</f>
        <v>78.900125000000003</v>
      </c>
      <c r="ES5" s="559">
        <f>HostBuild[Software Costs
'[Year 1']
(Monthly)]+HostBuild[Total Hardware Costs
(Monthly)]</f>
        <v>78.900125000000003</v>
      </c>
      <c r="ET5" s="559">
        <f>IFERROR(IF(FIND("Safenet",HostBuild[Server Model]),Safenet_PSE_PL600_Maint,0),0)+IFERROR(IF(FIND("XI52",HostBuild[Server Model]),IBM_DIA_XI52_Maint,0),0)+HostBuild[Software Costs
'[After Year 1']
(Monthly)]+HostBuild[Total Hardware Costs
(Monthly)]</f>
        <v>78.900125000000003</v>
      </c>
      <c r="EU5" s="560">
        <f>SUM(HostBuild[[#This Row],[Server Cost Breakdown]:[Network Cost]])</f>
        <v>0</v>
      </c>
      <c r="EV5" s="561">
        <f>IF(HostBuild[Existing Server?]="Yes - Inside this BoM",0,SUMIF(HostBuild[Alias],HostBuild[Alias],HostBuild[CPU])+SUMIF(HostBuild[Alias],HostBuild[Alias],HostBuild[Existing CPUs]))</f>
        <v>0</v>
      </c>
      <c r="EW5" s="561">
        <f>IF(HostBuild[Existing Server?]="Yes - Inside this BoM",0,SUMIF(HostBuild[Alias],HostBuild[Alias],HostBuild[Cores 
(Licensed Units)])+SUMIF(HostBuild[Alias],HostBuild[Alias],HostBuild[Existing Cores]))</f>
        <v>0</v>
      </c>
      <c r="EX5" s="561">
        <f>IF(HostBuild[Existing Server?]="Yes - Inside this BoM",0,SUMIF(HostBuild[Alias],HostBuild[Alias],HostBuild[RAM 
(GB)])+SUMIF(HostBuild[Alias],HostBuild[Alias],HostBuild[Existing RAM (GB)]))</f>
        <v>0</v>
      </c>
      <c r="EY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 s="560">
        <f>IF(ISBLANK(HostBuild[Server Model]),0,IF(HostBuild[Server Tier]="VMware",0,VLOOKUP(HostBuild[Server Tier],ServerTierRates[#Data],2,0))*HostBuild[CPU]*IF(AND(HostBuild[Server Type]="pSeries",HostBuild[Virtual Platform Storage Type]="Cloud-SAN"),0.25,1))</f>
        <v>0</v>
      </c>
      <c r="FD5" s="560">
        <f>0</f>
        <v>0</v>
      </c>
      <c r="FE5" s="560">
        <f>IF(HostBuild[Server Type]="VMware",HostBuild[RAM 
(GB)]*IF(ISERROR(FIND("DevCloud", HostBuild[Server Model])&gt;0),vRAM_per_vCPU_2014_Monthly,vRAM_per_vCPU_2014_Daily*30),0)</f>
        <v>0</v>
      </c>
      <c r="FF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 s="563">
        <f>IF(HostBuild[Server Tier]="VMware",0,IF(LEFT(HostBuild[Existing Server?],3)="Yes",0,IF(OR(HostBuild[Server Type]="Sun",HostBuild[Server Type]="pSeries"),Support_Direct_Server_Sun_per_OS_2014,IF(HostBuild[Server Type]="x86",Support_Direct_Server_x86_Wintel_per_OS_2014,0))))</f>
        <v>0</v>
      </c>
      <c r="FI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 spans="1:178" s="262" customFormat="1" ht="15" customHeight="1">
      <c r="A6" s="360" t="s">
        <v>3942</v>
      </c>
      <c r="B6" s="521"/>
      <c r="C6" s="521"/>
      <c r="D6" s="521"/>
      <c r="E6" s="522"/>
      <c r="F6" s="522"/>
      <c r="G6" s="597"/>
      <c r="H6" s="597"/>
      <c r="I6" s="523"/>
      <c r="J6" s="522"/>
      <c r="K6" s="522"/>
      <c r="L6" s="522"/>
      <c r="M6" s="597" t="e">
        <f ca="1">IF(rngIsDate(HostBuild[CTO Acceptance]),"Y","N")</f>
        <v>#NAME?</v>
      </c>
      <c r="N6" s="361" t="s">
        <v>3938</v>
      </c>
      <c r="O6" s="525"/>
      <c r="P6" s="525"/>
      <c r="Q6" s="361" t="s">
        <v>4005</v>
      </c>
      <c r="R6" s="526" t="str">
        <f>IF(NOT(ISBLANK(HostBuild[Env Label])),IFERROR(VLOOKUP(HostBuild[Env Label],tEnv[],3,FALSE),""),"")</f>
        <v>PROD</v>
      </c>
      <c r="S6" s="598"/>
      <c r="T6" s="527"/>
      <c r="U6" s="599"/>
      <c r="V6" s="524" t="s">
        <v>4000</v>
      </c>
      <c r="W6" s="524" t="s">
        <v>3940</v>
      </c>
      <c r="X6" s="524" t="s">
        <v>35</v>
      </c>
      <c r="Y6" s="361" t="s">
        <v>481</v>
      </c>
      <c r="Z6" s="526" t="str">
        <f>IF(NOT(ISBLANK(HostBuild[[#This Row],[Product 
(Acronym)]])),CONCATENATE(HostBuild[[#This Row],[Type]],"-",HostBuild[[#This Row],[Product 
(Acronym)]]),"")</f>
        <v>AP-ESB</v>
      </c>
      <c r="AA6" s="600"/>
      <c r="AB6" s="600" t="s">
        <v>3985</v>
      </c>
      <c r="AC6" s="528"/>
      <c r="AD6" s="529"/>
      <c r="AE6" s="529"/>
      <c r="AF6" s="530" t="s">
        <v>3986</v>
      </c>
      <c r="AG6" s="531"/>
      <c r="AH6" s="601"/>
      <c r="AI6" s="362" t="s">
        <v>4001</v>
      </c>
      <c r="AJ6" s="524">
        <f>IF(COUNTIF(HostBuild[Alias],HostBuild[Alias]),1/COUNTIF(HostBuild[Alias],HostBuild[Alias]),0)</f>
        <v>1</v>
      </c>
      <c r="AK6" s="531"/>
      <c r="AL6" s="531"/>
      <c r="AM6" s="532" t="s">
        <v>2173</v>
      </c>
      <c r="AN6" s="533" t="str">
        <f>IF(NOT(ISBLANK(HostBuild[Server Model])),VLOOKUP(HostBuild[Server Model],ServerModelsTier[],2,FALSE),"")</f>
        <v>x86 Tier 3</v>
      </c>
      <c r="AO6" s="533" t="str">
        <f>IF(NOT(ISBLANK(HostBuild[Server Model])),VLOOKUP(HostBuild[Server Model],ServerModelsTier[],5,FALSE),"")</f>
        <v>x86</v>
      </c>
      <c r="AP6" s="532"/>
      <c r="AQ6" s="532" t="s">
        <v>2337</v>
      </c>
      <c r="AR6" s="534"/>
      <c r="AS6" s="602"/>
      <c r="AT6" s="535"/>
      <c r="AU6" s="603" t="str">
        <f>IF(IFERROR(FIND("P-Series",HostBuild[Server Tier]),0),CEILING((HostBuild[Existing CPUs]+HostBuild[CPU])*16,8),"")</f>
        <v/>
      </c>
      <c r="AV6" s="536"/>
      <c r="AW6" s="531"/>
      <c r="AX6" s="531"/>
      <c r="AY6" s="531"/>
      <c r="AZ6" s="537"/>
      <c r="BA6" s="531"/>
      <c r="BB6" s="531"/>
      <c r="BC6" s="529"/>
      <c r="BD6" s="531"/>
      <c r="BE6" s="531"/>
      <c r="BF6" s="531"/>
      <c r="BG6" s="531"/>
      <c r="BH6" s="531"/>
      <c r="BI6" s="531"/>
      <c r="BJ6" s="531"/>
      <c r="BK6"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6" s="538">
        <v>60</v>
      </c>
      <c r="BM6" s="540">
        <f>IF(ISNUMBER(HostBuild[Recommended SAN (GB)]),HostBuild[Recommended SAN (GB)])+IF(HostBuild[Additional SAN (GB)]&gt;0,CEILING(HostBuild[Additional SAN (GB)],LUN),-(CEILING(-HostBuild[Additional SAN (GB)],LUN)))</f>
        <v>67.400000000000006</v>
      </c>
      <c r="BN6" s="539"/>
      <c r="BO6" s="540">
        <f>HostBuild[SAN (GB)
NEEDED TODAY]+CEILING(HostBuild[SAN (GB)
RESERVED
DO NOT USE TO BUILD], LUN)</f>
        <v>67.400000000000006</v>
      </c>
      <c r="BP6" s="541">
        <v>60</v>
      </c>
      <c r="BQ6" s="542"/>
      <c r="BR6" s="432" t="s">
        <v>106</v>
      </c>
      <c r="BS6" s="605">
        <f>IF(HostBuild[Existing Server?]&lt;&gt;"Yes - Inside this BoM",IF(ISNUMBER(HostBuild[RAM 
(GB)]),IF(HostBuild[Existing RAM (GB)]+HostBuild[RAM 
(GB)]&gt;0,IF(HostBuild[Virtual Platform Storage Type]="NAS",110+HostBuild[Existing RAM (GB)]+HostBuild[RAM 
(GB)]*1.75,0),0),0),0)</f>
        <v>0</v>
      </c>
      <c r="BT6" s="606"/>
      <c r="BU6" s="607">
        <f>IF(ISNUMBER(HostBuild[Recommended NAS (GB)]),HostBuild[Recommended NAS (GB)])+HostBuild[Additional NAS (GB)]</f>
        <v>0</v>
      </c>
      <c r="BV6" s="543"/>
      <c r="BW6" s="543"/>
      <c r="BX6" s="604">
        <f>IFERROR((HostBuild[SAN (GB)
End-State
DO NOT USE TO BUILD]+HostBuild[SAN (GB) Shared])*25%,"")</f>
        <v>31.85</v>
      </c>
      <c r="BY6" s="608">
        <f>IFERROR(HostBuild[Archive
Full (GB)]*15%,"")</f>
        <v>4.7774999999999999</v>
      </c>
      <c r="BZ6" s="544"/>
      <c r="CA6" s="544"/>
      <c r="CB6" s="545"/>
      <c r="CC6" s="546"/>
      <c r="CD6" s="545"/>
      <c r="CE6" s="547"/>
      <c r="CF6" s="539"/>
      <c r="CG6" s="609"/>
      <c r="CH6" s="548"/>
      <c r="CI6" s="549"/>
      <c r="CJ6" s="550" t="s">
        <v>4127</v>
      </c>
      <c r="CK6" s="551"/>
      <c r="CL6" s="552">
        <f>IFERROR(IF(FIND(CL$1,$W6)&gt;0,IF(INDEX(Product_Pricing_Table[],MATCH(CL$1,Products,0),2)="Cores",IF(HostBuild[Use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 s="552">
        <f>IFERROR(IF(FIND(CM$1,$W6)&gt;0,IF(INDEX(Product_Pricing_Table[],MATCH(CM$1,Products,0),2)="Cores",IF(HostBuild[Use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 s="552">
        <f>IFERROR(IF(FIND(CN$1,$W6)&gt;0,IF(INDEX(Product_Pricing_Table[],MATCH(CN$1,Products,0),2)="Cores",IF(HostBuild[Use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 s="552">
        <f>IFERROR(IF(FIND(CO$1,$W6)&gt;0,IF(INDEX(Product_Pricing_Table[],MATCH(CO$1,Products,0),2)="Cores",IF(HostBuild[Use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 s="552">
        <f>IFERROR(IF(FIND(CP$1,$W6)&gt;0,IF(INDEX(Product_Pricing_Table[],MATCH(CP$1,Products,0),2)="Cores",IF(HostBuild[Use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 s="552">
        <f>IFERROR(IF(FIND(CQ$1,$W6)&gt;0,IF(INDEX(Product_Pricing_Table[],MATCH(CQ$1,Products,0),2)="Cores",IF(HostBuild[Use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 s="552">
        <f>IFERROR(IF(FIND(CR$1,$W6)&gt;0,IF(INDEX(Product_Pricing_Table[],MATCH(CR$1,Products,0),2)="Cores",IF(HostBuild[Use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 s="552">
        <f>IFERROR(IF(FIND(CS$1,$W6)&gt;0,IF(INDEX(Product_Pricing_Table[],MATCH(CS$1,Products,0),2)="Cores",IF(HostBuild[Use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 s="552">
        <f>IFERROR(IF(FIND(CT$1,$W6)&gt;0,IF(INDEX(Product_Pricing_Table[],MATCH(CT$1,Products,0),2)="Cores",IF(HostBuild[Use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 s="552">
        <f>IFERROR(IF(FIND(CU$1,$W6)&gt;0,IF(INDEX(Product_Pricing_Table[],MATCH(CU$1,Products,0),2)="Cores",IF(HostBuild[Use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 s="552">
        <f>IFERROR(IF(FIND(CV$1,$W6)&gt;0,IF(INDEX(Product_Pricing_Table[],MATCH(CV$1,Products,0),2)="Cores",IF(HostBuild[Use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 s="552">
        <f>IFERROR(IF(FIND(CW$1,$W6)&gt;0,IF(INDEX(Product_Pricing_Table[],MATCH(CW$1,Products,0),2)="Cores",IF(HostBuild[Use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 s="552">
        <f>IFERROR(IF(FIND(CX$1,$W6)&gt;0,IF(INDEX(Product_Pricing_Table[],MATCH(CX$1,Products,0),2)="Cores",IF(HostBuild[Use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 s="552">
        <f>IFERROR(IF(FIND(CY$1,$W6)&gt;0,IF(INDEX(Product_Pricing_Table[],MATCH(CY$1,Products,0),2)="Cores",IF(HostBuild[Use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 s="552">
        <f>IFERROR(IF(FIND(CZ$1,$W6)&gt;0,IF(INDEX(Product_Pricing_Table[],MATCH(CZ$1,Products,0),2)="Cores",IF(HostBuild[Use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 s="552">
        <f>IFERROR(IF(FIND(DA$1,$W6)&gt;0,IF(INDEX(Product_Pricing_Table[],MATCH(DA$1,Products,0),2)="Cores",IF(HostBuild[Use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 s="552">
        <f>IFERROR(IF(FIND(DB$1,$W6)&gt;0,IF(INDEX(Product_Pricing_Table[],MATCH(DB$1,Products,0),2)="Cores",IF(HostBuild[Use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 s="552">
        <f>IFERROR(IF(FIND(DC$1,$W6)&gt;0,IF(INDEX(Product_Pricing_Table[],MATCH(DC$1,Products,0),2)="Cores",IF(HostBuild[Use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 s="552">
        <f>IFERROR(IF(FIND(DD$1,$W6)&gt;0,IF(INDEX(Product_Pricing_Table[],MATCH(DD$1,Products,0),2)="Cores",IF(HostBuild[Use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 s="552">
        <f>IFERROR(IF(FIND(DE$1,$W6)&gt;0,IF(INDEX(Product_Pricing_Table[],MATCH(DE$1,Products,0),2)="Cores",IF(HostBuild[Use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 s="553">
        <f>IFERROR(IF(FIND(DF$1,$W6)&gt;0,IF(INDEX(Product_Pricing_Table[],MATCH(DF$1,Products,0),2)="Cores",IF(HostBuild[Use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 s="553">
        <f>IFERROR(IF(FIND(DG$1,$W6)&gt;0,IF(INDEX(Product_Pricing_Table[],MATCH(DG$1,Products,0),2)="Cores",IF(HostBuild[Use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 s="552">
        <f>IFERROR(IF(FIND(DH$1,$W6)&gt;0,IF(INDEX(Product_Pricing_Table[],MATCH(DH$1,Products,0),2)="Cores",IF(HostBuild[Use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 s="553">
        <f>IFERROR(IF(FIND(DI$1,$W6)&gt;0,IF(INDEX(Product_Pricing_Table[],MATCH(DI$1,Products,0),2)="Cores",IF(HostBuild[Use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 s="552">
        <f>IFERROR(IF(FIND(DJ$1,$W6)&gt;0,IF(INDEX(Product_Pricing_Table[],MATCH(DJ$1,Products,0),2)="Cores",IF(HostBuild[Use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 s="552">
        <f>IFERROR(IF(FIND(DK$1,$W6)&gt;0,IF(INDEX(Product_Pricing_Table[],MATCH(DK$1,Products,0),2)="Cores",IF(HostBuild[Use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 s="552">
        <f>IFERROR(IF(FIND(DL$1,$W6)&gt;0,IF(INDEX(Product_Pricing_Table[],MATCH(DL$1,Products,0),2)="Cores",IF(HostBuild[Use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 s="552">
        <f>IFERROR(IF(FIND(DM$1,$W6)&gt;0,IF(INDEX(Product_Pricing_Table[],MATCH(DM$1,Products,0),2)="Cores",IF(HostBuild[Use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 s="552">
        <f>IFERROR(IF(FIND(DN$1,$W6)&gt;0,IF(INDEX(Product_Pricing_Table[],MATCH(DN$1,Products,0),2)="Cores",IF(HostBuild[Use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 s="552">
        <f>IFERROR(IF(FIND(DO$1,$W6)&gt;0,IF(INDEX(Product_Pricing_Table[],MATCH(DO$1,Products,0),2)="Cores",IF(HostBuild[Use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 s="552">
        <f>IFERROR(IF(FIND(DP$1,$W6)&gt;0,IF(INDEX(Product_Pricing_Table[],MATCH(DP$1,Products,0),2)="Cores",IF(HostBuild[Use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 s="552">
        <f>IFERROR(IF(FIND(DQ$1,$W6)&gt;0,IF(INDEX(Product_Pricing_Table[],MATCH(DQ$1,Products,0),2)="Cores",IF(HostBuild[Use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 s="552">
        <f>IFERROR(IF(FIND(DR$1,$W6)&gt;0,IF(INDEX(Product_Pricing_Table[],MATCH(DR$1,Products,0),2)="Cores",IF(HostBuild[Use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 s="552">
        <f>IFERROR(IF(FIND(DS$1,$W6)&gt;0,IF(INDEX(Product_Pricing_Table[],MATCH(DS$1,Products,0),2)="Cores",IF(HostBuild[Use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 s="552">
        <f>IFERROR(IF(FIND(DT$1,$W6)&gt;0,IF(INDEX(Product_Pricing_Table[],MATCH(DT$1,Products,0),2)="Cores",IF(HostBuild[Use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 s="552">
        <f>IFERROR(IF(FIND(DU$1,$W6)&gt;0,IF(INDEX(Product_Pricing_Table[],MATCH(DU$1,Products,0),2)="Cores",IF(HostBuild[Use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 s="552">
        <f>IFERROR(IF(FIND(DV$1,$W6)&gt;0,IF(INDEX(Product_Pricing_Table[],MATCH(DV$1,Products,0),2)="Cores",IF(HostBuild[Use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 s="552">
        <f>IFERROR(IF(FIND(DW$1,$W6)&gt;0,IF(INDEX(Product_Pricing_Table[],MATCH(DW$1,Products,0),2)="Cores",IF(HostBuild[Use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 s="552">
        <f>IFERROR(IF(FIND(DX$1,$W6)&gt;0,IF(INDEX(Product_Pricing_Table[],MATCH(DX$1,Products,0),2)="Cores",IF(HostBuild[Use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 s="552">
        <f>IFERROR(IF(FIND(DY$1,$W6)&gt;0,IF(INDEX(Product_Pricing_Table[],MATCH(DY$1,Products,0),2)="Cores",IF(HostBuild[Use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 s="552">
        <f>IFERROR(IF(FIND(DZ$1,$W6)&gt;0,IF(INDEX(Product_Pricing_Table[],MATCH(DZ$1,Products,0),2)="Cores",IF(HostBuild[Use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 s="552">
        <f>IFERROR(IF(FIND(EA$1,$W6)&gt;0,IF(INDEX(Product_Pricing_Table[],MATCH(EA$1,Products,0),2)="Cores",IF(HostBuild[Use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 s="552">
        <f>IFERROR(IF(FIND(EB$1,$W6)&gt;0,IF(INDEX(Product_Pricing_Table[],MATCH(EB$1,Products,0),2)="Cores",IF(HostBuild[Use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 s="553">
        <f>IFERROR(IF(FIND(EC$1,$W6)&gt;0,IF(INDEX(Product_Pricing_Table[],MATCH(EC$1,Products,0),2)="Cores",IF(HostBuild[Use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 s="552">
        <f>IFERROR(IF(FIND(ED$1,$W6)&gt;0,IF(INDEX(Product_Pricing_Table[],MATCH(ED$1,Products,0),2)="Cores",IF(HostBuild[Use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 s="552">
        <f>IFERROR(IF(FIND(EE$1,$W6)&gt;0,IF(INDEX(Product_Pricing_Table[],MATCH(EE$1,Products,0),2)="Cores",IF(HostBuild[Use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 s="552">
        <f>IFERROR(IF(FIND(EF$1,$W6)&gt;0,IF(INDEX(Product_Pricing_Table[],MATCH(EF$1,Products,0),2)="Cores",IF(HostBuild[Use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 s="552">
        <f>IFERROR(IF(FIND(EG$1,$W6)&gt;0,IF(INDEX(Product_Pricing_Table[],MATCH(EG$1,Products,0),2)="Cores",IF(HostBuild[Use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 s="552">
        <f>IFERROR(IF(FIND(EH$1,$W6)&gt;0,IF(INDEX(Product_Pricing_Table[],MATCH(EH$1,Products,0),2)="Cores",IF(HostBuild[Use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 s="552">
        <f>IFERROR(IF(FIND(EI$1,$W6)&gt;0,IF(INDEX(Product_Pricing_Table[],MATCH(EI$1,Products,0),2)="Cores",IF(HostBuild[Use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 s="552">
        <f>IFERROR(IF(FIND(EJ$1,$W6)&gt;0,IF(INDEX(Product_Pricing_Table[],MATCH(EJ$1,Products,0),2)="Cores",IF(HostBuild[Use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 s="553">
        <f>IFERROR(IF(FIND(EK$1,$W6)&gt;0,IF(INDEX(Product_Pricing_Table[],MATCH(EK$1,Products,0),2)="Cores",IF(HostBuild[Use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 s="554"/>
      <c r="EM6" s="555"/>
      <c r="EN6" s="556"/>
      <c r="EO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181.30600000000001</v>
      </c>
      <c r="EQ6" s="558">
        <f>(HostBuild[Archive
Full (GB)]+HostBuild[Archive
Incr (GB)])*Storage_DC_Dist_Tape_2014</f>
        <v>12.819624999999998</v>
      </c>
      <c r="ER6" s="558">
        <f>IF(ISNUMBER(HostBuild[Server HW Costs
(Monthly)]),SUM(HostBuild[[#This Row],[Server HW Costs
(Monthly)]:[Tape Costs
(Monthly)]]),0)</f>
        <v>194.12562500000001</v>
      </c>
      <c r="ES6" s="559">
        <f>HostBuild[Software Costs
'[Year 1']
(Monthly)]+HostBuild[Total Hardware Costs
(Monthly)]</f>
        <v>194.12562500000001</v>
      </c>
      <c r="ET6" s="559">
        <f>IFERROR(IF(FIND("Safenet",HostBuild[Server Model]),Safenet_PSE_PL600_Maint,0),0)+IFERROR(IF(FIND("XI52",HostBuild[Server Model]),IBM_DIA_XI52_Maint,0),0)+HostBuild[Software Costs
'[After Year 1']
(Monthly)]+HostBuild[Total Hardware Costs
(Monthly)]</f>
        <v>194.12562500000001</v>
      </c>
      <c r="EU6" s="560">
        <f>SUM(HostBuild[[#This Row],[Server Cost Breakdown]:[Network Cost]])</f>
        <v>0</v>
      </c>
      <c r="EV6" s="561">
        <f>IF(HostBuild[Existing Server?]="Yes - Inside this BoM",0,SUMIF(HostBuild[Alias],HostBuild[Alias],HostBuild[CPU])+SUMIF(HostBuild[Alias],HostBuild[Alias],HostBuild[Existing CPUs]))</f>
        <v>0</v>
      </c>
      <c r="EW6" s="561">
        <f>IF(HostBuild[Existing Server?]="Yes - Inside this BoM",0,SUMIF(HostBuild[Alias],HostBuild[Alias],HostBuild[Cores 
(Licensed Units)])+SUMIF(HostBuild[Alias],HostBuild[Alias],HostBuild[Existing Cores]))</f>
        <v>0</v>
      </c>
      <c r="EX6" s="561">
        <f>IF(HostBuild[Existing Server?]="Yes - Inside this BoM",0,SUMIF(HostBuild[Alias],HostBuild[Alias],HostBuild[RAM 
(GB)])+SUMIF(HostBuild[Alias],HostBuild[Alias],HostBuild[Existing RAM (GB)]))</f>
        <v>0</v>
      </c>
      <c r="EY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 s="560">
        <f>IF(ISBLANK(HostBuild[Server Model]),0,IF(HostBuild[Server Tier]="VMware",0,VLOOKUP(HostBuild[Server Tier],ServerTierRates[#Data],2,0))*HostBuild[CPU]*IF(AND(HostBuild[Server Type]="pSeries",HostBuild[Virtual Platform Storage Type]="Cloud-SAN"),0.25,1))</f>
        <v>0</v>
      </c>
      <c r="FD6" s="560">
        <f>0</f>
        <v>0</v>
      </c>
      <c r="FE6" s="560">
        <f>IF(HostBuild[Server Type]="VMware",HostBuild[RAM 
(GB)]*IF(ISERROR(FIND("DevCloud", HostBuild[Server Model])&gt;0),vRAM_per_vCPU_2014_Monthly,vRAM_per_vCPU_2014_Daily*30),0)</f>
        <v>0</v>
      </c>
      <c r="FF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 s="563">
        <f>IF(HostBuild[Server Tier]="VMware",0,IF(LEFT(HostBuild[Existing Server?],3)="Yes",0,IF(OR(HostBuild[Server Type]="Sun",HostBuild[Server Type]="pSeries"),Support_Direct_Server_Sun_per_OS_2014,IF(HostBuild[Server Type]="x86",Support_Direct_Server_x86_Wintel_per_OS_2014,0))))</f>
        <v>0</v>
      </c>
      <c r="FI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 spans="1:178" s="262" customFormat="1" ht="15" customHeight="1">
      <c r="A7" s="360" t="s">
        <v>3942</v>
      </c>
      <c r="B7" s="521"/>
      <c r="C7" s="521"/>
      <c r="D7" s="521"/>
      <c r="E7" s="522"/>
      <c r="F7" s="522"/>
      <c r="G7" s="597"/>
      <c r="H7" s="597"/>
      <c r="I7" s="523"/>
      <c r="J7" s="522"/>
      <c r="K7" s="522"/>
      <c r="L7" s="522"/>
      <c r="M7" s="597" t="e">
        <f ca="1">IF(rngIsDate(HostBuild[CTO Acceptance]),"Y","N")</f>
        <v>#NAME?</v>
      </c>
      <c r="N7" s="361" t="s">
        <v>3938</v>
      </c>
      <c r="O7" s="525"/>
      <c r="P7" s="525"/>
      <c r="Q7" s="361" t="s">
        <v>4005</v>
      </c>
      <c r="R7" s="526" t="str">
        <f>IF(NOT(ISBLANK(HostBuild[Env Label])),IFERROR(VLOOKUP(HostBuild[Env Label],tEnv[],3,FALSE),""),"")</f>
        <v>PROD</v>
      </c>
      <c r="S7" s="598"/>
      <c r="T7" s="527"/>
      <c r="U7" s="599"/>
      <c r="V7" s="524" t="s">
        <v>4000</v>
      </c>
      <c r="W7" s="524" t="s">
        <v>3940</v>
      </c>
      <c r="X7" s="524" t="s">
        <v>35</v>
      </c>
      <c r="Y7" s="361" t="s">
        <v>481</v>
      </c>
      <c r="Z7" s="526" t="str">
        <f>IF(NOT(ISBLANK(HostBuild[[#This Row],[Product 
(Acronym)]])),CONCATENATE(HostBuild[[#This Row],[Type]],"-",HostBuild[[#This Row],[Product 
(Acronym)]]),"")</f>
        <v>AP-ESB</v>
      </c>
      <c r="AA7" s="600"/>
      <c r="AB7" s="600" t="s">
        <v>3985</v>
      </c>
      <c r="AC7" s="528"/>
      <c r="AD7" s="529"/>
      <c r="AE7" s="529"/>
      <c r="AF7" s="530" t="s">
        <v>3986</v>
      </c>
      <c r="AG7" s="531"/>
      <c r="AH7" s="601"/>
      <c r="AI7" s="362" t="s">
        <v>4002</v>
      </c>
      <c r="AJ7" s="524">
        <f>IF(COUNTIF(HostBuild[Alias],HostBuild[Alias]),1/COUNTIF(HostBuild[Alias],HostBuild[Alias]),0)</f>
        <v>1</v>
      </c>
      <c r="AK7" s="531"/>
      <c r="AL7" s="531"/>
      <c r="AM7" s="532" t="s">
        <v>2173</v>
      </c>
      <c r="AN7" s="533" t="str">
        <f>IF(NOT(ISBLANK(HostBuild[Server Model])),VLOOKUP(HostBuild[Server Model],ServerModelsTier[],2,FALSE),"")</f>
        <v>x86 Tier 3</v>
      </c>
      <c r="AO7" s="533" t="str">
        <f>IF(NOT(ISBLANK(HostBuild[Server Model])),VLOOKUP(HostBuild[Server Model],ServerModelsTier[],5,FALSE),"")</f>
        <v>x86</v>
      </c>
      <c r="AP7" s="532"/>
      <c r="AQ7" s="532" t="s">
        <v>2337</v>
      </c>
      <c r="AR7" s="534"/>
      <c r="AS7" s="602"/>
      <c r="AT7" s="535"/>
      <c r="AU7" s="603" t="str">
        <f>IF(IFERROR(FIND("P-Series",HostBuild[Server Tier]),0),CEILING((HostBuild[Existing CPUs]+HostBuild[CPU])*16,8),"")</f>
        <v/>
      </c>
      <c r="AV7" s="536"/>
      <c r="AW7" s="531"/>
      <c r="AX7" s="531"/>
      <c r="AY7" s="531"/>
      <c r="AZ7" s="537"/>
      <c r="BA7" s="531"/>
      <c r="BB7" s="531"/>
      <c r="BC7" s="529"/>
      <c r="BD7" s="531"/>
      <c r="BE7" s="531"/>
      <c r="BF7" s="531"/>
      <c r="BG7" s="531"/>
      <c r="BH7" s="531"/>
      <c r="BI7" s="531"/>
      <c r="BJ7" s="531"/>
      <c r="BK7"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 s="538">
        <v>60</v>
      </c>
      <c r="BM7" s="540">
        <f>IF(ISNUMBER(HostBuild[Recommended SAN (GB)]),HostBuild[Recommended SAN (GB)])+IF(HostBuild[Additional SAN (GB)]&gt;0,CEILING(HostBuild[Additional SAN (GB)],LUN),-(CEILING(-HostBuild[Additional SAN (GB)],LUN)))</f>
        <v>67.400000000000006</v>
      </c>
      <c r="BN7" s="539"/>
      <c r="BO7" s="540">
        <f>HostBuild[SAN (GB)
NEEDED TODAY]+CEILING(HostBuild[SAN (GB)
RESERVED
DO NOT USE TO BUILD], LUN)</f>
        <v>67.400000000000006</v>
      </c>
      <c r="BP7" s="541"/>
      <c r="BQ7" s="542"/>
      <c r="BR7" s="432" t="s">
        <v>106</v>
      </c>
      <c r="BS7" s="605">
        <f>IF(HostBuild[Existing Server?]&lt;&gt;"Yes - Inside this BoM",IF(ISNUMBER(HostBuild[RAM 
(GB)]),IF(HostBuild[Existing RAM (GB)]+HostBuild[RAM 
(GB)]&gt;0,IF(HostBuild[Virtual Platform Storage Type]="NAS",110+HostBuild[Existing RAM (GB)]+HostBuild[RAM 
(GB)]*1.75,0),0),0),0)</f>
        <v>0</v>
      </c>
      <c r="BT7" s="606"/>
      <c r="BU7" s="607">
        <f>IF(ISNUMBER(HostBuild[Recommended NAS (GB)]),HostBuild[Recommended NAS (GB)])+HostBuild[Additional NAS (GB)]</f>
        <v>0</v>
      </c>
      <c r="BV7" s="543"/>
      <c r="BW7" s="543"/>
      <c r="BX7" s="604">
        <f>IFERROR((HostBuild[SAN (GB)
End-State
DO NOT USE TO BUILD]+HostBuild[SAN (GB) Shared])*25%,"")</f>
        <v>16.850000000000001</v>
      </c>
      <c r="BY7" s="608">
        <f>IFERROR(HostBuild[Archive
Full (GB)]*15%,"")</f>
        <v>2.5275000000000003</v>
      </c>
      <c r="BZ7" s="544"/>
      <c r="CA7" s="544"/>
      <c r="CB7" s="545"/>
      <c r="CC7" s="546"/>
      <c r="CD7" s="545"/>
      <c r="CE7" s="547"/>
      <c r="CF7" s="539"/>
      <c r="CG7" s="609"/>
      <c r="CH7" s="548"/>
      <c r="CI7" s="549"/>
      <c r="CJ7" s="550" t="s">
        <v>4127</v>
      </c>
      <c r="CK7" s="551"/>
      <c r="CL7" s="552">
        <f>IFERROR(IF(FIND(CL$1,$W7)&gt;0,IF(INDEX(Product_Pricing_Table[],MATCH(CL$1,Products,0),2)="Cores",IF(HostBuild[Use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 s="552">
        <f>IFERROR(IF(FIND(CM$1,$W7)&gt;0,IF(INDEX(Product_Pricing_Table[],MATCH(CM$1,Products,0),2)="Cores",IF(HostBuild[Use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 s="552">
        <f>IFERROR(IF(FIND(CN$1,$W7)&gt;0,IF(INDEX(Product_Pricing_Table[],MATCH(CN$1,Products,0),2)="Cores",IF(HostBuild[Use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 s="552">
        <f>IFERROR(IF(FIND(CO$1,$W7)&gt;0,IF(INDEX(Product_Pricing_Table[],MATCH(CO$1,Products,0),2)="Cores",IF(HostBuild[Use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 s="552">
        <f>IFERROR(IF(FIND(CP$1,$W7)&gt;0,IF(INDEX(Product_Pricing_Table[],MATCH(CP$1,Products,0),2)="Cores",IF(HostBuild[Use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 s="552">
        <f>IFERROR(IF(FIND(CQ$1,$W7)&gt;0,IF(INDEX(Product_Pricing_Table[],MATCH(CQ$1,Products,0),2)="Cores",IF(HostBuild[Use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 s="552">
        <f>IFERROR(IF(FIND(CR$1,$W7)&gt;0,IF(INDEX(Product_Pricing_Table[],MATCH(CR$1,Products,0),2)="Cores",IF(HostBuild[Use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 s="552">
        <f>IFERROR(IF(FIND(CS$1,$W7)&gt;0,IF(INDEX(Product_Pricing_Table[],MATCH(CS$1,Products,0),2)="Cores",IF(HostBuild[Use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 s="552">
        <f>IFERROR(IF(FIND(CT$1,$W7)&gt;0,IF(INDEX(Product_Pricing_Table[],MATCH(CT$1,Products,0),2)="Cores",IF(HostBuild[Use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 s="552">
        <f>IFERROR(IF(FIND(CU$1,$W7)&gt;0,IF(INDEX(Product_Pricing_Table[],MATCH(CU$1,Products,0),2)="Cores",IF(HostBuild[Use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 s="552">
        <f>IFERROR(IF(FIND(CV$1,$W7)&gt;0,IF(INDEX(Product_Pricing_Table[],MATCH(CV$1,Products,0),2)="Cores",IF(HostBuild[Use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 s="552">
        <f>IFERROR(IF(FIND(CW$1,$W7)&gt;0,IF(INDEX(Product_Pricing_Table[],MATCH(CW$1,Products,0),2)="Cores",IF(HostBuild[Use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 s="552">
        <f>IFERROR(IF(FIND(CX$1,$W7)&gt;0,IF(INDEX(Product_Pricing_Table[],MATCH(CX$1,Products,0),2)="Cores",IF(HostBuild[Use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 s="552">
        <f>IFERROR(IF(FIND(CY$1,$W7)&gt;0,IF(INDEX(Product_Pricing_Table[],MATCH(CY$1,Products,0),2)="Cores",IF(HostBuild[Use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 s="552">
        <f>IFERROR(IF(FIND(CZ$1,$W7)&gt;0,IF(INDEX(Product_Pricing_Table[],MATCH(CZ$1,Products,0),2)="Cores",IF(HostBuild[Use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 s="552">
        <f>IFERROR(IF(FIND(DA$1,$W7)&gt;0,IF(INDEX(Product_Pricing_Table[],MATCH(DA$1,Products,0),2)="Cores",IF(HostBuild[Use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 s="552">
        <f>IFERROR(IF(FIND(DB$1,$W7)&gt;0,IF(INDEX(Product_Pricing_Table[],MATCH(DB$1,Products,0),2)="Cores",IF(HostBuild[Use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 s="552">
        <f>IFERROR(IF(FIND(DC$1,$W7)&gt;0,IF(INDEX(Product_Pricing_Table[],MATCH(DC$1,Products,0),2)="Cores",IF(HostBuild[Use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 s="552">
        <f>IFERROR(IF(FIND(DD$1,$W7)&gt;0,IF(INDEX(Product_Pricing_Table[],MATCH(DD$1,Products,0),2)="Cores",IF(HostBuild[Use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 s="552">
        <f>IFERROR(IF(FIND(DE$1,$W7)&gt;0,IF(INDEX(Product_Pricing_Table[],MATCH(DE$1,Products,0),2)="Cores",IF(HostBuild[Use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 s="553">
        <f>IFERROR(IF(FIND(DF$1,$W7)&gt;0,IF(INDEX(Product_Pricing_Table[],MATCH(DF$1,Products,0),2)="Cores",IF(HostBuild[Use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 s="553">
        <f>IFERROR(IF(FIND(DG$1,$W7)&gt;0,IF(INDEX(Product_Pricing_Table[],MATCH(DG$1,Products,0),2)="Cores",IF(HostBuild[Use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 s="552">
        <f>IFERROR(IF(FIND(DH$1,$W7)&gt;0,IF(INDEX(Product_Pricing_Table[],MATCH(DH$1,Products,0),2)="Cores",IF(HostBuild[Use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 s="553">
        <f>IFERROR(IF(FIND(DI$1,$W7)&gt;0,IF(INDEX(Product_Pricing_Table[],MATCH(DI$1,Products,0),2)="Cores",IF(HostBuild[Use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 s="552">
        <f>IFERROR(IF(FIND(DJ$1,$W7)&gt;0,IF(INDEX(Product_Pricing_Table[],MATCH(DJ$1,Products,0),2)="Cores",IF(HostBuild[Use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 s="552">
        <f>IFERROR(IF(FIND(DK$1,$W7)&gt;0,IF(INDEX(Product_Pricing_Table[],MATCH(DK$1,Products,0),2)="Cores",IF(HostBuild[Use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 s="552">
        <f>IFERROR(IF(FIND(DL$1,$W7)&gt;0,IF(INDEX(Product_Pricing_Table[],MATCH(DL$1,Products,0),2)="Cores",IF(HostBuild[Use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 s="552">
        <f>IFERROR(IF(FIND(DM$1,$W7)&gt;0,IF(INDEX(Product_Pricing_Table[],MATCH(DM$1,Products,0),2)="Cores",IF(HostBuild[Use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 s="552">
        <f>IFERROR(IF(FIND(DN$1,$W7)&gt;0,IF(INDEX(Product_Pricing_Table[],MATCH(DN$1,Products,0),2)="Cores",IF(HostBuild[Use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 s="552">
        <f>IFERROR(IF(FIND(DO$1,$W7)&gt;0,IF(INDEX(Product_Pricing_Table[],MATCH(DO$1,Products,0),2)="Cores",IF(HostBuild[Use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 s="552">
        <f>IFERROR(IF(FIND(DP$1,$W7)&gt;0,IF(INDEX(Product_Pricing_Table[],MATCH(DP$1,Products,0),2)="Cores",IF(HostBuild[Use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 s="552">
        <f>IFERROR(IF(FIND(DQ$1,$W7)&gt;0,IF(INDEX(Product_Pricing_Table[],MATCH(DQ$1,Products,0),2)="Cores",IF(HostBuild[Use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 s="552">
        <f>IFERROR(IF(FIND(DR$1,$W7)&gt;0,IF(INDEX(Product_Pricing_Table[],MATCH(DR$1,Products,0),2)="Cores",IF(HostBuild[Use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 s="552">
        <f>IFERROR(IF(FIND(DS$1,$W7)&gt;0,IF(INDEX(Product_Pricing_Table[],MATCH(DS$1,Products,0),2)="Cores",IF(HostBuild[Use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 s="552">
        <f>IFERROR(IF(FIND(DT$1,$W7)&gt;0,IF(INDEX(Product_Pricing_Table[],MATCH(DT$1,Products,0),2)="Cores",IF(HostBuild[Use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 s="552">
        <f>IFERROR(IF(FIND(DU$1,$W7)&gt;0,IF(INDEX(Product_Pricing_Table[],MATCH(DU$1,Products,0),2)="Cores",IF(HostBuild[Use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 s="552">
        <f>IFERROR(IF(FIND(DV$1,$W7)&gt;0,IF(INDEX(Product_Pricing_Table[],MATCH(DV$1,Products,0),2)="Cores",IF(HostBuild[Use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 s="552">
        <f>IFERROR(IF(FIND(DW$1,$W7)&gt;0,IF(INDEX(Product_Pricing_Table[],MATCH(DW$1,Products,0),2)="Cores",IF(HostBuild[Use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 s="552">
        <f>IFERROR(IF(FIND(DX$1,$W7)&gt;0,IF(INDEX(Product_Pricing_Table[],MATCH(DX$1,Products,0),2)="Cores",IF(HostBuild[Use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 s="552">
        <f>IFERROR(IF(FIND(DY$1,$W7)&gt;0,IF(INDEX(Product_Pricing_Table[],MATCH(DY$1,Products,0),2)="Cores",IF(HostBuild[Use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 s="552">
        <f>IFERROR(IF(FIND(DZ$1,$W7)&gt;0,IF(INDEX(Product_Pricing_Table[],MATCH(DZ$1,Products,0),2)="Cores",IF(HostBuild[Use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 s="552">
        <f>IFERROR(IF(FIND(EA$1,$W7)&gt;0,IF(INDEX(Product_Pricing_Table[],MATCH(EA$1,Products,0),2)="Cores",IF(HostBuild[Use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 s="552">
        <f>IFERROR(IF(FIND(EB$1,$W7)&gt;0,IF(INDEX(Product_Pricing_Table[],MATCH(EB$1,Products,0),2)="Cores",IF(HostBuild[Use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 s="553">
        <f>IFERROR(IF(FIND(EC$1,$W7)&gt;0,IF(INDEX(Product_Pricing_Table[],MATCH(EC$1,Products,0),2)="Cores",IF(HostBuild[Use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 s="552">
        <f>IFERROR(IF(FIND(ED$1,$W7)&gt;0,IF(INDEX(Product_Pricing_Table[],MATCH(ED$1,Products,0),2)="Cores",IF(HostBuild[Use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 s="552">
        <f>IFERROR(IF(FIND(EE$1,$W7)&gt;0,IF(INDEX(Product_Pricing_Table[],MATCH(EE$1,Products,0),2)="Cores",IF(HostBuild[Use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 s="552">
        <f>IFERROR(IF(FIND(EF$1,$W7)&gt;0,IF(INDEX(Product_Pricing_Table[],MATCH(EF$1,Products,0),2)="Cores",IF(HostBuild[Use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 s="552">
        <f>IFERROR(IF(FIND(EG$1,$W7)&gt;0,IF(INDEX(Product_Pricing_Table[],MATCH(EG$1,Products,0),2)="Cores",IF(HostBuild[Use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 s="552">
        <f>IFERROR(IF(FIND(EH$1,$W7)&gt;0,IF(INDEX(Product_Pricing_Table[],MATCH(EH$1,Products,0),2)="Cores",IF(HostBuild[Use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 s="552">
        <f>IFERROR(IF(FIND(EI$1,$W7)&gt;0,IF(INDEX(Product_Pricing_Table[],MATCH(EI$1,Products,0),2)="Cores",IF(HostBuild[Use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 s="552">
        <f>IFERROR(IF(FIND(EJ$1,$W7)&gt;0,IF(INDEX(Product_Pricing_Table[],MATCH(EJ$1,Products,0),2)="Cores",IF(HostBuild[Use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 s="553">
        <f>IFERROR(IF(FIND(EK$1,$W7)&gt;0,IF(INDEX(Product_Pricing_Table[],MATCH(EK$1,Products,0),2)="Cores",IF(HostBuild[Use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 s="554"/>
      <c r="EM7" s="555"/>
      <c r="EN7" s="556"/>
      <c r="EO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7" s="558">
        <f>(HostBuild[Archive
Full (GB)]+HostBuild[Archive
Incr (GB)])*Storage_DC_Dist_Tape_2014</f>
        <v>6.7821249999999997</v>
      </c>
      <c r="ER7" s="558">
        <f>IF(ISNUMBER(HostBuild[Server HW Costs
(Monthly)]),SUM(HostBuild[[#This Row],[Server HW Costs
(Monthly)]:[Tape Costs
(Monthly)]]),0)</f>
        <v>78.900125000000003</v>
      </c>
      <c r="ES7" s="559">
        <f>HostBuild[Software Costs
'[Year 1']
(Monthly)]+HostBuild[Total Hardware Costs
(Monthly)]</f>
        <v>78.900125000000003</v>
      </c>
      <c r="ET7" s="559">
        <f>IFERROR(IF(FIND("Safenet",HostBuild[Server Model]),Safenet_PSE_PL600_Maint,0),0)+IFERROR(IF(FIND("XI52",HostBuild[Server Model]),IBM_DIA_XI52_Maint,0),0)+HostBuild[Software Costs
'[After Year 1']
(Monthly)]+HostBuild[Total Hardware Costs
(Monthly)]</f>
        <v>78.900125000000003</v>
      </c>
      <c r="EU7" s="560">
        <f>SUM(HostBuild[[#This Row],[Server Cost Breakdown]:[Network Cost]])</f>
        <v>0</v>
      </c>
      <c r="EV7" s="561">
        <f>IF(HostBuild[Existing Server?]="Yes - Inside this BoM",0,SUMIF(HostBuild[Alias],HostBuild[Alias],HostBuild[CPU])+SUMIF(HostBuild[Alias],HostBuild[Alias],HostBuild[Existing CPUs]))</f>
        <v>0</v>
      </c>
      <c r="EW7" s="561">
        <f>IF(HostBuild[Existing Server?]="Yes - Inside this BoM",0,SUMIF(HostBuild[Alias],HostBuild[Alias],HostBuild[Cores 
(Licensed Units)])+SUMIF(HostBuild[Alias],HostBuild[Alias],HostBuild[Existing Cores]))</f>
        <v>0</v>
      </c>
      <c r="EX7" s="561">
        <f>IF(HostBuild[Existing Server?]="Yes - Inside this BoM",0,SUMIF(HostBuild[Alias],HostBuild[Alias],HostBuild[RAM 
(GB)])+SUMIF(HostBuild[Alias],HostBuild[Alias],HostBuild[Existing RAM (GB)]))</f>
        <v>0</v>
      </c>
      <c r="EY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 s="560">
        <f>IF(ISBLANK(HostBuild[Server Model]),0,IF(HostBuild[Server Tier]="VMware",0,VLOOKUP(HostBuild[Server Tier],ServerTierRates[#Data],2,0))*HostBuild[CPU]*IF(AND(HostBuild[Server Type]="pSeries",HostBuild[Virtual Platform Storage Type]="Cloud-SAN"),0.25,1))</f>
        <v>0</v>
      </c>
      <c r="FD7" s="560">
        <f>0</f>
        <v>0</v>
      </c>
      <c r="FE7" s="560">
        <f>IF(HostBuild[Server Type]="VMware",HostBuild[RAM 
(GB)]*IF(ISERROR(FIND("DevCloud", HostBuild[Server Model])&gt;0),vRAM_per_vCPU_2014_Monthly,vRAM_per_vCPU_2014_Daily*30),0)</f>
        <v>0</v>
      </c>
      <c r="FF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 s="563">
        <f>IF(HostBuild[Server Tier]="VMware",0,IF(LEFT(HostBuild[Existing Server?],3)="Yes",0,IF(OR(HostBuild[Server Type]="Sun",HostBuild[Server Type]="pSeries"),Support_Direct_Server_Sun_per_OS_2014,IF(HostBuild[Server Type]="x86",Support_Direct_Server_x86_Wintel_per_OS_2014,0))))</f>
        <v>0</v>
      </c>
      <c r="FI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 spans="1:178" s="262" customFormat="1" ht="15" customHeight="1">
      <c r="A8" s="360" t="s">
        <v>3942</v>
      </c>
      <c r="B8" s="521"/>
      <c r="C8" s="521"/>
      <c r="D8" s="521"/>
      <c r="E8" s="522"/>
      <c r="F8" s="522"/>
      <c r="G8" s="597"/>
      <c r="H8" s="597"/>
      <c r="I8" s="523"/>
      <c r="J8" s="522"/>
      <c r="K8" s="522"/>
      <c r="L8" s="522"/>
      <c r="M8" s="597" t="e">
        <f ca="1">IF(rngIsDate(HostBuild[CTO Acceptance]),"Y","N")</f>
        <v>#NAME?</v>
      </c>
      <c r="N8" s="361" t="s">
        <v>3938</v>
      </c>
      <c r="O8" s="525"/>
      <c r="P8" s="525"/>
      <c r="Q8" s="361" t="s">
        <v>4005</v>
      </c>
      <c r="R8" s="526" t="str">
        <f>IF(NOT(ISBLANK(HostBuild[Env Label])),IFERROR(VLOOKUP(HostBuild[Env Label],tEnv[],3,FALSE),""),"")</f>
        <v>PROD</v>
      </c>
      <c r="S8" s="598"/>
      <c r="T8" s="527"/>
      <c r="U8" s="599"/>
      <c r="V8" s="524" t="s">
        <v>4000</v>
      </c>
      <c r="W8" s="524" t="s">
        <v>3940</v>
      </c>
      <c r="X8" s="524" t="s">
        <v>35</v>
      </c>
      <c r="Y8" s="361" t="s">
        <v>481</v>
      </c>
      <c r="Z8" s="526" t="str">
        <f>IF(NOT(ISBLANK(HostBuild[[#This Row],[Product 
(Acronym)]])),CONCATENATE(HostBuild[[#This Row],[Type]],"-",HostBuild[[#This Row],[Product 
(Acronym)]]),"")</f>
        <v>AP-ESB</v>
      </c>
      <c r="AA8" s="600"/>
      <c r="AB8" s="600" t="s">
        <v>3985</v>
      </c>
      <c r="AC8" s="528"/>
      <c r="AD8" s="529"/>
      <c r="AE8" s="529"/>
      <c r="AF8" s="530" t="s">
        <v>3986</v>
      </c>
      <c r="AG8" s="531"/>
      <c r="AH8" s="601"/>
      <c r="AI8" s="362" t="s">
        <v>4003</v>
      </c>
      <c r="AJ8" s="524">
        <f>IF(COUNTIF(HostBuild[Alias],HostBuild[Alias]),1/COUNTIF(HostBuild[Alias],HostBuild[Alias]),0)</f>
        <v>1</v>
      </c>
      <c r="AK8" s="531"/>
      <c r="AL8" s="531"/>
      <c r="AM8" s="532" t="s">
        <v>2173</v>
      </c>
      <c r="AN8" s="533" t="str">
        <f>IF(NOT(ISBLANK(HostBuild[Server Model])),VLOOKUP(HostBuild[Server Model],ServerModelsTier[],2,FALSE),"")</f>
        <v>x86 Tier 3</v>
      </c>
      <c r="AO8" s="533" t="str">
        <f>IF(NOT(ISBLANK(HostBuild[Server Model])),VLOOKUP(HostBuild[Server Model],ServerModelsTier[],5,FALSE),"")</f>
        <v>x86</v>
      </c>
      <c r="AP8" s="532"/>
      <c r="AQ8" s="532" t="s">
        <v>2337</v>
      </c>
      <c r="AR8" s="534"/>
      <c r="AS8" s="602"/>
      <c r="AT8" s="535"/>
      <c r="AU8" s="603" t="str">
        <f>IF(IFERROR(FIND("P-Series",HostBuild[Server Tier]),0),CEILING((HostBuild[Existing CPUs]+HostBuild[CPU])*16,8),"")</f>
        <v/>
      </c>
      <c r="AV8" s="536"/>
      <c r="AW8" s="531"/>
      <c r="AX8" s="531"/>
      <c r="AY8" s="531"/>
      <c r="AZ8" s="537"/>
      <c r="BA8" s="531"/>
      <c r="BB8" s="531"/>
      <c r="BC8" s="529"/>
      <c r="BD8" s="531"/>
      <c r="BE8" s="531"/>
      <c r="BF8" s="531"/>
      <c r="BG8" s="531"/>
      <c r="BH8" s="531"/>
      <c r="BI8" s="531"/>
      <c r="BJ8" s="531"/>
      <c r="BK8"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 s="538">
        <v>60</v>
      </c>
      <c r="BM8" s="540">
        <f>IF(ISNUMBER(HostBuild[Recommended SAN (GB)]),HostBuild[Recommended SAN (GB)])+IF(HostBuild[Additional SAN (GB)]&gt;0,CEILING(HostBuild[Additional SAN (GB)],LUN),-(CEILING(-HostBuild[Additional SAN (GB)],LUN)))</f>
        <v>67.400000000000006</v>
      </c>
      <c r="BN8" s="539"/>
      <c r="BO8" s="540">
        <f>HostBuild[SAN (GB)
NEEDED TODAY]+CEILING(HostBuild[SAN (GB)
RESERVED
DO NOT USE TO BUILD], LUN)</f>
        <v>67.400000000000006</v>
      </c>
      <c r="BP8" s="541">
        <v>60</v>
      </c>
      <c r="BQ8" s="542"/>
      <c r="BR8" s="432" t="s">
        <v>106</v>
      </c>
      <c r="BS8" s="605">
        <f>IF(HostBuild[Existing Server?]&lt;&gt;"Yes - Inside this BoM",IF(ISNUMBER(HostBuild[RAM 
(GB)]),IF(HostBuild[Existing RAM (GB)]+HostBuild[RAM 
(GB)]&gt;0,IF(HostBuild[Virtual Platform Storage Type]="NAS",110+HostBuild[Existing RAM (GB)]+HostBuild[RAM 
(GB)]*1.75,0),0),0),0)</f>
        <v>0</v>
      </c>
      <c r="BT8" s="606"/>
      <c r="BU8" s="607">
        <f>IF(ISNUMBER(HostBuild[Recommended NAS (GB)]),HostBuild[Recommended NAS (GB)])+HostBuild[Additional NAS (GB)]</f>
        <v>0</v>
      </c>
      <c r="BV8" s="543"/>
      <c r="BW8" s="543"/>
      <c r="BX8" s="604">
        <f>IFERROR((HostBuild[SAN (GB)
End-State
DO NOT USE TO BUILD]+HostBuild[SAN (GB) Shared])*25%,"")</f>
        <v>31.85</v>
      </c>
      <c r="BY8" s="608">
        <f>IFERROR(HostBuild[Archive
Full (GB)]*15%,"")</f>
        <v>4.7774999999999999</v>
      </c>
      <c r="BZ8" s="544"/>
      <c r="CA8" s="544"/>
      <c r="CB8" s="545"/>
      <c r="CC8" s="546"/>
      <c r="CD8" s="545"/>
      <c r="CE8" s="547"/>
      <c r="CF8" s="539"/>
      <c r="CG8" s="609"/>
      <c r="CH8" s="548"/>
      <c r="CI8" s="549"/>
      <c r="CJ8" s="550" t="s">
        <v>4127</v>
      </c>
      <c r="CK8" s="551"/>
      <c r="CL8" s="552">
        <f>IFERROR(IF(FIND(CL$1,$W8)&gt;0,IF(INDEX(Product_Pricing_Table[],MATCH(CL$1,Products,0),2)="Cores",IF(HostBuild[Use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 s="552">
        <f>IFERROR(IF(FIND(CM$1,$W8)&gt;0,IF(INDEX(Product_Pricing_Table[],MATCH(CM$1,Products,0),2)="Cores",IF(HostBuild[Use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 s="552">
        <f>IFERROR(IF(FIND(CN$1,$W8)&gt;0,IF(INDEX(Product_Pricing_Table[],MATCH(CN$1,Products,0),2)="Cores",IF(HostBuild[Use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 s="552">
        <f>IFERROR(IF(FIND(CO$1,$W8)&gt;0,IF(INDEX(Product_Pricing_Table[],MATCH(CO$1,Products,0),2)="Cores",IF(HostBuild[Use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 s="552">
        <f>IFERROR(IF(FIND(CP$1,$W8)&gt;0,IF(INDEX(Product_Pricing_Table[],MATCH(CP$1,Products,0),2)="Cores",IF(HostBuild[Use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 s="552">
        <f>IFERROR(IF(FIND(CQ$1,$W8)&gt;0,IF(INDEX(Product_Pricing_Table[],MATCH(CQ$1,Products,0),2)="Cores",IF(HostBuild[Use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 s="552">
        <f>IFERROR(IF(FIND(CR$1,$W8)&gt;0,IF(INDEX(Product_Pricing_Table[],MATCH(CR$1,Products,0),2)="Cores",IF(HostBuild[Use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 s="552">
        <f>IFERROR(IF(FIND(CS$1,$W8)&gt;0,IF(INDEX(Product_Pricing_Table[],MATCH(CS$1,Products,0),2)="Cores",IF(HostBuild[Use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 s="552">
        <f>IFERROR(IF(FIND(CT$1,$W8)&gt;0,IF(INDEX(Product_Pricing_Table[],MATCH(CT$1,Products,0),2)="Cores",IF(HostBuild[Use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 s="552">
        <f>IFERROR(IF(FIND(CU$1,$W8)&gt;0,IF(INDEX(Product_Pricing_Table[],MATCH(CU$1,Products,0),2)="Cores",IF(HostBuild[Use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 s="552">
        <f>IFERROR(IF(FIND(CV$1,$W8)&gt;0,IF(INDEX(Product_Pricing_Table[],MATCH(CV$1,Products,0),2)="Cores",IF(HostBuild[Use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 s="552">
        <f>IFERROR(IF(FIND(CW$1,$W8)&gt;0,IF(INDEX(Product_Pricing_Table[],MATCH(CW$1,Products,0),2)="Cores",IF(HostBuild[Use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 s="552">
        <f>IFERROR(IF(FIND(CX$1,$W8)&gt;0,IF(INDEX(Product_Pricing_Table[],MATCH(CX$1,Products,0),2)="Cores",IF(HostBuild[Use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 s="552">
        <f>IFERROR(IF(FIND(CY$1,$W8)&gt;0,IF(INDEX(Product_Pricing_Table[],MATCH(CY$1,Products,0),2)="Cores",IF(HostBuild[Use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 s="552">
        <f>IFERROR(IF(FIND(CZ$1,$W8)&gt;0,IF(INDEX(Product_Pricing_Table[],MATCH(CZ$1,Products,0),2)="Cores",IF(HostBuild[Use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 s="552">
        <f>IFERROR(IF(FIND(DA$1,$W8)&gt;0,IF(INDEX(Product_Pricing_Table[],MATCH(DA$1,Products,0),2)="Cores",IF(HostBuild[Use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 s="552">
        <f>IFERROR(IF(FIND(DB$1,$W8)&gt;0,IF(INDEX(Product_Pricing_Table[],MATCH(DB$1,Products,0),2)="Cores",IF(HostBuild[Use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 s="552">
        <f>IFERROR(IF(FIND(DC$1,$W8)&gt;0,IF(INDEX(Product_Pricing_Table[],MATCH(DC$1,Products,0),2)="Cores",IF(HostBuild[Use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 s="552">
        <f>IFERROR(IF(FIND(DD$1,$W8)&gt;0,IF(INDEX(Product_Pricing_Table[],MATCH(DD$1,Products,0),2)="Cores",IF(HostBuild[Use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 s="552">
        <f>IFERROR(IF(FIND(DE$1,$W8)&gt;0,IF(INDEX(Product_Pricing_Table[],MATCH(DE$1,Products,0),2)="Cores",IF(HostBuild[Use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 s="553">
        <f>IFERROR(IF(FIND(DF$1,$W8)&gt;0,IF(INDEX(Product_Pricing_Table[],MATCH(DF$1,Products,0),2)="Cores",IF(HostBuild[Use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 s="553">
        <f>IFERROR(IF(FIND(DG$1,$W8)&gt;0,IF(INDEX(Product_Pricing_Table[],MATCH(DG$1,Products,0),2)="Cores",IF(HostBuild[Use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 s="552">
        <f>IFERROR(IF(FIND(DH$1,$W8)&gt;0,IF(INDEX(Product_Pricing_Table[],MATCH(DH$1,Products,0),2)="Cores",IF(HostBuild[Use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 s="553">
        <f>IFERROR(IF(FIND(DI$1,$W8)&gt;0,IF(INDEX(Product_Pricing_Table[],MATCH(DI$1,Products,0),2)="Cores",IF(HostBuild[Use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 s="552">
        <f>IFERROR(IF(FIND(DJ$1,$W8)&gt;0,IF(INDEX(Product_Pricing_Table[],MATCH(DJ$1,Products,0),2)="Cores",IF(HostBuild[Use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 s="552">
        <f>IFERROR(IF(FIND(DK$1,$W8)&gt;0,IF(INDEX(Product_Pricing_Table[],MATCH(DK$1,Products,0),2)="Cores",IF(HostBuild[Use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 s="552">
        <f>IFERROR(IF(FIND(DL$1,$W8)&gt;0,IF(INDEX(Product_Pricing_Table[],MATCH(DL$1,Products,0),2)="Cores",IF(HostBuild[Use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 s="552">
        <f>IFERROR(IF(FIND(DM$1,$W8)&gt;0,IF(INDEX(Product_Pricing_Table[],MATCH(DM$1,Products,0),2)="Cores",IF(HostBuild[Use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 s="552">
        <f>IFERROR(IF(FIND(DN$1,$W8)&gt;0,IF(INDEX(Product_Pricing_Table[],MATCH(DN$1,Products,0),2)="Cores",IF(HostBuild[Use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 s="552">
        <f>IFERROR(IF(FIND(DO$1,$W8)&gt;0,IF(INDEX(Product_Pricing_Table[],MATCH(DO$1,Products,0),2)="Cores",IF(HostBuild[Use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 s="552">
        <f>IFERROR(IF(FIND(DP$1,$W8)&gt;0,IF(INDEX(Product_Pricing_Table[],MATCH(DP$1,Products,0),2)="Cores",IF(HostBuild[Use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 s="552">
        <f>IFERROR(IF(FIND(DQ$1,$W8)&gt;0,IF(INDEX(Product_Pricing_Table[],MATCH(DQ$1,Products,0),2)="Cores",IF(HostBuild[Use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 s="552">
        <f>IFERROR(IF(FIND(DR$1,$W8)&gt;0,IF(INDEX(Product_Pricing_Table[],MATCH(DR$1,Products,0),2)="Cores",IF(HostBuild[Use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 s="552">
        <f>IFERROR(IF(FIND(DS$1,$W8)&gt;0,IF(INDEX(Product_Pricing_Table[],MATCH(DS$1,Products,0),2)="Cores",IF(HostBuild[Use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 s="552">
        <f>IFERROR(IF(FIND(DT$1,$W8)&gt;0,IF(INDEX(Product_Pricing_Table[],MATCH(DT$1,Products,0),2)="Cores",IF(HostBuild[Use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 s="552">
        <f>IFERROR(IF(FIND(DU$1,$W8)&gt;0,IF(INDEX(Product_Pricing_Table[],MATCH(DU$1,Products,0),2)="Cores",IF(HostBuild[Use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 s="552">
        <f>IFERROR(IF(FIND(DV$1,$W8)&gt;0,IF(INDEX(Product_Pricing_Table[],MATCH(DV$1,Products,0),2)="Cores",IF(HostBuild[Use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 s="552">
        <f>IFERROR(IF(FIND(DW$1,$W8)&gt;0,IF(INDEX(Product_Pricing_Table[],MATCH(DW$1,Products,0),2)="Cores",IF(HostBuild[Use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 s="552">
        <f>IFERROR(IF(FIND(DX$1,$W8)&gt;0,IF(INDEX(Product_Pricing_Table[],MATCH(DX$1,Products,0),2)="Cores",IF(HostBuild[Use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 s="552">
        <f>IFERROR(IF(FIND(DY$1,$W8)&gt;0,IF(INDEX(Product_Pricing_Table[],MATCH(DY$1,Products,0),2)="Cores",IF(HostBuild[Use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 s="552">
        <f>IFERROR(IF(FIND(DZ$1,$W8)&gt;0,IF(INDEX(Product_Pricing_Table[],MATCH(DZ$1,Products,0),2)="Cores",IF(HostBuild[Use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 s="552">
        <f>IFERROR(IF(FIND(EA$1,$W8)&gt;0,IF(INDEX(Product_Pricing_Table[],MATCH(EA$1,Products,0),2)="Cores",IF(HostBuild[Use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 s="552">
        <f>IFERROR(IF(FIND(EB$1,$W8)&gt;0,IF(INDEX(Product_Pricing_Table[],MATCH(EB$1,Products,0),2)="Cores",IF(HostBuild[Use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 s="553">
        <f>IFERROR(IF(FIND(EC$1,$W8)&gt;0,IF(INDEX(Product_Pricing_Table[],MATCH(EC$1,Products,0),2)="Cores",IF(HostBuild[Use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 s="552">
        <f>IFERROR(IF(FIND(ED$1,$W8)&gt;0,IF(INDEX(Product_Pricing_Table[],MATCH(ED$1,Products,0),2)="Cores",IF(HostBuild[Use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 s="552">
        <f>IFERROR(IF(FIND(EE$1,$W8)&gt;0,IF(INDEX(Product_Pricing_Table[],MATCH(EE$1,Products,0),2)="Cores",IF(HostBuild[Use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 s="552">
        <f>IFERROR(IF(FIND(EF$1,$W8)&gt;0,IF(INDEX(Product_Pricing_Table[],MATCH(EF$1,Products,0),2)="Cores",IF(HostBuild[Use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 s="552">
        <f>IFERROR(IF(FIND(EG$1,$W8)&gt;0,IF(INDEX(Product_Pricing_Table[],MATCH(EG$1,Products,0),2)="Cores",IF(HostBuild[Use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 s="552">
        <f>IFERROR(IF(FIND(EH$1,$W8)&gt;0,IF(INDEX(Product_Pricing_Table[],MATCH(EH$1,Products,0),2)="Cores",IF(HostBuild[Use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8" s="552">
        <f>IFERROR(IF(FIND(EI$1,$W8)&gt;0,IF(INDEX(Product_Pricing_Table[],MATCH(EI$1,Products,0),2)="Cores",IF(HostBuild[Use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 s="552">
        <f>IFERROR(IF(FIND(EJ$1,$W8)&gt;0,IF(INDEX(Product_Pricing_Table[],MATCH(EJ$1,Products,0),2)="Cores",IF(HostBuild[Use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 s="553">
        <f>IFERROR(IF(FIND(EK$1,$W8)&gt;0,IF(INDEX(Product_Pricing_Table[],MATCH(EK$1,Products,0),2)="Cores",IF(HostBuild[Use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 s="554"/>
      <c r="EM8" s="555"/>
      <c r="EN8" s="556"/>
      <c r="EO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181.30600000000001</v>
      </c>
      <c r="EQ8" s="558">
        <f>(HostBuild[Archive
Full (GB)]+HostBuild[Archive
Incr (GB)])*Storage_DC_Dist_Tape_2014</f>
        <v>12.819624999999998</v>
      </c>
      <c r="ER8" s="558">
        <f>IF(ISNUMBER(HostBuild[Server HW Costs
(Monthly)]),SUM(HostBuild[[#This Row],[Server HW Costs
(Monthly)]:[Tape Costs
(Monthly)]]),0)</f>
        <v>194.12562500000001</v>
      </c>
      <c r="ES8" s="559">
        <f>HostBuild[Software Costs
'[Year 1']
(Monthly)]+HostBuild[Total Hardware Costs
(Monthly)]</f>
        <v>194.12562500000001</v>
      </c>
      <c r="ET8" s="559">
        <f>IFERROR(IF(FIND("Safenet",HostBuild[Server Model]),Safenet_PSE_PL600_Maint,0),0)+IFERROR(IF(FIND("XI52",HostBuild[Server Model]),IBM_DIA_XI52_Maint,0),0)+HostBuild[Software Costs
'[After Year 1']
(Monthly)]+HostBuild[Total Hardware Costs
(Monthly)]</f>
        <v>194.12562500000001</v>
      </c>
      <c r="EU8" s="560">
        <f>SUM(HostBuild[[#This Row],[Server Cost Breakdown]:[Network Cost]])</f>
        <v>0</v>
      </c>
      <c r="EV8" s="561">
        <f>IF(HostBuild[Existing Server?]="Yes - Inside this BoM",0,SUMIF(HostBuild[Alias],HostBuild[Alias],HostBuild[CPU])+SUMIF(HostBuild[Alias],HostBuild[Alias],HostBuild[Existing CPUs]))</f>
        <v>0</v>
      </c>
      <c r="EW8" s="561">
        <f>IF(HostBuild[Existing Server?]="Yes - Inside this BoM",0,SUMIF(HostBuild[Alias],HostBuild[Alias],HostBuild[Cores 
(Licensed Units)])+SUMIF(HostBuild[Alias],HostBuild[Alias],HostBuild[Existing Cores]))</f>
        <v>0</v>
      </c>
      <c r="EX8" s="561">
        <f>IF(HostBuild[Existing Server?]="Yes - Inside this BoM",0,SUMIF(HostBuild[Alias],HostBuild[Alias],HostBuild[RAM 
(GB)])+SUMIF(HostBuild[Alias],HostBuild[Alias],HostBuild[Existing RAM (GB)]))</f>
        <v>0</v>
      </c>
      <c r="EY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 s="560">
        <f>IF(ISBLANK(HostBuild[Server Model]),0,IF(HostBuild[Server Tier]="VMware",0,VLOOKUP(HostBuild[Server Tier],ServerTierRates[#Data],2,0))*HostBuild[CPU]*IF(AND(HostBuild[Server Type]="pSeries",HostBuild[Virtual Platform Storage Type]="Cloud-SAN"),0.25,1))</f>
        <v>0</v>
      </c>
      <c r="FD8" s="560">
        <f>0</f>
        <v>0</v>
      </c>
      <c r="FE8" s="560">
        <f>IF(HostBuild[Server Type]="VMware",HostBuild[RAM 
(GB)]*IF(ISERROR(FIND("DevCloud", HostBuild[Server Model])&gt;0),vRAM_per_vCPU_2014_Monthly,vRAM_per_vCPU_2014_Daily*30),0)</f>
        <v>0</v>
      </c>
      <c r="FF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 s="563">
        <f>IF(HostBuild[Server Tier]="VMware",0,IF(LEFT(HostBuild[Existing Server?],3)="Yes",0,IF(OR(HostBuild[Server Type]="Sun",HostBuild[Server Type]="pSeries"),Support_Direct_Server_Sun_per_OS_2014,IF(HostBuild[Server Type]="x86",Support_Direct_Server_x86_Wintel_per_OS_2014,0))))</f>
        <v>0</v>
      </c>
      <c r="FI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 spans="1:178" s="262" customFormat="1" ht="15" customHeight="1">
      <c r="A9" s="360" t="s">
        <v>3942</v>
      </c>
      <c r="B9" s="521"/>
      <c r="C9" s="521"/>
      <c r="D9" s="521"/>
      <c r="E9" s="522"/>
      <c r="F9" s="522"/>
      <c r="G9" s="597"/>
      <c r="H9" s="597"/>
      <c r="I9" s="523"/>
      <c r="J9" s="522"/>
      <c r="K9" s="522"/>
      <c r="L9" s="522"/>
      <c r="M9" s="597" t="e">
        <f ca="1">IF(rngIsDate(HostBuild[CTO Acceptance]),"Y","N")</f>
        <v>#NAME?</v>
      </c>
      <c r="N9" s="361" t="s">
        <v>3938</v>
      </c>
      <c r="O9" s="525"/>
      <c r="P9" s="525"/>
      <c r="Q9" s="361" t="s">
        <v>4005</v>
      </c>
      <c r="R9" s="526" t="str">
        <f>IF(NOT(ISBLANK(HostBuild[Env Label])),IFERROR(VLOOKUP(HostBuild[Env Label],tEnv[],3,FALSE),""),"")</f>
        <v>PROD</v>
      </c>
      <c r="S9" s="598"/>
      <c r="T9" s="527"/>
      <c r="U9" s="599"/>
      <c r="V9" s="524" t="s">
        <v>4000</v>
      </c>
      <c r="W9" s="524" t="s">
        <v>3940</v>
      </c>
      <c r="X9" s="524" t="s">
        <v>35</v>
      </c>
      <c r="Y9" s="361" t="s">
        <v>481</v>
      </c>
      <c r="Z9" s="526" t="str">
        <f>IF(NOT(ISBLANK(HostBuild[[#This Row],[Product 
(Acronym)]])),CONCATENATE(HostBuild[[#This Row],[Type]],"-",HostBuild[[#This Row],[Product 
(Acronym)]]),"")</f>
        <v>AP-ESB</v>
      </c>
      <c r="AA9" s="600"/>
      <c r="AB9" s="600" t="s">
        <v>3985</v>
      </c>
      <c r="AC9" s="528"/>
      <c r="AD9" s="529"/>
      <c r="AE9" s="529"/>
      <c r="AF9" s="530" t="s">
        <v>3986</v>
      </c>
      <c r="AG9" s="531"/>
      <c r="AH9" s="601"/>
      <c r="AI9" s="362" t="s">
        <v>4004</v>
      </c>
      <c r="AJ9" s="524">
        <f>IF(COUNTIF(HostBuild[Alias],HostBuild[Alias]),1/COUNTIF(HostBuild[Alias],HostBuild[Alias]),0)</f>
        <v>1</v>
      </c>
      <c r="AK9" s="531"/>
      <c r="AL9" s="531"/>
      <c r="AM9" s="532" t="s">
        <v>2173</v>
      </c>
      <c r="AN9" s="533" t="str">
        <f>IF(NOT(ISBLANK(HostBuild[Server Model])),VLOOKUP(HostBuild[Server Model],ServerModelsTier[],2,FALSE),"")</f>
        <v>x86 Tier 3</v>
      </c>
      <c r="AO9" s="533" t="str">
        <f>IF(NOT(ISBLANK(HostBuild[Server Model])),VLOOKUP(HostBuild[Server Model],ServerModelsTier[],5,FALSE),"")</f>
        <v>x86</v>
      </c>
      <c r="AP9" s="532"/>
      <c r="AQ9" s="532" t="s">
        <v>2337</v>
      </c>
      <c r="AR9" s="534"/>
      <c r="AS9" s="602"/>
      <c r="AT9" s="535"/>
      <c r="AU9" s="603" t="str">
        <f>IF(IFERROR(FIND("P-Series",HostBuild[Server Tier]),0),CEILING((HostBuild[Existing CPUs]+HostBuild[CPU])*16,8),"")</f>
        <v/>
      </c>
      <c r="AV9" s="536"/>
      <c r="AW9" s="531"/>
      <c r="AX9" s="531"/>
      <c r="AY9" s="531"/>
      <c r="AZ9" s="537"/>
      <c r="BA9" s="531"/>
      <c r="BB9" s="531"/>
      <c r="BC9" s="529"/>
      <c r="BD9" s="531"/>
      <c r="BE9" s="531"/>
      <c r="BF9" s="531"/>
      <c r="BG9" s="531"/>
      <c r="BH9" s="531"/>
      <c r="BI9" s="531"/>
      <c r="BJ9" s="531"/>
      <c r="BK9"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 s="538">
        <v>60</v>
      </c>
      <c r="BM9" s="540">
        <f>IF(ISNUMBER(HostBuild[Recommended SAN (GB)]),HostBuild[Recommended SAN (GB)])+IF(HostBuild[Additional SAN (GB)]&gt;0,CEILING(HostBuild[Additional SAN (GB)],LUN),-(CEILING(-HostBuild[Additional SAN (GB)],LUN)))</f>
        <v>67.400000000000006</v>
      </c>
      <c r="BN9" s="539"/>
      <c r="BO9" s="540">
        <f>HostBuild[SAN (GB)
NEEDED TODAY]+CEILING(HostBuild[SAN (GB)
RESERVED
DO NOT USE TO BUILD], LUN)</f>
        <v>67.400000000000006</v>
      </c>
      <c r="BP9" s="541"/>
      <c r="BQ9" s="542"/>
      <c r="BR9" s="432" t="s">
        <v>106</v>
      </c>
      <c r="BS9" s="605">
        <f>IF(HostBuild[Existing Server?]&lt;&gt;"Yes - Inside this BoM",IF(ISNUMBER(HostBuild[RAM 
(GB)]),IF(HostBuild[Existing RAM (GB)]+HostBuild[RAM 
(GB)]&gt;0,IF(HostBuild[Virtual Platform Storage Type]="NAS",110+HostBuild[Existing RAM (GB)]+HostBuild[RAM 
(GB)]*1.75,0),0),0),0)</f>
        <v>0</v>
      </c>
      <c r="BT9" s="606"/>
      <c r="BU9" s="607">
        <f>IF(ISNUMBER(HostBuild[Recommended NAS (GB)]),HostBuild[Recommended NAS (GB)])+HostBuild[Additional NAS (GB)]</f>
        <v>0</v>
      </c>
      <c r="BV9" s="543"/>
      <c r="BW9" s="543"/>
      <c r="BX9" s="604">
        <f>IFERROR((HostBuild[SAN (GB)
End-State
DO NOT USE TO BUILD]+HostBuild[SAN (GB) Shared])*25%,"")</f>
        <v>16.850000000000001</v>
      </c>
      <c r="BY9" s="608">
        <f>IFERROR(HostBuild[Archive
Full (GB)]*15%,"")</f>
        <v>2.5275000000000003</v>
      </c>
      <c r="BZ9" s="544"/>
      <c r="CA9" s="544"/>
      <c r="CB9" s="545"/>
      <c r="CC9" s="546"/>
      <c r="CD9" s="545"/>
      <c r="CE9" s="547"/>
      <c r="CF9" s="539"/>
      <c r="CG9" s="609"/>
      <c r="CH9" s="548"/>
      <c r="CI9" s="549"/>
      <c r="CJ9" s="550" t="s">
        <v>4127</v>
      </c>
      <c r="CK9" s="551"/>
      <c r="CL9" s="552">
        <f>IFERROR(IF(FIND(CL$1,$W9)&gt;0,IF(INDEX(Product_Pricing_Table[],MATCH(CL$1,Products,0),2)="Cores",IF(HostBuild[Use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 s="552">
        <f>IFERROR(IF(FIND(CM$1,$W9)&gt;0,IF(INDEX(Product_Pricing_Table[],MATCH(CM$1,Products,0),2)="Cores",IF(HostBuild[Use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 s="552">
        <f>IFERROR(IF(FIND(CN$1,$W9)&gt;0,IF(INDEX(Product_Pricing_Table[],MATCH(CN$1,Products,0),2)="Cores",IF(HostBuild[Use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 s="552">
        <f>IFERROR(IF(FIND(CO$1,$W9)&gt;0,IF(INDEX(Product_Pricing_Table[],MATCH(CO$1,Products,0),2)="Cores",IF(HostBuild[Use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 s="552">
        <f>IFERROR(IF(FIND(CP$1,$W9)&gt;0,IF(INDEX(Product_Pricing_Table[],MATCH(CP$1,Products,0),2)="Cores",IF(HostBuild[Use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 s="552">
        <f>IFERROR(IF(FIND(CQ$1,$W9)&gt;0,IF(INDEX(Product_Pricing_Table[],MATCH(CQ$1,Products,0),2)="Cores",IF(HostBuild[Use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 s="552">
        <f>IFERROR(IF(FIND(CR$1,$W9)&gt;0,IF(INDEX(Product_Pricing_Table[],MATCH(CR$1,Products,0),2)="Cores",IF(HostBuild[Use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 s="552">
        <f>IFERROR(IF(FIND(CS$1,$W9)&gt;0,IF(INDEX(Product_Pricing_Table[],MATCH(CS$1,Products,0),2)="Cores",IF(HostBuild[Use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 s="552">
        <f>IFERROR(IF(FIND(CT$1,$W9)&gt;0,IF(INDEX(Product_Pricing_Table[],MATCH(CT$1,Products,0),2)="Cores",IF(HostBuild[Use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 s="552">
        <f>IFERROR(IF(FIND(CU$1,$W9)&gt;0,IF(INDEX(Product_Pricing_Table[],MATCH(CU$1,Products,0),2)="Cores",IF(HostBuild[Use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 s="552">
        <f>IFERROR(IF(FIND(CV$1,$W9)&gt;0,IF(INDEX(Product_Pricing_Table[],MATCH(CV$1,Products,0),2)="Cores",IF(HostBuild[Use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 s="552">
        <f>IFERROR(IF(FIND(CW$1,$W9)&gt;0,IF(INDEX(Product_Pricing_Table[],MATCH(CW$1,Products,0),2)="Cores",IF(HostBuild[Use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 s="552">
        <f>IFERROR(IF(FIND(CX$1,$W9)&gt;0,IF(INDEX(Product_Pricing_Table[],MATCH(CX$1,Products,0),2)="Cores",IF(HostBuild[Use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 s="552">
        <f>IFERROR(IF(FIND(CY$1,$W9)&gt;0,IF(INDEX(Product_Pricing_Table[],MATCH(CY$1,Products,0),2)="Cores",IF(HostBuild[Use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 s="552">
        <f>IFERROR(IF(FIND(CZ$1,$W9)&gt;0,IF(INDEX(Product_Pricing_Table[],MATCH(CZ$1,Products,0),2)="Cores",IF(HostBuild[Use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 s="552">
        <f>IFERROR(IF(FIND(DA$1,$W9)&gt;0,IF(INDEX(Product_Pricing_Table[],MATCH(DA$1,Products,0),2)="Cores",IF(HostBuild[Use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 s="552">
        <f>IFERROR(IF(FIND(DB$1,$W9)&gt;0,IF(INDEX(Product_Pricing_Table[],MATCH(DB$1,Products,0),2)="Cores",IF(HostBuild[Use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 s="552">
        <f>IFERROR(IF(FIND(DC$1,$W9)&gt;0,IF(INDEX(Product_Pricing_Table[],MATCH(DC$1,Products,0),2)="Cores",IF(HostBuild[Use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 s="552">
        <f>IFERROR(IF(FIND(DD$1,$W9)&gt;0,IF(INDEX(Product_Pricing_Table[],MATCH(DD$1,Products,0),2)="Cores",IF(HostBuild[Use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 s="552">
        <f>IFERROR(IF(FIND(DE$1,$W9)&gt;0,IF(INDEX(Product_Pricing_Table[],MATCH(DE$1,Products,0),2)="Cores",IF(HostBuild[Use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 s="553">
        <f>IFERROR(IF(FIND(DF$1,$W9)&gt;0,IF(INDEX(Product_Pricing_Table[],MATCH(DF$1,Products,0),2)="Cores",IF(HostBuild[Use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 s="553">
        <f>IFERROR(IF(FIND(DG$1,$W9)&gt;0,IF(INDEX(Product_Pricing_Table[],MATCH(DG$1,Products,0),2)="Cores",IF(HostBuild[Use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 s="552">
        <f>IFERROR(IF(FIND(DH$1,$W9)&gt;0,IF(INDEX(Product_Pricing_Table[],MATCH(DH$1,Products,0),2)="Cores",IF(HostBuild[Use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 s="553">
        <f>IFERROR(IF(FIND(DI$1,$W9)&gt;0,IF(INDEX(Product_Pricing_Table[],MATCH(DI$1,Products,0),2)="Cores",IF(HostBuild[Use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 s="552">
        <f>IFERROR(IF(FIND(DJ$1,$W9)&gt;0,IF(INDEX(Product_Pricing_Table[],MATCH(DJ$1,Products,0),2)="Cores",IF(HostBuild[Use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 s="552">
        <f>IFERROR(IF(FIND(DK$1,$W9)&gt;0,IF(INDEX(Product_Pricing_Table[],MATCH(DK$1,Products,0),2)="Cores",IF(HostBuild[Use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 s="552">
        <f>IFERROR(IF(FIND(DL$1,$W9)&gt;0,IF(INDEX(Product_Pricing_Table[],MATCH(DL$1,Products,0),2)="Cores",IF(HostBuild[Use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 s="552">
        <f>IFERROR(IF(FIND(DM$1,$W9)&gt;0,IF(INDEX(Product_Pricing_Table[],MATCH(DM$1,Products,0),2)="Cores",IF(HostBuild[Use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 s="552">
        <f>IFERROR(IF(FIND(DN$1,$W9)&gt;0,IF(INDEX(Product_Pricing_Table[],MATCH(DN$1,Products,0),2)="Cores",IF(HostBuild[Use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 s="552">
        <f>IFERROR(IF(FIND(DO$1,$W9)&gt;0,IF(INDEX(Product_Pricing_Table[],MATCH(DO$1,Products,0),2)="Cores",IF(HostBuild[Use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 s="552">
        <f>IFERROR(IF(FIND(DP$1,$W9)&gt;0,IF(INDEX(Product_Pricing_Table[],MATCH(DP$1,Products,0),2)="Cores",IF(HostBuild[Use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 s="552">
        <f>IFERROR(IF(FIND(DQ$1,$W9)&gt;0,IF(INDEX(Product_Pricing_Table[],MATCH(DQ$1,Products,0),2)="Cores",IF(HostBuild[Use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 s="552">
        <f>IFERROR(IF(FIND(DR$1,$W9)&gt;0,IF(INDEX(Product_Pricing_Table[],MATCH(DR$1,Products,0),2)="Cores",IF(HostBuild[Use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 s="552">
        <f>IFERROR(IF(FIND(DS$1,$W9)&gt;0,IF(INDEX(Product_Pricing_Table[],MATCH(DS$1,Products,0),2)="Cores",IF(HostBuild[Use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 s="552">
        <f>IFERROR(IF(FIND(DT$1,$W9)&gt;0,IF(INDEX(Product_Pricing_Table[],MATCH(DT$1,Products,0),2)="Cores",IF(HostBuild[Use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 s="552">
        <f>IFERROR(IF(FIND(DU$1,$W9)&gt;0,IF(INDEX(Product_Pricing_Table[],MATCH(DU$1,Products,0),2)="Cores",IF(HostBuild[Use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 s="552">
        <f>IFERROR(IF(FIND(DV$1,$W9)&gt;0,IF(INDEX(Product_Pricing_Table[],MATCH(DV$1,Products,0),2)="Cores",IF(HostBuild[Use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 s="552">
        <f>IFERROR(IF(FIND(DW$1,$W9)&gt;0,IF(INDEX(Product_Pricing_Table[],MATCH(DW$1,Products,0),2)="Cores",IF(HostBuild[Use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 s="552">
        <f>IFERROR(IF(FIND(DX$1,$W9)&gt;0,IF(INDEX(Product_Pricing_Table[],MATCH(DX$1,Products,0),2)="Cores",IF(HostBuild[Use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 s="552">
        <f>IFERROR(IF(FIND(DY$1,$W9)&gt;0,IF(INDEX(Product_Pricing_Table[],MATCH(DY$1,Products,0),2)="Cores",IF(HostBuild[Use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 s="552">
        <f>IFERROR(IF(FIND(DZ$1,$W9)&gt;0,IF(INDEX(Product_Pricing_Table[],MATCH(DZ$1,Products,0),2)="Cores",IF(HostBuild[Use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 s="552">
        <f>IFERROR(IF(FIND(EA$1,$W9)&gt;0,IF(INDEX(Product_Pricing_Table[],MATCH(EA$1,Products,0),2)="Cores",IF(HostBuild[Use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 s="552">
        <f>IFERROR(IF(FIND(EB$1,$W9)&gt;0,IF(INDEX(Product_Pricing_Table[],MATCH(EB$1,Products,0),2)="Cores",IF(HostBuild[Use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 s="553">
        <f>IFERROR(IF(FIND(EC$1,$W9)&gt;0,IF(INDEX(Product_Pricing_Table[],MATCH(EC$1,Products,0),2)="Cores",IF(HostBuild[Use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 s="552">
        <f>IFERROR(IF(FIND(ED$1,$W9)&gt;0,IF(INDEX(Product_Pricing_Table[],MATCH(ED$1,Products,0),2)="Cores",IF(HostBuild[Use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 s="552">
        <f>IFERROR(IF(FIND(EE$1,$W9)&gt;0,IF(INDEX(Product_Pricing_Table[],MATCH(EE$1,Products,0),2)="Cores",IF(HostBuild[Use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 s="552">
        <f>IFERROR(IF(FIND(EF$1,$W9)&gt;0,IF(INDEX(Product_Pricing_Table[],MATCH(EF$1,Products,0),2)="Cores",IF(HostBuild[Use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 s="552">
        <f>IFERROR(IF(FIND(EG$1,$W9)&gt;0,IF(INDEX(Product_Pricing_Table[],MATCH(EG$1,Products,0),2)="Cores",IF(HostBuild[Use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 s="552">
        <f>IFERROR(IF(FIND(EH$1,$W9)&gt;0,IF(INDEX(Product_Pricing_Table[],MATCH(EH$1,Products,0),2)="Cores",IF(HostBuild[Use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 s="552">
        <f>IFERROR(IF(FIND(EI$1,$W9)&gt;0,IF(INDEX(Product_Pricing_Table[],MATCH(EI$1,Products,0),2)="Cores",IF(HostBuild[Use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 s="552">
        <f>IFERROR(IF(FIND(EJ$1,$W9)&gt;0,IF(INDEX(Product_Pricing_Table[],MATCH(EJ$1,Products,0),2)="Cores",IF(HostBuild[Use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 s="553">
        <f>IFERROR(IF(FIND(EK$1,$W9)&gt;0,IF(INDEX(Product_Pricing_Table[],MATCH(EK$1,Products,0),2)="Cores",IF(HostBuild[Use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 s="554"/>
      <c r="EM9" s="555"/>
      <c r="EN9" s="556"/>
      <c r="EO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9" s="558">
        <f>(HostBuild[Archive
Full (GB)]+HostBuild[Archive
Incr (GB)])*Storage_DC_Dist_Tape_2014</f>
        <v>6.7821249999999997</v>
      </c>
      <c r="ER9" s="558">
        <f>IF(ISNUMBER(HostBuild[Server HW Costs
(Monthly)]),SUM(HostBuild[[#This Row],[Server HW Costs
(Monthly)]:[Tape Costs
(Monthly)]]),0)</f>
        <v>78.900125000000003</v>
      </c>
      <c r="ES9" s="559">
        <f>HostBuild[Software Costs
'[Year 1']
(Monthly)]+HostBuild[Total Hardware Costs
(Monthly)]</f>
        <v>78.900125000000003</v>
      </c>
      <c r="ET9" s="559">
        <f>IFERROR(IF(FIND("Safenet",HostBuild[Server Model]),Safenet_PSE_PL600_Maint,0),0)+IFERROR(IF(FIND("XI52",HostBuild[Server Model]),IBM_DIA_XI52_Maint,0),0)+HostBuild[Software Costs
'[After Year 1']
(Monthly)]+HostBuild[Total Hardware Costs
(Monthly)]</f>
        <v>78.900125000000003</v>
      </c>
      <c r="EU9" s="560">
        <f>SUM(HostBuild[[#This Row],[Server Cost Breakdown]:[Network Cost]])</f>
        <v>0</v>
      </c>
      <c r="EV9" s="561">
        <f>IF(HostBuild[Existing Server?]="Yes - Inside this BoM",0,SUMIF(HostBuild[Alias],HostBuild[Alias],HostBuild[CPU])+SUMIF(HostBuild[Alias],HostBuild[Alias],HostBuild[Existing CPUs]))</f>
        <v>0</v>
      </c>
      <c r="EW9" s="561">
        <f>IF(HostBuild[Existing Server?]="Yes - Inside this BoM",0,SUMIF(HostBuild[Alias],HostBuild[Alias],HostBuild[Cores 
(Licensed Units)])+SUMIF(HostBuild[Alias],HostBuild[Alias],HostBuild[Existing Cores]))</f>
        <v>0</v>
      </c>
      <c r="EX9" s="561">
        <f>IF(HostBuild[Existing Server?]="Yes - Inside this BoM",0,SUMIF(HostBuild[Alias],HostBuild[Alias],HostBuild[RAM 
(GB)])+SUMIF(HostBuild[Alias],HostBuild[Alias],HostBuild[Existing RAM (GB)]))</f>
        <v>0</v>
      </c>
      <c r="EY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 s="560">
        <f>IF(ISBLANK(HostBuild[Server Model]),0,IF(HostBuild[Server Tier]="VMware",0,VLOOKUP(HostBuild[Server Tier],ServerTierRates[#Data],2,0))*HostBuild[CPU]*IF(AND(HostBuild[Server Type]="pSeries",HostBuild[Virtual Platform Storage Type]="Cloud-SAN"),0.25,1))</f>
        <v>0</v>
      </c>
      <c r="FD9" s="560">
        <f>0</f>
        <v>0</v>
      </c>
      <c r="FE9" s="560">
        <f>IF(HostBuild[Server Type]="VMware",HostBuild[RAM 
(GB)]*IF(ISERROR(FIND("DevCloud", HostBuild[Server Model])&gt;0),vRAM_per_vCPU_2014_Monthly,vRAM_per_vCPU_2014_Daily*30),0)</f>
        <v>0</v>
      </c>
      <c r="FF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 s="563">
        <f>IF(HostBuild[Server Tier]="VMware",0,IF(LEFT(HostBuild[Existing Server?],3)="Yes",0,IF(OR(HostBuild[Server Type]="Sun",HostBuild[Server Type]="pSeries"),Support_Direct_Server_Sun_per_OS_2014,IF(HostBuild[Server Type]="x86",Support_Direct_Server_x86_Wintel_per_OS_2014,0))))</f>
        <v>0</v>
      </c>
      <c r="FI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 spans="1:178">
      <c r="A10" s="360" t="s">
        <v>3942</v>
      </c>
      <c r="B10" s="521"/>
      <c r="C10" s="521"/>
      <c r="D10" s="521"/>
      <c r="E10" s="522"/>
      <c r="F10" s="522"/>
      <c r="G10" s="597"/>
      <c r="H10" s="597"/>
      <c r="I10" s="523"/>
      <c r="J10" s="522"/>
      <c r="K10" s="522"/>
      <c r="L10" s="522"/>
      <c r="M10" s="597" t="e">
        <f ca="1">IF(rngIsDate(HostBuild[CTO Acceptance]),"Y","N")</f>
        <v>#NAME?</v>
      </c>
      <c r="N10" s="361" t="s">
        <v>3938</v>
      </c>
      <c r="O10" s="525"/>
      <c r="P10" s="525"/>
      <c r="Q10" s="361" t="s">
        <v>79</v>
      </c>
      <c r="R10" s="526" t="str">
        <f>IF(NOT(ISBLANK(HostBuild[Env Label])),IFERROR(VLOOKUP(HostBuild[Env Label],tEnv[],3,FALSE),""),"")</f>
        <v>PROD</v>
      </c>
      <c r="S10" s="598"/>
      <c r="T10" s="527"/>
      <c r="U10" s="599"/>
      <c r="V10" s="524" t="s">
        <v>3937</v>
      </c>
      <c r="W10" s="524" t="s">
        <v>3940</v>
      </c>
      <c r="X10" s="524" t="s">
        <v>35</v>
      </c>
      <c r="Y10" s="361" t="s">
        <v>481</v>
      </c>
      <c r="Z10" s="526" t="str">
        <f>IF(NOT(ISBLANK(HostBuild[[#This Row],[Product 
(Acronym)]])),CONCATENATE(HostBuild[[#This Row],[Type]],"-",HostBuild[[#This Row],[Product 
(Acronym)]]),"")</f>
        <v>AP-ESB</v>
      </c>
      <c r="AA10" s="600"/>
      <c r="AB10" s="600" t="s">
        <v>105</v>
      </c>
      <c r="AC10" s="528"/>
      <c r="AD10" s="529"/>
      <c r="AE10" s="529"/>
      <c r="AF10" s="530"/>
      <c r="AG10" s="531"/>
      <c r="AH10" s="601"/>
      <c r="AI10" s="362" t="s">
        <v>3943</v>
      </c>
      <c r="AJ10" s="524">
        <f>IF(COUNTIF(HostBuild[Alias],HostBuild[Alias]),1/COUNTIF(HostBuild[Alias],HostBuild[Alias]),0)</f>
        <v>1</v>
      </c>
      <c r="AK10" s="531"/>
      <c r="AL10" s="531"/>
      <c r="AM10" s="532" t="s">
        <v>2173</v>
      </c>
      <c r="AN10" s="533" t="str">
        <f>IF(NOT(ISBLANK(HostBuild[Server Model])),VLOOKUP(HostBuild[Server Model],ServerModelsTier[],2,FALSE),"")</f>
        <v>x86 Tier 3</v>
      </c>
      <c r="AO10" s="533" t="str">
        <f>IF(NOT(ISBLANK(HostBuild[Server Model])),VLOOKUP(HostBuild[Server Model],ServerModelsTier[],5,FALSE),"")</f>
        <v>x86</v>
      </c>
      <c r="AP10" s="532"/>
      <c r="AQ10" s="532" t="s">
        <v>2337</v>
      </c>
      <c r="AR10" s="534">
        <v>2</v>
      </c>
      <c r="AS10" s="602"/>
      <c r="AT10" s="535">
        <v>16</v>
      </c>
      <c r="AU10" s="603" t="str">
        <f>IF(IFERROR(FIND("P-Series",HostBuild[Server Tier]),0),CEILING((HostBuild[Existing CPUs]+HostBuild[CPU])*16,8),"")</f>
        <v/>
      </c>
      <c r="AV10" s="536">
        <v>256</v>
      </c>
      <c r="AW10" s="531"/>
      <c r="AX10" s="531"/>
      <c r="AY10" s="531"/>
      <c r="AZ10" s="537"/>
      <c r="BA10" s="531"/>
      <c r="BB10" s="531"/>
      <c r="BC10" s="529"/>
      <c r="BD10" s="531"/>
      <c r="BE10" s="531"/>
      <c r="BF10" s="531"/>
      <c r="BG10" s="531"/>
      <c r="BH10" s="531"/>
      <c r="BI10" s="531"/>
      <c r="BJ10" s="531"/>
      <c r="BK10"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 s="538">
        <v>120</v>
      </c>
      <c r="BM10" s="540">
        <f>IF(ISNUMBER(HostBuild[Recommended SAN (GB)]),HostBuild[Recommended SAN (GB)])+IF(HostBuild[Additional SAN (GB)]&gt;0,CEILING(HostBuild[Additional SAN (GB)],LUN),-(CEILING(-HostBuild[Additional SAN (GB)],LUN)))</f>
        <v>471.8</v>
      </c>
      <c r="BN10" s="539"/>
      <c r="BO10" s="540">
        <f>HostBuild[SAN (GB)
NEEDED TODAY]+CEILING(HostBuild[SAN (GB)
RESERVED
DO NOT USE TO BUILD], LUN)</f>
        <v>471.8</v>
      </c>
      <c r="BP10" s="541">
        <v>120</v>
      </c>
      <c r="BQ10" s="542"/>
      <c r="BR10" s="432" t="s">
        <v>106</v>
      </c>
      <c r="BS10" s="605">
        <f>IF(HostBuild[Existing Server?]&lt;&gt;"Yes - Inside this BoM",IF(ISNUMBER(HostBuild[RAM 
(GB)]),IF(HostBuild[Existing RAM (GB)]+HostBuild[RAM 
(GB)]&gt;0,IF(HostBuild[Virtual Platform Storage Type]="NAS",110+HostBuild[Existing RAM (GB)]+HostBuild[RAM 
(GB)]*1.75,0),0),0),0)</f>
        <v>0</v>
      </c>
      <c r="BT10" s="606"/>
      <c r="BU10" s="607">
        <f>IF(ISNUMBER(HostBuild[Recommended NAS (GB)]),HostBuild[Recommended NAS (GB)])+HostBuild[Additional NAS (GB)]</f>
        <v>0</v>
      </c>
      <c r="BV10" s="543"/>
      <c r="BW10" s="543"/>
      <c r="BX10" s="604">
        <f>IFERROR((HostBuild[SAN (GB)
End-State
DO NOT USE TO BUILD]+HostBuild[SAN (GB) Shared])*25%,"")</f>
        <v>147.94999999999999</v>
      </c>
      <c r="BY10" s="608">
        <f>IFERROR(HostBuild[Archive
Full (GB)]*15%,"")</f>
        <v>22.192499999999999</v>
      </c>
      <c r="BZ10" s="544"/>
      <c r="CA10" s="544"/>
      <c r="CB10" s="545"/>
      <c r="CC10" s="546"/>
      <c r="CD10" s="545"/>
      <c r="CE10" s="547"/>
      <c r="CF10" s="539"/>
      <c r="CG10" s="609"/>
      <c r="CH10" s="548"/>
      <c r="CI10" s="549"/>
      <c r="CJ10" s="550" t="s">
        <v>4126</v>
      </c>
      <c r="CK10" s="551"/>
      <c r="CL10" s="552">
        <f>IFERROR(IF(FIND(CL$1,$W10)&gt;0,IF(INDEX(Product_Pricing_Table[],MATCH(CL$1,Products,0),2)="Cores",IF(HostBuild[Use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 s="552">
        <f>IFERROR(IF(FIND(CM$1,$W10)&gt;0,IF(INDEX(Product_Pricing_Table[],MATCH(CM$1,Products,0),2)="Cores",IF(HostBuild[Use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 s="552">
        <f>IFERROR(IF(FIND(CN$1,$W10)&gt;0,IF(INDEX(Product_Pricing_Table[],MATCH(CN$1,Products,0),2)="Cores",IF(HostBuild[Use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 s="552">
        <f>IFERROR(IF(FIND(CO$1,$W10)&gt;0,IF(INDEX(Product_Pricing_Table[],MATCH(CO$1,Products,0),2)="Cores",IF(HostBuild[Use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 s="552">
        <f>IFERROR(IF(FIND(CP$1,$W10)&gt;0,IF(INDEX(Product_Pricing_Table[],MATCH(CP$1,Products,0),2)="Cores",IF(HostBuild[Use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 s="552">
        <f>IFERROR(IF(FIND(CQ$1,$W10)&gt;0,IF(INDEX(Product_Pricing_Table[],MATCH(CQ$1,Products,0),2)="Cores",IF(HostBuild[Use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 s="552">
        <f>IFERROR(IF(FIND(CR$1,$W10)&gt;0,IF(INDEX(Product_Pricing_Table[],MATCH(CR$1,Products,0),2)="Cores",IF(HostBuild[Use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 s="552">
        <f>IFERROR(IF(FIND(CS$1,$W10)&gt;0,IF(INDEX(Product_Pricing_Table[],MATCH(CS$1,Products,0),2)="Cores",IF(HostBuild[Use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 s="552">
        <f>IFERROR(IF(FIND(CT$1,$W10)&gt;0,IF(INDEX(Product_Pricing_Table[],MATCH(CT$1,Products,0),2)="Cores",IF(HostBuild[Use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 s="552">
        <f>IFERROR(IF(FIND(CU$1,$W10)&gt;0,IF(INDEX(Product_Pricing_Table[],MATCH(CU$1,Products,0),2)="Cores",IF(HostBuild[Use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0" s="552">
        <f>IFERROR(IF(FIND(CV$1,$W10)&gt;0,IF(INDEX(Product_Pricing_Table[],MATCH(CV$1,Products,0),2)="Cores",IF(HostBuild[Use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 s="552">
        <f>IFERROR(IF(FIND(CW$1,$W10)&gt;0,IF(INDEX(Product_Pricing_Table[],MATCH(CW$1,Products,0),2)="Cores",IF(HostBuild[Use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 s="552">
        <f>IFERROR(IF(FIND(CX$1,$W10)&gt;0,IF(INDEX(Product_Pricing_Table[],MATCH(CX$1,Products,0),2)="Cores",IF(HostBuild[Use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0" s="552">
        <f>IFERROR(IF(FIND(CY$1,$W10)&gt;0,IF(INDEX(Product_Pricing_Table[],MATCH(CY$1,Products,0),2)="Cores",IF(HostBuild[Use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 s="552">
        <f>IFERROR(IF(FIND(CZ$1,$W10)&gt;0,IF(INDEX(Product_Pricing_Table[],MATCH(CZ$1,Products,0),2)="Cores",IF(HostBuild[Use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 s="552">
        <f>IFERROR(IF(FIND(DA$1,$W10)&gt;0,IF(INDEX(Product_Pricing_Table[],MATCH(DA$1,Products,0),2)="Cores",IF(HostBuild[Use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 s="552">
        <f>IFERROR(IF(FIND(DB$1,$W10)&gt;0,IF(INDEX(Product_Pricing_Table[],MATCH(DB$1,Products,0),2)="Cores",IF(HostBuild[Use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 s="552">
        <f>IFERROR(IF(FIND(DC$1,$W10)&gt;0,IF(INDEX(Product_Pricing_Table[],MATCH(DC$1,Products,0),2)="Cores",IF(HostBuild[Use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 s="552">
        <f>IFERROR(IF(FIND(DD$1,$W10)&gt;0,IF(INDEX(Product_Pricing_Table[],MATCH(DD$1,Products,0),2)="Cores",IF(HostBuild[Use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 s="552">
        <f>IFERROR(IF(FIND(DE$1,$W10)&gt;0,IF(INDEX(Product_Pricing_Table[],MATCH(DE$1,Products,0),2)="Cores",IF(HostBuild[Use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 s="553">
        <f>IFERROR(IF(FIND(DF$1,$W10)&gt;0,IF(INDEX(Product_Pricing_Table[],MATCH(DF$1,Products,0),2)="Cores",IF(HostBuild[Use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 s="553">
        <f>IFERROR(IF(FIND(DG$1,$W10)&gt;0,IF(INDEX(Product_Pricing_Table[],MATCH(DG$1,Products,0),2)="Cores",IF(HostBuild[Use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 s="552">
        <f>IFERROR(IF(FIND(DH$1,$W10)&gt;0,IF(INDEX(Product_Pricing_Table[],MATCH(DH$1,Products,0),2)="Cores",IF(HostBuild[Use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 s="553">
        <f>IFERROR(IF(FIND(DI$1,$W10)&gt;0,IF(INDEX(Product_Pricing_Table[],MATCH(DI$1,Products,0),2)="Cores",IF(HostBuild[Use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 s="552">
        <f>IFERROR(IF(FIND(DJ$1,$W10)&gt;0,IF(INDEX(Product_Pricing_Table[],MATCH(DJ$1,Products,0),2)="Cores",IF(HostBuild[Use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 s="552">
        <f>IFERROR(IF(FIND(DK$1,$W10)&gt;0,IF(INDEX(Product_Pricing_Table[],MATCH(DK$1,Products,0),2)="Cores",IF(HostBuild[Use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 s="552">
        <f>IFERROR(IF(FIND(DL$1,$W10)&gt;0,IF(INDEX(Product_Pricing_Table[],MATCH(DL$1,Products,0),2)="Cores",IF(HostBuild[Use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 s="552">
        <f>IFERROR(IF(FIND(DM$1,$W10)&gt;0,IF(INDEX(Product_Pricing_Table[],MATCH(DM$1,Products,0),2)="Cores",IF(HostBuild[Use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 s="552">
        <f>IFERROR(IF(FIND(DN$1,$W10)&gt;0,IF(INDEX(Product_Pricing_Table[],MATCH(DN$1,Products,0),2)="Cores",IF(HostBuild[Use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 s="552">
        <f>IFERROR(IF(FIND(DO$1,$W10)&gt;0,IF(INDEX(Product_Pricing_Table[],MATCH(DO$1,Products,0),2)="Cores",IF(HostBuild[Use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 s="552">
        <f>IFERROR(IF(FIND(DP$1,$W10)&gt;0,IF(INDEX(Product_Pricing_Table[],MATCH(DP$1,Products,0),2)="Cores",IF(HostBuild[Use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 s="552">
        <f>IFERROR(IF(FIND(DQ$1,$W10)&gt;0,IF(INDEX(Product_Pricing_Table[],MATCH(DQ$1,Products,0),2)="Cores",IF(HostBuild[Use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 s="552">
        <f>IFERROR(IF(FIND(DR$1,$W10)&gt;0,IF(INDEX(Product_Pricing_Table[],MATCH(DR$1,Products,0),2)="Cores",IF(HostBuild[Use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 s="552">
        <f>IFERROR(IF(FIND(DS$1,$W10)&gt;0,IF(INDEX(Product_Pricing_Table[],MATCH(DS$1,Products,0),2)="Cores",IF(HostBuild[Use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 s="552">
        <f>IFERROR(IF(FIND(DT$1,$W10)&gt;0,IF(INDEX(Product_Pricing_Table[],MATCH(DT$1,Products,0),2)="Cores",IF(HostBuild[Use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 s="552">
        <f>IFERROR(IF(FIND(DU$1,$W10)&gt;0,IF(INDEX(Product_Pricing_Table[],MATCH(DU$1,Products,0),2)="Cores",IF(HostBuild[Use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 s="552">
        <f>IFERROR(IF(FIND(DV$1,$W10)&gt;0,IF(INDEX(Product_Pricing_Table[],MATCH(DV$1,Products,0),2)="Cores",IF(HostBuild[Use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 s="552">
        <f>IFERROR(IF(FIND(DW$1,$W10)&gt;0,IF(INDEX(Product_Pricing_Table[],MATCH(DW$1,Products,0),2)="Cores",IF(HostBuild[Use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 s="552">
        <f>IFERROR(IF(FIND(DX$1,$W10)&gt;0,IF(INDEX(Product_Pricing_Table[],MATCH(DX$1,Products,0),2)="Cores",IF(HostBuild[Use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 s="552">
        <f>IFERROR(IF(FIND(DY$1,$W10)&gt;0,IF(INDEX(Product_Pricing_Table[],MATCH(DY$1,Products,0),2)="Cores",IF(HostBuild[Use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 s="552">
        <f>IFERROR(IF(FIND(DZ$1,$W10)&gt;0,IF(INDEX(Product_Pricing_Table[],MATCH(DZ$1,Products,0),2)="Cores",IF(HostBuild[Use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 s="552">
        <f>IFERROR(IF(FIND(EA$1,$W10)&gt;0,IF(INDEX(Product_Pricing_Table[],MATCH(EA$1,Products,0),2)="Cores",IF(HostBuild[Use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 s="552">
        <f>IFERROR(IF(FIND(EB$1,$W10)&gt;0,IF(INDEX(Product_Pricing_Table[],MATCH(EB$1,Products,0),2)="Cores",IF(HostBuild[Use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 s="553">
        <f>IFERROR(IF(FIND(EC$1,$W10)&gt;0,IF(INDEX(Product_Pricing_Table[],MATCH(EC$1,Products,0),2)="Cores",IF(HostBuild[Use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 s="552">
        <f>IFERROR(IF(FIND(ED$1,$W10)&gt;0,IF(INDEX(Product_Pricing_Table[],MATCH(ED$1,Products,0),2)="Cores",IF(HostBuild[Use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 s="552">
        <f>IFERROR(IF(FIND(EE$1,$W10)&gt;0,IF(INDEX(Product_Pricing_Table[],MATCH(EE$1,Products,0),2)="Cores",IF(HostBuild[Use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 s="552">
        <f>IFERROR(IF(FIND(EF$1,$W10)&gt;0,IF(INDEX(Product_Pricing_Table[],MATCH(EF$1,Products,0),2)="Cores",IF(HostBuild[Use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 s="552">
        <f>IFERROR(IF(FIND(EG$1,$W10)&gt;0,IF(INDEX(Product_Pricing_Table[],MATCH(EG$1,Products,0),2)="Cores",IF(HostBuild[Use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 s="552">
        <f>IFERROR(IF(FIND(EH$1,$W10)&gt;0,IF(INDEX(Product_Pricing_Table[],MATCH(EH$1,Products,0),2)="Cores",IF(HostBuild[Use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 s="552">
        <f>IFERROR(IF(FIND(EI$1,$W10)&gt;0,IF(INDEX(Product_Pricing_Table[],MATCH(EI$1,Products,0),2)="Cores",IF(HostBuild[Use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10" s="552">
        <f>IFERROR(IF(FIND(EJ$1,$W10)&gt;0,IF(INDEX(Product_Pricing_Table[],MATCH(EJ$1,Products,0),2)="Cores",IF(HostBuild[Use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 s="553">
        <f>IFERROR(IF(FIND(EK$1,$W10)&gt;0,IF(INDEX(Product_Pricing_Table[],MATCH(EK$1,Products,0),2)="Cores",IF(HostBuild[Use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10" s="554"/>
      <c r="EM10" s="555">
        <v>6359.75</v>
      </c>
      <c r="EN10" s="556">
        <v>899.755</v>
      </c>
      <c r="EO1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723.202</v>
      </c>
      <c r="EQ10" s="558">
        <f>(HostBuild[Archive
Full (GB)]+HostBuild[Archive
Incr (GB)])*Storage_DC_Dist_Tape_2014</f>
        <v>59.549874999999993</v>
      </c>
      <c r="ER10" s="558">
        <f>IF(ISNUMBER(HostBuild[Server HW Costs
(Monthly)]),SUM(HostBuild[[#This Row],[Server HW Costs
(Monthly)]:[Tape Costs
(Monthly)]]),0)</f>
        <v>1786.6518749999998</v>
      </c>
      <c r="ES10" s="559">
        <f>HostBuild[Software Costs
'[Year 1']
(Monthly)]+HostBuild[Total Hardware Costs
(Monthly)]</f>
        <v>8146.4018749999996</v>
      </c>
      <c r="ET10" s="559">
        <f>IFERROR(IF(FIND("Safenet",HostBuild[Server Model]),Safenet_PSE_PL600_Maint,0),0)+IFERROR(IF(FIND("XI52",HostBuild[Server Model]),IBM_DIA_XI52_Maint,0),0)+HostBuild[Software Costs
'[After Year 1']
(Monthly)]+HostBuild[Total Hardware Costs
(Monthly)]</f>
        <v>2686.4068749999997</v>
      </c>
      <c r="EU10" s="560">
        <f>SUM(HostBuild[[#This Row],[Server Cost Breakdown]:[Network Cost]])</f>
        <v>1003.9</v>
      </c>
      <c r="EV10" s="561">
        <f>IF(HostBuild[Existing Server?]="Yes - Inside this BoM",0,SUMIF(HostBuild[Alias],HostBuild[Alias],HostBuild[CPU])+SUMIF(HostBuild[Alias],HostBuild[Alias],HostBuild[Existing CPUs]))</f>
        <v>2</v>
      </c>
      <c r="EW10" s="561">
        <f>IF(HostBuild[Existing Server?]="Yes - Inside this BoM",0,SUMIF(HostBuild[Alias],HostBuild[Alias],HostBuild[Cores 
(Licensed Units)])+SUMIF(HostBuild[Alias],HostBuild[Alias],HostBuild[Existing Cores]))</f>
        <v>16</v>
      </c>
      <c r="EX10" s="561">
        <f>IF(HostBuild[Existing Server?]="Yes - Inside this BoM",0,SUMIF(HostBuild[Alias],HostBuild[Alias],HostBuild[RAM 
(GB)])+SUMIF(HostBuild[Alias],HostBuild[Alias],HostBuild[Existing RAM (GB)]))</f>
        <v>256</v>
      </c>
      <c r="EY1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 s="560">
        <f>IF(ISBLANK(HostBuild[Server Model]),0,IF(HostBuild[Server Tier]="VMware",0,VLOOKUP(HostBuild[Server Tier],ServerTierRates[#Data],2,0))*HostBuild[CPU]*IF(AND(HostBuild[Server Type]="pSeries",HostBuild[Virtual Platform Storage Type]="Cloud-SAN"),0.25,1))</f>
        <v>608</v>
      </c>
      <c r="FD10" s="560">
        <f>0</f>
        <v>0</v>
      </c>
      <c r="FE10" s="560">
        <f>IF(HostBuild[Server Type]="VMware",HostBuild[RAM 
(GB)]*IF(ISERROR(FIND("DevCloud", HostBuild[Server Model])&gt;0),vRAM_per_vCPU_2014_Monthly,vRAM_per_vCPU_2014_Daily*30),0)</f>
        <v>0</v>
      </c>
      <c r="FF1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 s="563">
        <f>IF(HostBuild[Server Tier]="VMware",0,IF(LEFT(HostBuild[Existing Server?],3)="Yes",0,IF(OR(HostBuild[Server Type]="Sun",HostBuild[Server Type]="pSeries"),Support_Direct_Server_Sun_per_OS_2014,IF(HostBuild[Server Type]="x86",Support_Direct_Server_x86_Wintel_per_OS_2014,0))))</f>
        <v>187.1</v>
      </c>
      <c r="FI1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 spans="1:178" ht="15" customHeight="1">
      <c r="A11" s="360" t="s">
        <v>3942</v>
      </c>
      <c r="B11" s="521"/>
      <c r="C11" s="521"/>
      <c r="D11" s="521"/>
      <c r="E11" s="522"/>
      <c r="F11" s="522"/>
      <c r="G11" s="597"/>
      <c r="H11" s="597"/>
      <c r="I11" s="523"/>
      <c r="J11" s="522"/>
      <c r="K11" s="522"/>
      <c r="L11" s="522"/>
      <c r="M11" s="597" t="e">
        <f ca="1">IF(rngIsDate(HostBuild[CTO Acceptance]),"Y","N")</f>
        <v>#NAME?</v>
      </c>
      <c r="N11" s="361" t="s">
        <v>3938</v>
      </c>
      <c r="O11" s="525"/>
      <c r="P11" s="525"/>
      <c r="Q11" s="361" t="s">
        <v>79</v>
      </c>
      <c r="R11" s="526" t="str">
        <f>IF(NOT(ISBLANK(HostBuild[Env Label])),IFERROR(VLOOKUP(HostBuild[Env Label],tEnv[],3,FALSE),""),"")</f>
        <v>PROD</v>
      </c>
      <c r="S11" s="598"/>
      <c r="T11" s="527"/>
      <c r="U11" s="599"/>
      <c r="V11" s="524" t="s">
        <v>3937</v>
      </c>
      <c r="W11" s="524" t="s">
        <v>3940</v>
      </c>
      <c r="X11" s="524" t="s">
        <v>35</v>
      </c>
      <c r="Y11" s="361" t="s">
        <v>481</v>
      </c>
      <c r="Z11" s="526" t="str">
        <f>IF(NOT(ISBLANK(HostBuild[[#This Row],[Product 
(Acronym)]])),CONCATENATE(HostBuild[[#This Row],[Type]],"-",HostBuild[[#This Row],[Product 
(Acronym)]]),"")</f>
        <v>AP-ESB</v>
      </c>
      <c r="AA11" s="600"/>
      <c r="AB11" s="600" t="s">
        <v>105</v>
      </c>
      <c r="AC11" s="528"/>
      <c r="AD11" s="529"/>
      <c r="AE11" s="529"/>
      <c r="AF11" s="530"/>
      <c r="AG11" s="531"/>
      <c r="AH11" s="601"/>
      <c r="AI11" s="362" t="s">
        <v>3944</v>
      </c>
      <c r="AJ11" s="524">
        <f>IF(COUNTIF(HostBuild[Alias],HostBuild[Alias]),1/COUNTIF(HostBuild[Alias],HostBuild[Alias]),0)</f>
        <v>1</v>
      </c>
      <c r="AK11" s="531"/>
      <c r="AL11" s="531"/>
      <c r="AM11" s="532" t="s">
        <v>2173</v>
      </c>
      <c r="AN11" s="533" t="str">
        <f>IF(NOT(ISBLANK(HostBuild[Server Model])),VLOOKUP(HostBuild[Server Model],ServerModelsTier[],2,FALSE),"")</f>
        <v>x86 Tier 3</v>
      </c>
      <c r="AO11" s="533" t="str">
        <f>IF(NOT(ISBLANK(HostBuild[Server Model])),VLOOKUP(HostBuild[Server Model],ServerModelsTier[],5,FALSE),"")</f>
        <v>x86</v>
      </c>
      <c r="AP11" s="532"/>
      <c r="AQ11" s="532" t="s">
        <v>2337</v>
      </c>
      <c r="AR11" s="534">
        <v>2</v>
      </c>
      <c r="AS11" s="602"/>
      <c r="AT11" s="535">
        <v>16</v>
      </c>
      <c r="AU11" s="603" t="str">
        <f>IF(IFERROR(FIND("P-Series",HostBuild[Server Tier]),0),CEILING((HostBuild[Existing CPUs]+HostBuild[CPU])*16,8),"")</f>
        <v/>
      </c>
      <c r="AV11" s="536">
        <v>256</v>
      </c>
      <c r="AW11" s="531"/>
      <c r="AX11" s="531"/>
      <c r="AY11" s="531"/>
      <c r="AZ11" s="537"/>
      <c r="BA11" s="531"/>
      <c r="BB11" s="531"/>
      <c r="BC11" s="529"/>
      <c r="BD11" s="531"/>
      <c r="BE11" s="531"/>
      <c r="BF11" s="531"/>
      <c r="BG11" s="531"/>
      <c r="BH11" s="531"/>
      <c r="BI11" s="531"/>
      <c r="BJ11" s="531"/>
      <c r="BK11"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1" s="538"/>
      <c r="BM11" s="540">
        <f>IF(ISNUMBER(HostBuild[Recommended SAN (GB)]),HostBuild[Recommended SAN (GB)])+IF(HostBuild[Additional SAN (GB)]&gt;0,CEILING(HostBuild[Additional SAN (GB)],LUN),-(CEILING(-HostBuild[Additional SAN (GB)],LUN)))</f>
        <v>337</v>
      </c>
      <c r="BN11" s="539"/>
      <c r="BO11" s="540">
        <f>HostBuild[SAN (GB)
NEEDED TODAY]+CEILING(HostBuild[SAN (GB)
RESERVED
DO NOT USE TO BUILD], LUN)</f>
        <v>337</v>
      </c>
      <c r="BP11" s="541"/>
      <c r="BQ11" s="542"/>
      <c r="BR11" s="432" t="s">
        <v>106</v>
      </c>
      <c r="BS11" s="605">
        <f>IF(HostBuild[Existing Server?]&lt;&gt;"Yes - Inside this BoM",IF(ISNUMBER(HostBuild[RAM 
(GB)]),IF(HostBuild[Existing RAM (GB)]+HostBuild[RAM 
(GB)]&gt;0,IF(HostBuild[Virtual Platform Storage Type]="NAS",110+HostBuild[Existing RAM (GB)]+HostBuild[RAM 
(GB)]*1.75,0),0),0),0)</f>
        <v>0</v>
      </c>
      <c r="BT11" s="606"/>
      <c r="BU11" s="607">
        <f>IF(ISNUMBER(HostBuild[Recommended NAS (GB)]),HostBuild[Recommended NAS (GB)])+HostBuild[Additional NAS (GB)]</f>
        <v>0</v>
      </c>
      <c r="BV11" s="543"/>
      <c r="BW11" s="543"/>
      <c r="BX11" s="604">
        <f>IFERROR((HostBuild[SAN (GB)
End-State
DO NOT USE TO BUILD]+HostBuild[SAN (GB) Shared])*25%,"")</f>
        <v>84.25</v>
      </c>
      <c r="BY11" s="608">
        <f>IFERROR(HostBuild[Archive
Full (GB)]*15%,"")</f>
        <v>12.637499999999999</v>
      </c>
      <c r="BZ11" s="544"/>
      <c r="CA11" s="544"/>
      <c r="CB11" s="545"/>
      <c r="CC11" s="546"/>
      <c r="CD11" s="545"/>
      <c r="CE11" s="547"/>
      <c r="CF11" s="539"/>
      <c r="CG11" s="609"/>
      <c r="CH11" s="548"/>
      <c r="CI11" s="549"/>
      <c r="CJ11" s="550" t="s">
        <v>4126</v>
      </c>
      <c r="CK11" s="551"/>
      <c r="CL11" s="552">
        <f>IFERROR(IF(FIND(CL$1,$W11)&gt;0,IF(INDEX(Product_Pricing_Table[],MATCH(CL$1,Products,0),2)="Cores",IF(HostBuild[Use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 s="552">
        <f>IFERROR(IF(FIND(CM$1,$W11)&gt;0,IF(INDEX(Product_Pricing_Table[],MATCH(CM$1,Products,0),2)="Cores",IF(HostBuild[Use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1" s="552">
        <f>IFERROR(IF(FIND(CN$1,$W11)&gt;0,IF(INDEX(Product_Pricing_Table[],MATCH(CN$1,Products,0),2)="Cores",IF(HostBuild[Use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 s="552">
        <f>IFERROR(IF(FIND(CO$1,$W11)&gt;0,IF(INDEX(Product_Pricing_Table[],MATCH(CO$1,Products,0),2)="Cores",IF(HostBuild[Use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 s="552">
        <f>IFERROR(IF(FIND(CP$1,$W11)&gt;0,IF(INDEX(Product_Pricing_Table[],MATCH(CP$1,Products,0),2)="Cores",IF(HostBuild[Use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 s="552">
        <f>IFERROR(IF(FIND(CQ$1,$W11)&gt;0,IF(INDEX(Product_Pricing_Table[],MATCH(CQ$1,Products,0),2)="Cores",IF(HostBuild[Use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 s="552">
        <f>IFERROR(IF(FIND(CR$1,$W11)&gt;0,IF(INDEX(Product_Pricing_Table[],MATCH(CR$1,Products,0),2)="Cores",IF(HostBuild[Use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 s="552">
        <f>IFERROR(IF(FIND(CS$1,$W11)&gt;0,IF(INDEX(Product_Pricing_Table[],MATCH(CS$1,Products,0),2)="Cores",IF(HostBuild[Use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 s="552">
        <f>IFERROR(IF(FIND(CT$1,$W11)&gt;0,IF(INDEX(Product_Pricing_Table[],MATCH(CT$1,Products,0),2)="Cores",IF(HostBuild[Use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 s="552">
        <f>IFERROR(IF(FIND(CU$1,$W11)&gt;0,IF(INDEX(Product_Pricing_Table[],MATCH(CU$1,Products,0),2)="Cores",IF(HostBuild[Use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 s="552">
        <f>IFERROR(IF(FIND(CV$1,$W11)&gt;0,IF(INDEX(Product_Pricing_Table[],MATCH(CV$1,Products,0),2)="Cores",IF(HostBuild[Use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 s="552">
        <f>IFERROR(IF(FIND(CW$1,$W11)&gt;0,IF(INDEX(Product_Pricing_Table[],MATCH(CW$1,Products,0),2)="Cores",IF(HostBuild[Use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 s="552">
        <f>IFERROR(IF(FIND(CX$1,$W11)&gt;0,IF(INDEX(Product_Pricing_Table[],MATCH(CX$1,Products,0),2)="Cores",IF(HostBuild[Use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 s="552">
        <f>IFERROR(IF(FIND(CY$1,$W11)&gt;0,IF(INDEX(Product_Pricing_Table[],MATCH(CY$1,Products,0),2)="Cores",IF(HostBuild[Use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 s="552">
        <f>IFERROR(IF(FIND(CZ$1,$W11)&gt;0,IF(INDEX(Product_Pricing_Table[],MATCH(CZ$1,Products,0),2)="Cores",IF(HostBuild[Use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 s="552">
        <f>IFERROR(IF(FIND(DA$1,$W11)&gt;0,IF(INDEX(Product_Pricing_Table[],MATCH(DA$1,Products,0),2)="Cores",IF(HostBuild[Use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 s="552">
        <f>IFERROR(IF(FIND(DB$1,$W11)&gt;0,IF(INDEX(Product_Pricing_Table[],MATCH(DB$1,Products,0),2)="Cores",IF(HostBuild[Use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 s="552">
        <f>IFERROR(IF(FIND(DC$1,$W11)&gt;0,IF(INDEX(Product_Pricing_Table[],MATCH(DC$1,Products,0),2)="Cores",IF(HostBuild[Use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 s="552">
        <f>IFERROR(IF(FIND(DD$1,$W11)&gt;0,IF(INDEX(Product_Pricing_Table[],MATCH(DD$1,Products,0),2)="Cores",IF(HostBuild[Use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 s="552">
        <f>IFERROR(IF(FIND(DE$1,$W11)&gt;0,IF(INDEX(Product_Pricing_Table[],MATCH(DE$1,Products,0),2)="Cores",IF(HostBuild[Use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 s="553">
        <f>IFERROR(IF(FIND(DF$1,$W11)&gt;0,IF(INDEX(Product_Pricing_Table[],MATCH(DF$1,Products,0),2)="Cores",IF(HostBuild[Use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 s="553">
        <f>IFERROR(IF(FIND(DG$1,$W11)&gt;0,IF(INDEX(Product_Pricing_Table[],MATCH(DG$1,Products,0),2)="Cores",IF(HostBuild[Use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 s="552">
        <f>IFERROR(IF(FIND(DH$1,$W11)&gt;0,IF(INDEX(Product_Pricing_Table[],MATCH(DH$1,Products,0),2)="Cores",IF(HostBuild[Use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 s="553">
        <f>IFERROR(IF(FIND(DI$1,$W11)&gt;0,IF(INDEX(Product_Pricing_Table[],MATCH(DI$1,Products,0),2)="Cores",IF(HostBuild[Use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 s="552">
        <f>IFERROR(IF(FIND(DJ$1,$W11)&gt;0,IF(INDEX(Product_Pricing_Table[],MATCH(DJ$1,Products,0),2)="Cores",IF(HostBuild[Use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 s="552">
        <f>IFERROR(IF(FIND(DK$1,$W11)&gt;0,IF(INDEX(Product_Pricing_Table[],MATCH(DK$1,Products,0),2)="Cores",IF(HostBuild[Use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 s="552">
        <f>IFERROR(IF(FIND(DL$1,$W11)&gt;0,IF(INDEX(Product_Pricing_Table[],MATCH(DL$1,Products,0),2)="Cores",IF(HostBuild[Use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 s="552">
        <f>IFERROR(IF(FIND(DM$1,$W11)&gt;0,IF(INDEX(Product_Pricing_Table[],MATCH(DM$1,Products,0),2)="Cores",IF(HostBuild[Use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 s="552">
        <f>IFERROR(IF(FIND(DN$1,$W11)&gt;0,IF(INDEX(Product_Pricing_Table[],MATCH(DN$1,Products,0),2)="Cores",IF(HostBuild[Use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 s="552">
        <f>IFERROR(IF(FIND(DO$1,$W11)&gt;0,IF(INDEX(Product_Pricing_Table[],MATCH(DO$1,Products,0),2)="Cores",IF(HostBuild[Use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 s="552">
        <f>IFERROR(IF(FIND(DP$1,$W11)&gt;0,IF(INDEX(Product_Pricing_Table[],MATCH(DP$1,Products,0),2)="Cores",IF(HostBuild[Use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 s="552">
        <f>IFERROR(IF(FIND(DQ$1,$W11)&gt;0,IF(INDEX(Product_Pricing_Table[],MATCH(DQ$1,Products,0),2)="Cores",IF(HostBuild[Use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 s="552">
        <f>IFERROR(IF(FIND(DR$1,$W11)&gt;0,IF(INDEX(Product_Pricing_Table[],MATCH(DR$1,Products,0),2)="Cores",IF(HostBuild[Use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 s="552">
        <f>IFERROR(IF(FIND(DS$1,$W11)&gt;0,IF(INDEX(Product_Pricing_Table[],MATCH(DS$1,Products,0),2)="Cores",IF(HostBuild[Use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 s="552">
        <f>IFERROR(IF(FIND(DT$1,$W11)&gt;0,IF(INDEX(Product_Pricing_Table[],MATCH(DT$1,Products,0),2)="Cores",IF(HostBuild[Use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 s="552">
        <f>IFERROR(IF(FIND(DU$1,$W11)&gt;0,IF(INDEX(Product_Pricing_Table[],MATCH(DU$1,Products,0),2)="Cores",IF(HostBuild[Use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 s="552">
        <f>IFERROR(IF(FIND(DV$1,$W11)&gt;0,IF(INDEX(Product_Pricing_Table[],MATCH(DV$1,Products,0),2)="Cores",IF(HostBuild[Use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1" s="552">
        <f>IFERROR(IF(FIND(DW$1,$W11)&gt;0,IF(INDEX(Product_Pricing_Table[],MATCH(DW$1,Products,0),2)="Cores",IF(HostBuild[Use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 s="552">
        <f>IFERROR(IF(FIND(DX$1,$W11)&gt;0,IF(INDEX(Product_Pricing_Table[],MATCH(DX$1,Products,0),2)="Cores",IF(HostBuild[Use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 s="552">
        <f>IFERROR(IF(FIND(DY$1,$W11)&gt;0,IF(INDEX(Product_Pricing_Table[],MATCH(DY$1,Products,0),2)="Cores",IF(HostBuild[Use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 s="552">
        <f>IFERROR(IF(FIND(DZ$1,$W11)&gt;0,IF(INDEX(Product_Pricing_Table[],MATCH(DZ$1,Products,0),2)="Cores",IF(HostBuild[Use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 s="552">
        <f>IFERROR(IF(FIND(EA$1,$W11)&gt;0,IF(INDEX(Product_Pricing_Table[],MATCH(EA$1,Products,0),2)="Cores",IF(HostBuild[Use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 s="552">
        <f>IFERROR(IF(FIND(EB$1,$W11)&gt;0,IF(INDEX(Product_Pricing_Table[],MATCH(EB$1,Products,0),2)="Cores",IF(HostBuild[Use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 s="553">
        <f>IFERROR(IF(FIND(EC$1,$W11)&gt;0,IF(INDEX(Product_Pricing_Table[],MATCH(EC$1,Products,0),2)="Cores",IF(HostBuild[Use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 s="552">
        <f>IFERROR(IF(FIND(ED$1,$W11)&gt;0,IF(INDEX(Product_Pricing_Table[],MATCH(ED$1,Products,0),2)="Cores",IF(HostBuild[Use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 s="552">
        <f>IFERROR(IF(FIND(EE$1,$W11)&gt;0,IF(INDEX(Product_Pricing_Table[],MATCH(EE$1,Products,0),2)="Cores",IF(HostBuild[Use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 s="552">
        <f>IFERROR(IF(FIND(EF$1,$W11)&gt;0,IF(INDEX(Product_Pricing_Table[],MATCH(EF$1,Products,0),2)="Cores",IF(HostBuild[Use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 s="552">
        <f>IFERROR(IF(FIND(EG$1,$W11)&gt;0,IF(INDEX(Product_Pricing_Table[],MATCH(EG$1,Products,0),2)="Cores",IF(HostBuild[Use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 s="552">
        <f>IFERROR(IF(FIND(EH$1,$W11)&gt;0,IF(INDEX(Product_Pricing_Table[],MATCH(EH$1,Products,0),2)="Cores",IF(HostBuild[Use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 s="552">
        <f>IFERROR(IF(FIND(EI$1,$W11)&gt;0,IF(INDEX(Product_Pricing_Table[],MATCH(EI$1,Products,0),2)="Cores",IF(HostBuild[Use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11" s="552">
        <f>IFERROR(IF(FIND(EJ$1,$W11)&gt;0,IF(INDEX(Product_Pricing_Table[],MATCH(EJ$1,Products,0),2)="Cores",IF(HostBuild[Use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 s="553">
        <f>IFERROR(IF(FIND(EK$1,$W11)&gt;0,IF(INDEX(Product_Pricing_Table[],MATCH(EK$1,Products,0),2)="Cores",IF(HostBuild[Use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11" s="554"/>
      <c r="EM11" s="555"/>
      <c r="EN11" s="556"/>
      <c r="EO1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1" s="558">
        <f>(HostBuild[Archive
Full (GB)]+HostBuild[Archive
Incr (GB)])*Storage_DC_Dist_Tape_2014</f>
        <v>33.910624999999996</v>
      </c>
      <c r="ER11" s="558">
        <f>IF(ISNUMBER(HostBuild[Server HW Costs
(Monthly)]),SUM(HostBuild[[#This Row],[Server HW Costs
(Monthly)]:[Tape Costs
(Monthly)]]),0)</f>
        <v>1398.400625</v>
      </c>
      <c r="ES11" s="559">
        <f>HostBuild[Software Costs
'[Year 1']
(Monthly)]+HostBuild[Total Hardware Costs
(Monthly)]</f>
        <v>1398.400625</v>
      </c>
      <c r="ET11" s="559">
        <f>IFERROR(IF(FIND("Safenet",HostBuild[Server Model]),Safenet_PSE_PL600_Maint,0),0)+IFERROR(IF(FIND("XI52",HostBuild[Server Model]),IBM_DIA_XI52_Maint,0),0)+HostBuild[Software Costs
'[After Year 1']
(Monthly)]+HostBuild[Total Hardware Costs
(Monthly)]</f>
        <v>1398.400625</v>
      </c>
      <c r="EU11" s="560">
        <f>SUM(HostBuild[[#This Row],[Server Cost Breakdown]:[Network Cost]])</f>
        <v>1003.9</v>
      </c>
      <c r="EV11" s="561">
        <f>IF(HostBuild[Existing Server?]="Yes - Inside this BoM",0,SUMIF(HostBuild[Alias],HostBuild[Alias],HostBuild[CPU])+SUMIF(HostBuild[Alias],HostBuild[Alias],HostBuild[Existing CPUs]))</f>
        <v>2</v>
      </c>
      <c r="EW11" s="561">
        <f>IF(HostBuild[Existing Server?]="Yes - Inside this BoM",0,SUMIF(HostBuild[Alias],HostBuild[Alias],HostBuild[Cores 
(Licensed Units)])+SUMIF(HostBuild[Alias],HostBuild[Alias],HostBuild[Existing Cores]))</f>
        <v>16</v>
      </c>
      <c r="EX11" s="561">
        <f>IF(HostBuild[Existing Server?]="Yes - Inside this BoM",0,SUMIF(HostBuild[Alias],HostBuild[Alias],HostBuild[RAM 
(GB)])+SUMIF(HostBuild[Alias],HostBuild[Alias],HostBuild[Existing RAM (GB)]))</f>
        <v>256</v>
      </c>
      <c r="EY1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 s="560">
        <f>IF(ISBLANK(HostBuild[Server Model]),0,IF(HostBuild[Server Tier]="VMware",0,VLOOKUP(HostBuild[Server Tier],ServerTierRates[#Data],2,0))*HostBuild[CPU]*IF(AND(HostBuild[Server Type]="pSeries",HostBuild[Virtual Platform Storage Type]="Cloud-SAN"),0.25,1))</f>
        <v>608</v>
      </c>
      <c r="FD11" s="560">
        <f>0</f>
        <v>0</v>
      </c>
      <c r="FE11" s="560">
        <f>IF(HostBuild[Server Type]="VMware",HostBuild[RAM 
(GB)]*IF(ISERROR(FIND("DevCloud", HostBuild[Server Model])&gt;0),vRAM_per_vCPU_2014_Monthly,vRAM_per_vCPU_2014_Daily*30),0)</f>
        <v>0</v>
      </c>
      <c r="FF1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 s="563">
        <f>IF(HostBuild[Server Tier]="VMware",0,IF(LEFT(HostBuild[Existing Server?],3)="Yes",0,IF(OR(HostBuild[Server Type]="Sun",HostBuild[Server Type]="pSeries"),Support_Direct_Server_Sun_per_OS_2014,IF(HostBuild[Server Type]="x86",Support_Direct_Server_x86_Wintel_per_OS_2014,0))))</f>
        <v>187.1</v>
      </c>
      <c r="FI1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c r="FK11" s="143"/>
      <c r="FM11" s="143"/>
      <c r="FS11" s="139"/>
      <c r="FU11" s="26"/>
      <c r="FV11" s="26"/>
    </row>
    <row r="12" spans="1:178" ht="15" customHeight="1">
      <c r="A12" s="360" t="s">
        <v>3942</v>
      </c>
      <c r="B12" s="521"/>
      <c r="C12" s="521"/>
      <c r="D12" s="521"/>
      <c r="E12" s="522"/>
      <c r="F12" s="522"/>
      <c r="G12" s="597"/>
      <c r="H12" s="597"/>
      <c r="I12" s="523"/>
      <c r="J12" s="522"/>
      <c r="K12" s="522"/>
      <c r="L12" s="522"/>
      <c r="M12" s="597" t="e">
        <f ca="1">IF(rngIsDate(HostBuild[CTO Acceptance]),"Y","N")</f>
        <v>#NAME?</v>
      </c>
      <c r="N12" s="361" t="s">
        <v>3938</v>
      </c>
      <c r="O12" s="525"/>
      <c r="P12" s="525"/>
      <c r="Q12" s="361" t="s">
        <v>79</v>
      </c>
      <c r="R12" s="526" t="str">
        <f>IF(NOT(ISBLANK(HostBuild[Env Label])),IFERROR(VLOOKUP(HostBuild[Env Label],tEnv[],3,FALSE),""),"")</f>
        <v>PROD</v>
      </c>
      <c r="S12" s="598"/>
      <c r="T12" s="527"/>
      <c r="U12" s="599"/>
      <c r="V12" s="524" t="s">
        <v>3937</v>
      </c>
      <c r="W12" s="524" t="s">
        <v>3940</v>
      </c>
      <c r="X12" s="524" t="s">
        <v>35</v>
      </c>
      <c r="Y12" s="361" t="s">
        <v>481</v>
      </c>
      <c r="Z12" s="526" t="str">
        <f>IF(NOT(ISBLANK(HostBuild[[#This Row],[Product 
(Acronym)]])),CONCATENATE(HostBuild[[#This Row],[Type]],"-",HostBuild[[#This Row],[Product 
(Acronym)]]),"")</f>
        <v>AP-ESB</v>
      </c>
      <c r="AA12" s="600"/>
      <c r="AB12" s="600" t="s">
        <v>105</v>
      </c>
      <c r="AC12" s="528"/>
      <c r="AD12" s="529"/>
      <c r="AE12" s="529"/>
      <c r="AF12" s="530"/>
      <c r="AG12" s="531"/>
      <c r="AH12" s="601"/>
      <c r="AI12" s="362" t="s">
        <v>3945</v>
      </c>
      <c r="AJ12" s="524">
        <f>IF(COUNTIF(HostBuild[Alias],HostBuild[Alias]),1/COUNTIF(HostBuild[Alias],HostBuild[Alias]),0)</f>
        <v>1</v>
      </c>
      <c r="AK12" s="531"/>
      <c r="AL12" s="531"/>
      <c r="AM12" s="532" t="s">
        <v>2173</v>
      </c>
      <c r="AN12" s="533" t="str">
        <f>IF(NOT(ISBLANK(HostBuild[Server Model])),VLOOKUP(HostBuild[Server Model],ServerModelsTier[],2,FALSE),"")</f>
        <v>x86 Tier 3</v>
      </c>
      <c r="AO12" s="533" t="str">
        <f>IF(NOT(ISBLANK(HostBuild[Server Model])),VLOOKUP(HostBuild[Server Model],ServerModelsTier[],5,FALSE),"")</f>
        <v>x86</v>
      </c>
      <c r="AP12" s="532"/>
      <c r="AQ12" s="532" t="s">
        <v>2337</v>
      </c>
      <c r="AR12" s="534">
        <v>2</v>
      </c>
      <c r="AS12" s="602"/>
      <c r="AT12" s="535">
        <v>16</v>
      </c>
      <c r="AU12" s="603" t="str">
        <f>IF(IFERROR(FIND("P-Series",HostBuild[Server Tier]),0),CEILING((HostBuild[Existing CPUs]+HostBuild[CPU])*16,8),"")</f>
        <v/>
      </c>
      <c r="AV12" s="536">
        <v>256</v>
      </c>
      <c r="AW12" s="531"/>
      <c r="AX12" s="531"/>
      <c r="AY12" s="531"/>
      <c r="AZ12" s="537"/>
      <c r="BA12" s="531"/>
      <c r="BB12" s="531"/>
      <c r="BC12" s="529"/>
      <c r="BD12" s="531"/>
      <c r="BE12" s="531"/>
      <c r="BF12" s="531"/>
      <c r="BG12" s="531"/>
      <c r="BH12" s="531"/>
      <c r="BI12" s="531"/>
      <c r="BJ12" s="531"/>
      <c r="BK12"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2" s="538">
        <v>120</v>
      </c>
      <c r="BM12" s="540">
        <f>IF(ISNUMBER(HostBuild[Recommended SAN (GB)]),HostBuild[Recommended SAN (GB)])+IF(HostBuild[Additional SAN (GB)]&gt;0,CEILING(HostBuild[Additional SAN (GB)],LUN),-(CEILING(-HostBuild[Additional SAN (GB)],LUN)))</f>
        <v>471.8</v>
      </c>
      <c r="BN12" s="539"/>
      <c r="BO12" s="540">
        <f>HostBuild[SAN (GB)
NEEDED TODAY]+CEILING(HostBuild[SAN (GB)
RESERVED
DO NOT USE TO BUILD], LUN)</f>
        <v>471.8</v>
      </c>
      <c r="BP12" s="541">
        <v>120</v>
      </c>
      <c r="BQ12" s="542"/>
      <c r="BR12" s="432" t="s">
        <v>106</v>
      </c>
      <c r="BS12" s="605">
        <f>IF(HostBuild[Existing Server?]&lt;&gt;"Yes - Inside this BoM",IF(ISNUMBER(HostBuild[RAM 
(GB)]),IF(HostBuild[Existing RAM (GB)]+HostBuild[RAM 
(GB)]&gt;0,IF(HostBuild[Virtual Platform Storage Type]="NAS",110+HostBuild[Existing RAM (GB)]+HostBuild[RAM 
(GB)]*1.75,0),0),0),0)</f>
        <v>0</v>
      </c>
      <c r="BT12" s="606"/>
      <c r="BU12" s="607">
        <f>IF(ISNUMBER(HostBuild[Recommended NAS (GB)]),HostBuild[Recommended NAS (GB)])+HostBuild[Additional NAS (GB)]</f>
        <v>0</v>
      </c>
      <c r="BV12" s="543"/>
      <c r="BW12" s="543"/>
      <c r="BX12" s="604">
        <f>IFERROR((HostBuild[SAN (GB)
End-State
DO NOT USE TO BUILD]+HostBuild[SAN (GB) Shared])*25%,"")</f>
        <v>147.94999999999999</v>
      </c>
      <c r="BY12" s="608">
        <f>IFERROR(HostBuild[Archive
Full (GB)]*15%,"")</f>
        <v>22.192499999999999</v>
      </c>
      <c r="BZ12" s="544"/>
      <c r="CA12" s="544"/>
      <c r="CB12" s="545"/>
      <c r="CC12" s="546"/>
      <c r="CD12" s="545"/>
      <c r="CE12" s="547"/>
      <c r="CF12" s="539"/>
      <c r="CG12" s="609"/>
      <c r="CH12" s="548"/>
      <c r="CI12" s="549"/>
      <c r="CJ12" s="550" t="s">
        <v>4126</v>
      </c>
      <c r="CK12" s="551"/>
      <c r="CL12" s="552">
        <f>IFERROR(IF(FIND(CL$1,$W12)&gt;0,IF(INDEX(Product_Pricing_Table[],MATCH(CL$1,Products,0),2)="Cores",IF(HostBuild[Use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 s="552">
        <f>IFERROR(IF(FIND(CM$1,$W12)&gt;0,IF(INDEX(Product_Pricing_Table[],MATCH(CM$1,Products,0),2)="Cores",IF(HostBuild[Use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 s="552">
        <f>IFERROR(IF(FIND(CN$1,$W12)&gt;0,IF(INDEX(Product_Pricing_Table[],MATCH(CN$1,Products,0),2)="Cores",IF(HostBuild[Use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 s="552">
        <f>IFERROR(IF(FIND(CO$1,$W12)&gt;0,IF(INDEX(Product_Pricing_Table[],MATCH(CO$1,Products,0),2)="Cores",IF(HostBuild[Use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 s="552">
        <f>IFERROR(IF(FIND(CP$1,$W12)&gt;0,IF(INDEX(Product_Pricing_Table[],MATCH(CP$1,Products,0),2)="Cores",IF(HostBuild[Use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 s="552">
        <f>IFERROR(IF(FIND(CQ$1,$W12)&gt;0,IF(INDEX(Product_Pricing_Table[],MATCH(CQ$1,Products,0),2)="Cores",IF(HostBuild[Use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 s="552">
        <f>IFERROR(IF(FIND(CR$1,$W12)&gt;0,IF(INDEX(Product_Pricing_Table[],MATCH(CR$1,Products,0),2)="Cores",IF(HostBuild[Use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 s="552">
        <f>IFERROR(IF(FIND(CS$1,$W12)&gt;0,IF(INDEX(Product_Pricing_Table[],MATCH(CS$1,Products,0),2)="Cores",IF(HostBuild[Use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 s="552">
        <f>IFERROR(IF(FIND(CT$1,$W12)&gt;0,IF(INDEX(Product_Pricing_Table[],MATCH(CT$1,Products,0),2)="Cores",IF(HostBuild[Use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 s="552">
        <f>IFERROR(IF(FIND(CU$1,$W12)&gt;0,IF(INDEX(Product_Pricing_Table[],MATCH(CU$1,Products,0),2)="Cores",IF(HostBuild[Use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 s="552">
        <f>IFERROR(IF(FIND(CV$1,$W12)&gt;0,IF(INDEX(Product_Pricing_Table[],MATCH(CV$1,Products,0),2)="Cores",IF(HostBuild[Use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 s="552">
        <f>IFERROR(IF(FIND(CW$1,$W12)&gt;0,IF(INDEX(Product_Pricing_Table[],MATCH(CW$1,Products,0),2)="Cores",IF(HostBuild[Use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 s="552">
        <f>IFERROR(IF(FIND(CX$1,$W12)&gt;0,IF(INDEX(Product_Pricing_Table[],MATCH(CX$1,Products,0),2)="Cores",IF(HostBuild[Use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 s="552">
        <f>IFERROR(IF(FIND(CY$1,$W12)&gt;0,IF(INDEX(Product_Pricing_Table[],MATCH(CY$1,Products,0),2)="Cores",IF(HostBuild[Use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 s="552">
        <f>IFERROR(IF(FIND(CZ$1,$W12)&gt;0,IF(INDEX(Product_Pricing_Table[],MATCH(CZ$1,Products,0),2)="Cores",IF(HostBuild[Use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 s="552">
        <f>IFERROR(IF(FIND(DA$1,$W12)&gt;0,IF(INDEX(Product_Pricing_Table[],MATCH(DA$1,Products,0),2)="Cores",IF(HostBuild[Use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 s="552">
        <f>IFERROR(IF(FIND(DB$1,$W12)&gt;0,IF(INDEX(Product_Pricing_Table[],MATCH(DB$1,Products,0),2)="Cores",IF(HostBuild[Use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 s="552">
        <f>IFERROR(IF(FIND(DC$1,$W12)&gt;0,IF(INDEX(Product_Pricing_Table[],MATCH(DC$1,Products,0),2)="Cores",IF(HostBuild[Use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 s="552">
        <f>IFERROR(IF(FIND(DD$1,$W12)&gt;0,IF(INDEX(Product_Pricing_Table[],MATCH(DD$1,Products,0),2)="Cores",IF(HostBuild[Use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 s="552">
        <f>IFERROR(IF(FIND(DE$1,$W12)&gt;0,IF(INDEX(Product_Pricing_Table[],MATCH(DE$1,Products,0),2)="Cores",IF(HostBuild[Use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 s="553">
        <f>IFERROR(IF(FIND(DF$1,$W12)&gt;0,IF(INDEX(Product_Pricing_Table[],MATCH(DF$1,Products,0),2)="Cores",IF(HostBuild[Use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 s="553">
        <f>IFERROR(IF(FIND(DG$1,$W12)&gt;0,IF(INDEX(Product_Pricing_Table[],MATCH(DG$1,Products,0),2)="Cores",IF(HostBuild[Use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 s="552">
        <f>IFERROR(IF(FIND(DH$1,$W12)&gt;0,IF(INDEX(Product_Pricing_Table[],MATCH(DH$1,Products,0),2)="Cores",IF(HostBuild[Use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 s="553">
        <f>IFERROR(IF(FIND(DI$1,$W12)&gt;0,IF(INDEX(Product_Pricing_Table[],MATCH(DI$1,Products,0),2)="Cores",IF(HostBuild[Use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 s="552">
        <f>IFERROR(IF(FIND(DJ$1,$W12)&gt;0,IF(INDEX(Product_Pricing_Table[],MATCH(DJ$1,Products,0),2)="Cores",IF(HostBuild[Use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 s="552">
        <f>IFERROR(IF(FIND(DK$1,$W12)&gt;0,IF(INDEX(Product_Pricing_Table[],MATCH(DK$1,Products,0),2)="Cores",IF(HostBuild[Use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 s="552">
        <f>IFERROR(IF(FIND(DL$1,$W12)&gt;0,IF(INDEX(Product_Pricing_Table[],MATCH(DL$1,Products,0),2)="Cores",IF(HostBuild[Use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 s="552">
        <f>IFERROR(IF(FIND(DM$1,$W12)&gt;0,IF(INDEX(Product_Pricing_Table[],MATCH(DM$1,Products,0),2)="Cores",IF(HostBuild[Use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 s="552">
        <f>IFERROR(IF(FIND(DN$1,$W12)&gt;0,IF(INDEX(Product_Pricing_Table[],MATCH(DN$1,Products,0),2)="Cores",IF(HostBuild[Use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 s="552">
        <f>IFERROR(IF(FIND(DO$1,$W12)&gt;0,IF(INDEX(Product_Pricing_Table[],MATCH(DO$1,Products,0),2)="Cores",IF(HostBuild[Use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 s="552">
        <f>IFERROR(IF(FIND(DP$1,$W12)&gt;0,IF(INDEX(Product_Pricing_Table[],MATCH(DP$1,Products,0),2)="Cores",IF(HostBuild[Use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 s="552">
        <f>IFERROR(IF(FIND(DQ$1,$W12)&gt;0,IF(INDEX(Product_Pricing_Table[],MATCH(DQ$1,Products,0),2)="Cores",IF(HostBuild[Use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 s="552">
        <f>IFERROR(IF(FIND(DR$1,$W12)&gt;0,IF(INDEX(Product_Pricing_Table[],MATCH(DR$1,Products,0),2)="Cores",IF(HostBuild[Use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 s="552">
        <f>IFERROR(IF(FIND(DS$1,$W12)&gt;0,IF(INDEX(Product_Pricing_Table[],MATCH(DS$1,Products,0),2)="Cores",IF(HostBuild[Use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 s="552">
        <f>IFERROR(IF(FIND(DT$1,$W12)&gt;0,IF(INDEX(Product_Pricing_Table[],MATCH(DT$1,Products,0),2)="Cores",IF(HostBuild[Use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 s="552">
        <f>IFERROR(IF(FIND(DU$1,$W12)&gt;0,IF(INDEX(Product_Pricing_Table[],MATCH(DU$1,Products,0),2)="Cores",IF(HostBuild[Use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 s="552">
        <f>IFERROR(IF(FIND(DV$1,$W12)&gt;0,IF(INDEX(Product_Pricing_Table[],MATCH(DV$1,Products,0),2)="Cores",IF(HostBuild[Use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 s="552">
        <f>IFERROR(IF(FIND(DW$1,$W12)&gt;0,IF(INDEX(Product_Pricing_Table[],MATCH(DW$1,Products,0),2)="Cores",IF(HostBuild[Use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 s="552">
        <f>IFERROR(IF(FIND(DX$1,$W12)&gt;0,IF(INDEX(Product_Pricing_Table[],MATCH(DX$1,Products,0),2)="Cores",IF(HostBuild[Use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 s="552">
        <f>IFERROR(IF(FIND(DY$1,$W12)&gt;0,IF(INDEX(Product_Pricing_Table[],MATCH(DY$1,Products,0),2)="Cores",IF(HostBuild[Use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 s="552">
        <f>IFERROR(IF(FIND(DZ$1,$W12)&gt;0,IF(INDEX(Product_Pricing_Table[],MATCH(DZ$1,Products,0),2)="Cores",IF(HostBuild[Use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 s="552">
        <f>IFERROR(IF(FIND(EA$1,$W12)&gt;0,IF(INDEX(Product_Pricing_Table[],MATCH(EA$1,Products,0),2)="Cores",IF(HostBuild[Use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 s="552">
        <f>IFERROR(IF(FIND(EB$1,$W12)&gt;0,IF(INDEX(Product_Pricing_Table[],MATCH(EB$1,Products,0),2)="Cores",IF(HostBuild[Use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 s="553">
        <f>IFERROR(IF(FIND(EC$1,$W12)&gt;0,IF(INDEX(Product_Pricing_Table[],MATCH(EC$1,Products,0),2)="Cores",IF(HostBuild[Use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 s="552">
        <f>IFERROR(IF(FIND(ED$1,$W12)&gt;0,IF(INDEX(Product_Pricing_Table[],MATCH(ED$1,Products,0),2)="Cores",IF(HostBuild[Use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 s="552">
        <f>IFERROR(IF(FIND(EE$1,$W12)&gt;0,IF(INDEX(Product_Pricing_Table[],MATCH(EE$1,Products,0),2)="Cores",IF(HostBuild[Use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 s="552">
        <f>IFERROR(IF(FIND(EF$1,$W12)&gt;0,IF(INDEX(Product_Pricing_Table[],MATCH(EF$1,Products,0),2)="Cores",IF(HostBuild[Use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 s="552">
        <f>IFERROR(IF(FIND(EG$1,$W12)&gt;0,IF(INDEX(Product_Pricing_Table[],MATCH(EG$1,Products,0),2)="Cores",IF(HostBuild[Use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 s="552">
        <f>IFERROR(IF(FIND(EH$1,$W12)&gt;0,IF(INDEX(Product_Pricing_Table[],MATCH(EH$1,Products,0),2)="Cores",IF(HostBuild[Use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 s="552">
        <f>IFERROR(IF(FIND(EI$1,$W12)&gt;0,IF(INDEX(Product_Pricing_Table[],MATCH(EI$1,Products,0),2)="Cores",IF(HostBuild[Use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12" s="552">
        <f>IFERROR(IF(FIND(EJ$1,$W12)&gt;0,IF(INDEX(Product_Pricing_Table[],MATCH(EJ$1,Products,0),2)="Cores",IF(HostBuild[Use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 s="553">
        <f>IFERROR(IF(FIND(EK$1,$W12)&gt;0,IF(INDEX(Product_Pricing_Table[],MATCH(EK$1,Products,0),2)="Cores",IF(HostBuild[Use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12" s="554"/>
      <c r="EM12" s="555"/>
      <c r="EN12" s="556"/>
      <c r="EO12"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723.202</v>
      </c>
      <c r="EQ12" s="558">
        <f>(HostBuild[Archive
Full (GB)]+HostBuild[Archive
Incr (GB)])*Storage_DC_Dist_Tape_2014</f>
        <v>59.549874999999993</v>
      </c>
      <c r="ER12" s="558">
        <f>IF(ISNUMBER(HostBuild[Server HW Costs
(Monthly)]),SUM(HostBuild[[#This Row],[Server HW Costs
(Monthly)]:[Tape Costs
(Monthly)]]),0)</f>
        <v>1786.6518749999998</v>
      </c>
      <c r="ES12" s="559">
        <f>HostBuild[Software Costs
'[Year 1']
(Monthly)]+HostBuild[Total Hardware Costs
(Monthly)]</f>
        <v>1786.6518749999998</v>
      </c>
      <c r="ET12" s="559">
        <f>IFERROR(IF(FIND("Safenet",HostBuild[Server Model]),Safenet_PSE_PL600_Maint,0),0)+IFERROR(IF(FIND("XI52",HostBuild[Server Model]),IBM_DIA_XI52_Maint,0),0)+HostBuild[Software Costs
'[After Year 1']
(Monthly)]+HostBuild[Total Hardware Costs
(Monthly)]</f>
        <v>1786.6518749999998</v>
      </c>
      <c r="EU12" s="560">
        <f>SUM(HostBuild[[#This Row],[Server Cost Breakdown]:[Network Cost]])</f>
        <v>1003.9</v>
      </c>
      <c r="EV12" s="561">
        <f>IF(HostBuild[Existing Server?]="Yes - Inside this BoM",0,SUMIF(HostBuild[Alias],HostBuild[Alias],HostBuild[CPU])+SUMIF(HostBuild[Alias],HostBuild[Alias],HostBuild[Existing CPUs]))</f>
        <v>2</v>
      </c>
      <c r="EW12" s="561">
        <f>IF(HostBuild[Existing Server?]="Yes - Inside this BoM",0,SUMIF(HostBuild[Alias],HostBuild[Alias],HostBuild[Cores 
(Licensed Units)])+SUMIF(HostBuild[Alias],HostBuild[Alias],HostBuild[Existing Cores]))</f>
        <v>16</v>
      </c>
      <c r="EX12" s="561">
        <f>IF(HostBuild[Existing Server?]="Yes - Inside this BoM",0,SUMIF(HostBuild[Alias],HostBuild[Alias],HostBuild[RAM 
(GB)])+SUMIF(HostBuild[Alias],HostBuild[Alias],HostBuild[Existing RAM (GB)]))</f>
        <v>256</v>
      </c>
      <c r="EY1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 s="560">
        <f>IF(ISBLANK(HostBuild[Server Model]),0,IF(HostBuild[Server Tier]="VMware",0,VLOOKUP(HostBuild[Server Tier],ServerTierRates[#Data],2,0))*HostBuild[CPU]*IF(AND(HostBuild[Server Type]="pSeries",HostBuild[Virtual Platform Storage Type]="Cloud-SAN"),0.25,1))</f>
        <v>608</v>
      </c>
      <c r="FD12" s="560">
        <f>0</f>
        <v>0</v>
      </c>
      <c r="FE12" s="560">
        <f>IF(HostBuild[Server Type]="VMware",HostBuild[RAM 
(GB)]*IF(ISERROR(FIND("DevCloud", HostBuild[Server Model])&gt;0),vRAM_per_vCPU_2014_Monthly,vRAM_per_vCPU_2014_Daily*30),0)</f>
        <v>0</v>
      </c>
      <c r="FF1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 s="563">
        <f>IF(HostBuild[Server Tier]="VMware",0,IF(LEFT(HostBuild[Existing Server?],3)="Yes",0,IF(OR(HostBuild[Server Type]="Sun",HostBuild[Server Type]="pSeries"),Support_Direct_Server_Sun_per_OS_2014,IF(HostBuild[Server Type]="x86",Support_Direct_Server_x86_Wintel_per_OS_2014,0))))</f>
        <v>187.1</v>
      </c>
      <c r="FI1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 spans="1:178" ht="15" customHeight="1">
      <c r="A13" s="360" t="s">
        <v>3942</v>
      </c>
      <c r="B13" s="521"/>
      <c r="C13" s="521"/>
      <c r="D13" s="521"/>
      <c r="E13" s="522"/>
      <c r="F13" s="522"/>
      <c r="G13" s="597"/>
      <c r="H13" s="597"/>
      <c r="I13" s="523"/>
      <c r="J13" s="522"/>
      <c r="K13" s="522"/>
      <c r="L13" s="522"/>
      <c r="M13" s="597" t="e">
        <f ca="1">IF(rngIsDate(HostBuild[CTO Acceptance]),"Y","N")</f>
        <v>#NAME?</v>
      </c>
      <c r="N13" s="361" t="s">
        <v>3938</v>
      </c>
      <c r="O13" s="525"/>
      <c r="P13" s="525"/>
      <c r="Q13" s="361" t="s">
        <v>79</v>
      </c>
      <c r="R13" s="526" t="str">
        <f>IF(NOT(ISBLANK(HostBuild[Env Label])),IFERROR(VLOOKUP(HostBuild[Env Label],tEnv[],3,FALSE),""),"")</f>
        <v>PROD</v>
      </c>
      <c r="S13" s="598"/>
      <c r="T13" s="527"/>
      <c r="U13" s="599"/>
      <c r="V13" s="524" t="s">
        <v>3937</v>
      </c>
      <c r="W13" s="524" t="s">
        <v>3940</v>
      </c>
      <c r="X13" s="524" t="s">
        <v>35</v>
      </c>
      <c r="Y13" s="361" t="s">
        <v>481</v>
      </c>
      <c r="Z13" s="526" t="str">
        <f>IF(NOT(ISBLANK(HostBuild[[#This Row],[Product 
(Acronym)]])),CONCATENATE(HostBuild[[#This Row],[Type]],"-",HostBuild[[#This Row],[Product 
(Acronym)]]),"")</f>
        <v>AP-ESB</v>
      </c>
      <c r="AA13" s="600"/>
      <c r="AB13" s="600" t="s">
        <v>105</v>
      </c>
      <c r="AC13" s="528"/>
      <c r="AD13" s="529"/>
      <c r="AE13" s="529"/>
      <c r="AF13" s="530"/>
      <c r="AG13" s="531"/>
      <c r="AH13" s="601"/>
      <c r="AI13" s="362" t="s">
        <v>3946</v>
      </c>
      <c r="AJ13" s="524">
        <f>IF(COUNTIF(HostBuild[Alias],HostBuild[Alias]),1/COUNTIF(HostBuild[Alias],HostBuild[Alias]),0)</f>
        <v>1</v>
      </c>
      <c r="AK13" s="531"/>
      <c r="AL13" s="531"/>
      <c r="AM13" s="532" t="s">
        <v>2173</v>
      </c>
      <c r="AN13" s="533" t="str">
        <f>IF(NOT(ISBLANK(HostBuild[Server Model])),VLOOKUP(HostBuild[Server Model],ServerModelsTier[],2,FALSE),"")</f>
        <v>x86 Tier 3</v>
      </c>
      <c r="AO13" s="533" t="str">
        <f>IF(NOT(ISBLANK(HostBuild[Server Model])),VLOOKUP(HostBuild[Server Model],ServerModelsTier[],5,FALSE),"")</f>
        <v>x86</v>
      </c>
      <c r="AP13" s="532"/>
      <c r="AQ13" s="532" t="s">
        <v>2337</v>
      </c>
      <c r="AR13" s="534">
        <v>2</v>
      </c>
      <c r="AS13" s="602"/>
      <c r="AT13" s="535">
        <v>16</v>
      </c>
      <c r="AU13" s="603" t="str">
        <f>IF(IFERROR(FIND("P-Series",HostBuild[Server Tier]),0),CEILING((HostBuild[Existing CPUs]+HostBuild[CPU])*16,8),"")</f>
        <v/>
      </c>
      <c r="AV13" s="536">
        <v>256</v>
      </c>
      <c r="AW13" s="531"/>
      <c r="AX13" s="531"/>
      <c r="AY13" s="531"/>
      <c r="AZ13" s="537"/>
      <c r="BA13" s="531"/>
      <c r="BB13" s="531"/>
      <c r="BC13" s="529"/>
      <c r="BD13" s="531"/>
      <c r="BE13" s="531"/>
      <c r="BF13" s="531"/>
      <c r="BG13" s="531"/>
      <c r="BH13" s="531"/>
      <c r="BI13" s="531"/>
      <c r="BJ13" s="531"/>
      <c r="BK13"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3" s="538"/>
      <c r="BM13" s="540">
        <f>IF(ISNUMBER(HostBuild[Recommended SAN (GB)]),HostBuild[Recommended SAN (GB)])+IF(HostBuild[Additional SAN (GB)]&gt;0,CEILING(HostBuild[Additional SAN (GB)],LUN),-(CEILING(-HostBuild[Additional SAN (GB)],LUN)))</f>
        <v>337</v>
      </c>
      <c r="BN13" s="539"/>
      <c r="BO13" s="540">
        <f>HostBuild[SAN (GB)
NEEDED TODAY]+CEILING(HostBuild[SAN (GB)
RESERVED
DO NOT USE TO BUILD], LUN)</f>
        <v>337</v>
      </c>
      <c r="BP13" s="541"/>
      <c r="BQ13" s="542"/>
      <c r="BR13" s="432" t="s">
        <v>106</v>
      </c>
      <c r="BS13" s="605">
        <f>IF(HostBuild[Existing Server?]&lt;&gt;"Yes - Inside this BoM",IF(ISNUMBER(HostBuild[RAM 
(GB)]),IF(HostBuild[Existing RAM (GB)]+HostBuild[RAM 
(GB)]&gt;0,IF(HostBuild[Virtual Platform Storage Type]="NAS",110+HostBuild[Existing RAM (GB)]+HostBuild[RAM 
(GB)]*1.75,0),0),0),0)</f>
        <v>0</v>
      </c>
      <c r="BT13" s="606"/>
      <c r="BU13" s="607">
        <f>IF(ISNUMBER(HostBuild[Recommended NAS (GB)]),HostBuild[Recommended NAS (GB)])+HostBuild[Additional NAS (GB)]</f>
        <v>0</v>
      </c>
      <c r="BV13" s="543"/>
      <c r="BW13" s="543"/>
      <c r="BX13" s="604">
        <f>IFERROR((HostBuild[SAN (GB)
End-State
DO NOT USE TO BUILD]+HostBuild[SAN (GB) Shared])*25%,"")</f>
        <v>84.25</v>
      </c>
      <c r="BY13" s="608">
        <f>IFERROR(HostBuild[Archive
Full (GB)]*15%,"")</f>
        <v>12.637499999999999</v>
      </c>
      <c r="BZ13" s="544"/>
      <c r="CA13" s="544"/>
      <c r="CB13" s="545"/>
      <c r="CC13" s="546"/>
      <c r="CD13" s="545"/>
      <c r="CE13" s="547"/>
      <c r="CF13" s="539"/>
      <c r="CG13" s="609"/>
      <c r="CH13" s="548"/>
      <c r="CI13" s="549"/>
      <c r="CJ13" s="550" t="s">
        <v>4126</v>
      </c>
      <c r="CK13" s="551"/>
      <c r="CL13" s="552">
        <f>IFERROR(IF(FIND(CL$1,$W13)&gt;0,IF(INDEX(Product_Pricing_Table[],MATCH(CL$1,Products,0),2)="Cores",IF(HostBuild[Use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 s="552">
        <f>IFERROR(IF(FIND(CM$1,$W13)&gt;0,IF(INDEX(Product_Pricing_Table[],MATCH(CM$1,Products,0),2)="Cores",IF(HostBuild[Use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3" s="552">
        <f>IFERROR(IF(FIND(CN$1,$W13)&gt;0,IF(INDEX(Product_Pricing_Table[],MATCH(CN$1,Products,0),2)="Cores",IF(HostBuild[Use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 s="552">
        <f>IFERROR(IF(FIND(CO$1,$W13)&gt;0,IF(INDEX(Product_Pricing_Table[],MATCH(CO$1,Products,0),2)="Cores",IF(HostBuild[Use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 s="552">
        <f>IFERROR(IF(FIND(CP$1,$W13)&gt;0,IF(INDEX(Product_Pricing_Table[],MATCH(CP$1,Products,0),2)="Cores",IF(HostBuild[Use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 s="552">
        <f>IFERROR(IF(FIND(CQ$1,$W13)&gt;0,IF(INDEX(Product_Pricing_Table[],MATCH(CQ$1,Products,0),2)="Cores",IF(HostBuild[Use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 s="552">
        <f>IFERROR(IF(FIND(CR$1,$W13)&gt;0,IF(INDEX(Product_Pricing_Table[],MATCH(CR$1,Products,0),2)="Cores",IF(HostBuild[Use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 s="552">
        <f>IFERROR(IF(FIND(CS$1,$W13)&gt;0,IF(INDEX(Product_Pricing_Table[],MATCH(CS$1,Products,0),2)="Cores",IF(HostBuild[Use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 s="552">
        <f>IFERROR(IF(FIND(CT$1,$W13)&gt;0,IF(INDEX(Product_Pricing_Table[],MATCH(CT$1,Products,0),2)="Cores",IF(HostBuild[Use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 s="552">
        <f>IFERROR(IF(FIND(CU$1,$W13)&gt;0,IF(INDEX(Product_Pricing_Table[],MATCH(CU$1,Products,0),2)="Cores",IF(HostBuild[Use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 s="552">
        <f>IFERROR(IF(FIND(CV$1,$W13)&gt;0,IF(INDEX(Product_Pricing_Table[],MATCH(CV$1,Products,0),2)="Cores",IF(HostBuild[Use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 s="552">
        <f>IFERROR(IF(FIND(CW$1,$W13)&gt;0,IF(INDEX(Product_Pricing_Table[],MATCH(CW$1,Products,0),2)="Cores",IF(HostBuild[Use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 s="552">
        <f>IFERROR(IF(FIND(CX$1,$W13)&gt;0,IF(INDEX(Product_Pricing_Table[],MATCH(CX$1,Products,0),2)="Cores",IF(HostBuild[Use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 s="552">
        <f>IFERROR(IF(FIND(CY$1,$W13)&gt;0,IF(INDEX(Product_Pricing_Table[],MATCH(CY$1,Products,0),2)="Cores",IF(HostBuild[Use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 s="552">
        <f>IFERROR(IF(FIND(CZ$1,$W13)&gt;0,IF(INDEX(Product_Pricing_Table[],MATCH(CZ$1,Products,0),2)="Cores",IF(HostBuild[Use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 s="552">
        <f>IFERROR(IF(FIND(DA$1,$W13)&gt;0,IF(INDEX(Product_Pricing_Table[],MATCH(DA$1,Products,0),2)="Cores",IF(HostBuild[Use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 s="552">
        <f>IFERROR(IF(FIND(DB$1,$W13)&gt;0,IF(INDEX(Product_Pricing_Table[],MATCH(DB$1,Products,0),2)="Cores",IF(HostBuild[Use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 s="552">
        <f>IFERROR(IF(FIND(DC$1,$W13)&gt;0,IF(INDEX(Product_Pricing_Table[],MATCH(DC$1,Products,0),2)="Cores",IF(HostBuild[Use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 s="552">
        <f>IFERROR(IF(FIND(DD$1,$W13)&gt;0,IF(INDEX(Product_Pricing_Table[],MATCH(DD$1,Products,0),2)="Cores",IF(HostBuild[Use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 s="552">
        <f>IFERROR(IF(FIND(DE$1,$W13)&gt;0,IF(INDEX(Product_Pricing_Table[],MATCH(DE$1,Products,0),2)="Cores",IF(HostBuild[Use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 s="553">
        <f>IFERROR(IF(FIND(DF$1,$W13)&gt;0,IF(INDEX(Product_Pricing_Table[],MATCH(DF$1,Products,0),2)="Cores",IF(HostBuild[Use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 s="553">
        <f>IFERROR(IF(FIND(DG$1,$W13)&gt;0,IF(INDEX(Product_Pricing_Table[],MATCH(DG$1,Products,0),2)="Cores",IF(HostBuild[Use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 s="552">
        <f>IFERROR(IF(FIND(DH$1,$W13)&gt;0,IF(INDEX(Product_Pricing_Table[],MATCH(DH$1,Products,0),2)="Cores",IF(HostBuild[Use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 s="553">
        <f>IFERROR(IF(FIND(DI$1,$W13)&gt;0,IF(INDEX(Product_Pricing_Table[],MATCH(DI$1,Products,0),2)="Cores",IF(HostBuild[Use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 s="552">
        <f>IFERROR(IF(FIND(DJ$1,$W13)&gt;0,IF(INDEX(Product_Pricing_Table[],MATCH(DJ$1,Products,0),2)="Cores",IF(HostBuild[Use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 s="552">
        <f>IFERROR(IF(FIND(DK$1,$W13)&gt;0,IF(INDEX(Product_Pricing_Table[],MATCH(DK$1,Products,0),2)="Cores",IF(HostBuild[Use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 s="552">
        <f>IFERROR(IF(FIND(DL$1,$W13)&gt;0,IF(INDEX(Product_Pricing_Table[],MATCH(DL$1,Products,0),2)="Cores",IF(HostBuild[Use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 s="552">
        <f>IFERROR(IF(FIND(DM$1,$W13)&gt;0,IF(INDEX(Product_Pricing_Table[],MATCH(DM$1,Products,0),2)="Cores",IF(HostBuild[Use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 s="552">
        <f>IFERROR(IF(FIND(DN$1,$W13)&gt;0,IF(INDEX(Product_Pricing_Table[],MATCH(DN$1,Products,0),2)="Cores",IF(HostBuild[Use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 s="552">
        <f>IFERROR(IF(FIND(DO$1,$W13)&gt;0,IF(INDEX(Product_Pricing_Table[],MATCH(DO$1,Products,0),2)="Cores",IF(HostBuild[Use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 s="552">
        <f>IFERROR(IF(FIND(DP$1,$W13)&gt;0,IF(INDEX(Product_Pricing_Table[],MATCH(DP$1,Products,0),2)="Cores",IF(HostBuild[Use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 s="552">
        <f>IFERROR(IF(FIND(DQ$1,$W13)&gt;0,IF(INDEX(Product_Pricing_Table[],MATCH(DQ$1,Products,0),2)="Cores",IF(HostBuild[Use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 s="552">
        <f>IFERROR(IF(FIND(DR$1,$W13)&gt;0,IF(INDEX(Product_Pricing_Table[],MATCH(DR$1,Products,0),2)="Cores",IF(HostBuild[Use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 s="552">
        <f>IFERROR(IF(FIND(DS$1,$W13)&gt;0,IF(INDEX(Product_Pricing_Table[],MATCH(DS$1,Products,0),2)="Cores",IF(HostBuild[Use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 s="552">
        <f>IFERROR(IF(FIND(DT$1,$W13)&gt;0,IF(INDEX(Product_Pricing_Table[],MATCH(DT$1,Products,0),2)="Cores",IF(HostBuild[Use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 s="552">
        <f>IFERROR(IF(FIND(DU$1,$W13)&gt;0,IF(INDEX(Product_Pricing_Table[],MATCH(DU$1,Products,0),2)="Cores",IF(HostBuild[Use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 s="552">
        <f>IFERROR(IF(FIND(DV$1,$W13)&gt;0,IF(INDEX(Product_Pricing_Table[],MATCH(DV$1,Products,0),2)="Cores",IF(HostBuild[Use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3" s="552">
        <f>IFERROR(IF(FIND(DW$1,$W13)&gt;0,IF(INDEX(Product_Pricing_Table[],MATCH(DW$1,Products,0),2)="Cores",IF(HostBuild[Use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 s="552">
        <f>IFERROR(IF(FIND(DX$1,$W13)&gt;0,IF(INDEX(Product_Pricing_Table[],MATCH(DX$1,Products,0),2)="Cores",IF(HostBuild[Use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 s="552">
        <f>IFERROR(IF(FIND(DY$1,$W13)&gt;0,IF(INDEX(Product_Pricing_Table[],MATCH(DY$1,Products,0),2)="Cores",IF(HostBuild[Use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 s="552">
        <f>IFERROR(IF(FIND(DZ$1,$W13)&gt;0,IF(INDEX(Product_Pricing_Table[],MATCH(DZ$1,Products,0),2)="Cores",IF(HostBuild[Use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 s="552">
        <f>IFERROR(IF(FIND(EA$1,$W13)&gt;0,IF(INDEX(Product_Pricing_Table[],MATCH(EA$1,Products,0),2)="Cores",IF(HostBuild[Use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 s="552">
        <f>IFERROR(IF(FIND(EB$1,$W13)&gt;0,IF(INDEX(Product_Pricing_Table[],MATCH(EB$1,Products,0),2)="Cores",IF(HostBuild[Use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 s="553">
        <f>IFERROR(IF(FIND(EC$1,$W13)&gt;0,IF(INDEX(Product_Pricing_Table[],MATCH(EC$1,Products,0),2)="Cores",IF(HostBuild[Use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 s="552">
        <f>IFERROR(IF(FIND(ED$1,$W13)&gt;0,IF(INDEX(Product_Pricing_Table[],MATCH(ED$1,Products,0),2)="Cores",IF(HostBuild[Use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 s="552">
        <f>IFERROR(IF(FIND(EE$1,$W13)&gt;0,IF(INDEX(Product_Pricing_Table[],MATCH(EE$1,Products,0),2)="Cores",IF(HostBuild[Use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 s="552">
        <f>IFERROR(IF(FIND(EF$1,$W13)&gt;0,IF(INDEX(Product_Pricing_Table[],MATCH(EF$1,Products,0),2)="Cores",IF(HostBuild[Use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 s="552">
        <f>IFERROR(IF(FIND(EG$1,$W13)&gt;0,IF(INDEX(Product_Pricing_Table[],MATCH(EG$1,Products,0),2)="Cores",IF(HostBuild[Use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 s="552">
        <f>IFERROR(IF(FIND(EH$1,$W13)&gt;0,IF(INDEX(Product_Pricing_Table[],MATCH(EH$1,Products,0),2)="Cores",IF(HostBuild[Use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 s="552">
        <f>IFERROR(IF(FIND(EI$1,$W13)&gt;0,IF(INDEX(Product_Pricing_Table[],MATCH(EI$1,Products,0),2)="Cores",IF(HostBuild[Use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13" s="552">
        <f>IFERROR(IF(FIND(EJ$1,$W13)&gt;0,IF(INDEX(Product_Pricing_Table[],MATCH(EJ$1,Products,0),2)="Cores",IF(HostBuild[Use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 s="553">
        <f>IFERROR(IF(FIND(EK$1,$W13)&gt;0,IF(INDEX(Product_Pricing_Table[],MATCH(EK$1,Products,0),2)="Cores",IF(HostBuild[Use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13" s="554"/>
      <c r="EM13" s="555"/>
      <c r="EN13" s="556"/>
      <c r="EO13"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3" s="558">
        <f>(HostBuild[Archive
Full (GB)]+HostBuild[Archive
Incr (GB)])*Storage_DC_Dist_Tape_2014</f>
        <v>33.910624999999996</v>
      </c>
      <c r="ER13" s="558">
        <f>IF(ISNUMBER(HostBuild[Server HW Costs
(Monthly)]),SUM(HostBuild[[#This Row],[Server HW Costs
(Monthly)]:[Tape Costs
(Monthly)]]),0)</f>
        <v>1398.400625</v>
      </c>
      <c r="ES13" s="559">
        <f>HostBuild[Software Costs
'[Year 1']
(Monthly)]+HostBuild[Total Hardware Costs
(Monthly)]</f>
        <v>1398.400625</v>
      </c>
      <c r="ET13" s="559">
        <f>IFERROR(IF(FIND("Safenet",HostBuild[Server Model]),Safenet_PSE_PL600_Maint,0),0)+IFERROR(IF(FIND("XI52",HostBuild[Server Model]),IBM_DIA_XI52_Maint,0),0)+HostBuild[Software Costs
'[After Year 1']
(Monthly)]+HostBuild[Total Hardware Costs
(Monthly)]</f>
        <v>1398.400625</v>
      </c>
      <c r="EU13" s="560">
        <f>SUM(HostBuild[[#This Row],[Server Cost Breakdown]:[Network Cost]])</f>
        <v>1003.9</v>
      </c>
      <c r="EV13" s="561">
        <f>IF(HostBuild[Existing Server?]="Yes - Inside this BoM",0,SUMIF(HostBuild[Alias],HostBuild[Alias],HostBuild[CPU])+SUMIF(HostBuild[Alias],HostBuild[Alias],HostBuild[Existing CPUs]))</f>
        <v>2</v>
      </c>
      <c r="EW13" s="561">
        <f>IF(HostBuild[Existing Server?]="Yes - Inside this BoM",0,SUMIF(HostBuild[Alias],HostBuild[Alias],HostBuild[Cores 
(Licensed Units)])+SUMIF(HostBuild[Alias],HostBuild[Alias],HostBuild[Existing Cores]))</f>
        <v>16</v>
      </c>
      <c r="EX13" s="561">
        <f>IF(HostBuild[Existing Server?]="Yes - Inside this BoM",0,SUMIF(HostBuild[Alias],HostBuild[Alias],HostBuild[RAM 
(GB)])+SUMIF(HostBuild[Alias],HostBuild[Alias],HostBuild[Existing RAM (GB)]))</f>
        <v>256</v>
      </c>
      <c r="EY1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 s="560">
        <f>IF(ISBLANK(HostBuild[Server Model]),0,IF(HostBuild[Server Tier]="VMware",0,VLOOKUP(HostBuild[Server Tier],ServerTierRates[#Data],2,0))*HostBuild[CPU]*IF(AND(HostBuild[Server Type]="pSeries",HostBuild[Virtual Platform Storage Type]="Cloud-SAN"),0.25,1))</f>
        <v>608</v>
      </c>
      <c r="FD13" s="560">
        <f>0</f>
        <v>0</v>
      </c>
      <c r="FE13" s="560">
        <f>IF(HostBuild[Server Type]="VMware",HostBuild[RAM 
(GB)]*IF(ISERROR(FIND("DevCloud", HostBuild[Server Model])&gt;0),vRAM_per_vCPU_2014_Monthly,vRAM_per_vCPU_2014_Daily*30),0)</f>
        <v>0</v>
      </c>
      <c r="FF1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 s="563">
        <f>IF(HostBuild[Server Tier]="VMware",0,IF(LEFT(HostBuild[Existing Server?],3)="Yes",0,IF(OR(HostBuild[Server Type]="Sun",HostBuild[Server Type]="pSeries"),Support_Direct_Server_Sun_per_OS_2014,IF(HostBuild[Server Type]="x86",Support_Direct_Server_x86_Wintel_per_OS_2014,0))))</f>
        <v>187.1</v>
      </c>
      <c r="FI1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 spans="1:178" ht="15" customHeight="1">
      <c r="A14" s="360" t="s">
        <v>3942</v>
      </c>
      <c r="B14" s="521"/>
      <c r="C14" s="521"/>
      <c r="D14" s="521"/>
      <c r="E14" s="522"/>
      <c r="F14" s="522"/>
      <c r="G14" s="597"/>
      <c r="H14" s="597"/>
      <c r="I14" s="523"/>
      <c r="J14" s="522"/>
      <c r="K14" s="522"/>
      <c r="L14" s="522"/>
      <c r="M14" s="597" t="e">
        <f ca="1">IF(rngIsDate(HostBuild[CTO Acceptance]),"Y","N")</f>
        <v>#NAME?</v>
      </c>
      <c r="N14" s="361" t="s">
        <v>3938</v>
      </c>
      <c r="O14" s="525"/>
      <c r="P14" s="525"/>
      <c r="Q14" s="361" t="s">
        <v>79</v>
      </c>
      <c r="R14" s="526" t="str">
        <f>IF(NOT(ISBLANK(HostBuild[Env Label])),IFERROR(VLOOKUP(HostBuild[Env Label],tEnv[],3,FALSE),""),"")</f>
        <v>PROD</v>
      </c>
      <c r="S14" s="598"/>
      <c r="T14" s="527"/>
      <c r="U14" s="599"/>
      <c r="V14" s="524" t="s">
        <v>4006</v>
      </c>
      <c r="W14" s="524" t="s">
        <v>3941</v>
      </c>
      <c r="X14" s="524" t="s">
        <v>35</v>
      </c>
      <c r="Y14" s="361" t="s">
        <v>481</v>
      </c>
      <c r="Z14" s="526" t="str">
        <f>IF(NOT(ISBLANK(HostBuild[[#This Row],[Product 
(Acronym)]])),CONCATENATE(HostBuild[[#This Row],[Type]],"-",HostBuild[[#This Row],[Product 
(Acronym)]]),"")</f>
        <v>AP-ESB</v>
      </c>
      <c r="AA14" s="600"/>
      <c r="AB14" s="600" t="s">
        <v>105</v>
      </c>
      <c r="AC14" s="528"/>
      <c r="AD14" s="529"/>
      <c r="AE14" s="529"/>
      <c r="AF14" s="530"/>
      <c r="AG14" s="531"/>
      <c r="AH14" s="601"/>
      <c r="AI14" s="362" t="s">
        <v>3947</v>
      </c>
      <c r="AJ14" s="524">
        <f>IF(COUNTIF(HostBuild[Alias],HostBuild[Alias]),1/COUNTIF(HostBuild[Alias],HostBuild[Alias]),0)</f>
        <v>1</v>
      </c>
      <c r="AK14" s="531"/>
      <c r="AL14" s="531"/>
      <c r="AM14" s="532" t="s">
        <v>2173</v>
      </c>
      <c r="AN14" s="533" t="str">
        <f>IF(NOT(ISBLANK(HostBuild[Server Model])),VLOOKUP(HostBuild[Server Model],ServerModelsTier[],2,FALSE),"")</f>
        <v>x86 Tier 3</v>
      </c>
      <c r="AO14" s="533" t="str">
        <f>IF(NOT(ISBLANK(HostBuild[Server Model])),VLOOKUP(HostBuild[Server Model],ServerModelsTier[],5,FALSE),"")</f>
        <v>x86</v>
      </c>
      <c r="AP14" s="532"/>
      <c r="AQ14" s="532" t="s">
        <v>2337</v>
      </c>
      <c r="AR14" s="534">
        <v>2</v>
      </c>
      <c r="AS14" s="602"/>
      <c r="AT14" s="535">
        <v>16</v>
      </c>
      <c r="AU14" s="603" t="str">
        <f>IF(IFERROR(FIND("P-Series",HostBuild[Server Tier]),0),CEILING((HostBuild[Existing CPUs]+HostBuild[CPU])*16,8),"")</f>
        <v/>
      </c>
      <c r="AV14" s="536">
        <v>256</v>
      </c>
      <c r="AW14" s="531"/>
      <c r="AX14" s="531"/>
      <c r="AY14" s="531"/>
      <c r="AZ14" s="537"/>
      <c r="BA14" s="531"/>
      <c r="BB14" s="531"/>
      <c r="BC14" s="529"/>
      <c r="BD14" s="531"/>
      <c r="BE14" s="531"/>
      <c r="BF14" s="531"/>
      <c r="BG14" s="531"/>
      <c r="BH14" s="531"/>
      <c r="BI14" s="531"/>
      <c r="BJ14" s="531"/>
      <c r="BK14"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4" s="538"/>
      <c r="BM14" s="540">
        <f>IF(ISNUMBER(HostBuild[Recommended SAN (GB)]),HostBuild[Recommended SAN (GB)])+IF(HostBuild[Additional SAN (GB)]&gt;0,CEILING(HostBuild[Additional SAN (GB)],LUN),-(CEILING(-HostBuild[Additional SAN (GB)],LUN)))</f>
        <v>337</v>
      </c>
      <c r="BN14" s="539"/>
      <c r="BO14" s="540">
        <f>HostBuild[SAN (GB)
NEEDED TODAY]+CEILING(HostBuild[SAN (GB)
RESERVED
DO NOT USE TO BUILD], LUN)</f>
        <v>337</v>
      </c>
      <c r="BP14" s="541"/>
      <c r="BQ14" s="542"/>
      <c r="BR14" s="432" t="s">
        <v>106</v>
      </c>
      <c r="BS14" s="605">
        <f>IF(HostBuild[Existing Server?]&lt;&gt;"Yes - Inside this BoM",IF(ISNUMBER(HostBuild[RAM 
(GB)]),IF(HostBuild[Existing RAM (GB)]+HostBuild[RAM 
(GB)]&gt;0,IF(HostBuild[Virtual Platform Storage Type]="NAS",110+HostBuild[Existing RAM (GB)]+HostBuild[RAM 
(GB)]*1.75,0),0),0),0)</f>
        <v>0</v>
      </c>
      <c r="BT14" s="606"/>
      <c r="BU14" s="607">
        <f>IF(ISNUMBER(HostBuild[Recommended NAS (GB)]),HostBuild[Recommended NAS (GB)])+HostBuild[Additional NAS (GB)]</f>
        <v>0</v>
      </c>
      <c r="BV14" s="543"/>
      <c r="BW14" s="543"/>
      <c r="BX14" s="604">
        <f>IFERROR((HostBuild[SAN (GB)
End-State
DO NOT USE TO BUILD]+HostBuild[SAN (GB) Shared])*25%,"")</f>
        <v>84.25</v>
      </c>
      <c r="BY14" s="608">
        <f>IFERROR(HostBuild[Archive
Full (GB)]*15%,"")</f>
        <v>12.637499999999999</v>
      </c>
      <c r="BZ14" s="544"/>
      <c r="CA14" s="544"/>
      <c r="CB14" s="545"/>
      <c r="CC14" s="546"/>
      <c r="CD14" s="545"/>
      <c r="CE14" s="547"/>
      <c r="CF14" s="539"/>
      <c r="CG14" s="609"/>
      <c r="CH14" s="548"/>
      <c r="CI14" s="549"/>
      <c r="CJ14" s="550" t="s">
        <v>4128</v>
      </c>
      <c r="CK14" s="551"/>
      <c r="CL14" s="552">
        <f>IFERROR(IF(FIND(CL$1,$W14)&gt;0,IF(INDEX(Product_Pricing_Table[],MATCH(CL$1,Products,0),2)="Cores",IF(HostBuild[Use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 s="552">
        <f>IFERROR(IF(FIND(CM$1,$W14)&gt;0,IF(INDEX(Product_Pricing_Table[],MATCH(CM$1,Products,0),2)="Cores",IF(HostBuild[Use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 s="552">
        <f>IFERROR(IF(FIND(CN$1,$W14)&gt;0,IF(INDEX(Product_Pricing_Table[],MATCH(CN$1,Products,0),2)="Cores",IF(HostBuild[Use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 s="552">
        <f>IFERROR(IF(FIND(CO$1,$W14)&gt;0,IF(INDEX(Product_Pricing_Table[],MATCH(CO$1,Products,0),2)="Cores",IF(HostBuild[Use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 s="552">
        <f>IFERROR(IF(FIND(CP$1,$W14)&gt;0,IF(INDEX(Product_Pricing_Table[],MATCH(CP$1,Products,0),2)="Cores",IF(HostBuild[Use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 s="552">
        <f>IFERROR(IF(FIND(CQ$1,$W14)&gt;0,IF(INDEX(Product_Pricing_Table[],MATCH(CQ$1,Products,0),2)="Cores",IF(HostBuild[Use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 s="552">
        <f>IFERROR(IF(FIND(CR$1,$W14)&gt;0,IF(INDEX(Product_Pricing_Table[],MATCH(CR$1,Products,0),2)="Cores",IF(HostBuild[Use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 s="552">
        <f>IFERROR(IF(FIND(CS$1,$W14)&gt;0,IF(INDEX(Product_Pricing_Table[],MATCH(CS$1,Products,0),2)="Cores",IF(HostBuild[Use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 s="552">
        <f>IFERROR(IF(FIND(CT$1,$W14)&gt;0,IF(INDEX(Product_Pricing_Table[],MATCH(CT$1,Products,0),2)="Cores",IF(HostBuild[Use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 s="552">
        <f>IFERROR(IF(FIND(CU$1,$W14)&gt;0,IF(INDEX(Product_Pricing_Table[],MATCH(CU$1,Products,0),2)="Cores",IF(HostBuild[Use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 s="552">
        <f>IFERROR(IF(FIND(CV$1,$W14)&gt;0,IF(INDEX(Product_Pricing_Table[],MATCH(CV$1,Products,0),2)="Cores",IF(HostBuild[Use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 s="552">
        <f>IFERROR(IF(FIND(CW$1,$W14)&gt;0,IF(INDEX(Product_Pricing_Table[],MATCH(CW$1,Products,0),2)="Cores",IF(HostBuild[Use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 s="552">
        <f>IFERROR(IF(FIND(CX$1,$W14)&gt;0,IF(INDEX(Product_Pricing_Table[],MATCH(CX$1,Products,0),2)="Cores",IF(HostBuild[Use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 s="552">
        <f>IFERROR(IF(FIND(CY$1,$W14)&gt;0,IF(INDEX(Product_Pricing_Table[],MATCH(CY$1,Products,0),2)="Cores",IF(HostBuild[Use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 s="552">
        <f>IFERROR(IF(FIND(CZ$1,$W14)&gt;0,IF(INDEX(Product_Pricing_Table[],MATCH(CZ$1,Products,0),2)="Cores",IF(HostBuild[Use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 s="552">
        <f>IFERROR(IF(FIND(DA$1,$W14)&gt;0,IF(INDEX(Product_Pricing_Table[],MATCH(DA$1,Products,0),2)="Cores",IF(HostBuild[Use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 s="552">
        <f>IFERROR(IF(FIND(DB$1,$W14)&gt;0,IF(INDEX(Product_Pricing_Table[],MATCH(DB$1,Products,0),2)="Cores",IF(HostBuild[Use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 s="552">
        <f>IFERROR(IF(FIND(DC$1,$W14)&gt;0,IF(INDEX(Product_Pricing_Table[],MATCH(DC$1,Products,0),2)="Cores",IF(HostBuild[Use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 s="552">
        <f>IFERROR(IF(FIND(DD$1,$W14)&gt;0,IF(INDEX(Product_Pricing_Table[],MATCH(DD$1,Products,0),2)="Cores",IF(HostBuild[Use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 s="552">
        <f>IFERROR(IF(FIND(DE$1,$W14)&gt;0,IF(INDEX(Product_Pricing_Table[],MATCH(DE$1,Products,0),2)="Cores",IF(HostBuild[Use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 s="553">
        <f>IFERROR(IF(FIND(DF$1,$W14)&gt;0,IF(INDEX(Product_Pricing_Table[],MATCH(DF$1,Products,0),2)="Cores",IF(HostBuild[Use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 s="553">
        <f>IFERROR(IF(FIND(DG$1,$W14)&gt;0,IF(INDEX(Product_Pricing_Table[],MATCH(DG$1,Products,0),2)="Cores",IF(HostBuild[Use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 s="552">
        <f>IFERROR(IF(FIND(DH$1,$W14)&gt;0,IF(INDEX(Product_Pricing_Table[],MATCH(DH$1,Products,0),2)="Cores",IF(HostBuild[Use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 s="553">
        <f>IFERROR(IF(FIND(DI$1,$W14)&gt;0,IF(INDEX(Product_Pricing_Table[],MATCH(DI$1,Products,0),2)="Cores",IF(HostBuild[Use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 s="552">
        <f>IFERROR(IF(FIND(DJ$1,$W14)&gt;0,IF(INDEX(Product_Pricing_Table[],MATCH(DJ$1,Products,0),2)="Cores",IF(HostBuild[Use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 s="552">
        <f>IFERROR(IF(FIND(DK$1,$W14)&gt;0,IF(INDEX(Product_Pricing_Table[],MATCH(DK$1,Products,0),2)="Cores",IF(HostBuild[Use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 s="552">
        <f>IFERROR(IF(FIND(DL$1,$W14)&gt;0,IF(INDEX(Product_Pricing_Table[],MATCH(DL$1,Products,0),2)="Cores",IF(HostBuild[Use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 s="552">
        <f>IFERROR(IF(FIND(DM$1,$W14)&gt;0,IF(INDEX(Product_Pricing_Table[],MATCH(DM$1,Products,0),2)="Cores",IF(HostBuild[Use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 s="552">
        <f>IFERROR(IF(FIND(DN$1,$W14)&gt;0,IF(INDEX(Product_Pricing_Table[],MATCH(DN$1,Products,0),2)="Cores",IF(HostBuild[Use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 s="552">
        <f>IFERROR(IF(FIND(DO$1,$W14)&gt;0,IF(INDEX(Product_Pricing_Table[],MATCH(DO$1,Products,0),2)="Cores",IF(HostBuild[Use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 s="552">
        <f>IFERROR(IF(FIND(DP$1,$W14)&gt;0,IF(INDEX(Product_Pricing_Table[],MATCH(DP$1,Products,0),2)="Cores",IF(HostBuild[Use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 s="552">
        <f>IFERROR(IF(FIND(DQ$1,$W14)&gt;0,IF(INDEX(Product_Pricing_Table[],MATCH(DQ$1,Products,0),2)="Cores",IF(HostBuild[Use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 s="552">
        <f>IFERROR(IF(FIND(DR$1,$W14)&gt;0,IF(INDEX(Product_Pricing_Table[],MATCH(DR$1,Products,0),2)="Cores",IF(HostBuild[Use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 s="552">
        <f>IFERROR(IF(FIND(DS$1,$W14)&gt;0,IF(INDEX(Product_Pricing_Table[],MATCH(DS$1,Products,0),2)="Cores",IF(HostBuild[Use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 s="552">
        <f>IFERROR(IF(FIND(DT$1,$W14)&gt;0,IF(INDEX(Product_Pricing_Table[],MATCH(DT$1,Products,0),2)="Cores",IF(HostBuild[Use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 s="552">
        <f>IFERROR(IF(FIND(DU$1,$W14)&gt;0,IF(INDEX(Product_Pricing_Table[],MATCH(DU$1,Products,0),2)="Cores",IF(HostBuild[Use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 s="552">
        <f>IFERROR(IF(FIND(DV$1,$W14)&gt;0,IF(INDEX(Product_Pricing_Table[],MATCH(DV$1,Products,0),2)="Cores",IF(HostBuild[Use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 s="552">
        <f>IFERROR(IF(FIND(DW$1,$W14)&gt;0,IF(INDEX(Product_Pricing_Table[],MATCH(DW$1,Products,0),2)="Cores",IF(HostBuild[Use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 s="552">
        <f>IFERROR(IF(FIND(DX$1,$W14)&gt;0,IF(INDEX(Product_Pricing_Table[],MATCH(DX$1,Products,0),2)="Cores",IF(HostBuild[Use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 s="552">
        <f>IFERROR(IF(FIND(DY$1,$W14)&gt;0,IF(INDEX(Product_Pricing_Table[],MATCH(DY$1,Products,0),2)="Cores",IF(HostBuild[Use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 s="552">
        <f>IFERROR(IF(FIND(DZ$1,$W14)&gt;0,IF(INDEX(Product_Pricing_Table[],MATCH(DZ$1,Products,0),2)="Cores",IF(HostBuild[Use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 s="552">
        <f>IFERROR(IF(FIND(EA$1,$W14)&gt;0,IF(INDEX(Product_Pricing_Table[],MATCH(EA$1,Products,0),2)="Cores",IF(HostBuild[Use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 s="552">
        <f>IFERROR(IF(FIND(EB$1,$W14)&gt;0,IF(INDEX(Product_Pricing_Table[],MATCH(EB$1,Products,0),2)="Cores",IF(HostBuild[Use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 s="553">
        <f>IFERROR(IF(FIND(EC$1,$W14)&gt;0,IF(INDEX(Product_Pricing_Table[],MATCH(EC$1,Products,0),2)="Cores",IF(HostBuild[Use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 s="552">
        <f>IFERROR(IF(FIND(ED$1,$W14)&gt;0,IF(INDEX(Product_Pricing_Table[],MATCH(ED$1,Products,0),2)="Cores",IF(HostBuild[Use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 s="552">
        <f>IFERROR(IF(FIND(EE$1,$W14)&gt;0,IF(INDEX(Product_Pricing_Table[],MATCH(EE$1,Products,0),2)="Cores",IF(HostBuild[Use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 s="552">
        <f>IFERROR(IF(FIND(EF$1,$W14)&gt;0,IF(INDEX(Product_Pricing_Table[],MATCH(EF$1,Products,0),2)="Cores",IF(HostBuild[Use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 s="552">
        <f>IFERROR(IF(FIND(EG$1,$W14)&gt;0,IF(INDEX(Product_Pricing_Table[],MATCH(EG$1,Products,0),2)="Cores",IF(HostBuild[Use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 s="552">
        <f>IFERROR(IF(FIND(EH$1,$W14)&gt;0,IF(INDEX(Product_Pricing_Table[],MATCH(EH$1,Products,0),2)="Cores",IF(HostBuild[Use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4" s="552">
        <f>IFERROR(IF(FIND(EI$1,$W14)&gt;0,IF(INDEX(Product_Pricing_Table[],MATCH(EI$1,Products,0),2)="Cores",IF(HostBuild[Use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 s="552">
        <f>IFERROR(IF(FIND(EJ$1,$W14)&gt;0,IF(INDEX(Product_Pricing_Table[],MATCH(EJ$1,Products,0),2)="Cores",IF(HostBuild[Use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 s="553">
        <f>IFERROR(IF(FIND(EK$1,$W14)&gt;0,IF(INDEX(Product_Pricing_Table[],MATCH(EK$1,Products,0),2)="Cores",IF(HostBuild[Use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 s="554"/>
      <c r="EM14" s="555">
        <v>3750</v>
      </c>
      <c r="EN14" s="556">
        <v>525</v>
      </c>
      <c r="EO14"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4" s="558">
        <f>(HostBuild[Archive
Full (GB)]+HostBuild[Archive
Incr (GB)])*Storage_DC_Dist_Tape_2014</f>
        <v>33.910624999999996</v>
      </c>
      <c r="ER14" s="558">
        <f>IF(ISNUMBER(HostBuild[Server HW Costs
(Monthly)]),SUM(HostBuild[[#This Row],[Server HW Costs
(Monthly)]:[Tape Costs
(Monthly)]]),0)</f>
        <v>1398.400625</v>
      </c>
      <c r="ES14" s="559">
        <f>HostBuild[Software Costs
'[Year 1']
(Monthly)]+HostBuild[Total Hardware Costs
(Monthly)]</f>
        <v>5148.4006250000002</v>
      </c>
      <c r="ET14" s="559">
        <f>IFERROR(IF(FIND("Safenet",HostBuild[Server Model]),Safenet_PSE_PL600_Maint,0),0)+IFERROR(IF(FIND("XI52",HostBuild[Server Model]),IBM_DIA_XI52_Maint,0),0)+HostBuild[Software Costs
'[After Year 1']
(Monthly)]+HostBuild[Total Hardware Costs
(Monthly)]</f>
        <v>1923.400625</v>
      </c>
      <c r="EU14" s="560">
        <f>SUM(HostBuild[[#This Row],[Server Cost Breakdown]:[Network Cost]])</f>
        <v>1003.9</v>
      </c>
      <c r="EV14" s="561">
        <f>IF(HostBuild[Existing Server?]="Yes - Inside this BoM",0,SUMIF(HostBuild[Alias],HostBuild[Alias],HostBuild[CPU])+SUMIF(HostBuild[Alias],HostBuild[Alias],HostBuild[Existing CPUs]))</f>
        <v>2</v>
      </c>
      <c r="EW14" s="561">
        <f>IF(HostBuild[Existing Server?]="Yes - Inside this BoM",0,SUMIF(HostBuild[Alias],HostBuild[Alias],HostBuild[Cores 
(Licensed Units)])+SUMIF(HostBuild[Alias],HostBuild[Alias],HostBuild[Existing Cores]))</f>
        <v>16</v>
      </c>
      <c r="EX14" s="561">
        <f>IF(HostBuild[Existing Server?]="Yes - Inside this BoM",0,SUMIF(HostBuild[Alias],HostBuild[Alias],HostBuild[RAM 
(GB)])+SUMIF(HostBuild[Alias],HostBuild[Alias],HostBuild[Existing RAM (GB)]))</f>
        <v>256</v>
      </c>
      <c r="EY1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 s="560">
        <f>IF(ISBLANK(HostBuild[Server Model]),0,IF(HostBuild[Server Tier]="VMware",0,VLOOKUP(HostBuild[Server Tier],ServerTierRates[#Data],2,0))*HostBuild[CPU]*IF(AND(HostBuild[Server Type]="pSeries",HostBuild[Virtual Platform Storage Type]="Cloud-SAN"),0.25,1))</f>
        <v>608</v>
      </c>
      <c r="FD14" s="560">
        <f>0</f>
        <v>0</v>
      </c>
      <c r="FE14" s="560">
        <f>IF(HostBuild[Server Type]="VMware",HostBuild[RAM 
(GB)]*IF(ISERROR(FIND("DevCloud", HostBuild[Server Model])&gt;0),vRAM_per_vCPU_2014_Monthly,vRAM_per_vCPU_2014_Daily*30),0)</f>
        <v>0</v>
      </c>
      <c r="FF1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 s="563">
        <f>IF(HostBuild[Server Tier]="VMware",0,IF(LEFT(HostBuild[Existing Server?],3)="Yes",0,IF(OR(HostBuild[Server Type]="Sun",HostBuild[Server Type]="pSeries"),Support_Direct_Server_Sun_per_OS_2014,IF(HostBuild[Server Type]="x86",Support_Direct_Server_x86_Wintel_per_OS_2014,0))))</f>
        <v>187.1</v>
      </c>
      <c r="FI1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 spans="1:178" ht="14.25" customHeight="1">
      <c r="A15" s="360" t="s">
        <v>3942</v>
      </c>
      <c r="B15" s="521"/>
      <c r="C15" s="521"/>
      <c r="D15" s="521"/>
      <c r="E15" s="522"/>
      <c r="F15" s="522"/>
      <c r="G15" s="597"/>
      <c r="H15" s="597"/>
      <c r="I15" s="523"/>
      <c r="J15" s="522"/>
      <c r="K15" s="522"/>
      <c r="L15" s="522"/>
      <c r="M15" s="597" t="e">
        <f ca="1">IF(rngIsDate(HostBuild[CTO Acceptance]),"Y","N")</f>
        <v>#NAME?</v>
      </c>
      <c r="N15" s="361" t="s">
        <v>3938</v>
      </c>
      <c r="O15" s="525"/>
      <c r="P15" s="525"/>
      <c r="Q15" s="361" t="s">
        <v>79</v>
      </c>
      <c r="R15" s="526" t="str">
        <f>IF(NOT(ISBLANK(HostBuild[Env Label])),IFERROR(VLOOKUP(HostBuild[Env Label],tEnv[],3,FALSE),""),"")</f>
        <v>PROD</v>
      </c>
      <c r="S15" s="598"/>
      <c r="T15" s="527"/>
      <c r="U15" s="599"/>
      <c r="V15" s="524" t="s">
        <v>4006</v>
      </c>
      <c r="W15" s="524" t="s">
        <v>3941</v>
      </c>
      <c r="X15" s="524" t="s">
        <v>35</v>
      </c>
      <c r="Y15" s="361" t="s">
        <v>481</v>
      </c>
      <c r="Z15" s="526" t="str">
        <f>IF(NOT(ISBLANK(HostBuild[[#This Row],[Product 
(Acronym)]])),CONCATENATE(HostBuild[[#This Row],[Type]],"-",HostBuild[[#This Row],[Product 
(Acronym)]]),"")</f>
        <v>AP-ESB</v>
      </c>
      <c r="AA15" s="600"/>
      <c r="AB15" s="600" t="s">
        <v>105</v>
      </c>
      <c r="AC15" s="528"/>
      <c r="AD15" s="529"/>
      <c r="AE15" s="529"/>
      <c r="AF15" s="530"/>
      <c r="AG15" s="531"/>
      <c r="AH15" s="601"/>
      <c r="AI15" s="362" t="s">
        <v>3948</v>
      </c>
      <c r="AJ15" s="524">
        <f>IF(COUNTIF(HostBuild[Alias],HostBuild[Alias]),1/COUNTIF(HostBuild[Alias],HostBuild[Alias]),0)</f>
        <v>1</v>
      </c>
      <c r="AK15" s="531"/>
      <c r="AL15" s="531"/>
      <c r="AM15" s="532" t="s">
        <v>2173</v>
      </c>
      <c r="AN15" s="533" t="str">
        <f>IF(NOT(ISBLANK(HostBuild[Server Model])),VLOOKUP(HostBuild[Server Model],ServerModelsTier[],2,FALSE),"")</f>
        <v>x86 Tier 3</v>
      </c>
      <c r="AO15" s="533" t="str">
        <f>IF(NOT(ISBLANK(HostBuild[Server Model])),VLOOKUP(HostBuild[Server Model],ServerModelsTier[],5,FALSE),"")</f>
        <v>x86</v>
      </c>
      <c r="AP15" s="532"/>
      <c r="AQ15" s="532" t="s">
        <v>2337</v>
      </c>
      <c r="AR15" s="534">
        <v>2</v>
      </c>
      <c r="AS15" s="602"/>
      <c r="AT15" s="535">
        <v>16</v>
      </c>
      <c r="AU15" s="603" t="str">
        <f>IF(IFERROR(FIND("P-Series",HostBuild[Server Tier]),0),CEILING((HostBuild[Existing CPUs]+HostBuild[CPU])*16,8),"")</f>
        <v/>
      </c>
      <c r="AV15" s="536">
        <v>256</v>
      </c>
      <c r="AW15" s="531"/>
      <c r="AX15" s="531"/>
      <c r="AY15" s="531"/>
      <c r="AZ15" s="537"/>
      <c r="BA15" s="531"/>
      <c r="BB15" s="531"/>
      <c r="BC15" s="529"/>
      <c r="BD15" s="531"/>
      <c r="BE15" s="531"/>
      <c r="BF15" s="531"/>
      <c r="BG15" s="531"/>
      <c r="BH15" s="531"/>
      <c r="BI15" s="531"/>
      <c r="BJ15" s="531"/>
      <c r="BK15"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5" s="538"/>
      <c r="BM15" s="540">
        <f>IF(ISNUMBER(HostBuild[Recommended SAN (GB)]),HostBuild[Recommended SAN (GB)])+IF(HostBuild[Additional SAN (GB)]&gt;0,CEILING(HostBuild[Additional SAN (GB)],LUN),-(CEILING(-HostBuild[Additional SAN (GB)],LUN)))</f>
        <v>337</v>
      </c>
      <c r="BN15" s="539"/>
      <c r="BO15" s="540">
        <f>HostBuild[SAN (GB)
NEEDED TODAY]+CEILING(HostBuild[SAN (GB)
RESERVED
DO NOT USE TO BUILD], LUN)</f>
        <v>337</v>
      </c>
      <c r="BP15" s="541"/>
      <c r="BQ15" s="542"/>
      <c r="BR15" s="432" t="s">
        <v>106</v>
      </c>
      <c r="BS15" s="605">
        <f>IF(HostBuild[Existing Server?]&lt;&gt;"Yes - Inside this BoM",IF(ISNUMBER(HostBuild[RAM 
(GB)]),IF(HostBuild[Existing RAM (GB)]+HostBuild[RAM 
(GB)]&gt;0,IF(HostBuild[Virtual Platform Storage Type]="NAS",110+HostBuild[Existing RAM (GB)]+HostBuild[RAM 
(GB)]*1.75,0),0),0),0)</f>
        <v>0</v>
      </c>
      <c r="BT15" s="606"/>
      <c r="BU15" s="607">
        <f>IF(ISNUMBER(HostBuild[Recommended NAS (GB)]),HostBuild[Recommended NAS (GB)])+HostBuild[Additional NAS (GB)]</f>
        <v>0</v>
      </c>
      <c r="BV15" s="543"/>
      <c r="BW15" s="543"/>
      <c r="BX15" s="604">
        <f>IFERROR((HostBuild[SAN (GB)
End-State
DO NOT USE TO BUILD]+HostBuild[SAN (GB) Shared])*25%,"")</f>
        <v>84.25</v>
      </c>
      <c r="BY15" s="608">
        <f>IFERROR(HostBuild[Archive
Full (GB)]*15%,"")</f>
        <v>12.637499999999999</v>
      </c>
      <c r="BZ15" s="544"/>
      <c r="CA15" s="544"/>
      <c r="CB15" s="545"/>
      <c r="CC15" s="546"/>
      <c r="CD15" s="545"/>
      <c r="CE15" s="547"/>
      <c r="CF15" s="539"/>
      <c r="CG15" s="609"/>
      <c r="CH15" s="548"/>
      <c r="CI15" s="549"/>
      <c r="CJ15" s="550" t="s">
        <v>4128</v>
      </c>
      <c r="CK15" s="551"/>
      <c r="CL15" s="552">
        <f>IFERROR(IF(FIND(CL$1,$W15)&gt;0,IF(INDEX(Product_Pricing_Table[],MATCH(CL$1,Products,0),2)="Cores",IF(HostBuild[Use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 s="552">
        <f>IFERROR(IF(FIND(CM$1,$W15)&gt;0,IF(INDEX(Product_Pricing_Table[],MATCH(CM$1,Products,0),2)="Cores",IF(HostBuild[Use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5" s="552">
        <f>IFERROR(IF(FIND(CN$1,$W15)&gt;0,IF(INDEX(Product_Pricing_Table[],MATCH(CN$1,Products,0),2)="Cores",IF(HostBuild[Use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 s="552">
        <f>IFERROR(IF(FIND(CO$1,$W15)&gt;0,IF(INDEX(Product_Pricing_Table[],MATCH(CO$1,Products,0),2)="Cores",IF(HostBuild[Use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 s="552">
        <f>IFERROR(IF(FIND(CP$1,$W15)&gt;0,IF(INDEX(Product_Pricing_Table[],MATCH(CP$1,Products,0),2)="Cores",IF(HostBuild[Use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 s="552">
        <f>IFERROR(IF(FIND(CQ$1,$W15)&gt;0,IF(INDEX(Product_Pricing_Table[],MATCH(CQ$1,Products,0),2)="Cores",IF(HostBuild[Use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 s="552">
        <f>IFERROR(IF(FIND(CR$1,$W15)&gt;0,IF(INDEX(Product_Pricing_Table[],MATCH(CR$1,Products,0),2)="Cores",IF(HostBuild[Use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 s="552">
        <f>IFERROR(IF(FIND(CS$1,$W15)&gt;0,IF(INDEX(Product_Pricing_Table[],MATCH(CS$1,Products,0),2)="Cores",IF(HostBuild[Use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 s="552">
        <f>IFERROR(IF(FIND(CT$1,$W15)&gt;0,IF(INDEX(Product_Pricing_Table[],MATCH(CT$1,Products,0),2)="Cores",IF(HostBuild[Use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 s="552">
        <f>IFERROR(IF(FIND(CU$1,$W15)&gt;0,IF(INDEX(Product_Pricing_Table[],MATCH(CU$1,Products,0),2)="Cores",IF(HostBuild[Use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 s="552">
        <f>IFERROR(IF(FIND(CV$1,$W15)&gt;0,IF(INDEX(Product_Pricing_Table[],MATCH(CV$1,Products,0),2)="Cores",IF(HostBuild[Use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 s="552">
        <f>IFERROR(IF(FIND(CW$1,$W15)&gt;0,IF(INDEX(Product_Pricing_Table[],MATCH(CW$1,Products,0),2)="Cores",IF(HostBuild[Use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 s="552">
        <f>IFERROR(IF(FIND(CX$1,$W15)&gt;0,IF(INDEX(Product_Pricing_Table[],MATCH(CX$1,Products,0),2)="Cores",IF(HostBuild[Use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 s="552">
        <f>IFERROR(IF(FIND(CY$1,$W15)&gt;0,IF(INDEX(Product_Pricing_Table[],MATCH(CY$1,Products,0),2)="Cores",IF(HostBuild[Use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 s="552">
        <f>IFERROR(IF(FIND(CZ$1,$W15)&gt;0,IF(INDEX(Product_Pricing_Table[],MATCH(CZ$1,Products,0),2)="Cores",IF(HostBuild[Use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 s="552">
        <f>IFERROR(IF(FIND(DA$1,$W15)&gt;0,IF(INDEX(Product_Pricing_Table[],MATCH(DA$1,Products,0),2)="Cores",IF(HostBuild[Use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 s="552">
        <f>IFERROR(IF(FIND(DB$1,$W15)&gt;0,IF(INDEX(Product_Pricing_Table[],MATCH(DB$1,Products,0),2)="Cores",IF(HostBuild[Use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 s="552">
        <f>IFERROR(IF(FIND(DC$1,$W15)&gt;0,IF(INDEX(Product_Pricing_Table[],MATCH(DC$1,Products,0),2)="Cores",IF(HostBuild[Use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 s="552">
        <f>IFERROR(IF(FIND(DD$1,$W15)&gt;0,IF(INDEX(Product_Pricing_Table[],MATCH(DD$1,Products,0),2)="Cores",IF(HostBuild[Use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 s="552">
        <f>IFERROR(IF(FIND(DE$1,$W15)&gt;0,IF(INDEX(Product_Pricing_Table[],MATCH(DE$1,Products,0),2)="Cores",IF(HostBuild[Use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 s="553">
        <f>IFERROR(IF(FIND(DF$1,$W15)&gt;0,IF(INDEX(Product_Pricing_Table[],MATCH(DF$1,Products,0),2)="Cores",IF(HostBuild[Use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 s="553">
        <f>IFERROR(IF(FIND(DG$1,$W15)&gt;0,IF(INDEX(Product_Pricing_Table[],MATCH(DG$1,Products,0),2)="Cores",IF(HostBuild[Use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 s="552">
        <f>IFERROR(IF(FIND(DH$1,$W15)&gt;0,IF(INDEX(Product_Pricing_Table[],MATCH(DH$1,Products,0),2)="Cores",IF(HostBuild[Use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 s="553">
        <f>IFERROR(IF(FIND(DI$1,$W15)&gt;0,IF(INDEX(Product_Pricing_Table[],MATCH(DI$1,Products,0),2)="Cores",IF(HostBuild[Use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 s="552">
        <f>IFERROR(IF(FIND(DJ$1,$W15)&gt;0,IF(INDEX(Product_Pricing_Table[],MATCH(DJ$1,Products,0),2)="Cores",IF(HostBuild[Use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 s="552">
        <f>IFERROR(IF(FIND(DK$1,$W15)&gt;0,IF(INDEX(Product_Pricing_Table[],MATCH(DK$1,Products,0),2)="Cores",IF(HostBuild[Use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 s="552">
        <f>IFERROR(IF(FIND(DL$1,$W15)&gt;0,IF(INDEX(Product_Pricing_Table[],MATCH(DL$1,Products,0),2)="Cores",IF(HostBuild[Use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 s="552">
        <f>IFERROR(IF(FIND(DM$1,$W15)&gt;0,IF(INDEX(Product_Pricing_Table[],MATCH(DM$1,Products,0),2)="Cores",IF(HostBuild[Use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 s="552">
        <f>IFERROR(IF(FIND(DN$1,$W15)&gt;0,IF(INDEX(Product_Pricing_Table[],MATCH(DN$1,Products,0),2)="Cores",IF(HostBuild[Use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 s="552">
        <f>IFERROR(IF(FIND(DO$1,$W15)&gt;0,IF(INDEX(Product_Pricing_Table[],MATCH(DO$1,Products,0),2)="Cores",IF(HostBuild[Use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 s="552">
        <f>IFERROR(IF(FIND(DP$1,$W15)&gt;0,IF(INDEX(Product_Pricing_Table[],MATCH(DP$1,Products,0),2)="Cores",IF(HostBuild[Use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 s="552">
        <f>IFERROR(IF(FIND(DQ$1,$W15)&gt;0,IF(INDEX(Product_Pricing_Table[],MATCH(DQ$1,Products,0),2)="Cores",IF(HostBuild[Use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 s="552">
        <f>IFERROR(IF(FIND(DR$1,$W15)&gt;0,IF(INDEX(Product_Pricing_Table[],MATCH(DR$1,Products,0),2)="Cores",IF(HostBuild[Use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 s="552">
        <f>IFERROR(IF(FIND(DS$1,$W15)&gt;0,IF(INDEX(Product_Pricing_Table[],MATCH(DS$1,Products,0),2)="Cores",IF(HostBuild[Use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 s="552">
        <f>IFERROR(IF(FIND(DT$1,$W15)&gt;0,IF(INDEX(Product_Pricing_Table[],MATCH(DT$1,Products,0),2)="Cores",IF(HostBuild[Use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 s="552">
        <f>IFERROR(IF(FIND(DU$1,$W15)&gt;0,IF(INDEX(Product_Pricing_Table[],MATCH(DU$1,Products,0),2)="Cores",IF(HostBuild[Use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 s="552">
        <f>IFERROR(IF(FIND(DV$1,$W15)&gt;0,IF(INDEX(Product_Pricing_Table[],MATCH(DV$1,Products,0),2)="Cores",IF(HostBuild[Use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 s="552">
        <f>IFERROR(IF(FIND(DW$1,$W15)&gt;0,IF(INDEX(Product_Pricing_Table[],MATCH(DW$1,Products,0),2)="Cores",IF(HostBuild[Use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 s="552">
        <f>IFERROR(IF(FIND(DX$1,$W15)&gt;0,IF(INDEX(Product_Pricing_Table[],MATCH(DX$1,Products,0),2)="Cores",IF(HostBuild[Use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 s="552">
        <f>IFERROR(IF(FIND(DY$1,$W15)&gt;0,IF(INDEX(Product_Pricing_Table[],MATCH(DY$1,Products,0),2)="Cores",IF(HostBuild[Use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 s="552">
        <f>IFERROR(IF(FIND(DZ$1,$W15)&gt;0,IF(INDEX(Product_Pricing_Table[],MATCH(DZ$1,Products,0),2)="Cores",IF(HostBuild[Use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 s="552">
        <f>IFERROR(IF(FIND(EA$1,$W15)&gt;0,IF(INDEX(Product_Pricing_Table[],MATCH(EA$1,Products,0),2)="Cores",IF(HostBuild[Use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 s="552">
        <f>IFERROR(IF(FIND(EB$1,$W15)&gt;0,IF(INDEX(Product_Pricing_Table[],MATCH(EB$1,Products,0),2)="Cores",IF(HostBuild[Use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 s="553">
        <f>IFERROR(IF(FIND(EC$1,$W15)&gt;0,IF(INDEX(Product_Pricing_Table[],MATCH(EC$1,Products,0),2)="Cores",IF(HostBuild[Use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 s="552">
        <f>IFERROR(IF(FIND(ED$1,$W15)&gt;0,IF(INDEX(Product_Pricing_Table[],MATCH(ED$1,Products,0),2)="Cores",IF(HostBuild[Use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 s="552">
        <f>IFERROR(IF(FIND(EE$1,$W15)&gt;0,IF(INDEX(Product_Pricing_Table[],MATCH(EE$1,Products,0),2)="Cores",IF(HostBuild[Use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 s="552">
        <f>IFERROR(IF(FIND(EF$1,$W15)&gt;0,IF(INDEX(Product_Pricing_Table[],MATCH(EF$1,Products,0),2)="Cores",IF(HostBuild[Use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 s="552">
        <f>IFERROR(IF(FIND(EG$1,$W15)&gt;0,IF(INDEX(Product_Pricing_Table[],MATCH(EG$1,Products,0),2)="Cores",IF(HostBuild[Use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 s="552">
        <f>IFERROR(IF(FIND(EH$1,$W15)&gt;0,IF(INDEX(Product_Pricing_Table[],MATCH(EH$1,Products,0),2)="Cores",IF(HostBuild[Use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5" s="552">
        <f>IFERROR(IF(FIND(EI$1,$W15)&gt;0,IF(INDEX(Product_Pricing_Table[],MATCH(EI$1,Products,0),2)="Cores",IF(HostBuild[Use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 s="552">
        <f>IFERROR(IF(FIND(EJ$1,$W15)&gt;0,IF(INDEX(Product_Pricing_Table[],MATCH(EJ$1,Products,0),2)="Cores",IF(HostBuild[Use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 s="553">
        <f>IFERROR(IF(FIND(EK$1,$W15)&gt;0,IF(INDEX(Product_Pricing_Table[],MATCH(EK$1,Products,0),2)="Cores",IF(HostBuild[Use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 s="554"/>
      <c r="EM15" s="555"/>
      <c r="EN15" s="556"/>
      <c r="EO15"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5" s="558">
        <f>(HostBuild[Archive
Full (GB)]+HostBuild[Archive
Incr (GB)])*Storage_DC_Dist_Tape_2014</f>
        <v>33.910624999999996</v>
      </c>
      <c r="ER15" s="558">
        <f>IF(ISNUMBER(HostBuild[Server HW Costs
(Monthly)]),SUM(HostBuild[[#This Row],[Server HW Costs
(Monthly)]:[Tape Costs
(Monthly)]]),0)</f>
        <v>1398.400625</v>
      </c>
      <c r="ES15" s="559">
        <f>HostBuild[Software Costs
'[Year 1']
(Monthly)]+HostBuild[Total Hardware Costs
(Monthly)]</f>
        <v>1398.400625</v>
      </c>
      <c r="ET15" s="559">
        <f>IFERROR(IF(FIND("Safenet",HostBuild[Server Model]),Safenet_PSE_PL600_Maint,0),0)+IFERROR(IF(FIND("XI52",HostBuild[Server Model]),IBM_DIA_XI52_Maint,0),0)+HostBuild[Software Costs
'[After Year 1']
(Monthly)]+HostBuild[Total Hardware Costs
(Monthly)]</f>
        <v>1398.400625</v>
      </c>
      <c r="EU15" s="560">
        <f>SUM(HostBuild[[#This Row],[Server Cost Breakdown]:[Network Cost]])</f>
        <v>1003.9</v>
      </c>
      <c r="EV15" s="561">
        <f>IF(HostBuild[Existing Server?]="Yes - Inside this BoM",0,SUMIF(HostBuild[Alias],HostBuild[Alias],HostBuild[CPU])+SUMIF(HostBuild[Alias],HostBuild[Alias],HostBuild[Existing CPUs]))</f>
        <v>2</v>
      </c>
      <c r="EW15" s="561">
        <f>IF(HostBuild[Existing Server?]="Yes - Inside this BoM",0,SUMIF(HostBuild[Alias],HostBuild[Alias],HostBuild[Cores 
(Licensed Units)])+SUMIF(HostBuild[Alias],HostBuild[Alias],HostBuild[Existing Cores]))</f>
        <v>16</v>
      </c>
      <c r="EX15" s="561">
        <f>IF(HostBuild[Existing Server?]="Yes - Inside this BoM",0,SUMIF(HostBuild[Alias],HostBuild[Alias],HostBuild[RAM 
(GB)])+SUMIF(HostBuild[Alias],HostBuild[Alias],HostBuild[Existing RAM (GB)]))</f>
        <v>256</v>
      </c>
      <c r="EY1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 s="560">
        <f>IF(ISBLANK(HostBuild[Server Model]),0,IF(HostBuild[Server Tier]="VMware",0,VLOOKUP(HostBuild[Server Tier],ServerTierRates[#Data],2,0))*HostBuild[CPU]*IF(AND(HostBuild[Server Type]="pSeries",HostBuild[Virtual Platform Storage Type]="Cloud-SAN"),0.25,1))</f>
        <v>608</v>
      </c>
      <c r="FD15" s="560">
        <f>0</f>
        <v>0</v>
      </c>
      <c r="FE15" s="560">
        <f>IF(HostBuild[Server Type]="VMware",HostBuild[RAM 
(GB)]*IF(ISERROR(FIND("DevCloud", HostBuild[Server Model])&gt;0),vRAM_per_vCPU_2014_Monthly,vRAM_per_vCPU_2014_Daily*30),0)</f>
        <v>0</v>
      </c>
      <c r="FF1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 s="563">
        <f>IF(HostBuild[Server Tier]="VMware",0,IF(LEFT(HostBuild[Existing Server?],3)="Yes",0,IF(OR(HostBuild[Server Type]="Sun",HostBuild[Server Type]="pSeries"),Support_Direct_Server_Sun_per_OS_2014,IF(HostBuild[Server Type]="x86",Support_Direct_Server_x86_Wintel_per_OS_2014,0))))</f>
        <v>187.1</v>
      </c>
      <c r="FI1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6" spans="1:178">
      <c r="A16" s="360" t="s">
        <v>3942</v>
      </c>
      <c r="B16" s="521"/>
      <c r="C16" s="521"/>
      <c r="D16" s="521"/>
      <c r="E16" s="522"/>
      <c r="F16" s="522"/>
      <c r="G16" s="597"/>
      <c r="H16" s="597"/>
      <c r="I16" s="523"/>
      <c r="J16" s="522"/>
      <c r="K16" s="522"/>
      <c r="L16" s="522"/>
      <c r="M16" s="597" t="e">
        <f ca="1">IF(rngIsDate(HostBuild[CTO Acceptance]),"Y","N")</f>
        <v>#NAME?</v>
      </c>
      <c r="N16" s="361" t="s">
        <v>3938</v>
      </c>
      <c r="O16" s="525"/>
      <c r="P16" s="525"/>
      <c r="Q16" s="361" t="s">
        <v>79</v>
      </c>
      <c r="R16" s="526" t="str">
        <f>IF(NOT(ISBLANK(HostBuild[Env Label])),IFERROR(VLOOKUP(HostBuild[Env Label],tEnv[],3,FALSE),""),"")</f>
        <v>PROD</v>
      </c>
      <c r="S16" s="598"/>
      <c r="T16" s="527"/>
      <c r="U16" s="599"/>
      <c r="V16" s="524" t="s">
        <v>4006</v>
      </c>
      <c r="W16" s="524" t="s">
        <v>3941</v>
      </c>
      <c r="X16" s="524" t="s">
        <v>35</v>
      </c>
      <c r="Y16" s="361" t="s">
        <v>481</v>
      </c>
      <c r="Z16" s="526" t="str">
        <f>IF(NOT(ISBLANK(HostBuild[[#This Row],[Product 
(Acronym)]])),CONCATENATE(HostBuild[[#This Row],[Type]],"-",HostBuild[[#This Row],[Product 
(Acronym)]]),"")</f>
        <v>AP-ESB</v>
      </c>
      <c r="AA16" s="600"/>
      <c r="AB16" s="600" t="s">
        <v>105</v>
      </c>
      <c r="AC16" s="528"/>
      <c r="AD16" s="529"/>
      <c r="AE16" s="529"/>
      <c r="AF16" s="530"/>
      <c r="AG16" s="531"/>
      <c r="AH16" s="601"/>
      <c r="AI16" s="362" t="s">
        <v>3949</v>
      </c>
      <c r="AJ16" s="524">
        <f>IF(COUNTIF(HostBuild[Alias],HostBuild[Alias]),1/COUNTIF(HostBuild[Alias],HostBuild[Alias]),0)</f>
        <v>1</v>
      </c>
      <c r="AK16" s="531"/>
      <c r="AL16" s="531"/>
      <c r="AM16" s="532" t="s">
        <v>2173</v>
      </c>
      <c r="AN16" s="533" t="str">
        <f>IF(NOT(ISBLANK(HostBuild[Server Model])),VLOOKUP(HostBuild[Server Model],ServerModelsTier[],2,FALSE),"")</f>
        <v>x86 Tier 3</v>
      </c>
      <c r="AO16" s="533" t="str">
        <f>IF(NOT(ISBLANK(HostBuild[Server Model])),VLOOKUP(HostBuild[Server Model],ServerModelsTier[],5,FALSE),"")</f>
        <v>x86</v>
      </c>
      <c r="AP16" s="532"/>
      <c r="AQ16" s="532" t="s">
        <v>2337</v>
      </c>
      <c r="AR16" s="534">
        <v>2</v>
      </c>
      <c r="AS16" s="602"/>
      <c r="AT16" s="535">
        <v>16</v>
      </c>
      <c r="AU16" s="603" t="str">
        <f>IF(IFERROR(FIND("P-Series",HostBuild[Server Tier]),0),CEILING((HostBuild[Existing CPUs]+HostBuild[CPU])*16,8),"")</f>
        <v/>
      </c>
      <c r="AV16" s="536">
        <v>256</v>
      </c>
      <c r="AW16" s="531"/>
      <c r="AX16" s="531"/>
      <c r="AY16" s="531"/>
      <c r="AZ16" s="537"/>
      <c r="BA16" s="531"/>
      <c r="BB16" s="531"/>
      <c r="BC16" s="529"/>
      <c r="BD16" s="531"/>
      <c r="BE16" s="531"/>
      <c r="BF16" s="531"/>
      <c r="BG16" s="531"/>
      <c r="BH16" s="531"/>
      <c r="BI16" s="531"/>
      <c r="BJ16" s="531"/>
      <c r="BK16"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6" s="538"/>
      <c r="BM16" s="540">
        <f>IF(ISNUMBER(HostBuild[Recommended SAN (GB)]),HostBuild[Recommended SAN (GB)])+IF(HostBuild[Additional SAN (GB)]&gt;0,CEILING(HostBuild[Additional SAN (GB)],LUN),-(CEILING(-HostBuild[Additional SAN (GB)],LUN)))</f>
        <v>337</v>
      </c>
      <c r="BN16" s="539"/>
      <c r="BO16" s="540">
        <f>HostBuild[SAN (GB)
NEEDED TODAY]+CEILING(HostBuild[SAN (GB)
RESERVED
DO NOT USE TO BUILD], LUN)</f>
        <v>337</v>
      </c>
      <c r="BP16" s="541"/>
      <c r="BQ16" s="542"/>
      <c r="BR16" s="432" t="s">
        <v>106</v>
      </c>
      <c r="BS16" s="605">
        <f>IF(HostBuild[Existing Server?]&lt;&gt;"Yes - Inside this BoM",IF(ISNUMBER(HostBuild[RAM 
(GB)]),IF(HostBuild[Existing RAM (GB)]+HostBuild[RAM 
(GB)]&gt;0,IF(HostBuild[Virtual Platform Storage Type]="NAS",110+HostBuild[Existing RAM (GB)]+HostBuild[RAM 
(GB)]*1.75,0),0),0),0)</f>
        <v>0</v>
      </c>
      <c r="BT16" s="606"/>
      <c r="BU16" s="607">
        <f>IF(ISNUMBER(HostBuild[Recommended NAS (GB)]),HostBuild[Recommended NAS (GB)])+HostBuild[Additional NAS (GB)]</f>
        <v>0</v>
      </c>
      <c r="BV16" s="543"/>
      <c r="BW16" s="543"/>
      <c r="BX16" s="604">
        <f>IFERROR((HostBuild[SAN (GB)
End-State
DO NOT USE TO BUILD]+HostBuild[SAN (GB) Shared])*25%,"")</f>
        <v>84.25</v>
      </c>
      <c r="BY16" s="608">
        <f>IFERROR(HostBuild[Archive
Full (GB)]*15%,"")</f>
        <v>12.637499999999999</v>
      </c>
      <c r="BZ16" s="544"/>
      <c r="CA16" s="544"/>
      <c r="CB16" s="545"/>
      <c r="CC16" s="546"/>
      <c r="CD16" s="545"/>
      <c r="CE16" s="547"/>
      <c r="CF16" s="539"/>
      <c r="CG16" s="609"/>
      <c r="CH16" s="548"/>
      <c r="CI16" s="549"/>
      <c r="CJ16" s="550" t="s">
        <v>4128</v>
      </c>
      <c r="CK16" s="551"/>
      <c r="CL16" s="552">
        <f>IFERROR(IF(FIND(CL$1,$W16)&gt;0,IF(INDEX(Product_Pricing_Table[],MATCH(CL$1,Products,0),2)="Cores",IF(HostBuild[Use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6" s="552">
        <f>IFERROR(IF(FIND(CM$1,$W16)&gt;0,IF(INDEX(Product_Pricing_Table[],MATCH(CM$1,Products,0),2)="Cores",IF(HostBuild[Use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6" s="552">
        <f>IFERROR(IF(FIND(CN$1,$W16)&gt;0,IF(INDEX(Product_Pricing_Table[],MATCH(CN$1,Products,0),2)="Cores",IF(HostBuild[Use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6" s="552">
        <f>IFERROR(IF(FIND(CO$1,$W16)&gt;0,IF(INDEX(Product_Pricing_Table[],MATCH(CO$1,Products,0),2)="Cores",IF(HostBuild[Use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6" s="552">
        <f>IFERROR(IF(FIND(CP$1,$W16)&gt;0,IF(INDEX(Product_Pricing_Table[],MATCH(CP$1,Products,0),2)="Cores",IF(HostBuild[Use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6" s="552">
        <f>IFERROR(IF(FIND(CQ$1,$W16)&gt;0,IF(INDEX(Product_Pricing_Table[],MATCH(CQ$1,Products,0),2)="Cores",IF(HostBuild[Use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6" s="552">
        <f>IFERROR(IF(FIND(CR$1,$W16)&gt;0,IF(INDEX(Product_Pricing_Table[],MATCH(CR$1,Products,0),2)="Cores",IF(HostBuild[Use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6" s="552">
        <f>IFERROR(IF(FIND(CS$1,$W16)&gt;0,IF(INDEX(Product_Pricing_Table[],MATCH(CS$1,Products,0),2)="Cores",IF(HostBuild[Use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6" s="552">
        <f>IFERROR(IF(FIND(CT$1,$W16)&gt;0,IF(INDEX(Product_Pricing_Table[],MATCH(CT$1,Products,0),2)="Cores",IF(HostBuild[Use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6" s="552">
        <f>IFERROR(IF(FIND(CU$1,$W16)&gt;0,IF(INDEX(Product_Pricing_Table[],MATCH(CU$1,Products,0),2)="Cores",IF(HostBuild[Use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6" s="552">
        <f>IFERROR(IF(FIND(CV$1,$W16)&gt;0,IF(INDEX(Product_Pricing_Table[],MATCH(CV$1,Products,0),2)="Cores",IF(HostBuild[Use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6" s="552">
        <f>IFERROR(IF(FIND(CW$1,$W16)&gt;0,IF(INDEX(Product_Pricing_Table[],MATCH(CW$1,Products,0),2)="Cores",IF(HostBuild[Use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6" s="552">
        <f>IFERROR(IF(FIND(CX$1,$W16)&gt;0,IF(INDEX(Product_Pricing_Table[],MATCH(CX$1,Products,0),2)="Cores",IF(HostBuild[Use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6" s="552">
        <f>IFERROR(IF(FIND(CY$1,$W16)&gt;0,IF(INDEX(Product_Pricing_Table[],MATCH(CY$1,Products,0),2)="Cores",IF(HostBuild[Use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6" s="552">
        <f>IFERROR(IF(FIND(CZ$1,$W16)&gt;0,IF(INDEX(Product_Pricing_Table[],MATCH(CZ$1,Products,0),2)="Cores",IF(HostBuild[Use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6" s="552">
        <f>IFERROR(IF(FIND(DA$1,$W16)&gt;0,IF(INDEX(Product_Pricing_Table[],MATCH(DA$1,Products,0),2)="Cores",IF(HostBuild[Use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6" s="552">
        <f>IFERROR(IF(FIND(DB$1,$W16)&gt;0,IF(INDEX(Product_Pricing_Table[],MATCH(DB$1,Products,0),2)="Cores",IF(HostBuild[Use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6" s="552">
        <f>IFERROR(IF(FIND(DC$1,$W16)&gt;0,IF(INDEX(Product_Pricing_Table[],MATCH(DC$1,Products,0),2)="Cores",IF(HostBuild[Use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6" s="552">
        <f>IFERROR(IF(FIND(DD$1,$W16)&gt;0,IF(INDEX(Product_Pricing_Table[],MATCH(DD$1,Products,0),2)="Cores",IF(HostBuild[Use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6" s="552">
        <f>IFERROR(IF(FIND(DE$1,$W16)&gt;0,IF(INDEX(Product_Pricing_Table[],MATCH(DE$1,Products,0),2)="Cores",IF(HostBuild[Use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6" s="553">
        <f>IFERROR(IF(FIND(DF$1,$W16)&gt;0,IF(INDEX(Product_Pricing_Table[],MATCH(DF$1,Products,0),2)="Cores",IF(HostBuild[Use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6" s="553">
        <f>IFERROR(IF(FIND(DG$1,$W16)&gt;0,IF(INDEX(Product_Pricing_Table[],MATCH(DG$1,Products,0),2)="Cores",IF(HostBuild[Use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6" s="552">
        <f>IFERROR(IF(FIND(DH$1,$W16)&gt;0,IF(INDEX(Product_Pricing_Table[],MATCH(DH$1,Products,0),2)="Cores",IF(HostBuild[Use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6" s="553">
        <f>IFERROR(IF(FIND(DI$1,$W16)&gt;0,IF(INDEX(Product_Pricing_Table[],MATCH(DI$1,Products,0),2)="Cores",IF(HostBuild[Use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6" s="552">
        <f>IFERROR(IF(FIND(DJ$1,$W16)&gt;0,IF(INDEX(Product_Pricing_Table[],MATCH(DJ$1,Products,0),2)="Cores",IF(HostBuild[Use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6" s="552">
        <f>IFERROR(IF(FIND(DK$1,$W16)&gt;0,IF(INDEX(Product_Pricing_Table[],MATCH(DK$1,Products,0),2)="Cores",IF(HostBuild[Use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6" s="552">
        <f>IFERROR(IF(FIND(DL$1,$W16)&gt;0,IF(INDEX(Product_Pricing_Table[],MATCH(DL$1,Products,0),2)="Cores",IF(HostBuild[Use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6" s="552">
        <f>IFERROR(IF(FIND(DM$1,$W16)&gt;0,IF(INDEX(Product_Pricing_Table[],MATCH(DM$1,Products,0),2)="Cores",IF(HostBuild[Use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6" s="552">
        <f>IFERROR(IF(FIND(DN$1,$W16)&gt;0,IF(INDEX(Product_Pricing_Table[],MATCH(DN$1,Products,0),2)="Cores",IF(HostBuild[Use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6" s="552">
        <f>IFERROR(IF(FIND(DO$1,$W16)&gt;0,IF(INDEX(Product_Pricing_Table[],MATCH(DO$1,Products,0),2)="Cores",IF(HostBuild[Use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6" s="552">
        <f>IFERROR(IF(FIND(DP$1,$W16)&gt;0,IF(INDEX(Product_Pricing_Table[],MATCH(DP$1,Products,0),2)="Cores",IF(HostBuild[Use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6" s="552">
        <f>IFERROR(IF(FIND(DQ$1,$W16)&gt;0,IF(INDEX(Product_Pricing_Table[],MATCH(DQ$1,Products,0),2)="Cores",IF(HostBuild[Use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6" s="552">
        <f>IFERROR(IF(FIND(DR$1,$W16)&gt;0,IF(INDEX(Product_Pricing_Table[],MATCH(DR$1,Products,0),2)="Cores",IF(HostBuild[Use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6" s="552">
        <f>IFERROR(IF(FIND(DS$1,$W16)&gt;0,IF(INDEX(Product_Pricing_Table[],MATCH(DS$1,Products,0),2)="Cores",IF(HostBuild[Use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6" s="552">
        <f>IFERROR(IF(FIND(DT$1,$W16)&gt;0,IF(INDEX(Product_Pricing_Table[],MATCH(DT$1,Products,0),2)="Cores",IF(HostBuild[Use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6" s="552">
        <f>IFERROR(IF(FIND(DU$1,$W16)&gt;0,IF(INDEX(Product_Pricing_Table[],MATCH(DU$1,Products,0),2)="Cores",IF(HostBuild[Use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6" s="552">
        <f>IFERROR(IF(FIND(DV$1,$W16)&gt;0,IF(INDEX(Product_Pricing_Table[],MATCH(DV$1,Products,0),2)="Cores",IF(HostBuild[Use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6" s="552">
        <f>IFERROR(IF(FIND(DW$1,$W16)&gt;0,IF(INDEX(Product_Pricing_Table[],MATCH(DW$1,Products,0),2)="Cores",IF(HostBuild[Use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6" s="552">
        <f>IFERROR(IF(FIND(DX$1,$W16)&gt;0,IF(INDEX(Product_Pricing_Table[],MATCH(DX$1,Products,0),2)="Cores",IF(HostBuild[Use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6" s="552">
        <f>IFERROR(IF(FIND(DY$1,$W16)&gt;0,IF(INDEX(Product_Pricing_Table[],MATCH(DY$1,Products,0),2)="Cores",IF(HostBuild[Use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6" s="552">
        <f>IFERROR(IF(FIND(DZ$1,$W16)&gt;0,IF(INDEX(Product_Pricing_Table[],MATCH(DZ$1,Products,0),2)="Cores",IF(HostBuild[Use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6" s="552">
        <f>IFERROR(IF(FIND(EA$1,$W16)&gt;0,IF(INDEX(Product_Pricing_Table[],MATCH(EA$1,Products,0),2)="Cores",IF(HostBuild[Use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6" s="552">
        <f>IFERROR(IF(FIND(EB$1,$W16)&gt;0,IF(INDEX(Product_Pricing_Table[],MATCH(EB$1,Products,0),2)="Cores",IF(HostBuild[Use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6" s="553">
        <f>IFERROR(IF(FIND(EC$1,$W16)&gt;0,IF(INDEX(Product_Pricing_Table[],MATCH(EC$1,Products,0),2)="Cores",IF(HostBuild[Use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6" s="552">
        <f>IFERROR(IF(FIND(ED$1,$W16)&gt;0,IF(INDEX(Product_Pricing_Table[],MATCH(ED$1,Products,0),2)="Cores",IF(HostBuild[Use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6" s="552">
        <f>IFERROR(IF(FIND(EE$1,$W16)&gt;0,IF(INDEX(Product_Pricing_Table[],MATCH(EE$1,Products,0),2)="Cores",IF(HostBuild[Use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6" s="552">
        <f>IFERROR(IF(FIND(EF$1,$W16)&gt;0,IF(INDEX(Product_Pricing_Table[],MATCH(EF$1,Products,0),2)="Cores",IF(HostBuild[Use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6" s="552">
        <f>IFERROR(IF(FIND(EG$1,$W16)&gt;0,IF(INDEX(Product_Pricing_Table[],MATCH(EG$1,Products,0),2)="Cores",IF(HostBuild[Use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6" s="552">
        <f>IFERROR(IF(FIND(EH$1,$W16)&gt;0,IF(INDEX(Product_Pricing_Table[],MATCH(EH$1,Products,0),2)="Cores",IF(HostBuild[Use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6" s="552">
        <f>IFERROR(IF(FIND(EI$1,$W16)&gt;0,IF(INDEX(Product_Pricing_Table[],MATCH(EI$1,Products,0),2)="Cores",IF(HostBuild[Use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6" s="552">
        <f>IFERROR(IF(FIND(EJ$1,$W16)&gt;0,IF(INDEX(Product_Pricing_Table[],MATCH(EJ$1,Products,0),2)="Cores",IF(HostBuild[Use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6" s="553">
        <f>IFERROR(IF(FIND(EK$1,$W16)&gt;0,IF(INDEX(Product_Pricing_Table[],MATCH(EK$1,Products,0),2)="Cores",IF(HostBuild[Use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6" s="554"/>
      <c r="EM16" s="555"/>
      <c r="EN16" s="556"/>
      <c r="EO16"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6" s="558">
        <f>(HostBuild[Archive
Full (GB)]+HostBuild[Archive
Incr (GB)])*Storage_DC_Dist_Tape_2014</f>
        <v>33.910624999999996</v>
      </c>
      <c r="ER16" s="558">
        <f>IF(ISNUMBER(HostBuild[Server HW Costs
(Monthly)]),SUM(HostBuild[[#This Row],[Server HW Costs
(Monthly)]:[Tape Costs
(Monthly)]]),0)</f>
        <v>1398.400625</v>
      </c>
      <c r="ES16" s="559">
        <f>HostBuild[Software Costs
'[Year 1']
(Monthly)]+HostBuild[Total Hardware Costs
(Monthly)]</f>
        <v>1398.400625</v>
      </c>
      <c r="ET16" s="559">
        <f>IFERROR(IF(FIND("Safenet",HostBuild[Server Model]),Safenet_PSE_PL600_Maint,0),0)+IFERROR(IF(FIND("XI52",HostBuild[Server Model]),IBM_DIA_XI52_Maint,0),0)+HostBuild[Software Costs
'[After Year 1']
(Monthly)]+HostBuild[Total Hardware Costs
(Monthly)]</f>
        <v>1398.400625</v>
      </c>
      <c r="EU16" s="560">
        <f>SUM(HostBuild[[#This Row],[Server Cost Breakdown]:[Network Cost]])</f>
        <v>1003.9</v>
      </c>
      <c r="EV16" s="561">
        <f>IF(HostBuild[Existing Server?]="Yes - Inside this BoM",0,SUMIF(HostBuild[Alias],HostBuild[Alias],HostBuild[CPU])+SUMIF(HostBuild[Alias],HostBuild[Alias],HostBuild[Existing CPUs]))</f>
        <v>2</v>
      </c>
      <c r="EW16" s="561">
        <f>IF(HostBuild[Existing Server?]="Yes - Inside this BoM",0,SUMIF(HostBuild[Alias],HostBuild[Alias],HostBuild[Cores 
(Licensed Units)])+SUMIF(HostBuild[Alias],HostBuild[Alias],HostBuild[Existing Cores]))</f>
        <v>16</v>
      </c>
      <c r="EX16" s="561">
        <f>IF(HostBuild[Existing Server?]="Yes - Inside this BoM",0,SUMIF(HostBuild[Alias],HostBuild[Alias],HostBuild[RAM 
(GB)])+SUMIF(HostBuild[Alias],HostBuild[Alias],HostBuild[Existing RAM (GB)]))</f>
        <v>256</v>
      </c>
      <c r="EY1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6" s="560">
        <f>IF(ISBLANK(HostBuild[Server Model]),0,IF(HostBuild[Server Tier]="VMware",0,VLOOKUP(HostBuild[Server Tier],ServerTierRates[#Data],2,0))*HostBuild[CPU]*IF(AND(HostBuild[Server Type]="pSeries",HostBuild[Virtual Platform Storage Type]="Cloud-SAN"),0.25,1))</f>
        <v>608</v>
      </c>
      <c r="FD16" s="560">
        <f>0</f>
        <v>0</v>
      </c>
      <c r="FE16" s="560">
        <f>IF(HostBuild[Server Type]="VMware",HostBuild[RAM 
(GB)]*IF(ISERROR(FIND("DevCloud", HostBuild[Server Model])&gt;0),vRAM_per_vCPU_2014_Monthly,vRAM_per_vCPU_2014_Daily*30),0)</f>
        <v>0</v>
      </c>
      <c r="FF1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6" s="563">
        <f>IF(HostBuild[Server Tier]="VMware",0,IF(LEFT(HostBuild[Existing Server?],3)="Yes",0,IF(OR(HostBuild[Server Type]="Sun",HostBuild[Server Type]="pSeries"),Support_Direct_Server_Sun_per_OS_2014,IF(HostBuild[Server Type]="x86",Support_Direct_Server_x86_Wintel_per_OS_2014,0))))</f>
        <v>187.1</v>
      </c>
      <c r="FI1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7" spans="1:165">
      <c r="A17" s="360" t="s">
        <v>3942</v>
      </c>
      <c r="B17" s="521"/>
      <c r="C17" s="521"/>
      <c r="D17" s="521"/>
      <c r="E17" s="522"/>
      <c r="F17" s="522"/>
      <c r="G17" s="597"/>
      <c r="H17" s="597"/>
      <c r="I17" s="523"/>
      <c r="J17" s="522"/>
      <c r="K17" s="522"/>
      <c r="L17" s="522"/>
      <c r="M17" s="597" t="e">
        <f ca="1">IF(rngIsDate(HostBuild[CTO Acceptance]),"Y","N")</f>
        <v>#NAME?</v>
      </c>
      <c r="N17" s="361" t="s">
        <v>3938</v>
      </c>
      <c r="O17" s="525"/>
      <c r="P17" s="525"/>
      <c r="Q17" s="361" t="s">
        <v>79</v>
      </c>
      <c r="R17" s="526" t="str">
        <f>IF(NOT(ISBLANK(HostBuild[Env Label])),IFERROR(VLOOKUP(HostBuild[Env Label],tEnv[],3,FALSE),""),"")</f>
        <v>PROD</v>
      </c>
      <c r="S17" s="598"/>
      <c r="T17" s="527"/>
      <c r="U17" s="599"/>
      <c r="V17" s="524" t="s">
        <v>4006</v>
      </c>
      <c r="W17" s="524" t="s">
        <v>3941</v>
      </c>
      <c r="X17" s="524" t="s">
        <v>35</v>
      </c>
      <c r="Y17" s="361" t="s">
        <v>481</v>
      </c>
      <c r="Z17" s="526" t="str">
        <f>IF(NOT(ISBLANK(HostBuild[[#This Row],[Product 
(Acronym)]])),CONCATENATE(HostBuild[[#This Row],[Type]],"-",HostBuild[[#This Row],[Product 
(Acronym)]]),"")</f>
        <v>AP-ESB</v>
      </c>
      <c r="AA17" s="600"/>
      <c r="AB17" s="600" t="s">
        <v>105</v>
      </c>
      <c r="AC17" s="528"/>
      <c r="AD17" s="529"/>
      <c r="AE17" s="529"/>
      <c r="AF17" s="530"/>
      <c r="AG17" s="531"/>
      <c r="AH17" s="601"/>
      <c r="AI17" s="362" t="s">
        <v>3950</v>
      </c>
      <c r="AJ17" s="524">
        <f>IF(COUNTIF(HostBuild[Alias],HostBuild[Alias]),1/COUNTIF(HostBuild[Alias],HostBuild[Alias]),0)</f>
        <v>1</v>
      </c>
      <c r="AK17" s="531"/>
      <c r="AL17" s="531"/>
      <c r="AM17" s="532" t="s">
        <v>2173</v>
      </c>
      <c r="AN17" s="533" t="str">
        <f>IF(NOT(ISBLANK(HostBuild[Server Model])),VLOOKUP(HostBuild[Server Model],ServerModelsTier[],2,FALSE),"")</f>
        <v>x86 Tier 3</v>
      </c>
      <c r="AO17" s="533" t="str">
        <f>IF(NOT(ISBLANK(HostBuild[Server Model])),VLOOKUP(HostBuild[Server Model],ServerModelsTier[],5,FALSE),"")</f>
        <v>x86</v>
      </c>
      <c r="AP17" s="532"/>
      <c r="AQ17" s="532" t="s">
        <v>2337</v>
      </c>
      <c r="AR17" s="534">
        <v>2</v>
      </c>
      <c r="AS17" s="602"/>
      <c r="AT17" s="535">
        <v>16</v>
      </c>
      <c r="AU17" s="603" t="str">
        <f>IF(IFERROR(FIND("P-Series",HostBuild[Server Tier]),0),CEILING((HostBuild[Existing CPUs]+HostBuild[CPU])*16,8),"")</f>
        <v/>
      </c>
      <c r="AV17" s="536">
        <v>256</v>
      </c>
      <c r="AW17" s="531"/>
      <c r="AX17" s="531"/>
      <c r="AY17" s="531"/>
      <c r="AZ17" s="537"/>
      <c r="BA17" s="531"/>
      <c r="BB17" s="531"/>
      <c r="BC17" s="529"/>
      <c r="BD17" s="531"/>
      <c r="BE17" s="531"/>
      <c r="BF17" s="531"/>
      <c r="BG17" s="531"/>
      <c r="BH17" s="531"/>
      <c r="BI17" s="531"/>
      <c r="BJ17" s="531"/>
      <c r="BK17"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7" s="538"/>
      <c r="BM17" s="540">
        <f>IF(ISNUMBER(HostBuild[Recommended SAN (GB)]),HostBuild[Recommended SAN (GB)])+IF(HostBuild[Additional SAN (GB)]&gt;0,CEILING(HostBuild[Additional SAN (GB)],LUN),-(CEILING(-HostBuild[Additional SAN (GB)],LUN)))</f>
        <v>337</v>
      </c>
      <c r="BN17" s="539"/>
      <c r="BO17" s="540">
        <f>HostBuild[SAN (GB)
NEEDED TODAY]+CEILING(HostBuild[SAN (GB)
RESERVED
DO NOT USE TO BUILD], LUN)</f>
        <v>337</v>
      </c>
      <c r="BP17" s="541"/>
      <c r="BQ17" s="542"/>
      <c r="BR17" s="432" t="s">
        <v>106</v>
      </c>
      <c r="BS17" s="605">
        <f>IF(HostBuild[Existing Server?]&lt;&gt;"Yes - Inside this BoM",IF(ISNUMBER(HostBuild[RAM 
(GB)]),IF(HostBuild[Existing RAM (GB)]+HostBuild[RAM 
(GB)]&gt;0,IF(HostBuild[Virtual Platform Storage Type]="NAS",110+HostBuild[Existing RAM (GB)]+HostBuild[RAM 
(GB)]*1.75,0),0),0),0)</f>
        <v>0</v>
      </c>
      <c r="BT17" s="606"/>
      <c r="BU17" s="607">
        <f>IF(ISNUMBER(HostBuild[Recommended NAS (GB)]),HostBuild[Recommended NAS (GB)])+HostBuild[Additional NAS (GB)]</f>
        <v>0</v>
      </c>
      <c r="BV17" s="543"/>
      <c r="BW17" s="543"/>
      <c r="BX17" s="604">
        <f>IFERROR((HostBuild[SAN (GB)
End-State
DO NOT USE TO BUILD]+HostBuild[SAN (GB) Shared])*25%,"")</f>
        <v>84.25</v>
      </c>
      <c r="BY17" s="608">
        <f>IFERROR(HostBuild[Archive
Full (GB)]*15%,"")</f>
        <v>12.637499999999999</v>
      </c>
      <c r="BZ17" s="544"/>
      <c r="CA17" s="544"/>
      <c r="CB17" s="545"/>
      <c r="CC17" s="546"/>
      <c r="CD17" s="545"/>
      <c r="CE17" s="547"/>
      <c r="CF17" s="539"/>
      <c r="CG17" s="609"/>
      <c r="CH17" s="548"/>
      <c r="CI17" s="549"/>
      <c r="CJ17" s="550" t="s">
        <v>4128</v>
      </c>
      <c r="CK17" s="551"/>
      <c r="CL17" s="552">
        <f>IFERROR(IF(FIND(CL$1,$W17)&gt;0,IF(INDEX(Product_Pricing_Table[],MATCH(CL$1,Products,0),2)="Cores",IF(HostBuild[Use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7" s="552">
        <f>IFERROR(IF(FIND(CM$1,$W17)&gt;0,IF(INDEX(Product_Pricing_Table[],MATCH(CM$1,Products,0),2)="Cores",IF(HostBuild[Use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7" s="552">
        <f>IFERROR(IF(FIND(CN$1,$W17)&gt;0,IF(INDEX(Product_Pricing_Table[],MATCH(CN$1,Products,0),2)="Cores",IF(HostBuild[Use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7" s="552">
        <f>IFERROR(IF(FIND(CO$1,$W17)&gt;0,IF(INDEX(Product_Pricing_Table[],MATCH(CO$1,Products,0),2)="Cores",IF(HostBuild[Use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7" s="552">
        <f>IFERROR(IF(FIND(CP$1,$W17)&gt;0,IF(INDEX(Product_Pricing_Table[],MATCH(CP$1,Products,0),2)="Cores",IF(HostBuild[Use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7" s="552">
        <f>IFERROR(IF(FIND(CQ$1,$W17)&gt;0,IF(INDEX(Product_Pricing_Table[],MATCH(CQ$1,Products,0),2)="Cores",IF(HostBuild[Use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7" s="552">
        <f>IFERROR(IF(FIND(CR$1,$W17)&gt;0,IF(INDEX(Product_Pricing_Table[],MATCH(CR$1,Products,0),2)="Cores",IF(HostBuild[Use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7" s="552">
        <f>IFERROR(IF(FIND(CS$1,$W17)&gt;0,IF(INDEX(Product_Pricing_Table[],MATCH(CS$1,Products,0),2)="Cores",IF(HostBuild[Use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7" s="552">
        <f>IFERROR(IF(FIND(CT$1,$W17)&gt;0,IF(INDEX(Product_Pricing_Table[],MATCH(CT$1,Products,0),2)="Cores",IF(HostBuild[Use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7" s="552">
        <f>IFERROR(IF(FIND(CU$1,$W17)&gt;0,IF(INDEX(Product_Pricing_Table[],MATCH(CU$1,Products,0),2)="Cores",IF(HostBuild[Use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7" s="552">
        <f>IFERROR(IF(FIND(CV$1,$W17)&gt;0,IF(INDEX(Product_Pricing_Table[],MATCH(CV$1,Products,0),2)="Cores",IF(HostBuild[Use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7" s="552">
        <f>IFERROR(IF(FIND(CW$1,$W17)&gt;0,IF(INDEX(Product_Pricing_Table[],MATCH(CW$1,Products,0),2)="Cores",IF(HostBuild[Use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7" s="552">
        <f>IFERROR(IF(FIND(CX$1,$W17)&gt;0,IF(INDEX(Product_Pricing_Table[],MATCH(CX$1,Products,0),2)="Cores",IF(HostBuild[Use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7" s="552">
        <f>IFERROR(IF(FIND(CY$1,$W17)&gt;0,IF(INDEX(Product_Pricing_Table[],MATCH(CY$1,Products,0),2)="Cores",IF(HostBuild[Use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7" s="552">
        <f>IFERROR(IF(FIND(CZ$1,$W17)&gt;0,IF(INDEX(Product_Pricing_Table[],MATCH(CZ$1,Products,0),2)="Cores",IF(HostBuild[Use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7" s="552">
        <f>IFERROR(IF(FIND(DA$1,$W17)&gt;0,IF(INDEX(Product_Pricing_Table[],MATCH(DA$1,Products,0),2)="Cores",IF(HostBuild[Use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7" s="552">
        <f>IFERROR(IF(FIND(DB$1,$W17)&gt;0,IF(INDEX(Product_Pricing_Table[],MATCH(DB$1,Products,0),2)="Cores",IF(HostBuild[Use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7" s="552">
        <f>IFERROR(IF(FIND(DC$1,$W17)&gt;0,IF(INDEX(Product_Pricing_Table[],MATCH(DC$1,Products,0),2)="Cores",IF(HostBuild[Use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7" s="552">
        <f>IFERROR(IF(FIND(DD$1,$W17)&gt;0,IF(INDEX(Product_Pricing_Table[],MATCH(DD$1,Products,0),2)="Cores",IF(HostBuild[Use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7" s="552">
        <f>IFERROR(IF(FIND(DE$1,$W17)&gt;0,IF(INDEX(Product_Pricing_Table[],MATCH(DE$1,Products,0),2)="Cores",IF(HostBuild[Use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7" s="553">
        <f>IFERROR(IF(FIND(DF$1,$W17)&gt;0,IF(INDEX(Product_Pricing_Table[],MATCH(DF$1,Products,0),2)="Cores",IF(HostBuild[Use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7" s="553">
        <f>IFERROR(IF(FIND(DG$1,$W17)&gt;0,IF(INDEX(Product_Pricing_Table[],MATCH(DG$1,Products,0),2)="Cores",IF(HostBuild[Use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7" s="552">
        <f>IFERROR(IF(FIND(DH$1,$W17)&gt;0,IF(INDEX(Product_Pricing_Table[],MATCH(DH$1,Products,0),2)="Cores",IF(HostBuild[Use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7" s="553">
        <f>IFERROR(IF(FIND(DI$1,$W17)&gt;0,IF(INDEX(Product_Pricing_Table[],MATCH(DI$1,Products,0),2)="Cores",IF(HostBuild[Use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7" s="552">
        <f>IFERROR(IF(FIND(DJ$1,$W17)&gt;0,IF(INDEX(Product_Pricing_Table[],MATCH(DJ$1,Products,0),2)="Cores",IF(HostBuild[Use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7" s="552">
        <f>IFERROR(IF(FIND(DK$1,$W17)&gt;0,IF(INDEX(Product_Pricing_Table[],MATCH(DK$1,Products,0),2)="Cores",IF(HostBuild[Use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7" s="552">
        <f>IFERROR(IF(FIND(DL$1,$W17)&gt;0,IF(INDEX(Product_Pricing_Table[],MATCH(DL$1,Products,0),2)="Cores",IF(HostBuild[Use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7" s="552">
        <f>IFERROR(IF(FIND(DM$1,$W17)&gt;0,IF(INDEX(Product_Pricing_Table[],MATCH(DM$1,Products,0),2)="Cores",IF(HostBuild[Use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7" s="552">
        <f>IFERROR(IF(FIND(DN$1,$W17)&gt;0,IF(INDEX(Product_Pricing_Table[],MATCH(DN$1,Products,0),2)="Cores",IF(HostBuild[Use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7" s="552">
        <f>IFERROR(IF(FIND(DO$1,$W17)&gt;0,IF(INDEX(Product_Pricing_Table[],MATCH(DO$1,Products,0),2)="Cores",IF(HostBuild[Use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7" s="552">
        <f>IFERROR(IF(FIND(DP$1,$W17)&gt;0,IF(INDEX(Product_Pricing_Table[],MATCH(DP$1,Products,0),2)="Cores",IF(HostBuild[Use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7" s="552">
        <f>IFERROR(IF(FIND(DQ$1,$W17)&gt;0,IF(INDEX(Product_Pricing_Table[],MATCH(DQ$1,Products,0),2)="Cores",IF(HostBuild[Use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7" s="552">
        <f>IFERROR(IF(FIND(DR$1,$W17)&gt;0,IF(INDEX(Product_Pricing_Table[],MATCH(DR$1,Products,0),2)="Cores",IF(HostBuild[Use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7" s="552">
        <f>IFERROR(IF(FIND(DS$1,$W17)&gt;0,IF(INDEX(Product_Pricing_Table[],MATCH(DS$1,Products,0),2)="Cores",IF(HostBuild[Use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7" s="552">
        <f>IFERROR(IF(FIND(DT$1,$W17)&gt;0,IF(INDEX(Product_Pricing_Table[],MATCH(DT$1,Products,0),2)="Cores",IF(HostBuild[Use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7" s="552">
        <f>IFERROR(IF(FIND(DU$1,$W17)&gt;0,IF(INDEX(Product_Pricing_Table[],MATCH(DU$1,Products,0),2)="Cores",IF(HostBuild[Use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7" s="552">
        <f>IFERROR(IF(FIND(DV$1,$W17)&gt;0,IF(INDEX(Product_Pricing_Table[],MATCH(DV$1,Products,0),2)="Cores",IF(HostBuild[Use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7" s="552">
        <f>IFERROR(IF(FIND(DW$1,$W17)&gt;0,IF(INDEX(Product_Pricing_Table[],MATCH(DW$1,Products,0),2)="Cores",IF(HostBuild[Use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7" s="552">
        <f>IFERROR(IF(FIND(DX$1,$W17)&gt;0,IF(INDEX(Product_Pricing_Table[],MATCH(DX$1,Products,0),2)="Cores",IF(HostBuild[Use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7" s="552">
        <f>IFERROR(IF(FIND(DY$1,$W17)&gt;0,IF(INDEX(Product_Pricing_Table[],MATCH(DY$1,Products,0),2)="Cores",IF(HostBuild[Use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7" s="552">
        <f>IFERROR(IF(FIND(DZ$1,$W17)&gt;0,IF(INDEX(Product_Pricing_Table[],MATCH(DZ$1,Products,0),2)="Cores",IF(HostBuild[Use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7" s="552">
        <f>IFERROR(IF(FIND(EA$1,$W17)&gt;0,IF(INDEX(Product_Pricing_Table[],MATCH(EA$1,Products,0),2)="Cores",IF(HostBuild[Use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7" s="552">
        <f>IFERROR(IF(FIND(EB$1,$W17)&gt;0,IF(INDEX(Product_Pricing_Table[],MATCH(EB$1,Products,0),2)="Cores",IF(HostBuild[Use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7" s="553">
        <f>IFERROR(IF(FIND(EC$1,$W17)&gt;0,IF(INDEX(Product_Pricing_Table[],MATCH(EC$1,Products,0),2)="Cores",IF(HostBuild[Use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7" s="552">
        <f>IFERROR(IF(FIND(ED$1,$W17)&gt;0,IF(INDEX(Product_Pricing_Table[],MATCH(ED$1,Products,0),2)="Cores",IF(HostBuild[Use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7" s="552">
        <f>IFERROR(IF(FIND(EE$1,$W17)&gt;0,IF(INDEX(Product_Pricing_Table[],MATCH(EE$1,Products,0),2)="Cores",IF(HostBuild[Use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7" s="552">
        <f>IFERROR(IF(FIND(EF$1,$W17)&gt;0,IF(INDEX(Product_Pricing_Table[],MATCH(EF$1,Products,0),2)="Cores",IF(HostBuild[Use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7" s="552">
        <f>IFERROR(IF(FIND(EG$1,$W17)&gt;0,IF(INDEX(Product_Pricing_Table[],MATCH(EG$1,Products,0),2)="Cores",IF(HostBuild[Use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7" s="552">
        <f>IFERROR(IF(FIND(EH$1,$W17)&gt;0,IF(INDEX(Product_Pricing_Table[],MATCH(EH$1,Products,0),2)="Cores",IF(HostBuild[Use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7" s="552">
        <f>IFERROR(IF(FIND(EI$1,$W17)&gt;0,IF(INDEX(Product_Pricing_Table[],MATCH(EI$1,Products,0),2)="Cores",IF(HostBuild[Use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7" s="552">
        <f>IFERROR(IF(FIND(EJ$1,$W17)&gt;0,IF(INDEX(Product_Pricing_Table[],MATCH(EJ$1,Products,0),2)="Cores",IF(HostBuild[Use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7" s="553">
        <f>IFERROR(IF(FIND(EK$1,$W17)&gt;0,IF(INDEX(Product_Pricing_Table[],MATCH(EK$1,Products,0),2)="Cores",IF(HostBuild[Use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7" s="554"/>
      <c r="EM17" s="555"/>
      <c r="EN17" s="556"/>
      <c r="EO17"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7" s="558">
        <f>(HostBuild[Archive
Full (GB)]+HostBuild[Archive
Incr (GB)])*Storage_DC_Dist_Tape_2014</f>
        <v>33.910624999999996</v>
      </c>
      <c r="ER17" s="558">
        <f>IF(ISNUMBER(HostBuild[Server HW Costs
(Monthly)]),SUM(HostBuild[[#This Row],[Server HW Costs
(Monthly)]:[Tape Costs
(Monthly)]]),0)</f>
        <v>1398.400625</v>
      </c>
      <c r="ES17" s="559">
        <f>HostBuild[Software Costs
'[Year 1']
(Monthly)]+HostBuild[Total Hardware Costs
(Monthly)]</f>
        <v>1398.400625</v>
      </c>
      <c r="ET17" s="559">
        <f>IFERROR(IF(FIND("Safenet",HostBuild[Server Model]),Safenet_PSE_PL600_Maint,0),0)+IFERROR(IF(FIND("XI52",HostBuild[Server Model]),IBM_DIA_XI52_Maint,0),0)+HostBuild[Software Costs
'[After Year 1']
(Monthly)]+HostBuild[Total Hardware Costs
(Monthly)]</f>
        <v>1398.400625</v>
      </c>
      <c r="EU17" s="560">
        <f>SUM(HostBuild[[#This Row],[Server Cost Breakdown]:[Network Cost]])</f>
        <v>1003.9</v>
      </c>
      <c r="EV17" s="561">
        <f>IF(HostBuild[Existing Server?]="Yes - Inside this BoM",0,SUMIF(HostBuild[Alias],HostBuild[Alias],HostBuild[CPU])+SUMIF(HostBuild[Alias],HostBuild[Alias],HostBuild[Existing CPUs]))</f>
        <v>2</v>
      </c>
      <c r="EW17" s="561">
        <f>IF(HostBuild[Existing Server?]="Yes - Inside this BoM",0,SUMIF(HostBuild[Alias],HostBuild[Alias],HostBuild[Cores 
(Licensed Units)])+SUMIF(HostBuild[Alias],HostBuild[Alias],HostBuild[Existing Cores]))</f>
        <v>16</v>
      </c>
      <c r="EX17" s="561">
        <f>IF(HostBuild[Existing Server?]="Yes - Inside this BoM",0,SUMIF(HostBuild[Alias],HostBuild[Alias],HostBuild[RAM 
(GB)])+SUMIF(HostBuild[Alias],HostBuild[Alias],HostBuild[Existing RAM (GB)]))</f>
        <v>256</v>
      </c>
      <c r="EY1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7" s="560">
        <f>IF(ISBLANK(HostBuild[Server Model]),0,IF(HostBuild[Server Tier]="VMware",0,VLOOKUP(HostBuild[Server Tier],ServerTierRates[#Data],2,0))*HostBuild[CPU]*IF(AND(HostBuild[Server Type]="pSeries",HostBuild[Virtual Platform Storage Type]="Cloud-SAN"),0.25,1))</f>
        <v>608</v>
      </c>
      <c r="FD17" s="560">
        <f>0</f>
        <v>0</v>
      </c>
      <c r="FE17" s="560">
        <f>IF(HostBuild[Server Type]="VMware",HostBuild[RAM 
(GB)]*IF(ISERROR(FIND("DevCloud", HostBuild[Server Model])&gt;0),vRAM_per_vCPU_2014_Monthly,vRAM_per_vCPU_2014_Daily*30),0)</f>
        <v>0</v>
      </c>
      <c r="FF1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7" s="563">
        <f>IF(HostBuild[Server Tier]="VMware",0,IF(LEFT(HostBuild[Existing Server?],3)="Yes",0,IF(OR(HostBuild[Server Type]="Sun",HostBuild[Server Type]="pSeries"),Support_Direct_Server_Sun_per_OS_2014,IF(HostBuild[Server Type]="x86",Support_Direct_Server_x86_Wintel_per_OS_2014,0))))</f>
        <v>187.1</v>
      </c>
      <c r="FI1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8" spans="1:165" s="139" customFormat="1">
      <c r="A18" s="360" t="s">
        <v>3942</v>
      </c>
      <c r="B18" s="521"/>
      <c r="C18" s="521"/>
      <c r="D18" s="521"/>
      <c r="E18" s="522"/>
      <c r="F18" s="522"/>
      <c r="G18" s="597"/>
      <c r="H18" s="597"/>
      <c r="I18" s="523"/>
      <c r="J18" s="522"/>
      <c r="K18" s="522"/>
      <c r="L18" s="522"/>
      <c r="M18" s="597" t="e">
        <f ca="1">IF(rngIsDate(HostBuild[CTO Acceptance]),"Y","N")</f>
        <v>#NAME?</v>
      </c>
      <c r="N18" s="361" t="s">
        <v>3938</v>
      </c>
      <c r="O18" s="525"/>
      <c r="P18" s="525"/>
      <c r="Q18" s="361" t="s">
        <v>79</v>
      </c>
      <c r="R18" s="526" t="str">
        <f>IF(NOT(ISBLANK(HostBuild[Env Label])),IFERROR(VLOOKUP(HostBuild[Env Label],tEnv[],3,FALSE),""),"")</f>
        <v>PROD</v>
      </c>
      <c r="S18" s="598"/>
      <c r="T18" s="527"/>
      <c r="U18" s="599"/>
      <c r="V18" s="524" t="s">
        <v>4006</v>
      </c>
      <c r="W18" s="524" t="s">
        <v>3941</v>
      </c>
      <c r="X18" s="524" t="s">
        <v>35</v>
      </c>
      <c r="Y18" s="361" t="s">
        <v>481</v>
      </c>
      <c r="Z18" s="526" t="str">
        <f>IF(NOT(ISBLANK(HostBuild[[#This Row],[Product 
(Acronym)]])),CONCATENATE(HostBuild[[#This Row],[Type]],"-",HostBuild[[#This Row],[Product 
(Acronym)]]),"")</f>
        <v>AP-ESB</v>
      </c>
      <c r="AA18" s="600"/>
      <c r="AB18" s="600" t="s">
        <v>105</v>
      </c>
      <c r="AC18" s="528"/>
      <c r="AD18" s="529"/>
      <c r="AE18" s="529"/>
      <c r="AF18" s="530"/>
      <c r="AG18" s="531"/>
      <c r="AH18" s="601"/>
      <c r="AI18" s="362" t="s">
        <v>3951</v>
      </c>
      <c r="AJ18" s="524">
        <f>IF(COUNTIF(HostBuild[Alias],HostBuild[Alias]),1/COUNTIF(HostBuild[Alias],HostBuild[Alias]),0)</f>
        <v>1</v>
      </c>
      <c r="AK18" s="531"/>
      <c r="AL18" s="531"/>
      <c r="AM18" s="532" t="s">
        <v>2173</v>
      </c>
      <c r="AN18" s="533" t="str">
        <f>IF(NOT(ISBLANK(HostBuild[Server Model])),VLOOKUP(HostBuild[Server Model],ServerModelsTier[],2,FALSE),"")</f>
        <v>x86 Tier 3</v>
      </c>
      <c r="AO18" s="533" t="str">
        <f>IF(NOT(ISBLANK(HostBuild[Server Model])),VLOOKUP(HostBuild[Server Model],ServerModelsTier[],5,FALSE),"")</f>
        <v>x86</v>
      </c>
      <c r="AP18" s="532"/>
      <c r="AQ18" s="532" t="s">
        <v>2337</v>
      </c>
      <c r="AR18" s="534">
        <v>2</v>
      </c>
      <c r="AS18" s="602"/>
      <c r="AT18" s="535">
        <v>16</v>
      </c>
      <c r="AU18" s="603" t="str">
        <f>IF(IFERROR(FIND("P-Series",HostBuild[Server Tier]),0),CEILING((HostBuild[Existing CPUs]+HostBuild[CPU])*16,8),"")</f>
        <v/>
      </c>
      <c r="AV18" s="536">
        <v>256</v>
      </c>
      <c r="AW18" s="531"/>
      <c r="AX18" s="531"/>
      <c r="AY18" s="531"/>
      <c r="AZ18" s="537"/>
      <c r="BA18" s="531"/>
      <c r="BB18" s="531"/>
      <c r="BC18" s="529"/>
      <c r="BD18" s="531"/>
      <c r="BE18" s="531"/>
      <c r="BF18" s="531"/>
      <c r="BG18" s="531"/>
      <c r="BH18" s="531"/>
      <c r="BI18" s="531"/>
      <c r="BJ18" s="531"/>
      <c r="BK18"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8" s="538"/>
      <c r="BM18" s="540">
        <f>IF(ISNUMBER(HostBuild[Recommended SAN (GB)]),HostBuild[Recommended SAN (GB)])+IF(HostBuild[Additional SAN (GB)]&gt;0,CEILING(HostBuild[Additional SAN (GB)],LUN),-(CEILING(-HostBuild[Additional SAN (GB)],LUN)))</f>
        <v>337</v>
      </c>
      <c r="BN18" s="539"/>
      <c r="BO18" s="540">
        <f>HostBuild[SAN (GB)
NEEDED TODAY]+CEILING(HostBuild[SAN (GB)
RESERVED
DO NOT USE TO BUILD], LUN)</f>
        <v>337</v>
      </c>
      <c r="BP18" s="541"/>
      <c r="BQ18" s="542"/>
      <c r="BR18" s="432" t="s">
        <v>106</v>
      </c>
      <c r="BS18" s="605">
        <f>IF(HostBuild[Existing Server?]&lt;&gt;"Yes - Inside this BoM",IF(ISNUMBER(HostBuild[RAM 
(GB)]),IF(HostBuild[Existing RAM (GB)]+HostBuild[RAM 
(GB)]&gt;0,IF(HostBuild[Virtual Platform Storage Type]="NAS",110+HostBuild[Existing RAM (GB)]+HostBuild[RAM 
(GB)]*1.75,0),0),0),0)</f>
        <v>0</v>
      </c>
      <c r="BT18" s="606"/>
      <c r="BU18" s="607">
        <f>IF(ISNUMBER(HostBuild[Recommended NAS (GB)]),HostBuild[Recommended NAS (GB)])+HostBuild[Additional NAS (GB)]</f>
        <v>0</v>
      </c>
      <c r="BV18" s="543"/>
      <c r="BW18" s="543"/>
      <c r="BX18" s="604">
        <f>IFERROR((HostBuild[SAN (GB)
End-State
DO NOT USE TO BUILD]+HostBuild[SAN (GB) Shared])*25%,"")</f>
        <v>84.25</v>
      </c>
      <c r="BY18" s="608">
        <f>IFERROR(HostBuild[Archive
Full (GB)]*15%,"")</f>
        <v>12.637499999999999</v>
      </c>
      <c r="BZ18" s="544"/>
      <c r="CA18" s="544"/>
      <c r="CB18" s="545"/>
      <c r="CC18" s="546"/>
      <c r="CD18" s="545"/>
      <c r="CE18" s="547"/>
      <c r="CF18" s="539"/>
      <c r="CG18" s="609"/>
      <c r="CH18" s="548"/>
      <c r="CI18" s="549"/>
      <c r="CJ18" s="550" t="s">
        <v>4128</v>
      </c>
      <c r="CK18" s="551"/>
      <c r="CL18" s="552">
        <f>IFERROR(IF(FIND(CL$1,$W18)&gt;0,IF(INDEX(Product_Pricing_Table[],MATCH(CL$1,Products,0),2)="Cores",IF(HostBuild[Use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8" s="552">
        <f>IFERROR(IF(FIND(CM$1,$W18)&gt;0,IF(INDEX(Product_Pricing_Table[],MATCH(CM$1,Products,0),2)="Cores",IF(HostBuild[Use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8" s="552">
        <f>IFERROR(IF(FIND(CN$1,$W18)&gt;0,IF(INDEX(Product_Pricing_Table[],MATCH(CN$1,Products,0),2)="Cores",IF(HostBuild[Use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8" s="552">
        <f>IFERROR(IF(FIND(CO$1,$W18)&gt;0,IF(INDEX(Product_Pricing_Table[],MATCH(CO$1,Products,0),2)="Cores",IF(HostBuild[Use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8" s="552">
        <f>IFERROR(IF(FIND(CP$1,$W18)&gt;0,IF(INDEX(Product_Pricing_Table[],MATCH(CP$1,Products,0),2)="Cores",IF(HostBuild[Use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8" s="552">
        <f>IFERROR(IF(FIND(CQ$1,$W18)&gt;0,IF(INDEX(Product_Pricing_Table[],MATCH(CQ$1,Products,0),2)="Cores",IF(HostBuild[Use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8" s="552">
        <f>IFERROR(IF(FIND(CR$1,$W18)&gt;0,IF(INDEX(Product_Pricing_Table[],MATCH(CR$1,Products,0),2)="Cores",IF(HostBuild[Use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8" s="552">
        <f>IFERROR(IF(FIND(CS$1,$W18)&gt;0,IF(INDEX(Product_Pricing_Table[],MATCH(CS$1,Products,0),2)="Cores",IF(HostBuild[Use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8" s="552">
        <f>IFERROR(IF(FIND(CT$1,$W18)&gt;0,IF(INDEX(Product_Pricing_Table[],MATCH(CT$1,Products,0),2)="Cores",IF(HostBuild[Use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8" s="552">
        <f>IFERROR(IF(FIND(CU$1,$W18)&gt;0,IF(INDEX(Product_Pricing_Table[],MATCH(CU$1,Products,0),2)="Cores",IF(HostBuild[Use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8" s="552">
        <f>IFERROR(IF(FIND(CV$1,$W18)&gt;0,IF(INDEX(Product_Pricing_Table[],MATCH(CV$1,Products,0),2)="Cores",IF(HostBuild[Use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8" s="552">
        <f>IFERROR(IF(FIND(CW$1,$W18)&gt;0,IF(INDEX(Product_Pricing_Table[],MATCH(CW$1,Products,0),2)="Cores",IF(HostBuild[Use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8" s="552">
        <f>IFERROR(IF(FIND(CX$1,$W18)&gt;0,IF(INDEX(Product_Pricing_Table[],MATCH(CX$1,Products,0),2)="Cores",IF(HostBuild[Use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8" s="552">
        <f>IFERROR(IF(FIND(CY$1,$W18)&gt;0,IF(INDEX(Product_Pricing_Table[],MATCH(CY$1,Products,0),2)="Cores",IF(HostBuild[Use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8" s="552">
        <f>IFERROR(IF(FIND(CZ$1,$W18)&gt;0,IF(INDEX(Product_Pricing_Table[],MATCH(CZ$1,Products,0),2)="Cores",IF(HostBuild[Use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8" s="552">
        <f>IFERROR(IF(FIND(DA$1,$W18)&gt;0,IF(INDEX(Product_Pricing_Table[],MATCH(DA$1,Products,0),2)="Cores",IF(HostBuild[Use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8" s="552">
        <f>IFERROR(IF(FIND(DB$1,$W18)&gt;0,IF(INDEX(Product_Pricing_Table[],MATCH(DB$1,Products,0),2)="Cores",IF(HostBuild[Use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8" s="552">
        <f>IFERROR(IF(FIND(DC$1,$W18)&gt;0,IF(INDEX(Product_Pricing_Table[],MATCH(DC$1,Products,0),2)="Cores",IF(HostBuild[Use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8" s="552">
        <f>IFERROR(IF(FIND(DD$1,$W18)&gt;0,IF(INDEX(Product_Pricing_Table[],MATCH(DD$1,Products,0),2)="Cores",IF(HostBuild[Use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8" s="552">
        <f>IFERROR(IF(FIND(DE$1,$W18)&gt;0,IF(INDEX(Product_Pricing_Table[],MATCH(DE$1,Products,0),2)="Cores",IF(HostBuild[Use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8" s="553">
        <f>IFERROR(IF(FIND(DF$1,$W18)&gt;0,IF(INDEX(Product_Pricing_Table[],MATCH(DF$1,Products,0),2)="Cores",IF(HostBuild[Use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8" s="553">
        <f>IFERROR(IF(FIND(DG$1,$W18)&gt;0,IF(INDEX(Product_Pricing_Table[],MATCH(DG$1,Products,0),2)="Cores",IF(HostBuild[Use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8" s="552">
        <f>IFERROR(IF(FIND(DH$1,$W18)&gt;0,IF(INDEX(Product_Pricing_Table[],MATCH(DH$1,Products,0),2)="Cores",IF(HostBuild[Use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8" s="553">
        <f>IFERROR(IF(FIND(DI$1,$W18)&gt;0,IF(INDEX(Product_Pricing_Table[],MATCH(DI$1,Products,0),2)="Cores",IF(HostBuild[Use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8" s="552">
        <f>IFERROR(IF(FIND(DJ$1,$W18)&gt;0,IF(INDEX(Product_Pricing_Table[],MATCH(DJ$1,Products,0),2)="Cores",IF(HostBuild[Use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8" s="552">
        <f>IFERROR(IF(FIND(DK$1,$W18)&gt;0,IF(INDEX(Product_Pricing_Table[],MATCH(DK$1,Products,0),2)="Cores",IF(HostBuild[Use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8" s="552">
        <f>IFERROR(IF(FIND(DL$1,$W18)&gt;0,IF(INDEX(Product_Pricing_Table[],MATCH(DL$1,Products,0),2)="Cores",IF(HostBuild[Use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8" s="552">
        <f>IFERROR(IF(FIND(DM$1,$W18)&gt;0,IF(INDEX(Product_Pricing_Table[],MATCH(DM$1,Products,0),2)="Cores",IF(HostBuild[Use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8" s="552">
        <f>IFERROR(IF(FIND(DN$1,$W18)&gt;0,IF(INDEX(Product_Pricing_Table[],MATCH(DN$1,Products,0),2)="Cores",IF(HostBuild[Use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8" s="552">
        <f>IFERROR(IF(FIND(DO$1,$W18)&gt;0,IF(INDEX(Product_Pricing_Table[],MATCH(DO$1,Products,0),2)="Cores",IF(HostBuild[Use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8" s="552">
        <f>IFERROR(IF(FIND(DP$1,$W18)&gt;0,IF(INDEX(Product_Pricing_Table[],MATCH(DP$1,Products,0),2)="Cores",IF(HostBuild[Use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8" s="552">
        <f>IFERROR(IF(FIND(DQ$1,$W18)&gt;0,IF(INDEX(Product_Pricing_Table[],MATCH(DQ$1,Products,0),2)="Cores",IF(HostBuild[Use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8" s="552">
        <f>IFERROR(IF(FIND(DR$1,$W18)&gt;0,IF(INDEX(Product_Pricing_Table[],MATCH(DR$1,Products,0),2)="Cores",IF(HostBuild[Use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8" s="552">
        <f>IFERROR(IF(FIND(DS$1,$W18)&gt;0,IF(INDEX(Product_Pricing_Table[],MATCH(DS$1,Products,0),2)="Cores",IF(HostBuild[Use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8" s="552">
        <f>IFERROR(IF(FIND(DT$1,$W18)&gt;0,IF(INDEX(Product_Pricing_Table[],MATCH(DT$1,Products,0),2)="Cores",IF(HostBuild[Use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8" s="552">
        <f>IFERROR(IF(FIND(DU$1,$W18)&gt;0,IF(INDEX(Product_Pricing_Table[],MATCH(DU$1,Products,0),2)="Cores",IF(HostBuild[Use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8" s="552">
        <f>IFERROR(IF(FIND(DV$1,$W18)&gt;0,IF(INDEX(Product_Pricing_Table[],MATCH(DV$1,Products,0),2)="Cores",IF(HostBuild[Use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8" s="552">
        <f>IFERROR(IF(FIND(DW$1,$W18)&gt;0,IF(INDEX(Product_Pricing_Table[],MATCH(DW$1,Products,0),2)="Cores",IF(HostBuild[Use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8" s="552">
        <f>IFERROR(IF(FIND(DX$1,$W18)&gt;0,IF(INDEX(Product_Pricing_Table[],MATCH(DX$1,Products,0),2)="Cores",IF(HostBuild[Use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8" s="552">
        <f>IFERROR(IF(FIND(DY$1,$W18)&gt;0,IF(INDEX(Product_Pricing_Table[],MATCH(DY$1,Products,0),2)="Cores",IF(HostBuild[Use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8" s="552">
        <f>IFERROR(IF(FIND(DZ$1,$W18)&gt;0,IF(INDEX(Product_Pricing_Table[],MATCH(DZ$1,Products,0),2)="Cores",IF(HostBuild[Use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8" s="552">
        <f>IFERROR(IF(FIND(EA$1,$W18)&gt;0,IF(INDEX(Product_Pricing_Table[],MATCH(EA$1,Products,0),2)="Cores",IF(HostBuild[Use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8" s="552">
        <f>IFERROR(IF(FIND(EB$1,$W18)&gt;0,IF(INDEX(Product_Pricing_Table[],MATCH(EB$1,Products,0),2)="Cores",IF(HostBuild[Use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8" s="553">
        <f>IFERROR(IF(FIND(EC$1,$W18)&gt;0,IF(INDEX(Product_Pricing_Table[],MATCH(EC$1,Products,0),2)="Cores",IF(HostBuild[Use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8" s="552">
        <f>IFERROR(IF(FIND(ED$1,$W18)&gt;0,IF(INDEX(Product_Pricing_Table[],MATCH(ED$1,Products,0),2)="Cores",IF(HostBuild[Use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8" s="552">
        <f>IFERROR(IF(FIND(EE$1,$W18)&gt;0,IF(INDEX(Product_Pricing_Table[],MATCH(EE$1,Products,0),2)="Cores",IF(HostBuild[Use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8" s="552">
        <f>IFERROR(IF(FIND(EF$1,$W18)&gt;0,IF(INDEX(Product_Pricing_Table[],MATCH(EF$1,Products,0),2)="Cores",IF(HostBuild[Use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8" s="552">
        <f>IFERROR(IF(FIND(EG$1,$W18)&gt;0,IF(INDEX(Product_Pricing_Table[],MATCH(EG$1,Products,0),2)="Cores",IF(HostBuild[Use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8" s="552">
        <f>IFERROR(IF(FIND(EH$1,$W18)&gt;0,IF(INDEX(Product_Pricing_Table[],MATCH(EH$1,Products,0),2)="Cores",IF(HostBuild[Use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8" s="552">
        <f>IFERROR(IF(FIND(EI$1,$W18)&gt;0,IF(INDEX(Product_Pricing_Table[],MATCH(EI$1,Products,0),2)="Cores",IF(HostBuild[Use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8" s="552">
        <f>IFERROR(IF(FIND(EJ$1,$W18)&gt;0,IF(INDEX(Product_Pricing_Table[],MATCH(EJ$1,Products,0),2)="Cores",IF(HostBuild[Use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8" s="553">
        <f>IFERROR(IF(FIND(EK$1,$W18)&gt;0,IF(INDEX(Product_Pricing_Table[],MATCH(EK$1,Products,0),2)="Cores",IF(HostBuild[Use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8" s="554"/>
      <c r="EM18" s="555"/>
      <c r="EN18" s="556"/>
      <c r="EO18"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8" s="558">
        <f>(HostBuild[Archive
Full (GB)]+HostBuild[Archive
Incr (GB)])*Storage_DC_Dist_Tape_2014</f>
        <v>33.910624999999996</v>
      </c>
      <c r="ER18" s="558">
        <f>IF(ISNUMBER(HostBuild[Server HW Costs
(Monthly)]),SUM(HostBuild[[#This Row],[Server HW Costs
(Monthly)]:[Tape Costs
(Monthly)]]),0)</f>
        <v>1398.400625</v>
      </c>
      <c r="ES18" s="559">
        <f>HostBuild[Software Costs
'[Year 1']
(Monthly)]+HostBuild[Total Hardware Costs
(Monthly)]</f>
        <v>1398.400625</v>
      </c>
      <c r="ET18" s="559">
        <f>IFERROR(IF(FIND("Safenet",HostBuild[Server Model]),Safenet_PSE_PL600_Maint,0),0)+IFERROR(IF(FIND("XI52",HostBuild[Server Model]),IBM_DIA_XI52_Maint,0),0)+HostBuild[Software Costs
'[After Year 1']
(Monthly)]+HostBuild[Total Hardware Costs
(Monthly)]</f>
        <v>1398.400625</v>
      </c>
      <c r="EU18" s="560">
        <f>SUM(HostBuild[[#This Row],[Server Cost Breakdown]:[Network Cost]])</f>
        <v>1003.9</v>
      </c>
      <c r="EV18" s="561">
        <f>IF(HostBuild[Existing Server?]="Yes - Inside this BoM",0,SUMIF(HostBuild[Alias],HostBuild[Alias],HostBuild[CPU])+SUMIF(HostBuild[Alias],HostBuild[Alias],HostBuild[Existing CPUs]))</f>
        <v>2</v>
      </c>
      <c r="EW18" s="561">
        <f>IF(HostBuild[Existing Server?]="Yes - Inside this BoM",0,SUMIF(HostBuild[Alias],HostBuild[Alias],HostBuild[Cores 
(Licensed Units)])+SUMIF(HostBuild[Alias],HostBuild[Alias],HostBuild[Existing Cores]))</f>
        <v>16</v>
      </c>
      <c r="EX18" s="561">
        <f>IF(HostBuild[Existing Server?]="Yes - Inside this BoM",0,SUMIF(HostBuild[Alias],HostBuild[Alias],HostBuild[RAM 
(GB)])+SUMIF(HostBuild[Alias],HostBuild[Alias],HostBuild[Existing RAM (GB)]))</f>
        <v>256</v>
      </c>
      <c r="EY1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8" s="560">
        <f>IF(ISBLANK(HostBuild[Server Model]),0,IF(HostBuild[Server Tier]="VMware",0,VLOOKUP(HostBuild[Server Tier],ServerTierRates[#Data],2,0))*HostBuild[CPU]*IF(AND(HostBuild[Server Type]="pSeries",HostBuild[Virtual Platform Storage Type]="Cloud-SAN"),0.25,1))</f>
        <v>608</v>
      </c>
      <c r="FD18" s="560">
        <f>0</f>
        <v>0</v>
      </c>
      <c r="FE18" s="560">
        <f>IF(HostBuild[Server Type]="VMware",HostBuild[RAM 
(GB)]*IF(ISERROR(FIND("DevCloud", HostBuild[Server Model])&gt;0),vRAM_per_vCPU_2014_Monthly,vRAM_per_vCPU_2014_Daily*30),0)</f>
        <v>0</v>
      </c>
      <c r="FF1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8" s="563">
        <f>IF(HostBuild[Server Tier]="VMware",0,IF(LEFT(HostBuild[Existing Server?],3)="Yes",0,IF(OR(HostBuild[Server Type]="Sun",HostBuild[Server Type]="pSeries"),Support_Direct_Server_Sun_per_OS_2014,IF(HostBuild[Server Type]="x86",Support_Direct_Server_x86_Wintel_per_OS_2014,0))))</f>
        <v>187.1</v>
      </c>
      <c r="FI1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9" spans="1:165" s="139" customFormat="1">
      <c r="A19" s="360" t="s">
        <v>3942</v>
      </c>
      <c r="B19" s="521"/>
      <c r="C19" s="521"/>
      <c r="D19" s="521"/>
      <c r="E19" s="522"/>
      <c r="F19" s="522"/>
      <c r="G19" s="597"/>
      <c r="H19" s="597"/>
      <c r="I19" s="523"/>
      <c r="J19" s="522"/>
      <c r="K19" s="522"/>
      <c r="L19" s="522"/>
      <c r="M19" s="597" t="e">
        <f ca="1">IF(rngIsDate(HostBuild[CTO Acceptance]),"Y","N")</f>
        <v>#NAME?</v>
      </c>
      <c r="N19" s="361" t="s">
        <v>3938</v>
      </c>
      <c r="O19" s="525"/>
      <c r="P19" s="525"/>
      <c r="Q19" s="361" t="s">
        <v>79</v>
      </c>
      <c r="R19" s="526" t="str">
        <f>IF(NOT(ISBLANK(HostBuild[Env Label])),IFERROR(VLOOKUP(HostBuild[Env Label],tEnv[],3,FALSE),""),"")</f>
        <v>PROD</v>
      </c>
      <c r="S19" s="598"/>
      <c r="T19" s="527"/>
      <c r="U19" s="599"/>
      <c r="V19" s="524" t="s">
        <v>4006</v>
      </c>
      <c r="W19" s="524" t="s">
        <v>3941</v>
      </c>
      <c r="X19" s="524" t="s">
        <v>35</v>
      </c>
      <c r="Y19" s="361" t="s">
        <v>481</v>
      </c>
      <c r="Z19" s="526" t="str">
        <f>IF(NOT(ISBLANK(HostBuild[[#This Row],[Product 
(Acronym)]])),CONCATENATE(HostBuild[[#This Row],[Type]],"-",HostBuild[[#This Row],[Product 
(Acronym)]]),"")</f>
        <v>AP-ESB</v>
      </c>
      <c r="AA19" s="600"/>
      <c r="AB19" s="600" t="s">
        <v>105</v>
      </c>
      <c r="AC19" s="528"/>
      <c r="AD19" s="529"/>
      <c r="AE19" s="529"/>
      <c r="AF19" s="530"/>
      <c r="AG19" s="531"/>
      <c r="AH19" s="601"/>
      <c r="AI19" s="362" t="s">
        <v>3952</v>
      </c>
      <c r="AJ19" s="524">
        <f>IF(COUNTIF(HostBuild[Alias],HostBuild[Alias]),1/COUNTIF(HostBuild[Alias],HostBuild[Alias]),0)</f>
        <v>1</v>
      </c>
      <c r="AK19" s="531"/>
      <c r="AL19" s="531"/>
      <c r="AM19" s="532" t="s">
        <v>2173</v>
      </c>
      <c r="AN19" s="533" t="str">
        <f>IF(NOT(ISBLANK(HostBuild[Server Model])),VLOOKUP(HostBuild[Server Model],ServerModelsTier[],2,FALSE),"")</f>
        <v>x86 Tier 3</v>
      </c>
      <c r="AO19" s="533" t="str">
        <f>IF(NOT(ISBLANK(HostBuild[Server Model])),VLOOKUP(HostBuild[Server Model],ServerModelsTier[],5,FALSE),"")</f>
        <v>x86</v>
      </c>
      <c r="AP19" s="532"/>
      <c r="AQ19" s="532" t="s">
        <v>2337</v>
      </c>
      <c r="AR19" s="534">
        <v>2</v>
      </c>
      <c r="AS19" s="602"/>
      <c r="AT19" s="535">
        <v>16</v>
      </c>
      <c r="AU19" s="603" t="str">
        <f>IF(IFERROR(FIND("P-Series",HostBuild[Server Tier]),0),CEILING((HostBuild[Existing CPUs]+HostBuild[CPU])*16,8),"")</f>
        <v/>
      </c>
      <c r="AV19" s="536">
        <v>256</v>
      </c>
      <c r="AW19" s="531"/>
      <c r="AX19" s="531"/>
      <c r="AY19" s="531"/>
      <c r="AZ19" s="537"/>
      <c r="BA19" s="531"/>
      <c r="BB19" s="531"/>
      <c r="BC19" s="529"/>
      <c r="BD19" s="531"/>
      <c r="BE19" s="531"/>
      <c r="BF19" s="531"/>
      <c r="BG19" s="531"/>
      <c r="BH19" s="531"/>
      <c r="BI19" s="531"/>
      <c r="BJ19" s="531"/>
      <c r="BK19"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9" s="538"/>
      <c r="BM19" s="540">
        <f>IF(ISNUMBER(HostBuild[Recommended SAN (GB)]),HostBuild[Recommended SAN (GB)])+IF(HostBuild[Additional SAN (GB)]&gt;0,CEILING(HostBuild[Additional SAN (GB)],LUN),-(CEILING(-HostBuild[Additional SAN (GB)],LUN)))</f>
        <v>337</v>
      </c>
      <c r="BN19" s="539"/>
      <c r="BO19" s="540">
        <f>HostBuild[SAN (GB)
NEEDED TODAY]+CEILING(HostBuild[SAN (GB)
RESERVED
DO NOT USE TO BUILD], LUN)</f>
        <v>337</v>
      </c>
      <c r="BP19" s="541"/>
      <c r="BQ19" s="542"/>
      <c r="BR19" s="432" t="s">
        <v>106</v>
      </c>
      <c r="BS19" s="605">
        <f>IF(HostBuild[Existing Server?]&lt;&gt;"Yes - Inside this BoM",IF(ISNUMBER(HostBuild[RAM 
(GB)]),IF(HostBuild[Existing RAM (GB)]+HostBuild[RAM 
(GB)]&gt;0,IF(HostBuild[Virtual Platform Storage Type]="NAS",110+HostBuild[Existing RAM (GB)]+HostBuild[RAM 
(GB)]*1.75,0),0),0),0)</f>
        <v>0</v>
      </c>
      <c r="BT19" s="606"/>
      <c r="BU19" s="607">
        <f>IF(ISNUMBER(HostBuild[Recommended NAS (GB)]),HostBuild[Recommended NAS (GB)])+HostBuild[Additional NAS (GB)]</f>
        <v>0</v>
      </c>
      <c r="BV19" s="543"/>
      <c r="BW19" s="543"/>
      <c r="BX19" s="604">
        <f>IFERROR((HostBuild[SAN (GB)
End-State
DO NOT USE TO BUILD]+HostBuild[SAN (GB) Shared])*25%,"")</f>
        <v>84.25</v>
      </c>
      <c r="BY19" s="608">
        <f>IFERROR(HostBuild[Archive
Full (GB)]*15%,"")</f>
        <v>12.637499999999999</v>
      </c>
      <c r="BZ19" s="544"/>
      <c r="CA19" s="544"/>
      <c r="CB19" s="545"/>
      <c r="CC19" s="546"/>
      <c r="CD19" s="545"/>
      <c r="CE19" s="547"/>
      <c r="CF19" s="539"/>
      <c r="CG19" s="609"/>
      <c r="CH19" s="548"/>
      <c r="CI19" s="549"/>
      <c r="CJ19" s="550" t="s">
        <v>4128</v>
      </c>
      <c r="CK19" s="551"/>
      <c r="CL19" s="552">
        <f>IFERROR(IF(FIND(CL$1,$W19)&gt;0,IF(INDEX(Product_Pricing_Table[],MATCH(CL$1,Products,0),2)="Cores",IF(HostBuild[Use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9" s="552">
        <f>IFERROR(IF(FIND(CM$1,$W19)&gt;0,IF(INDEX(Product_Pricing_Table[],MATCH(CM$1,Products,0),2)="Cores",IF(HostBuild[Use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9" s="552">
        <f>IFERROR(IF(FIND(CN$1,$W19)&gt;0,IF(INDEX(Product_Pricing_Table[],MATCH(CN$1,Products,0),2)="Cores",IF(HostBuild[Use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9" s="552">
        <f>IFERROR(IF(FIND(CO$1,$W19)&gt;0,IF(INDEX(Product_Pricing_Table[],MATCH(CO$1,Products,0),2)="Cores",IF(HostBuild[Use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9" s="552">
        <f>IFERROR(IF(FIND(CP$1,$W19)&gt;0,IF(INDEX(Product_Pricing_Table[],MATCH(CP$1,Products,0),2)="Cores",IF(HostBuild[Use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9" s="552">
        <f>IFERROR(IF(FIND(CQ$1,$W19)&gt;0,IF(INDEX(Product_Pricing_Table[],MATCH(CQ$1,Products,0),2)="Cores",IF(HostBuild[Use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9" s="552">
        <f>IFERROR(IF(FIND(CR$1,$W19)&gt;0,IF(INDEX(Product_Pricing_Table[],MATCH(CR$1,Products,0),2)="Cores",IF(HostBuild[Use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9" s="552">
        <f>IFERROR(IF(FIND(CS$1,$W19)&gt;0,IF(INDEX(Product_Pricing_Table[],MATCH(CS$1,Products,0),2)="Cores",IF(HostBuild[Use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9" s="552">
        <f>IFERROR(IF(FIND(CT$1,$W19)&gt;0,IF(INDEX(Product_Pricing_Table[],MATCH(CT$1,Products,0),2)="Cores",IF(HostBuild[Use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9" s="552">
        <f>IFERROR(IF(FIND(CU$1,$W19)&gt;0,IF(INDEX(Product_Pricing_Table[],MATCH(CU$1,Products,0),2)="Cores",IF(HostBuild[Use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9" s="552">
        <f>IFERROR(IF(FIND(CV$1,$W19)&gt;0,IF(INDEX(Product_Pricing_Table[],MATCH(CV$1,Products,0),2)="Cores",IF(HostBuild[Use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9" s="552">
        <f>IFERROR(IF(FIND(CW$1,$W19)&gt;0,IF(INDEX(Product_Pricing_Table[],MATCH(CW$1,Products,0),2)="Cores",IF(HostBuild[Use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9" s="552">
        <f>IFERROR(IF(FIND(CX$1,$W19)&gt;0,IF(INDEX(Product_Pricing_Table[],MATCH(CX$1,Products,0),2)="Cores",IF(HostBuild[Use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9" s="552">
        <f>IFERROR(IF(FIND(CY$1,$W19)&gt;0,IF(INDEX(Product_Pricing_Table[],MATCH(CY$1,Products,0),2)="Cores",IF(HostBuild[Use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9" s="552">
        <f>IFERROR(IF(FIND(CZ$1,$W19)&gt;0,IF(INDEX(Product_Pricing_Table[],MATCH(CZ$1,Products,0),2)="Cores",IF(HostBuild[Use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9" s="552">
        <f>IFERROR(IF(FIND(DA$1,$W19)&gt;0,IF(INDEX(Product_Pricing_Table[],MATCH(DA$1,Products,0),2)="Cores",IF(HostBuild[Use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9" s="552">
        <f>IFERROR(IF(FIND(DB$1,$W19)&gt;0,IF(INDEX(Product_Pricing_Table[],MATCH(DB$1,Products,0),2)="Cores",IF(HostBuild[Use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9" s="552">
        <f>IFERROR(IF(FIND(DC$1,$W19)&gt;0,IF(INDEX(Product_Pricing_Table[],MATCH(DC$1,Products,0),2)="Cores",IF(HostBuild[Use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9" s="552">
        <f>IFERROR(IF(FIND(DD$1,$W19)&gt;0,IF(INDEX(Product_Pricing_Table[],MATCH(DD$1,Products,0),2)="Cores",IF(HostBuild[Use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9" s="552">
        <f>IFERROR(IF(FIND(DE$1,$W19)&gt;0,IF(INDEX(Product_Pricing_Table[],MATCH(DE$1,Products,0),2)="Cores",IF(HostBuild[Use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9" s="553">
        <f>IFERROR(IF(FIND(DF$1,$W19)&gt;0,IF(INDEX(Product_Pricing_Table[],MATCH(DF$1,Products,0),2)="Cores",IF(HostBuild[Use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9" s="553">
        <f>IFERROR(IF(FIND(DG$1,$W19)&gt;0,IF(INDEX(Product_Pricing_Table[],MATCH(DG$1,Products,0),2)="Cores",IF(HostBuild[Use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9" s="552">
        <f>IFERROR(IF(FIND(DH$1,$W19)&gt;0,IF(INDEX(Product_Pricing_Table[],MATCH(DH$1,Products,0),2)="Cores",IF(HostBuild[Use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9" s="553">
        <f>IFERROR(IF(FIND(DI$1,$W19)&gt;0,IF(INDEX(Product_Pricing_Table[],MATCH(DI$1,Products,0),2)="Cores",IF(HostBuild[Use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9" s="552">
        <f>IFERROR(IF(FIND(DJ$1,$W19)&gt;0,IF(INDEX(Product_Pricing_Table[],MATCH(DJ$1,Products,0),2)="Cores",IF(HostBuild[Use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9" s="552">
        <f>IFERROR(IF(FIND(DK$1,$W19)&gt;0,IF(INDEX(Product_Pricing_Table[],MATCH(DK$1,Products,0),2)="Cores",IF(HostBuild[Use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9" s="552">
        <f>IFERROR(IF(FIND(DL$1,$W19)&gt;0,IF(INDEX(Product_Pricing_Table[],MATCH(DL$1,Products,0),2)="Cores",IF(HostBuild[Use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9" s="552">
        <f>IFERROR(IF(FIND(DM$1,$W19)&gt;0,IF(INDEX(Product_Pricing_Table[],MATCH(DM$1,Products,0),2)="Cores",IF(HostBuild[Use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9" s="552">
        <f>IFERROR(IF(FIND(DN$1,$W19)&gt;0,IF(INDEX(Product_Pricing_Table[],MATCH(DN$1,Products,0),2)="Cores",IF(HostBuild[Use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9" s="552">
        <f>IFERROR(IF(FIND(DO$1,$W19)&gt;0,IF(INDEX(Product_Pricing_Table[],MATCH(DO$1,Products,0),2)="Cores",IF(HostBuild[Use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9" s="552">
        <f>IFERROR(IF(FIND(DP$1,$W19)&gt;0,IF(INDEX(Product_Pricing_Table[],MATCH(DP$1,Products,0),2)="Cores",IF(HostBuild[Use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9" s="552">
        <f>IFERROR(IF(FIND(DQ$1,$W19)&gt;0,IF(INDEX(Product_Pricing_Table[],MATCH(DQ$1,Products,0),2)="Cores",IF(HostBuild[Use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9" s="552">
        <f>IFERROR(IF(FIND(DR$1,$W19)&gt;0,IF(INDEX(Product_Pricing_Table[],MATCH(DR$1,Products,0),2)="Cores",IF(HostBuild[Use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9" s="552">
        <f>IFERROR(IF(FIND(DS$1,$W19)&gt;0,IF(INDEX(Product_Pricing_Table[],MATCH(DS$1,Products,0),2)="Cores",IF(HostBuild[Use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9" s="552">
        <f>IFERROR(IF(FIND(DT$1,$W19)&gt;0,IF(INDEX(Product_Pricing_Table[],MATCH(DT$1,Products,0),2)="Cores",IF(HostBuild[Use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9" s="552">
        <f>IFERROR(IF(FIND(DU$1,$W19)&gt;0,IF(INDEX(Product_Pricing_Table[],MATCH(DU$1,Products,0),2)="Cores",IF(HostBuild[Use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9" s="552">
        <f>IFERROR(IF(FIND(DV$1,$W19)&gt;0,IF(INDEX(Product_Pricing_Table[],MATCH(DV$1,Products,0),2)="Cores",IF(HostBuild[Use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9" s="552">
        <f>IFERROR(IF(FIND(DW$1,$W19)&gt;0,IF(INDEX(Product_Pricing_Table[],MATCH(DW$1,Products,0),2)="Cores",IF(HostBuild[Use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9" s="552">
        <f>IFERROR(IF(FIND(DX$1,$W19)&gt;0,IF(INDEX(Product_Pricing_Table[],MATCH(DX$1,Products,0),2)="Cores",IF(HostBuild[Use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9" s="552">
        <f>IFERROR(IF(FIND(DY$1,$W19)&gt;0,IF(INDEX(Product_Pricing_Table[],MATCH(DY$1,Products,0),2)="Cores",IF(HostBuild[Use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9" s="552">
        <f>IFERROR(IF(FIND(DZ$1,$W19)&gt;0,IF(INDEX(Product_Pricing_Table[],MATCH(DZ$1,Products,0),2)="Cores",IF(HostBuild[Use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9" s="552">
        <f>IFERROR(IF(FIND(EA$1,$W19)&gt;0,IF(INDEX(Product_Pricing_Table[],MATCH(EA$1,Products,0),2)="Cores",IF(HostBuild[Use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9" s="552">
        <f>IFERROR(IF(FIND(EB$1,$W19)&gt;0,IF(INDEX(Product_Pricing_Table[],MATCH(EB$1,Products,0),2)="Cores",IF(HostBuild[Use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9" s="553">
        <f>IFERROR(IF(FIND(EC$1,$W19)&gt;0,IF(INDEX(Product_Pricing_Table[],MATCH(EC$1,Products,0),2)="Cores",IF(HostBuild[Use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9" s="552">
        <f>IFERROR(IF(FIND(ED$1,$W19)&gt;0,IF(INDEX(Product_Pricing_Table[],MATCH(ED$1,Products,0),2)="Cores",IF(HostBuild[Use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9" s="552">
        <f>IFERROR(IF(FIND(EE$1,$W19)&gt;0,IF(INDEX(Product_Pricing_Table[],MATCH(EE$1,Products,0),2)="Cores",IF(HostBuild[Use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9" s="552">
        <f>IFERROR(IF(FIND(EF$1,$W19)&gt;0,IF(INDEX(Product_Pricing_Table[],MATCH(EF$1,Products,0),2)="Cores",IF(HostBuild[Use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9" s="552">
        <f>IFERROR(IF(FIND(EG$1,$W19)&gt;0,IF(INDEX(Product_Pricing_Table[],MATCH(EG$1,Products,0),2)="Cores",IF(HostBuild[Use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9" s="552">
        <f>IFERROR(IF(FIND(EH$1,$W19)&gt;0,IF(INDEX(Product_Pricing_Table[],MATCH(EH$1,Products,0),2)="Cores",IF(HostBuild[Use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19" s="552">
        <f>IFERROR(IF(FIND(EI$1,$W19)&gt;0,IF(INDEX(Product_Pricing_Table[],MATCH(EI$1,Products,0),2)="Cores",IF(HostBuild[Use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9" s="552">
        <f>IFERROR(IF(FIND(EJ$1,$W19)&gt;0,IF(INDEX(Product_Pricing_Table[],MATCH(EJ$1,Products,0),2)="Cores",IF(HostBuild[Use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9" s="553">
        <f>IFERROR(IF(FIND(EK$1,$W19)&gt;0,IF(INDEX(Product_Pricing_Table[],MATCH(EK$1,Products,0),2)="Cores",IF(HostBuild[Use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9" s="554"/>
      <c r="EM19" s="555"/>
      <c r="EN19" s="556"/>
      <c r="EO19"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19" s="558">
        <f>(HostBuild[Archive
Full (GB)]+HostBuild[Archive
Incr (GB)])*Storage_DC_Dist_Tape_2014</f>
        <v>33.910624999999996</v>
      </c>
      <c r="ER19" s="558">
        <f>IF(ISNUMBER(HostBuild[Server HW Costs
(Monthly)]),SUM(HostBuild[[#This Row],[Server HW Costs
(Monthly)]:[Tape Costs
(Monthly)]]),0)</f>
        <v>1398.400625</v>
      </c>
      <c r="ES19" s="559">
        <f>HostBuild[Software Costs
'[Year 1']
(Monthly)]+HostBuild[Total Hardware Costs
(Monthly)]</f>
        <v>1398.400625</v>
      </c>
      <c r="ET19" s="559">
        <f>IFERROR(IF(FIND("Safenet",HostBuild[Server Model]),Safenet_PSE_PL600_Maint,0),0)+IFERROR(IF(FIND("XI52",HostBuild[Server Model]),IBM_DIA_XI52_Maint,0),0)+HostBuild[Software Costs
'[After Year 1']
(Monthly)]+HostBuild[Total Hardware Costs
(Monthly)]</f>
        <v>1398.400625</v>
      </c>
      <c r="EU19" s="560">
        <f>SUM(HostBuild[[#This Row],[Server Cost Breakdown]:[Network Cost]])</f>
        <v>1003.9</v>
      </c>
      <c r="EV19" s="561">
        <f>IF(HostBuild[Existing Server?]="Yes - Inside this BoM",0,SUMIF(HostBuild[Alias],HostBuild[Alias],HostBuild[CPU])+SUMIF(HostBuild[Alias],HostBuild[Alias],HostBuild[Existing CPUs]))</f>
        <v>2</v>
      </c>
      <c r="EW19" s="561">
        <f>IF(HostBuild[Existing Server?]="Yes - Inside this BoM",0,SUMIF(HostBuild[Alias],HostBuild[Alias],HostBuild[Cores 
(Licensed Units)])+SUMIF(HostBuild[Alias],HostBuild[Alias],HostBuild[Existing Cores]))</f>
        <v>16</v>
      </c>
      <c r="EX19" s="561">
        <f>IF(HostBuild[Existing Server?]="Yes - Inside this BoM",0,SUMIF(HostBuild[Alias],HostBuild[Alias],HostBuild[RAM 
(GB)])+SUMIF(HostBuild[Alias],HostBuild[Alias],HostBuild[Existing RAM (GB)]))</f>
        <v>256</v>
      </c>
      <c r="EY1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9" s="560">
        <f>IF(ISBLANK(HostBuild[Server Model]),0,IF(HostBuild[Server Tier]="VMware",0,VLOOKUP(HostBuild[Server Tier],ServerTierRates[#Data],2,0))*HostBuild[CPU]*IF(AND(HostBuild[Server Type]="pSeries",HostBuild[Virtual Platform Storage Type]="Cloud-SAN"),0.25,1))</f>
        <v>608</v>
      </c>
      <c r="FD19" s="560">
        <f>0</f>
        <v>0</v>
      </c>
      <c r="FE19" s="560">
        <f>IF(HostBuild[Server Type]="VMware",HostBuild[RAM 
(GB)]*IF(ISERROR(FIND("DevCloud", HostBuild[Server Model])&gt;0),vRAM_per_vCPU_2014_Monthly,vRAM_per_vCPU_2014_Daily*30),0)</f>
        <v>0</v>
      </c>
      <c r="FF1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9" s="563">
        <f>IF(HostBuild[Server Tier]="VMware",0,IF(LEFT(HostBuild[Existing Server?],3)="Yes",0,IF(OR(HostBuild[Server Type]="Sun",HostBuild[Server Type]="pSeries"),Support_Direct_Server_Sun_per_OS_2014,IF(HostBuild[Server Type]="x86",Support_Direct_Server_x86_Wintel_per_OS_2014,0))))</f>
        <v>187.1</v>
      </c>
      <c r="FI1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0" spans="1:165" s="139" customFormat="1">
      <c r="A20" s="360" t="s">
        <v>3942</v>
      </c>
      <c r="B20" s="521"/>
      <c r="C20" s="521"/>
      <c r="D20" s="521"/>
      <c r="E20" s="522"/>
      <c r="F20" s="522"/>
      <c r="G20" s="597"/>
      <c r="H20" s="597"/>
      <c r="I20" s="523"/>
      <c r="J20" s="522"/>
      <c r="K20" s="522"/>
      <c r="L20" s="522"/>
      <c r="M20" s="597" t="e">
        <f ca="1">IF(rngIsDate(HostBuild[CTO Acceptance]),"Y","N")</f>
        <v>#NAME?</v>
      </c>
      <c r="N20" s="361" t="s">
        <v>3938</v>
      </c>
      <c r="O20" s="525"/>
      <c r="P20" s="525"/>
      <c r="Q20" s="361" t="s">
        <v>79</v>
      </c>
      <c r="R20" s="526" t="str">
        <f>IF(NOT(ISBLANK(HostBuild[Env Label])),IFERROR(VLOOKUP(HostBuild[Env Label],tEnv[],3,FALSE),""),"")</f>
        <v>PROD</v>
      </c>
      <c r="S20" s="598"/>
      <c r="T20" s="527"/>
      <c r="U20" s="599"/>
      <c r="V20" s="524" t="s">
        <v>4006</v>
      </c>
      <c r="W20" s="524" t="s">
        <v>3941</v>
      </c>
      <c r="X20" s="524" t="s">
        <v>35</v>
      </c>
      <c r="Y20" s="361" t="s">
        <v>481</v>
      </c>
      <c r="Z20" s="526" t="str">
        <f>IF(NOT(ISBLANK(HostBuild[[#This Row],[Product 
(Acronym)]])),CONCATENATE(HostBuild[[#This Row],[Type]],"-",HostBuild[[#This Row],[Product 
(Acronym)]]),"")</f>
        <v>AP-ESB</v>
      </c>
      <c r="AA20" s="600"/>
      <c r="AB20" s="600" t="s">
        <v>105</v>
      </c>
      <c r="AC20" s="528"/>
      <c r="AD20" s="529"/>
      <c r="AE20" s="529"/>
      <c r="AF20" s="530"/>
      <c r="AG20" s="531"/>
      <c r="AH20" s="601"/>
      <c r="AI20" s="362" t="s">
        <v>3953</v>
      </c>
      <c r="AJ20" s="524">
        <f>IF(COUNTIF(HostBuild[Alias],HostBuild[Alias]),1/COUNTIF(HostBuild[Alias],HostBuild[Alias]),0)</f>
        <v>1</v>
      </c>
      <c r="AK20" s="531"/>
      <c r="AL20" s="531"/>
      <c r="AM20" s="532" t="s">
        <v>2173</v>
      </c>
      <c r="AN20" s="533" t="str">
        <f>IF(NOT(ISBLANK(HostBuild[Server Model])),VLOOKUP(HostBuild[Server Model],ServerModelsTier[],2,FALSE),"")</f>
        <v>x86 Tier 3</v>
      </c>
      <c r="AO20" s="533" t="str">
        <f>IF(NOT(ISBLANK(HostBuild[Server Model])),VLOOKUP(HostBuild[Server Model],ServerModelsTier[],5,FALSE),"")</f>
        <v>x86</v>
      </c>
      <c r="AP20" s="532"/>
      <c r="AQ20" s="532" t="s">
        <v>2337</v>
      </c>
      <c r="AR20" s="534">
        <v>2</v>
      </c>
      <c r="AS20" s="602"/>
      <c r="AT20" s="535">
        <v>16</v>
      </c>
      <c r="AU20" s="603" t="str">
        <f>IF(IFERROR(FIND("P-Series",HostBuild[Server Tier]),0),CEILING((HostBuild[Existing CPUs]+HostBuild[CPU])*16,8),"")</f>
        <v/>
      </c>
      <c r="AV20" s="536">
        <v>256</v>
      </c>
      <c r="AW20" s="531"/>
      <c r="AX20" s="531"/>
      <c r="AY20" s="531"/>
      <c r="AZ20" s="537"/>
      <c r="BA20" s="531"/>
      <c r="BB20" s="531"/>
      <c r="BC20" s="529"/>
      <c r="BD20" s="531"/>
      <c r="BE20" s="531"/>
      <c r="BF20" s="531"/>
      <c r="BG20" s="531"/>
      <c r="BH20" s="531"/>
      <c r="BI20" s="531"/>
      <c r="BJ20" s="531"/>
      <c r="BK20"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20" s="538"/>
      <c r="BM20" s="540">
        <f>IF(ISNUMBER(HostBuild[Recommended SAN (GB)]),HostBuild[Recommended SAN (GB)])+IF(HostBuild[Additional SAN (GB)]&gt;0,CEILING(HostBuild[Additional SAN (GB)],LUN),-(CEILING(-HostBuild[Additional SAN (GB)],LUN)))</f>
        <v>337</v>
      </c>
      <c r="BN20" s="539"/>
      <c r="BO20" s="540">
        <f>HostBuild[SAN (GB)
NEEDED TODAY]+CEILING(HostBuild[SAN (GB)
RESERVED
DO NOT USE TO BUILD], LUN)</f>
        <v>337</v>
      </c>
      <c r="BP20" s="541"/>
      <c r="BQ20" s="542"/>
      <c r="BR20" s="432" t="s">
        <v>106</v>
      </c>
      <c r="BS20" s="605">
        <f>IF(HostBuild[Existing Server?]&lt;&gt;"Yes - Inside this BoM",IF(ISNUMBER(HostBuild[RAM 
(GB)]),IF(HostBuild[Existing RAM (GB)]+HostBuild[RAM 
(GB)]&gt;0,IF(HostBuild[Virtual Platform Storage Type]="NAS",110+HostBuild[Existing RAM (GB)]+HostBuild[RAM 
(GB)]*1.75,0),0),0),0)</f>
        <v>0</v>
      </c>
      <c r="BT20" s="606"/>
      <c r="BU20" s="607">
        <f>IF(ISNUMBER(HostBuild[Recommended NAS (GB)]),HostBuild[Recommended NAS (GB)])+HostBuild[Additional NAS (GB)]</f>
        <v>0</v>
      </c>
      <c r="BV20" s="543"/>
      <c r="BW20" s="543"/>
      <c r="BX20" s="604">
        <f>IFERROR((HostBuild[SAN (GB)
End-State
DO NOT USE TO BUILD]+HostBuild[SAN (GB) Shared])*25%,"")</f>
        <v>84.25</v>
      </c>
      <c r="BY20" s="608">
        <f>IFERROR(HostBuild[Archive
Full (GB)]*15%,"")</f>
        <v>12.637499999999999</v>
      </c>
      <c r="BZ20" s="544"/>
      <c r="CA20" s="544"/>
      <c r="CB20" s="545"/>
      <c r="CC20" s="546"/>
      <c r="CD20" s="545"/>
      <c r="CE20" s="547"/>
      <c r="CF20" s="539"/>
      <c r="CG20" s="609"/>
      <c r="CH20" s="548"/>
      <c r="CI20" s="549"/>
      <c r="CJ20" s="550" t="s">
        <v>4128</v>
      </c>
      <c r="CK20" s="551"/>
      <c r="CL20" s="552">
        <f>IFERROR(IF(FIND(CL$1,$W20)&gt;0,IF(INDEX(Product_Pricing_Table[],MATCH(CL$1,Products,0),2)="Cores",IF(HostBuild[Use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0" s="552">
        <f>IFERROR(IF(FIND(CM$1,$W20)&gt;0,IF(INDEX(Product_Pricing_Table[],MATCH(CM$1,Products,0),2)="Cores",IF(HostBuild[Use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0" s="552">
        <f>IFERROR(IF(FIND(CN$1,$W20)&gt;0,IF(INDEX(Product_Pricing_Table[],MATCH(CN$1,Products,0),2)="Cores",IF(HostBuild[Use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0" s="552">
        <f>IFERROR(IF(FIND(CO$1,$W20)&gt;0,IF(INDEX(Product_Pricing_Table[],MATCH(CO$1,Products,0),2)="Cores",IF(HostBuild[Use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0" s="552">
        <f>IFERROR(IF(FIND(CP$1,$W20)&gt;0,IF(INDEX(Product_Pricing_Table[],MATCH(CP$1,Products,0),2)="Cores",IF(HostBuild[Use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0" s="552">
        <f>IFERROR(IF(FIND(CQ$1,$W20)&gt;0,IF(INDEX(Product_Pricing_Table[],MATCH(CQ$1,Products,0),2)="Cores",IF(HostBuild[Use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0" s="552">
        <f>IFERROR(IF(FIND(CR$1,$W20)&gt;0,IF(INDEX(Product_Pricing_Table[],MATCH(CR$1,Products,0),2)="Cores",IF(HostBuild[Use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0" s="552">
        <f>IFERROR(IF(FIND(CS$1,$W20)&gt;0,IF(INDEX(Product_Pricing_Table[],MATCH(CS$1,Products,0),2)="Cores",IF(HostBuild[Use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0" s="552">
        <f>IFERROR(IF(FIND(CT$1,$W20)&gt;0,IF(INDEX(Product_Pricing_Table[],MATCH(CT$1,Products,0),2)="Cores",IF(HostBuild[Use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0" s="552">
        <f>IFERROR(IF(FIND(CU$1,$W20)&gt;0,IF(INDEX(Product_Pricing_Table[],MATCH(CU$1,Products,0),2)="Cores",IF(HostBuild[Use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0" s="552">
        <f>IFERROR(IF(FIND(CV$1,$W20)&gt;0,IF(INDEX(Product_Pricing_Table[],MATCH(CV$1,Products,0),2)="Cores",IF(HostBuild[Use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0" s="552">
        <f>IFERROR(IF(FIND(CW$1,$W20)&gt;0,IF(INDEX(Product_Pricing_Table[],MATCH(CW$1,Products,0),2)="Cores",IF(HostBuild[Use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0" s="552">
        <f>IFERROR(IF(FIND(CX$1,$W20)&gt;0,IF(INDEX(Product_Pricing_Table[],MATCH(CX$1,Products,0),2)="Cores",IF(HostBuild[Use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0" s="552">
        <f>IFERROR(IF(FIND(CY$1,$W20)&gt;0,IF(INDEX(Product_Pricing_Table[],MATCH(CY$1,Products,0),2)="Cores",IF(HostBuild[Use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0" s="552">
        <f>IFERROR(IF(FIND(CZ$1,$W20)&gt;0,IF(INDEX(Product_Pricing_Table[],MATCH(CZ$1,Products,0),2)="Cores",IF(HostBuild[Use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0" s="552">
        <f>IFERROR(IF(FIND(DA$1,$W20)&gt;0,IF(INDEX(Product_Pricing_Table[],MATCH(DA$1,Products,0),2)="Cores",IF(HostBuild[Use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0" s="552">
        <f>IFERROR(IF(FIND(DB$1,$W20)&gt;0,IF(INDEX(Product_Pricing_Table[],MATCH(DB$1,Products,0),2)="Cores",IF(HostBuild[Use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0" s="552">
        <f>IFERROR(IF(FIND(DC$1,$W20)&gt;0,IF(INDEX(Product_Pricing_Table[],MATCH(DC$1,Products,0),2)="Cores",IF(HostBuild[Use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0" s="552">
        <f>IFERROR(IF(FIND(DD$1,$W20)&gt;0,IF(INDEX(Product_Pricing_Table[],MATCH(DD$1,Products,0),2)="Cores",IF(HostBuild[Use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0" s="552">
        <f>IFERROR(IF(FIND(DE$1,$W20)&gt;0,IF(INDEX(Product_Pricing_Table[],MATCH(DE$1,Products,0),2)="Cores",IF(HostBuild[Use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0" s="553">
        <f>IFERROR(IF(FIND(DF$1,$W20)&gt;0,IF(INDEX(Product_Pricing_Table[],MATCH(DF$1,Products,0),2)="Cores",IF(HostBuild[Use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0" s="553">
        <f>IFERROR(IF(FIND(DG$1,$W20)&gt;0,IF(INDEX(Product_Pricing_Table[],MATCH(DG$1,Products,0),2)="Cores",IF(HostBuild[Use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0" s="552">
        <f>IFERROR(IF(FIND(DH$1,$W20)&gt;0,IF(INDEX(Product_Pricing_Table[],MATCH(DH$1,Products,0),2)="Cores",IF(HostBuild[Use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0" s="553">
        <f>IFERROR(IF(FIND(DI$1,$W20)&gt;0,IF(INDEX(Product_Pricing_Table[],MATCH(DI$1,Products,0),2)="Cores",IF(HostBuild[Use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0" s="552">
        <f>IFERROR(IF(FIND(DJ$1,$W20)&gt;0,IF(INDEX(Product_Pricing_Table[],MATCH(DJ$1,Products,0),2)="Cores",IF(HostBuild[Use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0" s="552">
        <f>IFERROR(IF(FIND(DK$1,$W20)&gt;0,IF(INDEX(Product_Pricing_Table[],MATCH(DK$1,Products,0),2)="Cores",IF(HostBuild[Use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0" s="552">
        <f>IFERROR(IF(FIND(DL$1,$W20)&gt;0,IF(INDEX(Product_Pricing_Table[],MATCH(DL$1,Products,0),2)="Cores",IF(HostBuild[Use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0" s="552">
        <f>IFERROR(IF(FIND(DM$1,$W20)&gt;0,IF(INDEX(Product_Pricing_Table[],MATCH(DM$1,Products,0),2)="Cores",IF(HostBuild[Use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0" s="552">
        <f>IFERROR(IF(FIND(DN$1,$W20)&gt;0,IF(INDEX(Product_Pricing_Table[],MATCH(DN$1,Products,0),2)="Cores",IF(HostBuild[Use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0" s="552">
        <f>IFERROR(IF(FIND(DO$1,$W20)&gt;0,IF(INDEX(Product_Pricing_Table[],MATCH(DO$1,Products,0),2)="Cores",IF(HostBuild[Use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0" s="552">
        <f>IFERROR(IF(FIND(DP$1,$W20)&gt;0,IF(INDEX(Product_Pricing_Table[],MATCH(DP$1,Products,0),2)="Cores",IF(HostBuild[Use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0" s="552">
        <f>IFERROR(IF(FIND(DQ$1,$W20)&gt;0,IF(INDEX(Product_Pricing_Table[],MATCH(DQ$1,Products,0),2)="Cores",IF(HostBuild[Use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0" s="552">
        <f>IFERROR(IF(FIND(DR$1,$W20)&gt;0,IF(INDEX(Product_Pricing_Table[],MATCH(DR$1,Products,0),2)="Cores",IF(HostBuild[Use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0" s="552">
        <f>IFERROR(IF(FIND(DS$1,$W20)&gt;0,IF(INDEX(Product_Pricing_Table[],MATCH(DS$1,Products,0),2)="Cores",IF(HostBuild[Use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0" s="552">
        <f>IFERROR(IF(FIND(DT$1,$W20)&gt;0,IF(INDEX(Product_Pricing_Table[],MATCH(DT$1,Products,0),2)="Cores",IF(HostBuild[Use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0" s="552">
        <f>IFERROR(IF(FIND(DU$1,$W20)&gt;0,IF(INDEX(Product_Pricing_Table[],MATCH(DU$1,Products,0),2)="Cores",IF(HostBuild[Use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0" s="552">
        <f>IFERROR(IF(FIND(DV$1,$W20)&gt;0,IF(INDEX(Product_Pricing_Table[],MATCH(DV$1,Products,0),2)="Cores",IF(HostBuild[Use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0" s="552">
        <f>IFERROR(IF(FIND(DW$1,$W20)&gt;0,IF(INDEX(Product_Pricing_Table[],MATCH(DW$1,Products,0),2)="Cores",IF(HostBuild[Use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0" s="552">
        <f>IFERROR(IF(FIND(DX$1,$W20)&gt;0,IF(INDEX(Product_Pricing_Table[],MATCH(DX$1,Products,0),2)="Cores",IF(HostBuild[Use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0" s="552">
        <f>IFERROR(IF(FIND(DY$1,$W20)&gt;0,IF(INDEX(Product_Pricing_Table[],MATCH(DY$1,Products,0),2)="Cores",IF(HostBuild[Use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0" s="552">
        <f>IFERROR(IF(FIND(DZ$1,$W20)&gt;0,IF(INDEX(Product_Pricing_Table[],MATCH(DZ$1,Products,0),2)="Cores",IF(HostBuild[Use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0" s="552">
        <f>IFERROR(IF(FIND(EA$1,$W20)&gt;0,IF(INDEX(Product_Pricing_Table[],MATCH(EA$1,Products,0),2)="Cores",IF(HostBuild[Use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0" s="552">
        <f>IFERROR(IF(FIND(EB$1,$W20)&gt;0,IF(INDEX(Product_Pricing_Table[],MATCH(EB$1,Products,0),2)="Cores",IF(HostBuild[Use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0" s="553">
        <f>IFERROR(IF(FIND(EC$1,$W20)&gt;0,IF(INDEX(Product_Pricing_Table[],MATCH(EC$1,Products,0),2)="Cores",IF(HostBuild[Use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0" s="552">
        <f>IFERROR(IF(FIND(ED$1,$W20)&gt;0,IF(INDEX(Product_Pricing_Table[],MATCH(ED$1,Products,0),2)="Cores",IF(HostBuild[Use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0" s="552">
        <f>IFERROR(IF(FIND(EE$1,$W20)&gt;0,IF(INDEX(Product_Pricing_Table[],MATCH(EE$1,Products,0),2)="Cores",IF(HostBuild[Use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0" s="552">
        <f>IFERROR(IF(FIND(EF$1,$W20)&gt;0,IF(INDEX(Product_Pricing_Table[],MATCH(EF$1,Products,0),2)="Cores",IF(HostBuild[Use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0" s="552">
        <f>IFERROR(IF(FIND(EG$1,$W20)&gt;0,IF(INDEX(Product_Pricing_Table[],MATCH(EG$1,Products,0),2)="Cores",IF(HostBuild[Use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0" s="552">
        <f>IFERROR(IF(FIND(EH$1,$W20)&gt;0,IF(INDEX(Product_Pricing_Table[],MATCH(EH$1,Products,0),2)="Cores",IF(HostBuild[Use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0" s="552">
        <f>IFERROR(IF(FIND(EI$1,$W20)&gt;0,IF(INDEX(Product_Pricing_Table[],MATCH(EI$1,Products,0),2)="Cores",IF(HostBuild[Use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0" s="552">
        <f>IFERROR(IF(FIND(EJ$1,$W20)&gt;0,IF(INDEX(Product_Pricing_Table[],MATCH(EJ$1,Products,0),2)="Cores",IF(HostBuild[Use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0" s="553">
        <f>IFERROR(IF(FIND(EK$1,$W20)&gt;0,IF(INDEX(Product_Pricing_Table[],MATCH(EK$1,Products,0),2)="Cores",IF(HostBuild[Use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0" s="554"/>
      <c r="EM20" s="555"/>
      <c r="EN20" s="556"/>
      <c r="EO2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0" s="558">
        <f>(HostBuild[Archive
Full (GB)]+HostBuild[Archive
Incr (GB)])*Storage_DC_Dist_Tape_2014</f>
        <v>33.910624999999996</v>
      </c>
      <c r="ER20" s="558">
        <f>IF(ISNUMBER(HostBuild[Server HW Costs
(Monthly)]),SUM(HostBuild[[#This Row],[Server HW Costs
(Monthly)]:[Tape Costs
(Monthly)]]),0)</f>
        <v>1398.400625</v>
      </c>
      <c r="ES20" s="559">
        <f>HostBuild[Software Costs
'[Year 1']
(Monthly)]+HostBuild[Total Hardware Costs
(Monthly)]</f>
        <v>1398.400625</v>
      </c>
      <c r="ET20" s="559">
        <f>IFERROR(IF(FIND("Safenet",HostBuild[Server Model]),Safenet_PSE_PL600_Maint,0),0)+IFERROR(IF(FIND("XI52",HostBuild[Server Model]),IBM_DIA_XI52_Maint,0),0)+HostBuild[Software Costs
'[After Year 1']
(Monthly)]+HostBuild[Total Hardware Costs
(Monthly)]</f>
        <v>1398.400625</v>
      </c>
      <c r="EU20" s="560">
        <f>SUM(HostBuild[[#This Row],[Server Cost Breakdown]:[Network Cost]])</f>
        <v>1003.9</v>
      </c>
      <c r="EV20" s="561">
        <f>IF(HostBuild[Existing Server?]="Yes - Inside this BoM",0,SUMIF(HostBuild[Alias],HostBuild[Alias],HostBuild[CPU])+SUMIF(HostBuild[Alias],HostBuild[Alias],HostBuild[Existing CPUs]))</f>
        <v>2</v>
      </c>
      <c r="EW20" s="561">
        <f>IF(HostBuild[Existing Server?]="Yes - Inside this BoM",0,SUMIF(HostBuild[Alias],HostBuild[Alias],HostBuild[Cores 
(Licensed Units)])+SUMIF(HostBuild[Alias],HostBuild[Alias],HostBuild[Existing Cores]))</f>
        <v>16</v>
      </c>
      <c r="EX20" s="561">
        <f>IF(HostBuild[Existing Server?]="Yes - Inside this BoM",0,SUMIF(HostBuild[Alias],HostBuild[Alias],HostBuild[RAM 
(GB)])+SUMIF(HostBuild[Alias],HostBuild[Alias],HostBuild[Existing RAM (GB)]))</f>
        <v>256</v>
      </c>
      <c r="EY2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0" s="560">
        <f>IF(ISBLANK(HostBuild[Server Model]),0,IF(HostBuild[Server Tier]="VMware",0,VLOOKUP(HostBuild[Server Tier],ServerTierRates[#Data],2,0))*HostBuild[CPU]*IF(AND(HostBuild[Server Type]="pSeries",HostBuild[Virtual Platform Storage Type]="Cloud-SAN"),0.25,1))</f>
        <v>608</v>
      </c>
      <c r="FD20" s="560">
        <f>0</f>
        <v>0</v>
      </c>
      <c r="FE20" s="560">
        <f>IF(HostBuild[Server Type]="VMware",HostBuild[RAM 
(GB)]*IF(ISERROR(FIND("DevCloud", HostBuild[Server Model])&gt;0),vRAM_per_vCPU_2014_Monthly,vRAM_per_vCPU_2014_Daily*30),0)</f>
        <v>0</v>
      </c>
      <c r="FF2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0" s="563">
        <f>IF(HostBuild[Server Tier]="VMware",0,IF(LEFT(HostBuild[Existing Server?],3)="Yes",0,IF(OR(HostBuild[Server Type]="Sun",HostBuild[Server Type]="pSeries"),Support_Direct_Server_Sun_per_OS_2014,IF(HostBuild[Server Type]="x86",Support_Direct_Server_x86_Wintel_per_OS_2014,0))))</f>
        <v>187.1</v>
      </c>
      <c r="FI2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1" spans="1:165" s="139" customFormat="1">
      <c r="A21" s="360" t="s">
        <v>3942</v>
      </c>
      <c r="B21" s="521"/>
      <c r="C21" s="521"/>
      <c r="D21" s="521"/>
      <c r="E21" s="522"/>
      <c r="F21" s="522"/>
      <c r="G21" s="597"/>
      <c r="H21" s="597"/>
      <c r="I21" s="523"/>
      <c r="J21" s="522"/>
      <c r="K21" s="522"/>
      <c r="L21" s="522"/>
      <c r="M21" s="597" t="e">
        <f ca="1">IF(rngIsDate(HostBuild[CTO Acceptance]),"Y","N")</f>
        <v>#NAME?</v>
      </c>
      <c r="N21" s="361" t="s">
        <v>3938</v>
      </c>
      <c r="O21" s="525"/>
      <c r="P21" s="525"/>
      <c r="Q21" s="361" t="s">
        <v>79</v>
      </c>
      <c r="R21" s="526" t="str">
        <f>IF(NOT(ISBLANK(HostBuild[Env Label])),IFERROR(VLOOKUP(HostBuild[Env Label],tEnv[],3,FALSE),""),"")</f>
        <v>PROD</v>
      </c>
      <c r="S21" s="598"/>
      <c r="T21" s="527"/>
      <c r="U21" s="599"/>
      <c r="V21" s="524" t="s">
        <v>4006</v>
      </c>
      <c r="W21" s="524" t="s">
        <v>3941</v>
      </c>
      <c r="X21" s="524" t="s">
        <v>35</v>
      </c>
      <c r="Y21" s="361" t="s">
        <v>481</v>
      </c>
      <c r="Z21" s="526" t="str">
        <f>IF(NOT(ISBLANK(HostBuild[[#This Row],[Product 
(Acronym)]])),CONCATENATE(HostBuild[[#This Row],[Type]],"-",HostBuild[[#This Row],[Product 
(Acronym)]]),"")</f>
        <v>AP-ESB</v>
      </c>
      <c r="AA21" s="600"/>
      <c r="AB21" s="600" t="s">
        <v>105</v>
      </c>
      <c r="AC21" s="528"/>
      <c r="AD21" s="529"/>
      <c r="AE21" s="529"/>
      <c r="AF21" s="530"/>
      <c r="AG21" s="531"/>
      <c r="AH21" s="601"/>
      <c r="AI21" s="362" t="s">
        <v>3954</v>
      </c>
      <c r="AJ21" s="524">
        <f>IF(COUNTIF(HostBuild[Alias],HostBuild[Alias]),1/COUNTIF(HostBuild[Alias],HostBuild[Alias]),0)</f>
        <v>1</v>
      </c>
      <c r="AK21" s="531"/>
      <c r="AL21" s="531"/>
      <c r="AM21" s="532" t="s">
        <v>2173</v>
      </c>
      <c r="AN21" s="533" t="str">
        <f>IF(NOT(ISBLANK(HostBuild[Server Model])),VLOOKUP(HostBuild[Server Model],ServerModelsTier[],2,FALSE),"")</f>
        <v>x86 Tier 3</v>
      </c>
      <c r="AO21" s="533" t="str">
        <f>IF(NOT(ISBLANK(HostBuild[Server Model])),VLOOKUP(HostBuild[Server Model],ServerModelsTier[],5,FALSE),"")</f>
        <v>x86</v>
      </c>
      <c r="AP21" s="532"/>
      <c r="AQ21" s="532" t="s">
        <v>2337</v>
      </c>
      <c r="AR21" s="534">
        <v>2</v>
      </c>
      <c r="AS21" s="602"/>
      <c r="AT21" s="535">
        <v>16</v>
      </c>
      <c r="AU21" s="603" t="str">
        <f>IF(IFERROR(FIND("P-Series",HostBuild[Server Tier]),0),CEILING((HostBuild[Existing CPUs]+HostBuild[CPU])*16,8),"")</f>
        <v/>
      </c>
      <c r="AV21" s="536">
        <v>256</v>
      </c>
      <c r="AW21" s="531"/>
      <c r="AX21" s="531"/>
      <c r="AY21" s="531"/>
      <c r="AZ21" s="537"/>
      <c r="BA21" s="531"/>
      <c r="BB21" s="531"/>
      <c r="BC21" s="529"/>
      <c r="BD21" s="531"/>
      <c r="BE21" s="531"/>
      <c r="BF21" s="531"/>
      <c r="BG21" s="531"/>
      <c r="BH21" s="531"/>
      <c r="BI21" s="531"/>
      <c r="BJ21" s="531"/>
      <c r="BK21"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21" s="538"/>
      <c r="BM21" s="540">
        <f>IF(ISNUMBER(HostBuild[Recommended SAN (GB)]),HostBuild[Recommended SAN (GB)])+IF(HostBuild[Additional SAN (GB)]&gt;0,CEILING(HostBuild[Additional SAN (GB)],LUN),-(CEILING(-HostBuild[Additional SAN (GB)],LUN)))</f>
        <v>337</v>
      </c>
      <c r="BN21" s="539"/>
      <c r="BO21" s="540">
        <f>HostBuild[SAN (GB)
NEEDED TODAY]+CEILING(HostBuild[SAN (GB)
RESERVED
DO NOT USE TO BUILD], LUN)</f>
        <v>337</v>
      </c>
      <c r="BP21" s="541"/>
      <c r="BQ21" s="542"/>
      <c r="BR21" s="432" t="s">
        <v>106</v>
      </c>
      <c r="BS21" s="605">
        <f>IF(HostBuild[Existing Server?]&lt;&gt;"Yes - Inside this BoM",IF(ISNUMBER(HostBuild[RAM 
(GB)]),IF(HostBuild[Existing RAM (GB)]+HostBuild[RAM 
(GB)]&gt;0,IF(HostBuild[Virtual Platform Storage Type]="NAS",110+HostBuild[Existing RAM (GB)]+HostBuild[RAM 
(GB)]*1.75,0),0),0),0)</f>
        <v>0</v>
      </c>
      <c r="BT21" s="606"/>
      <c r="BU21" s="607">
        <f>IF(ISNUMBER(HostBuild[Recommended NAS (GB)]),HostBuild[Recommended NAS (GB)])+HostBuild[Additional NAS (GB)]</f>
        <v>0</v>
      </c>
      <c r="BV21" s="543"/>
      <c r="BW21" s="543"/>
      <c r="BX21" s="604">
        <f>IFERROR((HostBuild[SAN (GB)
End-State
DO NOT USE TO BUILD]+HostBuild[SAN (GB) Shared])*25%,"")</f>
        <v>84.25</v>
      </c>
      <c r="BY21" s="608">
        <f>IFERROR(HostBuild[Archive
Full (GB)]*15%,"")</f>
        <v>12.637499999999999</v>
      </c>
      <c r="BZ21" s="544"/>
      <c r="CA21" s="544"/>
      <c r="CB21" s="545"/>
      <c r="CC21" s="546"/>
      <c r="CD21" s="545"/>
      <c r="CE21" s="547"/>
      <c r="CF21" s="539"/>
      <c r="CG21" s="609"/>
      <c r="CH21" s="548"/>
      <c r="CI21" s="549"/>
      <c r="CJ21" s="550" t="s">
        <v>4128</v>
      </c>
      <c r="CK21" s="551"/>
      <c r="CL21" s="552">
        <f>IFERROR(IF(FIND(CL$1,$W21)&gt;0,IF(INDEX(Product_Pricing_Table[],MATCH(CL$1,Products,0),2)="Cores",IF(HostBuild[Use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1" s="552">
        <f>IFERROR(IF(FIND(CM$1,$W21)&gt;0,IF(INDEX(Product_Pricing_Table[],MATCH(CM$1,Products,0),2)="Cores",IF(HostBuild[Use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1" s="552">
        <f>IFERROR(IF(FIND(CN$1,$W21)&gt;0,IF(INDEX(Product_Pricing_Table[],MATCH(CN$1,Products,0),2)="Cores",IF(HostBuild[Use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1" s="552">
        <f>IFERROR(IF(FIND(CO$1,$W21)&gt;0,IF(INDEX(Product_Pricing_Table[],MATCH(CO$1,Products,0),2)="Cores",IF(HostBuild[Use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1" s="552">
        <f>IFERROR(IF(FIND(CP$1,$W21)&gt;0,IF(INDEX(Product_Pricing_Table[],MATCH(CP$1,Products,0),2)="Cores",IF(HostBuild[Use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1" s="552">
        <f>IFERROR(IF(FIND(CQ$1,$W21)&gt;0,IF(INDEX(Product_Pricing_Table[],MATCH(CQ$1,Products,0),2)="Cores",IF(HostBuild[Use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1" s="552">
        <f>IFERROR(IF(FIND(CR$1,$W21)&gt;0,IF(INDEX(Product_Pricing_Table[],MATCH(CR$1,Products,0),2)="Cores",IF(HostBuild[Use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1" s="552">
        <f>IFERROR(IF(FIND(CS$1,$W21)&gt;0,IF(INDEX(Product_Pricing_Table[],MATCH(CS$1,Products,0),2)="Cores",IF(HostBuild[Use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1" s="552">
        <f>IFERROR(IF(FIND(CT$1,$W21)&gt;0,IF(INDEX(Product_Pricing_Table[],MATCH(CT$1,Products,0),2)="Cores",IF(HostBuild[Use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1" s="552">
        <f>IFERROR(IF(FIND(CU$1,$W21)&gt;0,IF(INDEX(Product_Pricing_Table[],MATCH(CU$1,Products,0),2)="Cores",IF(HostBuild[Use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1" s="552">
        <f>IFERROR(IF(FIND(CV$1,$W21)&gt;0,IF(INDEX(Product_Pricing_Table[],MATCH(CV$1,Products,0),2)="Cores",IF(HostBuild[Use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1" s="552">
        <f>IFERROR(IF(FIND(CW$1,$W21)&gt;0,IF(INDEX(Product_Pricing_Table[],MATCH(CW$1,Products,0),2)="Cores",IF(HostBuild[Use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1" s="552">
        <f>IFERROR(IF(FIND(CX$1,$W21)&gt;0,IF(INDEX(Product_Pricing_Table[],MATCH(CX$1,Products,0),2)="Cores",IF(HostBuild[Use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1" s="552">
        <f>IFERROR(IF(FIND(CY$1,$W21)&gt;0,IF(INDEX(Product_Pricing_Table[],MATCH(CY$1,Products,0),2)="Cores",IF(HostBuild[Use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1" s="552">
        <f>IFERROR(IF(FIND(CZ$1,$W21)&gt;0,IF(INDEX(Product_Pricing_Table[],MATCH(CZ$1,Products,0),2)="Cores",IF(HostBuild[Use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1" s="552">
        <f>IFERROR(IF(FIND(DA$1,$W21)&gt;0,IF(INDEX(Product_Pricing_Table[],MATCH(DA$1,Products,0),2)="Cores",IF(HostBuild[Use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1" s="552">
        <f>IFERROR(IF(FIND(DB$1,$W21)&gt;0,IF(INDEX(Product_Pricing_Table[],MATCH(DB$1,Products,0),2)="Cores",IF(HostBuild[Use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1" s="552">
        <f>IFERROR(IF(FIND(DC$1,$W21)&gt;0,IF(INDEX(Product_Pricing_Table[],MATCH(DC$1,Products,0),2)="Cores",IF(HostBuild[Use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1" s="552">
        <f>IFERROR(IF(FIND(DD$1,$W21)&gt;0,IF(INDEX(Product_Pricing_Table[],MATCH(DD$1,Products,0),2)="Cores",IF(HostBuild[Use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1" s="552">
        <f>IFERROR(IF(FIND(DE$1,$W21)&gt;0,IF(INDEX(Product_Pricing_Table[],MATCH(DE$1,Products,0),2)="Cores",IF(HostBuild[Use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1" s="553">
        <f>IFERROR(IF(FIND(DF$1,$W21)&gt;0,IF(INDEX(Product_Pricing_Table[],MATCH(DF$1,Products,0),2)="Cores",IF(HostBuild[Use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1" s="553">
        <f>IFERROR(IF(FIND(DG$1,$W21)&gt;0,IF(INDEX(Product_Pricing_Table[],MATCH(DG$1,Products,0),2)="Cores",IF(HostBuild[Use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1" s="552">
        <f>IFERROR(IF(FIND(DH$1,$W21)&gt;0,IF(INDEX(Product_Pricing_Table[],MATCH(DH$1,Products,0),2)="Cores",IF(HostBuild[Use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1" s="553">
        <f>IFERROR(IF(FIND(DI$1,$W21)&gt;0,IF(INDEX(Product_Pricing_Table[],MATCH(DI$1,Products,0),2)="Cores",IF(HostBuild[Use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1" s="552">
        <f>IFERROR(IF(FIND(DJ$1,$W21)&gt;0,IF(INDEX(Product_Pricing_Table[],MATCH(DJ$1,Products,0),2)="Cores",IF(HostBuild[Use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1" s="552">
        <f>IFERROR(IF(FIND(DK$1,$W21)&gt;0,IF(INDEX(Product_Pricing_Table[],MATCH(DK$1,Products,0),2)="Cores",IF(HostBuild[Use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1" s="552">
        <f>IFERROR(IF(FIND(DL$1,$W21)&gt;0,IF(INDEX(Product_Pricing_Table[],MATCH(DL$1,Products,0),2)="Cores",IF(HostBuild[Use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1" s="552">
        <f>IFERROR(IF(FIND(DM$1,$W21)&gt;0,IF(INDEX(Product_Pricing_Table[],MATCH(DM$1,Products,0),2)="Cores",IF(HostBuild[Use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1" s="552">
        <f>IFERROR(IF(FIND(DN$1,$W21)&gt;0,IF(INDEX(Product_Pricing_Table[],MATCH(DN$1,Products,0),2)="Cores",IF(HostBuild[Use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1" s="552">
        <f>IFERROR(IF(FIND(DO$1,$W21)&gt;0,IF(INDEX(Product_Pricing_Table[],MATCH(DO$1,Products,0),2)="Cores",IF(HostBuild[Use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1" s="552">
        <f>IFERROR(IF(FIND(DP$1,$W21)&gt;0,IF(INDEX(Product_Pricing_Table[],MATCH(DP$1,Products,0),2)="Cores",IF(HostBuild[Use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1" s="552">
        <f>IFERROR(IF(FIND(DQ$1,$W21)&gt;0,IF(INDEX(Product_Pricing_Table[],MATCH(DQ$1,Products,0),2)="Cores",IF(HostBuild[Use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1" s="552">
        <f>IFERROR(IF(FIND(DR$1,$W21)&gt;0,IF(INDEX(Product_Pricing_Table[],MATCH(DR$1,Products,0),2)="Cores",IF(HostBuild[Use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1" s="552">
        <f>IFERROR(IF(FIND(DS$1,$W21)&gt;0,IF(INDEX(Product_Pricing_Table[],MATCH(DS$1,Products,0),2)="Cores",IF(HostBuild[Use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1" s="552">
        <f>IFERROR(IF(FIND(DT$1,$W21)&gt;0,IF(INDEX(Product_Pricing_Table[],MATCH(DT$1,Products,0),2)="Cores",IF(HostBuild[Use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1" s="552">
        <f>IFERROR(IF(FIND(DU$1,$W21)&gt;0,IF(INDEX(Product_Pricing_Table[],MATCH(DU$1,Products,0),2)="Cores",IF(HostBuild[Use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1" s="552">
        <f>IFERROR(IF(FIND(DV$1,$W21)&gt;0,IF(INDEX(Product_Pricing_Table[],MATCH(DV$1,Products,0),2)="Cores",IF(HostBuild[Use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1" s="552">
        <f>IFERROR(IF(FIND(DW$1,$W21)&gt;0,IF(INDEX(Product_Pricing_Table[],MATCH(DW$1,Products,0),2)="Cores",IF(HostBuild[Use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1" s="552">
        <f>IFERROR(IF(FIND(DX$1,$W21)&gt;0,IF(INDEX(Product_Pricing_Table[],MATCH(DX$1,Products,0),2)="Cores",IF(HostBuild[Use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1" s="552">
        <f>IFERROR(IF(FIND(DY$1,$W21)&gt;0,IF(INDEX(Product_Pricing_Table[],MATCH(DY$1,Products,0),2)="Cores",IF(HostBuild[Use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1" s="552">
        <f>IFERROR(IF(FIND(DZ$1,$W21)&gt;0,IF(INDEX(Product_Pricing_Table[],MATCH(DZ$1,Products,0),2)="Cores",IF(HostBuild[Use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1" s="552">
        <f>IFERROR(IF(FIND(EA$1,$W21)&gt;0,IF(INDEX(Product_Pricing_Table[],MATCH(EA$1,Products,0),2)="Cores",IF(HostBuild[Use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1" s="552">
        <f>IFERROR(IF(FIND(EB$1,$W21)&gt;0,IF(INDEX(Product_Pricing_Table[],MATCH(EB$1,Products,0),2)="Cores",IF(HostBuild[Use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1" s="553">
        <f>IFERROR(IF(FIND(EC$1,$W21)&gt;0,IF(INDEX(Product_Pricing_Table[],MATCH(EC$1,Products,0),2)="Cores",IF(HostBuild[Use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1" s="552">
        <f>IFERROR(IF(FIND(ED$1,$W21)&gt;0,IF(INDEX(Product_Pricing_Table[],MATCH(ED$1,Products,0),2)="Cores",IF(HostBuild[Use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1" s="552">
        <f>IFERROR(IF(FIND(EE$1,$W21)&gt;0,IF(INDEX(Product_Pricing_Table[],MATCH(EE$1,Products,0),2)="Cores",IF(HostBuild[Use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1" s="552">
        <f>IFERROR(IF(FIND(EF$1,$W21)&gt;0,IF(INDEX(Product_Pricing_Table[],MATCH(EF$1,Products,0),2)="Cores",IF(HostBuild[Use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1" s="552">
        <f>IFERROR(IF(FIND(EG$1,$W21)&gt;0,IF(INDEX(Product_Pricing_Table[],MATCH(EG$1,Products,0),2)="Cores",IF(HostBuild[Use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1" s="552">
        <f>IFERROR(IF(FIND(EH$1,$W21)&gt;0,IF(INDEX(Product_Pricing_Table[],MATCH(EH$1,Products,0),2)="Cores",IF(HostBuild[Use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1" s="552">
        <f>IFERROR(IF(FIND(EI$1,$W21)&gt;0,IF(INDEX(Product_Pricing_Table[],MATCH(EI$1,Products,0),2)="Cores",IF(HostBuild[Use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1" s="552">
        <f>IFERROR(IF(FIND(EJ$1,$W21)&gt;0,IF(INDEX(Product_Pricing_Table[],MATCH(EJ$1,Products,0),2)="Cores",IF(HostBuild[Use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1" s="553">
        <f>IFERROR(IF(FIND(EK$1,$W21)&gt;0,IF(INDEX(Product_Pricing_Table[],MATCH(EK$1,Products,0),2)="Cores",IF(HostBuild[Use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1" s="554"/>
      <c r="EM21" s="555"/>
      <c r="EN21" s="556"/>
      <c r="EO2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1" s="558">
        <f>(HostBuild[Archive
Full (GB)]+HostBuild[Archive
Incr (GB)])*Storage_DC_Dist_Tape_2014</f>
        <v>33.910624999999996</v>
      </c>
      <c r="ER21" s="558">
        <f>IF(ISNUMBER(HostBuild[Server HW Costs
(Monthly)]),SUM(HostBuild[[#This Row],[Server HW Costs
(Monthly)]:[Tape Costs
(Monthly)]]),0)</f>
        <v>1398.400625</v>
      </c>
      <c r="ES21" s="559">
        <f>HostBuild[Software Costs
'[Year 1']
(Monthly)]+HostBuild[Total Hardware Costs
(Monthly)]</f>
        <v>1398.400625</v>
      </c>
      <c r="ET21" s="559">
        <f>IFERROR(IF(FIND("Safenet",HostBuild[Server Model]),Safenet_PSE_PL600_Maint,0),0)+IFERROR(IF(FIND("XI52",HostBuild[Server Model]),IBM_DIA_XI52_Maint,0),0)+HostBuild[Software Costs
'[After Year 1']
(Monthly)]+HostBuild[Total Hardware Costs
(Monthly)]</f>
        <v>1398.400625</v>
      </c>
      <c r="EU21" s="560">
        <f>SUM(HostBuild[[#This Row],[Server Cost Breakdown]:[Network Cost]])</f>
        <v>1003.9</v>
      </c>
      <c r="EV21" s="561">
        <f>IF(HostBuild[Existing Server?]="Yes - Inside this BoM",0,SUMIF(HostBuild[Alias],HostBuild[Alias],HostBuild[CPU])+SUMIF(HostBuild[Alias],HostBuild[Alias],HostBuild[Existing CPUs]))</f>
        <v>2</v>
      </c>
      <c r="EW21" s="561">
        <f>IF(HostBuild[Existing Server?]="Yes - Inside this BoM",0,SUMIF(HostBuild[Alias],HostBuild[Alias],HostBuild[Cores 
(Licensed Units)])+SUMIF(HostBuild[Alias],HostBuild[Alias],HostBuild[Existing Cores]))</f>
        <v>16</v>
      </c>
      <c r="EX21" s="561">
        <f>IF(HostBuild[Existing Server?]="Yes - Inside this BoM",0,SUMIF(HostBuild[Alias],HostBuild[Alias],HostBuild[RAM 
(GB)])+SUMIF(HostBuild[Alias],HostBuild[Alias],HostBuild[Existing RAM (GB)]))</f>
        <v>256</v>
      </c>
      <c r="EY2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1" s="560">
        <f>IF(ISBLANK(HostBuild[Server Model]),0,IF(HostBuild[Server Tier]="VMware",0,VLOOKUP(HostBuild[Server Tier],ServerTierRates[#Data],2,0))*HostBuild[CPU]*IF(AND(HostBuild[Server Type]="pSeries",HostBuild[Virtual Platform Storage Type]="Cloud-SAN"),0.25,1))</f>
        <v>608</v>
      </c>
      <c r="FD21" s="560">
        <f>0</f>
        <v>0</v>
      </c>
      <c r="FE21" s="560">
        <f>IF(HostBuild[Server Type]="VMware",HostBuild[RAM 
(GB)]*IF(ISERROR(FIND("DevCloud", HostBuild[Server Model])&gt;0),vRAM_per_vCPU_2014_Monthly,vRAM_per_vCPU_2014_Daily*30),0)</f>
        <v>0</v>
      </c>
      <c r="FF2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1" s="563">
        <f>IF(HostBuild[Server Tier]="VMware",0,IF(LEFT(HostBuild[Existing Server?],3)="Yes",0,IF(OR(HostBuild[Server Type]="Sun",HostBuild[Server Type]="pSeries"),Support_Direct_Server_Sun_per_OS_2014,IF(HostBuild[Server Type]="x86",Support_Direct_Server_x86_Wintel_per_OS_2014,0))))</f>
        <v>187.1</v>
      </c>
      <c r="FI2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2" spans="1:165" s="139" customFormat="1">
      <c r="A22" s="360" t="s">
        <v>3942</v>
      </c>
      <c r="B22" s="521"/>
      <c r="C22" s="521"/>
      <c r="D22" s="521"/>
      <c r="E22" s="522"/>
      <c r="F22" s="522"/>
      <c r="G22" s="597"/>
      <c r="H22" s="597"/>
      <c r="I22" s="523"/>
      <c r="J22" s="522"/>
      <c r="K22" s="522"/>
      <c r="L22" s="522"/>
      <c r="M22" s="597" t="e">
        <f ca="1">IF(rngIsDate(HostBuild[CTO Acceptance]),"Y","N")</f>
        <v>#NAME?</v>
      </c>
      <c r="N22" s="361" t="s">
        <v>3938</v>
      </c>
      <c r="O22" s="525"/>
      <c r="P22" s="525"/>
      <c r="Q22" s="361" t="s">
        <v>79</v>
      </c>
      <c r="R22" s="526" t="str">
        <f>IF(NOT(ISBLANK(HostBuild[Env Label])),IFERROR(VLOOKUP(HostBuild[Env Label],tEnv[],3,FALSE),""),"")</f>
        <v>PROD</v>
      </c>
      <c r="S22" s="598"/>
      <c r="T22" s="527"/>
      <c r="U22" s="599"/>
      <c r="V22" s="524" t="s">
        <v>4006</v>
      </c>
      <c r="W22" s="524" t="s">
        <v>3941</v>
      </c>
      <c r="X22" s="524" t="s">
        <v>35</v>
      </c>
      <c r="Y22" s="361" t="s">
        <v>481</v>
      </c>
      <c r="Z22" s="526" t="str">
        <f>IF(NOT(ISBLANK(HostBuild[[#This Row],[Product 
(Acronym)]])),CONCATENATE(HostBuild[[#This Row],[Type]],"-",HostBuild[[#This Row],[Product 
(Acronym)]]),"")</f>
        <v>AP-ESB</v>
      </c>
      <c r="AA22" s="600"/>
      <c r="AB22" s="600" t="s">
        <v>105</v>
      </c>
      <c r="AC22" s="528"/>
      <c r="AD22" s="529"/>
      <c r="AE22" s="529"/>
      <c r="AF22" s="530"/>
      <c r="AG22" s="531"/>
      <c r="AH22" s="601"/>
      <c r="AI22" s="362" t="s">
        <v>3955</v>
      </c>
      <c r="AJ22" s="524">
        <f>IF(COUNTIF(HostBuild[Alias],HostBuild[Alias]),1/COUNTIF(HostBuild[Alias],HostBuild[Alias]),0)</f>
        <v>1</v>
      </c>
      <c r="AK22" s="531"/>
      <c r="AL22" s="531"/>
      <c r="AM22" s="532" t="s">
        <v>2173</v>
      </c>
      <c r="AN22" s="533" t="str">
        <f>IF(NOT(ISBLANK(HostBuild[Server Model])),VLOOKUP(HostBuild[Server Model],ServerModelsTier[],2,FALSE),"")</f>
        <v>x86 Tier 3</v>
      </c>
      <c r="AO22" s="533" t="str">
        <f>IF(NOT(ISBLANK(HostBuild[Server Model])),VLOOKUP(HostBuild[Server Model],ServerModelsTier[],5,FALSE),"")</f>
        <v>x86</v>
      </c>
      <c r="AP22" s="532"/>
      <c r="AQ22" s="532" t="s">
        <v>2337</v>
      </c>
      <c r="AR22" s="534">
        <v>2</v>
      </c>
      <c r="AS22" s="602"/>
      <c r="AT22" s="535">
        <v>16</v>
      </c>
      <c r="AU22" s="603" t="str">
        <f>IF(IFERROR(FIND("P-Series",HostBuild[Server Tier]),0),CEILING((HostBuild[Existing CPUs]+HostBuild[CPU])*16,8),"")</f>
        <v/>
      </c>
      <c r="AV22" s="536">
        <v>256</v>
      </c>
      <c r="AW22" s="531"/>
      <c r="AX22" s="531"/>
      <c r="AY22" s="531"/>
      <c r="AZ22" s="537"/>
      <c r="BA22" s="531"/>
      <c r="BB22" s="531"/>
      <c r="BC22" s="529"/>
      <c r="BD22" s="531"/>
      <c r="BE22" s="531"/>
      <c r="BF22" s="531"/>
      <c r="BG22" s="531"/>
      <c r="BH22" s="531"/>
      <c r="BI22" s="531"/>
      <c r="BJ22" s="531"/>
      <c r="BK22"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22" s="538"/>
      <c r="BM22" s="540">
        <f>IF(ISNUMBER(HostBuild[Recommended SAN (GB)]),HostBuild[Recommended SAN (GB)])+IF(HostBuild[Additional SAN (GB)]&gt;0,CEILING(HostBuild[Additional SAN (GB)],LUN),-(CEILING(-HostBuild[Additional SAN (GB)],LUN)))</f>
        <v>337</v>
      </c>
      <c r="BN22" s="539"/>
      <c r="BO22" s="540">
        <f>HostBuild[SAN (GB)
NEEDED TODAY]+CEILING(HostBuild[SAN (GB)
RESERVED
DO NOT USE TO BUILD], LUN)</f>
        <v>337</v>
      </c>
      <c r="BP22" s="541"/>
      <c r="BQ22" s="542"/>
      <c r="BR22" s="432" t="s">
        <v>106</v>
      </c>
      <c r="BS22" s="605">
        <f>IF(HostBuild[Existing Server?]&lt;&gt;"Yes - Inside this BoM",IF(ISNUMBER(HostBuild[RAM 
(GB)]),IF(HostBuild[Existing RAM (GB)]+HostBuild[RAM 
(GB)]&gt;0,IF(HostBuild[Virtual Platform Storage Type]="NAS",110+HostBuild[Existing RAM (GB)]+HostBuild[RAM 
(GB)]*1.75,0),0),0),0)</f>
        <v>0</v>
      </c>
      <c r="BT22" s="606"/>
      <c r="BU22" s="607">
        <f>IF(ISNUMBER(HostBuild[Recommended NAS (GB)]),HostBuild[Recommended NAS (GB)])+HostBuild[Additional NAS (GB)]</f>
        <v>0</v>
      </c>
      <c r="BV22" s="543"/>
      <c r="BW22" s="543"/>
      <c r="BX22" s="604">
        <f>IFERROR((HostBuild[SAN (GB)
End-State
DO NOT USE TO BUILD]+HostBuild[SAN (GB) Shared])*25%,"")</f>
        <v>84.25</v>
      </c>
      <c r="BY22" s="608">
        <f>IFERROR(HostBuild[Archive
Full (GB)]*15%,"")</f>
        <v>12.637499999999999</v>
      </c>
      <c r="BZ22" s="544"/>
      <c r="CA22" s="544"/>
      <c r="CB22" s="545"/>
      <c r="CC22" s="546"/>
      <c r="CD22" s="545"/>
      <c r="CE22" s="547"/>
      <c r="CF22" s="539"/>
      <c r="CG22" s="609"/>
      <c r="CH22" s="548"/>
      <c r="CI22" s="549"/>
      <c r="CJ22" s="550"/>
      <c r="CK22" s="551"/>
      <c r="CL22" s="552">
        <f>IFERROR(IF(FIND(CL$1,$W22)&gt;0,IF(INDEX(Product_Pricing_Table[],MATCH(CL$1,Products,0),2)="Cores",IF(HostBuild[Use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2" s="552">
        <f>IFERROR(IF(FIND(CM$1,$W22)&gt;0,IF(INDEX(Product_Pricing_Table[],MATCH(CM$1,Products,0),2)="Cores",IF(HostBuild[Use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2" s="552">
        <f>IFERROR(IF(FIND(CN$1,$W22)&gt;0,IF(INDEX(Product_Pricing_Table[],MATCH(CN$1,Products,0),2)="Cores",IF(HostBuild[Use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2" s="552">
        <f>IFERROR(IF(FIND(CO$1,$W22)&gt;0,IF(INDEX(Product_Pricing_Table[],MATCH(CO$1,Products,0),2)="Cores",IF(HostBuild[Use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2" s="552">
        <f>IFERROR(IF(FIND(CP$1,$W22)&gt;0,IF(INDEX(Product_Pricing_Table[],MATCH(CP$1,Products,0),2)="Cores",IF(HostBuild[Use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2" s="552">
        <f>IFERROR(IF(FIND(CQ$1,$W22)&gt;0,IF(INDEX(Product_Pricing_Table[],MATCH(CQ$1,Products,0),2)="Cores",IF(HostBuild[Use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2" s="552">
        <f>IFERROR(IF(FIND(CR$1,$W22)&gt;0,IF(INDEX(Product_Pricing_Table[],MATCH(CR$1,Products,0),2)="Cores",IF(HostBuild[Use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2" s="552">
        <f>IFERROR(IF(FIND(CS$1,$W22)&gt;0,IF(INDEX(Product_Pricing_Table[],MATCH(CS$1,Products,0),2)="Cores",IF(HostBuild[Use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2" s="552">
        <f>IFERROR(IF(FIND(CT$1,$W22)&gt;0,IF(INDEX(Product_Pricing_Table[],MATCH(CT$1,Products,0),2)="Cores",IF(HostBuild[Use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2" s="552">
        <f>IFERROR(IF(FIND(CU$1,$W22)&gt;0,IF(INDEX(Product_Pricing_Table[],MATCH(CU$1,Products,0),2)="Cores",IF(HostBuild[Use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2" s="552">
        <f>IFERROR(IF(FIND(CV$1,$W22)&gt;0,IF(INDEX(Product_Pricing_Table[],MATCH(CV$1,Products,0),2)="Cores",IF(HostBuild[Use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2" s="552">
        <f>IFERROR(IF(FIND(CW$1,$W22)&gt;0,IF(INDEX(Product_Pricing_Table[],MATCH(CW$1,Products,0),2)="Cores",IF(HostBuild[Use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2" s="552">
        <f>IFERROR(IF(FIND(CX$1,$W22)&gt;0,IF(INDEX(Product_Pricing_Table[],MATCH(CX$1,Products,0),2)="Cores",IF(HostBuild[Use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2" s="552">
        <f>IFERROR(IF(FIND(CY$1,$W22)&gt;0,IF(INDEX(Product_Pricing_Table[],MATCH(CY$1,Products,0),2)="Cores",IF(HostBuild[Use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2" s="552">
        <f>IFERROR(IF(FIND(CZ$1,$W22)&gt;0,IF(INDEX(Product_Pricing_Table[],MATCH(CZ$1,Products,0),2)="Cores",IF(HostBuild[Use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2" s="552">
        <f>IFERROR(IF(FIND(DA$1,$W22)&gt;0,IF(INDEX(Product_Pricing_Table[],MATCH(DA$1,Products,0),2)="Cores",IF(HostBuild[Use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2" s="552">
        <f>IFERROR(IF(FIND(DB$1,$W22)&gt;0,IF(INDEX(Product_Pricing_Table[],MATCH(DB$1,Products,0),2)="Cores",IF(HostBuild[Use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2" s="552">
        <f>IFERROR(IF(FIND(DC$1,$W22)&gt;0,IF(INDEX(Product_Pricing_Table[],MATCH(DC$1,Products,0),2)="Cores",IF(HostBuild[Use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2" s="552">
        <f>IFERROR(IF(FIND(DD$1,$W22)&gt;0,IF(INDEX(Product_Pricing_Table[],MATCH(DD$1,Products,0),2)="Cores",IF(HostBuild[Use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2" s="552">
        <f>IFERROR(IF(FIND(DE$1,$W22)&gt;0,IF(INDEX(Product_Pricing_Table[],MATCH(DE$1,Products,0),2)="Cores",IF(HostBuild[Use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2" s="553">
        <f>IFERROR(IF(FIND(DF$1,$W22)&gt;0,IF(INDEX(Product_Pricing_Table[],MATCH(DF$1,Products,0),2)="Cores",IF(HostBuild[Use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2" s="553">
        <f>IFERROR(IF(FIND(DG$1,$W22)&gt;0,IF(INDEX(Product_Pricing_Table[],MATCH(DG$1,Products,0),2)="Cores",IF(HostBuild[Use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2" s="552">
        <f>IFERROR(IF(FIND(DH$1,$W22)&gt;0,IF(INDEX(Product_Pricing_Table[],MATCH(DH$1,Products,0),2)="Cores",IF(HostBuild[Use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2" s="553">
        <f>IFERROR(IF(FIND(DI$1,$W22)&gt;0,IF(INDEX(Product_Pricing_Table[],MATCH(DI$1,Products,0),2)="Cores",IF(HostBuild[Use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2" s="552">
        <f>IFERROR(IF(FIND(DJ$1,$W22)&gt;0,IF(INDEX(Product_Pricing_Table[],MATCH(DJ$1,Products,0),2)="Cores",IF(HostBuild[Use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2" s="552">
        <f>IFERROR(IF(FIND(DK$1,$W22)&gt;0,IF(INDEX(Product_Pricing_Table[],MATCH(DK$1,Products,0),2)="Cores",IF(HostBuild[Use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2" s="552">
        <f>IFERROR(IF(FIND(DL$1,$W22)&gt;0,IF(INDEX(Product_Pricing_Table[],MATCH(DL$1,Products,0),2)="Cores",IF(HostBuild[Use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2" s="552">
        <f>IFERROR(IF(FIND(DM$1,$W22)&gt;0,IF(INDEX(Product_Pricing_Table[],MATCH(DM$1,Products,0),2)="Cores",IF(HostBuild[Use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2" s="552">
        <f>IFERROR(IF(FIND(DN$1,$W22)&gt;0,IF(INDEX(Product_Pricing_Table[],MATCH(DN$1,Products,0),2)="Cores",IF(HostBuild[Use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2" s="552">
        <f>IFERROR(IF(FIND(DO$1,$W22)&gt;0,IF(INDEX(Product_Pricing_Table[],MATCH(DO$1,Products,0),2)="Cores",IF(HostBuild[Use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2" s="552">
        <f>IFERROR(IF(FIND(DP$1,$W22)&gt;0,IF(INDEX(Product_Pricing_Table[],MATCH(DP$1,Products,0),2)="Cores",IF(HostBuild[Use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2" s="552">
        <f>IFERROR(IF(FIND(DQ$1,$W22)&gt;0,IF(INDEX(Product_Pricing_Table[],MATCH(DQ$1,Products,0),2)="Cores",IF(HostBuild[Use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2" s="552">
        <f>IFERROR(IF(FIND(DR$1,$W22)&gt;0,IF(INDEX(Product_Pricing_Table[],MATCH(DR$1,Products,0),2)="Cores",IF(HostBuild[Use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2" s="552">
        <f>IFERROR(IF(FIND(DS$1,$W22)&gt;0,IF(INDEX(Product_Pricing_Table[],MATCH(DS$1,Products,0),2)="Cores",IF(HostBuild[Use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2" s="552">
        <f>IFERROR(IF(FIND(DT$1,$W22)&gt;0,IF(INDEX(Product_Pricing_Table[],MATCH(DT$1,Products,0),2)="Cores",IF(HostBuild[Use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2" s="552">
        <f>IFERROR(IF(FIND(DU$1,$W22)&gt;0,IF(INDEX(Product_Pricing_Table[],MATCH(DU$1,Products,0),2)="Cores",IF(HostBuild[Use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2" s="552">
        <f>IFERROR(IF(FIND(DV$1,$W22)&gt;0,IF(INDEX(Product_Pricing_Table[],MATCH(DV$1,Products,0),2)="Cores",IF(HostBuild[Use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2" s="552">
        <f>IFERROR(IF(FIND(DW$1,$W22)&gt;0,IF(INDEX(Product_Pricing_Table[],MATCH(DW$1,Products,0),2)="Cores",IF(HostBuild[Use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2" s="552">
        <f>IFERROR(IF(FIND(DX$1,$W22)&gt;0,IF(INDEX(Product_Pricing_Table[],MATCH(DX$1,Products,0),2)="Cores",IF(HostBuild[Use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2" s="552">
        <f>IFERROR(IF(FIND(DY$1,$W22)&gt;0,IF(INDEX(Product_Pricing_Table[],MATCH(DY$1,Products,0),2)="Cores",IF(HostBuild[Use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2" s="552">
        <f>IFERROR(IF(FIND(DZ$1,$W22)&gt;0,IF(INDEX(Product_Pricing_Table[],MATCH(DZ$1,Products,0),2)="Cores",IF(HostBuild[Use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2" s="552">
        <f>IFERROR(IF(FIND(EA$1,$W22)&gt;0,IF(INDEX(Product_Pricing_Table[],MATCH(EA$1,Products,0),2)="Cores",IF(HostBuild[Use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2" s="552">
        <f>IFERROR(IF(FIND(EB$1,$W22)&gt;0,IF(INDEX(Product_Pricing_Table[],MATCH(EB$1,Products,0),2)="Cores",IF(HostBuild[Use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2" s="553">
        <f>IFERROR(IF(FIND(EC$1,$W22)&gt;0,IF(INDEX(Product_Pricing_Table[],MATCH(EC$1,Products,0),2)="Cores",IF(HostBuild[Use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2" s="552">
        <f>IFERROR(IF(FIND(ED$1,$W22)&gt;0,IF(INDEX(Product_Pricing_Table[],MATCH(ED$1,Products,0),2)="Cores",IF(HostBuild[Use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2" s="552">
        <f>IFERROR(IF(FIND(EE$1,$W22)&gt;0,IF(INDEX(Product_Pricing_Table[],MATCH(EE$1,Products,0),2)="Cores",IF(HostBuild[Use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2" s="552">
        <f>IFERROR(IF(FIND(EF$1,$W22)&gt;0,IF(INDEX(Product_Pricing_Table[],MATCH(EF$1,Products,0),2)="Cores",IF(HostBuild[Use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2" s="552">
        <f>IFERROR(IF(FIND(EG$1,$W22)&gt;0,IF(INDEX(Product_Pricing_Table[],MATCH(EG$1,Products,0),2)="Cores",IF(HostBuild[Use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2" s="552">
        <f>IFERROR(IF(FIND(EH$1,$W22)&gt;0,IF(INDEX(Product_Pricing_Table[],MATCH(EH$1,Products,0),2)="Cores",IF(HostBuild[Use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2" s="552">
        <f>IFERROR(IF(FIND(EI$1,$W22)&gt;0,IF(INDEX(Product_Pricing_Table[],MATCH(EI$1,Products,0),2)="Cores",IF(HostBuild[Use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2" s="552">
        <f>IFERROR(IF(FIND(EJ$1,$W22)&gt;0,IF(INDEX(Product_Pricing_Table[],MATCH(EJ$1,Products,0),2)="Cores",IF(HostBuild[Use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2" s="553">
        <f>IFERROR(IF(FIND(EK$1,$W22)&gt;0,IF(INDEX(Product_Pricing_Table[],MATCH(EK$1,Products,0),2)="Cores",IF(HostBuild[Use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2" s="554"/>
      <c r="EM22" s="555"/>
      <c r="EN22" s="556"/>
      <c r="EO22"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2" s="558">
        <f>(HostBuild[Archive
Full (GB)]+HostBuild[Archive
Incr (GB)])*Storage_DC_Dist_Tape_2014</f>
        <v>33.910624999999996</v>
      </c>
      <c r="ER22" s="558">
        <f>IF(ISNUMBER(HostBuild[Server HW Costs
(Monthly)]),SUM(HostBuild[[#This Row],[Server HW Costs
(Monthly)]:[Tape Costs
(Monthly)]]),0)</f>
        <v>1398.400625</v>
      </c>
      <c r="ES22" s="559">
        <f>HostBuild[Software Costs
'[Year 1']
(Monthly)]+HostBuild[Total Hardware Costs
(Monthly)]</f>
        <v>1398.400625</v>
      </c>
      <c r="ET22" s="559">
        <f>IFERROR(IF(FIND("Safenet",HostBuild[Server Model]),Safenet_PSE_PL600_Maint,0),0)+IFERROR(IF(FIND("XI52",HostBuild[Server Model]),IBM_DIA_XI52_Maint,0),0)+HostBuild[Software Costs
'[After Year 1']
(Monthly)]+HostBuild[Total Hardware Costs
(Monthly)]</f>
        <v>1398.400625</v>
      </c>
      <c r="EU22" s="560">
        <f>SUM(HostBuild[[#This Row],[Server Cost Breakdown]:[Network Cost]])</f>
        <v>1003.9</v>
      </c>
      <c r="EV22" s="561">
        <f>IF(HostBuild[Existing Server?]="Yes - Inside this BoM",0,SUMIF(HostBuild[Alias],HostBuild[Alias],HostBuild[CPU])+SUMIF(HostBuild[Alias],HostBuild[Alias],HostBuild[Existing CPUs]))</f>
        <v>2</v>
      </c>
      <c r="EW22" s="561">
        <f>IF(HostBuild[Existing Server?]="Yes - Inside this BoM",0,SUMIF(HostBuild[Alias],HostBuild[Alias],HostBuild[Cores 
(Licensed Units)])+SUMIF(HostBuild[Alias],HostBuild[Alias],HostBuild[Existing Cores]))</f>
        <v>16</v>
      </c>
      <c r="EX22" s="561">
        <f>IF(HostBuild[Existing Server?]="Yes - Inside this BoM",0,SUMIF(HostBuild[Alias],HostBuild[Alias],HostBuild[RAM 
(GB)])+SUMIF(HostBuild[Alias],HostBuild[Alias],HostBuild[Existing RAM (GB)]))</f>
        <v>256</v>
      </c>
      <c r="EY2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2" s="560">
        <f>IF(ISBLANK(HostBuild[Server Model]),0,IF(HostBuild[Server Tier]="VMware",0,VLOOKUP(HostBuild[Server Tier],ServerTierRates[#Data],2,0))*HostBuild[CPU]*IF(AND(HostBuild[Server Type]="pSeries",HostBuild[Virtual Platform Storage Type]="Cloud-SAN"),0.25,1))</f>
        <v>608</v>
      </c>
      <c r="FD22" s="560">
        <f>0</f>
        <v>0</v>
      </c>
      <c r="FE22" s="560">
        <f>IF(HostBuild[Server Type]="VMware",HostBuild[RAM 
(GB)]*IF(ISERROR(FIND("DevCloud", HostBuild[Server Model])&gt;0),vRAM_per_vCPU_2014_Monthly,vRAM_per_vCPU_2014_Daily*30),0)</f>
        <v>0</v>
      </c>
      <c r="FF2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2" s="563">
        <f>IF(HostBuild[Server Tier]="VMware",0,IF(LEFT(HostBuild[Existing Server?],3)="Yes",0,IF(OR(HostBuild[Server Type]="Sun",HostBuild[Server Type]="pSeries"),Support_Direct_Server_Sun_per_OS_2014,IF(HostBuild[Server Type]="x86",Support_Direct_Server_x86_Wintel_per_OS_2014,0))))</f>
        <v>187.1</v>
      </c>
      <c r="FI2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3" spans="1:165" s="139" customFormat="1">
      <c r="A23" s="360" t="s">
        <v>3942</v>
      </c>
      <c r="B23" s="521"/>
      <c r="C23" s="521"/>
      <c r="D23" s="521"/>
      <c r="E23" s="522"/>
      <c r="F23" s="522"/>
      <c r="G23" s="597"/>
      <c r="H23" s="597"/>
      <c r="I23" s="523"/>
      <c r="J23" s="522"/>
      <c r="K23" s="522"/>
      <c r="L23" s="522"/>
      <c r="M23" s="597" t="e">
        <f ca="1">IF(rngIsDate(HostBuild[CTO Acceptance]),"Y","N")</f>
        <v>#NAME?</v>
      </c>
      <c r="N23" s="361" t="s">
        <v>3938</v>
      </c>
      <c r="O23" s="525"/>
      <c r="P23" s="525"/>
      <c r="Q23" s="361" t="s">
        <v>79</v>
      </c>
      <c r="R23" s="526" t="str">
        <f>IF(NOT(ISBLANK(HostBuild[Env Label])),IFERROR(VLOOKUP(HostBuild[Env Label],tEnv[],3,FALSE),""),"")</f>
        <v>PROD</v>
      </c>
      <c r="S23" s="598"/>
      <c r="T23" s="527"/>
      <c r="U23" s="599"/>
      <c r="V23" s="524" t="s">
        <v>4006</v>
      </c>
      <c r="W23" s="524" t="s">
        <v>3941</v>
      </c>
      <c r="X23" s="524" t="s">
        <v>35</v>
      </c>
      <c r="Y23" s="361" t="s">
        <v>481</v>
      </c>
      <c r="Z23" s="526" t="str">
        <f>IF(NOT(ISBLANK(HostBuild[[#This Row],[Product 
(Acronym)]])),CONCATENATE(HostBuild[[#This Row],[Type]],"-",HostBuild[[#This Row],[Product 
(Acronym)]]),"")</f>
        <v>AP-ESB</v>
      </c>
      <c r="AA23" s="600"/>
      <c r="AB23" s="600" t="s">
        <v>105</v>
      </c>
      <c r="AC23" s="528"/>
      <c r="AD23" s="529"/>
      <c r="AE23" s="529"/>
      <c r="AF23" s="530"/>
      <c r="AG23" s="531"/>
      <c r="AH23" s="601"/>
      <c r="AI23" s="362" t="s">
        <v>3956</v>
      </c>
      <c r="AJ23" s="524">
        <f>IF(COUNTIF(HostBuild[Alias],HostBuild[Alias]),1/COUNTIF(HostBuild[Alias],HostBuild[Alias]),0)</f>
        <v>1</v>
      </c>
      <c r="AK23" s="531"/>
      <c r="AL23" s="531"/>
      <c r="AM23" s="532" t="s">
        <v>2173</v>
      </c>
      <c r="AN23" s="533" t="str">
        <f>IF(NOT(ISBLANK(HostBuild[Server Model])),VLOOKUP(HostBuild[Server Model],ServerModelsTier[],2,FALSE),"")</f>
        <v>x86 Tier 3</v>
      </c>
      <c r="AO23" s="533" t="str">
        <f>IF(NOT(ISBLANK(HostBuild[Server Model])),VLOOKUP(HostBuild[Server Model],ServerModelsTier[],5,FALSE),"")</f>
        <v>x86</v>
      </c>
      <c r="AP23" s="532"/>
      <c r="AQ23" s="532" t="s">
        <v>2337</v>
      </c>
      <c r="AR23" s="534">
        <v>2</v>
      </c>
      <c r="AS23" s="602"/>
      <c r="AT23" s="535">
        <v>16</v>
      </c>
      <c r="AU23" s="603" t="str">
        <f>IF(IFERROR(FIND("P-Series",HostBuild[Server Tier]),0),CEILING((HostBuild[Existing CPUs]+HostBuild[CPU])*16,8),"")</f>
        <v/>
      </c>
      <c r="AV23" s="536">
        <v>256</v>
      </c>
      <c r="AW23" s="531"/>
      <c r="AX23" s="531"/>
      <c r="AY23" s="531"/>
      <c r="AZ23" s="537"/>
      <c r="BA23" s="531"/>
      <c r="BB23" s="531"/>
      <c r="BC23" s="529"/>
      <c r="BD23" s="531"/>
      <c r="BE23" s="531"/>
      <c r="BF23" s="531"/>
      <c r="BG23" s="531"/>
      <c r="BH23" s="531"/>
      <c r="BI23" s="531"/>
      <c r="BJ23" s="531"/>
      <c r="BK23"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23" s="538"/>
      <c r="BM23" s="540">
        <f>IF(ISNUMBER(HostBuild[Recommended SAN (GB)]),HostBuild[Recommended SAN (GB)])+IF(HostBuild[Additional SAN (GB)]&gt;0,CEILING(HostBuild[Additional SAN (GB)],LUN),-(CEILING(-HostBuild[Additional SAN (GB)],LUN)))</f>
        <v>337</v>
      </c>
      <c r="BN23" s="539"/>
      <c r="BO23" s="540">
        <f>HostBuild[SAN (GB)
NEEDED TODAY]+CEILING(HostBuild[SAN (GB)
RESERVED
DO NOT USE TO BUILD], LUN)</f>
        <v>337</v>
      </c>
      <c r="BP23" s="541"/>
      <c r="BQ23" s="542"/>
      <c r="BR23" s="432" t="s">
        <v>106</v>
      </c>
      <c r="BS23" s="605">
        <f>IF(HostBuild[Existing Server?]&lt;&gt;"Yes - Inside this BoM",IF(ISNUMBER(HostBuild[RAM 
(GB)]),IF(HostBuild[Existing RAM (GB)]+HostBuild[RAM 
(GB)]&gt;0,IF(HostBuild[Virtual Platform Storage Type]="NAS",110+HostBuild[Existing RAM (GB)]+HostBuild[RAM 
(GB)]*1.75,0),0),0),0)</f>
        <v>0</v>
      </c>
      <c r="BT23" s="606"/>
      <c r="BU23" s="607">
        <f>IF(ISNUMBER(HostBuild[Recommended NAS (GB)]),HostBuild[Recommended NAS (GB)])+HostBuild[Additional NAS (GB)]</f>
        <v>0</v>
      </c>
      <c r="BV23" s="543"/>
      <c r="BW23" s="543"/>
      <c r="BX23" s="604">
        <f>IFERROR((HostBuild[SAN (GB)
End-State
DO NOT USE TO BUILD]+HostBuild[SAN (GB) Shared])*25%,"")</f>
        <v>84.25</v>
      </c>
      <c r="BY23" s="608">
        <f>IFERROR(HostBuild[Archive
Full (GB)]*15%,"")</f>
        <v>12.637499999999999</v>
      </c>
      <c r="BZ23" s="544"/>
      <c r="CA23" s="544"/>
      <c r="CB23" s="545"/>
      <c r="CC23" s="546"/>
      <c r="CD23" s="545"/>
      <c r="CE23" s="547"/>
      <c r="CF23" s="539"/>
      <c r="CG23" s="609"/>
      <c r="CH23" s="548"/>
      <c r="CI23" s="549"/>
      <c r="CJ23" s="550"/>
      <c r="CK23" s="551"/>
      <c r="CL23" s="552">
        <f>IFERROR(IF(FIND(CL$1,$W23)&gt;0,IF(INDEX(Product_Pricing_Table[],MATCH(CL$1,Products,0),2)="Cores",IF(HostBuild[Use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3" s="552">
        <f>IFERROR(IF(FIND(CM$1,$W23)&gt;0,IF(INDEX(Product_Pricing_Table[],MATCH(CM$1,Products,0),2)="Cores",IF(HostBuild[Use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3" s="552">
        <f>IFERROR(IF(FIND(CN$1,$W23)&gt;0,IF(INDEX(Product_Pricing_Table[],MATCH(CN$1,Products,0),2)="Cores",IF(HostBuild[Use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3" s="552">
        <f>IFERROR(IF(FIND(CO$1,$W23)&gt;0,IF(INDEX(Product_Pricing_Table[],MATCH(CO$1,Products,0),2)="Cores",IF(HostBuild[Use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3" s="552">
        <f>IFERROR(IF(FIND(CP$1,$W23)&gt;0,IF(INDEX(Product_Pricing_Table[],MATCH(CP$1,Products,0),2)="Cores",IF(HostBuild[Use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3" s="552">
        <f>IFERROR(IF(FIND(CQ$1,$W23)&gt;0,IF(INDEX(Product_Pricing_Table[],MATCH(CQ$1,Products,0),2)="Cores",IF(HostBuild[Use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3" s="552">
        <f>IFERROR(IF(FIND(CR$1,$W23)&gt;0,IF(INDEX(Product_Pricing_Table[],MATCH(CR$1,Products,0),2)="Cores",IF(HostBuild[Use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3" s="552">
        <f>IFERROR(IF(FIND(CS$1,$W23)&gt;0,IF(INDEX(Product_Pricing_Table[],MATCH(CS$1,Products,0),2)="Cores",IF(HostBuild[Use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3" s="552">
        <f>IFERROR(IF(FIND(CT$1,$W23)&gt;0,IF(INDEX(Product_Pricing_Table[],MATCH(CT$1,Products,0),2)="Cores",IF(HostBuild[Use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3" s="552">
        <f>IFERROR(IF(FIND(CU$1,$W23)&gt;0,IF(INDEX(Product_Pricing_Table[],MATCH(CU$1,Products,0),2)="Cores",IF(HostBuild[Use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3" s="552">
        <f>IFERROR(IF(FIND(CV$1,$W23)&gt;0,IF(INDEX(Product_Pricing_Table[],MATCH(CV$1,Products,0),2)="Cores",IF(HostBuild[Use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3" s="552">
        <f>IFERROR(IF(FIND(CW$1,$W23)&gt;0,IF(INDEX(Product_Pricing_Table[],MATCH(CW$1,Products,0),2)="Cores",IF(HostBuild[Use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3" s="552">
        <f>IFERROR(IF(FIND(CX$1,$W23)&gt;0,IF(INDEX(Product_Pricing_Table[],MATCH(CX$1,Products,0),2)="Cores",IF(HostBuild[Use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3" s="552">
        <f>IFERROR(IF(FIND(CY$1,$W23)&gt;0,IF(INDEX(Product_Pricing_Table[],MATCH(CY$1,Products,0),2)="Cores",IF(HostBuild[Use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3" s="552">
        <f>IFERROR(IF(FIND(CZ$1,$W23)&gt;0,IF(INDEX(Product_Pricing_Table[],MATCH(CZ$1,Products,0),2)="Cores",IF(HostBuild[Use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3" s="552">
        <f>IFERROR(IF(FIND(DA$1,$W23)&gt;0,IF(INDEX(Product_Pricing_Table[],MATCH(DA$1,Products,0),2)="Cores",IF(HostBuild[Use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3" s="552">
        <f>IFERROR(IF(FIND(DB$1,$W23)&gt;0,IF(INDEX(Product_Pricing_Table[],MATCH(DB$1,Products,0),2)="Cores",IF(HostBuild[Use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3" s="552">
        <f>IFERROR(IF(FIND(DC$1,$W23)&gt;0,IF(INDEX(Product_Pricing_Table[],MATCH(DC$1,Products,0),2)="Cores",IF(HostBuild[Use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3" s="552">
        <f>IFERROR(IF(FIND(DD$1,$W23)&gt;0,IF(INDEX(Product_Pricing_Table[],MATCH(DD$1,Products,0),2)="Cores",IF(HostBuild[Use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3" s="552">
        <f>IFERROR(IF(FIND(DE$1,$W23)&gt;0,IF(INDEX(Product_Pricing_Table[],MATCH(DE$1,Products,0),2)="Cores",IF(HostBuild[Use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3" s="553">
        <f>IFERROR(IF(FIND(DF$1,$W23)&gt;0,IF(INDEX(Product_Pricing_Table[],MATCH(DF$1,Products,0),2)="Cores",IF(HostBuild[Use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3" s="553">
        <f>IFERROR(IF(FIND(DG$1,$W23)&gt;0,IF(INDEX(Product_Pricing_Table[],MATCH(DG$1,Products,0),2)="Cores",IF(HostBuild[Use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3" s="552">
        <f>IFERROR(IF(FIND(DH$1,$W23)&gt;0,IF(INDEX(Product_Pricing_Table[],MATCH(DH$1,Products,0),2)="Cores",IF(HostBuild[Use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3" s="553">
        <f>IFERROR(IF(FIND(DI$1,$W23)&gt;0,IF(INDEX(Product_Pricing_Table[],MATCH(DI$1,Products,0),2)="Cores",IF(HostBuild[Use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3" s="552">
        <f>IFERROR(IF(FIND(DJ$1,$W23)&gt;0,IF(INDEX(Product_Pricing_Table[],MATCH(DJ$1,Products,0),2)="Cores",IF(HostBuild[Use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3" s="552">
        <f>IFERROR(IF(FIND(DK$1,$W23)&gt;0,IF(INDEX(Product_Pricing_Table[],MATCH(DK$1,Products,0),2)="Cores",IF(HostBuild[Use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3" s="552">
        <f>IFERROR(IF(FIND(DL$1,$W23)&gt;0,IF(INDEX(Product_Pricing_Table[],MATCH(DL$1,Products,0),2)="Cores",IF(HostBuild[Use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3" s="552">
        <f>IFERROR(IF(FIND(DM$1,$W23)&gt;0,IF(INDEX(Product_Pricing_Table[],MATCH(DM$1,Products,0),2)="Cores",IF(HostBuild[Use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3" s="552">
        <f>IFERROR(IF(FIND(DN$1,$W23)&gt;0,IF(INDEX(Product_Pricing_Table[],MATCH(DN$1,Products,0),2)="Cores",IF(HostBuild[Use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3" s="552">
        <f>IFERROR(IF(FIND(DO$1,$W23)&gt;0,IF(INDEX(Product_Pricing_Table[],MATCH(DO$1,Products,0),2)="Cores",IF(HostBuild[Use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3" s="552">
        <f>IFERROR(IF(FIND(DP$1,$W23)&gt;0,IF(INDEX(Product_Pricing_Table[],MATCH(DP$1,Products,0),2)="Cores",IF(HostBuild[Use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3" s="552">
        <f>IFERROR(IF(FIND(DQ$1,$W23)&gt;0,IF(INDEX(Product_Pricing_Table[],MATCH(DQ$1,Products,0),2)="Cores",IF(HostBuild[Use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3" s="552">
        <f>IFERROR(IF(FIND(DR$1,$W23)&gt;0,IF(INDEX(Product_Pricing_Table[],MATCH(DR$1,Products,0),2)="Cores",IF(HostBuild[Use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3" s="552">
        <f>IFERROR(IF(FIND(DS$1,$W23)&gt;0,IF(INDEX(Product_Pricing_Table[],MATCH(DS$1,Products,0),2)="Cores",IF(HostBuild[Use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3" s="552">
        <f>IFERROR(IF(FIND(DT$1,$W23)&gt;0,IF(INDEX(Product_Pricing_Table[],MATCH(DT$1,Products,0),2)="Cores",IF(HostBuild[Use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3" s="552">
        <f>IFERROR(IF(FIND(DU$1,$W23)&gt;0,IF(INDEX(Product_Pricing_Table[],MATCH(DU$1,Products,0),2)="Cores",IF(HostBuild[Use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3" s="552">
        <f>IFERROR(IF(FIND(DV$1,$W23)&gt;0,IF(INDEX(Product_Pricing_Table[],MATCH(DV$1,Products,0),2)="Cores",IF(HostBuild[Use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3" s="552">
        <f>IFERROR(IF(FIND(DW$1,$W23)&gt;0,IF(INDEX(Product_Pricing_Table[],MATCH(DW$1,Products,0),2)="Cores",IF(HostBuild[Use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3" s="552">
        <f>IFERROR(IF(FIND(DX$1,$W23)&gt;0,IF(INDEX(Product_Pricing_Table[],MATCH(DX$1,Products,0),2)="Cores",IF(HostBuild[Use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3" s="552">
        <f>IFERROR(IF(FIND(DY$1,$W23)&gt;0,IF(INDEX(Product_Pricing_Table[],MATCH(DY$1,Products,0),2)="Cores",IF(HostBuild[Use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3" s="552">
        <f>IFERROR(IF(FIND(DZ$1,$W23)&gt;0,IF(INDEX(Product_Pricing_Table[],MATCH(DZ$1,Products,0),2)="Cores",IF(HostBuild[Use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3" s="552">
        <f>IFERROR(IF(FIND(EA$1,$W23)&gt;0,IF(INDEX(Product_Pricing_Table[],MATCH(EA$1,Products,0),2)="Cores",IF(HostBuild[Use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3" s="552">
        <f>IFERROR(IF(FIND(EB$1,$W23)&gt;0,IF(INDEX(Product_Pricing_Table[],MATCH(EB$1,Products,0),2)="Cores",IF(HostBuild[Use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3" s="553">
        <f>IFERROR(IF(FIND(EC$1,$W23)&gt;0,IF(INDEX(Product_Pricing_Table[],MATCH(EC$1,Products,0),2)="Cores",IF(HostBuild[Use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3" s="552">
        <f>IFERROR(IF(FIND(ED$1,$W23)&gt;0,IF(INDEX(Product_Pricing_Table[],MATCH(ED$1,Products,0),2)="Cores",IF(HostBuild[Use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3" s="552">
        <f>IFERROR(IF(FIND(EE$1,$W23)&gt;0,IF(INDEX(Product_Pricing_Table[],MATCH(EE$1,Products,0),2)="Cores",IF(HostBuild[Use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3" s="552">
        <f>IFERROR(IF(FIND(EF$1,$W23)&gt;0,IF(INDEX(Product_Pricing_Table[],MATCH(EF$1,Products,0),2)="Cores",IF(HostBuild[Use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3" s="552">
        <f>IFERROR(IF(FIND(EG$1,$W23)&gt;0,IF(INDEX(Product_Pricing_Table[],MATCH(EG$1,Products,0),2)="Cores",IF(HostBuild[Use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3" s="552">
        <f>IFERROR(IF(FIND(EH$1,$W23)&gt;0,IF(INDEX(Product_Pricing_Table[],MATCH(EH$1,Products,0),2)="Cores",IF(HostBuild[Use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3" s="552">
        <f>IFERROR(IF(FIND(EI$1,$W23)&gt;0,IF(INDEX(Product_Pricing_Table[],MATCH(EI$1,Products,0),2)="Cores",IF(HostBuild[Use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3" s="552">
        <f>IFERROR(IF(FIND(EJ$1,$W23)&gt;0,IF(INDEX(Product_Pricing_Table[],MATCH(EJ$1,Products,0),2)="Cores",IF(HostBuild[Use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3" s="553">
        <f>IFERROR(IF(FIND(EK$1,$W23)&gt;0,IF(INDEX(Product_Pricing_Table[],MATCH(EK$1,Products,0),2)="Cores",IF(HostBuild[Use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3" s="554"/>
      <c r="EM23" s="555">
        <v>3750</v>
      </c>
      <c r="EN23" s="556">
        <v>525</v>
      </c>
      <c r="EO23"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3" s="558">
        <f>(HostBuild[Archive
Full (GB)]+HostBuild[Archive
Incr (GB)])*Storage_DC_Dist_Tape_2014</f>
        <v>33.910624999999996</v>
      </c>
      <c r="ER23" s="558">
        <f>IF(ISNUMBER(HostBuild[Server HW Costs
(Monthly)]),SUM(HostBuild[[#This Row],[Server HW Costs
(Monthly)]:[Tape Costs
(Monthly)]]),0)</f>
        <v>1398.400625</v>
      </c>
      <c r="ES23" s="559">
        <f>HostBuild[Software Costs
'[Year 1']
(Monthly)]+HostBuild[Total Hardware Costs
(Monthly)]</f>
        <v>5148.4006250000002</v>
      </c>
      <c r="ET23" s="559">
        <f>IFERROR(IF(FIND("Safenet",HostBuild[Server Model]),Safenet_PSE_PL600_Maint,0),0)+IFERROR(IF(FIND("XI52",HostBuild[Server Model]),IBM_DIA_XI52_Maint,0),0)+HostBuild[Software Costs
'[After Year 1']
(Monthly)]+HostBuild[Total Hardware Costs
(Monthly)]</f>
        <v>1923.400625</v>
      </c>
      <c r="EU23" s="560">
        <f>SUM(HostBuild[[#This Row],[Server Cost Breakdown]:[Network Cost]])</f>
        <v>1003.9</v>
      </c>
      <c r="EV23" s="561">
        <f>IF(HostBuild[Existing Server?]="Yes - Inside this BoM",0,SUMIF(HostBuild[Alias],HostBuild[Alias],HostBuild[CPU])+SUMIF(HostBuild[Alias],HostBuild[Alias],HostBuild[Existing CPUs]))</f>
        <v>2</v>
      </c>
      <c r="EW23" s="561">
        <f>IF(HostBuild[Existing Server?]="Yes - Inside this BoM",0,SUMIF(HostBuild[Alias],HostBuild[Alias],HostBuild[Cores 
(Licensed Units)])+SUMIF(HostBuild[Alias],HostBuild[Alias],HostBuild[Existing Cores]))</f>
        <v>16</v>
      </c>
      <c r="EX23" s="561">
        <f>IF(HostBuild[Existing Server?]="Yes - Inside this BoM",0,SUMIF(HostBuild[Alias],HostBuild[Alias],HostBuild[RAM 
(GB)])+SUMIF(HostBuild[Alias],HostBuild[Alias],HostBuild[Existing RAM (GB)]))</f>
        <v>256</v>
      </c>
      <c r="EY2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3" s="560">
        <f>IF(ISBLANK(HostBuild[Server Model]),0,IF(HostBuild[Server Tier]="VMware",0,VLOOKUP(HostBuild[Server Tier],ServerTierRates[#Data],2,0))*HostBuild[CPU]*IF(AND(HostBuild[Server Type]="pSeries",HostBuild[Virtual Platform Storage Type]="Cloud-SAN"),0.25,1))</f>
        <v>608</v>
      </c>
      <c r="FD23" s="560">
        <f>0</f>
        <v>0</v>
      </c>
      <c r="FE23" s="560">
        <f>IF(HostBuild[Server Type]="VMware",HostBuild[RAM 
(GB)]*IF(ISERROR(FIND("DevCloud", HostBuild[Server Model])&gt;0),vRAM_per_vCPU_2014_Monthly,vRAM_per_vCPU_2014_Daily*30),0)</f>
        <v>0</v>
      </c>
      <c r="FF2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3" s="563">
        <f>IF(HostBuild[Server Tier]="VMware",0,IF(LEFT(HostBuild[Existing Server?],3)="Yes",0,IF(OR(HostBuild[Server Type]="Sun",HostBuild[Server Type]="pSeries"),Support_Direct_Server_Sun_per_OS_2014,IF(HostBuild[Server Type]="x86",Support_Direct_Server_x86_Wintel_per_OS_2014,0))))</f>
        <v>187.1</v>
      </c>
      <c r="FI2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4" spans="1:165" s="139" customFormat="1">
      <c r="A24" s="360" t="s">
        <v>3942</v>
      </c>
      <c r="B24" s="521"/>
      <c r="C24" s="521"/>
      <c r="D24" s="521"/>
      <c r="E24" s="522"/>
      <c r="F24" s="522"/>
      <c r="G24" s="597"/>
      <c r="H24" s="597"/>
      <c r="I24" s="523"/>
      <c r="J24" s="522"/>
      <c r="K24" s="522"/>
      <c r="L24" s="522"/>
      <c r="M24" s="597" t="e">
        <f ca="1">IF(rngIsDate(HostBuild[CTO Acceptance]),"Y","N")</f>
        <v>#NAME?</v>
      </c>
      <c r="N24" s="361" t="s">
        <v>3938</v>
      </c>
      <c r="O24" s="525"/>
      <c r="P24" s="525"/>
      <c r="Q24" s="361" t="s">
        <v>79</v>
      </c>
      <c r="R24" s="526" t="str">
        <f>IF(NOT(ISBLANK(HostBuild[Env Label])),IFERROR(VLOOKUP(HostBuild[Env Label],tEnv[],3,FALSE),""),"")</f>
        <v>PROD</v>
      </c>
      <c r="S24" s="598"/>
      <c r="T24" s="527"/>
      <c r="U24" s="599"/>
      <c r="V24" s="524" t="s">
        <v>4006</v>
      </c>
      <c r="W24" s="524" t="s">
        <v>3941</v>
      </c>
      <c r="X24" s="524" t="s">
        <v>35</v>
      </c>
      <c r="Y24" s="361" t="s">
        <v>481</v>
      </c>
      <c r="Z24" s="526" t="str">
        <f>IF(NOT(ISBLANK(HostBuild[[#This Row],[Product 
(Acronym)]])),CONCATENATE(HostBuild[[#This Row],[Type]],"-",HostBuild[[#This Row],[Product 
(Acronym)]]),"")</f>
        <v>AP-ESB</v>
      </c>
      <c r="AA24" s="600"/>
      <c r="AB24" s="600" t="s">
        <v>105</v>
      </c>
      <c r="AC24" s="528"/>
      <c r="AD24" s="529"/>
      <c r="AE24" s="529"/>
      <c r="AF24" s="530"/>
      <c r="AG24" s="531"/>
      <c r="AH24" s="601"/>
      <c r="AI24" s="362" t="s">
        <v>3957</v>
      </c>
      <c r="AJ24" s="524">
        <f>IF(COUNTIF(HostBuild[Alias],HostBuild[Alias]),1/COUNTIF(HostBuild[Alias],HostBuild[Alias]),0)</f>
        <v>1</v>
      </c>
      <c r="AK24" s="531"/>
      <c r="AL24" s="531"/>
      <c r="AM24" s="532" t="s">
        <v>2173</v>
      </c>
      <c r="AN24" s="533" t="str">
        <f>IF(NOT(ISBLANK(HostBuild[Server Model])),VLOOKUP(HostBuild[Server Model],ServerModelsTier[],2,FALSE),"")</f>
        <v>x86 Tier 3</v>
      </c>
      <c r="AO24" s="533" t="str">
        <f>IF(NOT(ISBLANK(HostBuild[Server Model])),VLOOKUP(HostBuild[Server Model],ServerModelsTier[],5,FALSE),"")</f>
        <v>x86</v>
      </c>
      <c r="AP24" s="532"/>
      <c r="AQ24" s="532" t="s">
        <v>2337</v>
      </c>
      <c r="AR24" s="534">
        <v>2</v>
      </c>
      <c r="AS24" s="602"/>
      <c r="AT24" s="535">
        <v>16</v>
      </c>
      <c r="AU24" s="603"/>
      <c r="AV24" s="536">
        <v>256</v>
      </c>
      <c r="AW24" s="531"/>
      <c r="AX24" s="531"/>
      <c r="AY24" s="531"/>
      <c r="AZ24" s="537"/>
      <c r="BA24" s="531"/>
      <c r="BB24" s="531"/>
      <c r="BC24" s="529"/>
      <c r="BD24" s="531"/>
      <c r="BE24" s="531"/>
      <c r="BF24" s="531"/>
      <c r="BG24" s="531"/>
      <c r="BH24" s="531"/>
      <c r="BI24" s="531"/>
      <c r="BJ24" s="531"/>
      <c r="BK24"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24" s="538"/>
      <c r="BM24" s="540">
        <f>IF(ISNUMBER(HostBuild[Recommended SAN (GB)]),HostBuild[Recommended SAN (GB)])+IF(HostBuild[Additional SAN (GB)]&gt;0,CEILING(HostBuild[Additional SAN (GB)],LUN),-(CEILING(-HostBuild[Additional SAN (GB)],LUN)))</f>
        <v>337</v>
      </c>
      <c r="BN24" s="539"/>
      <c r="BO24" s="540">
        <f>HostBuild[SAN (GB)
NEEDED TODAY]+CEILING(HostBuild[SAN (GB)
RESERVED
DO NOT USE TO BUILD], LUN)</f>
        <v>337</v>
      </c>
      <c r="BP24" s="541"/>
      <c r="BQ24" s="542"/>
      <c r="BR24" s="432" t="s">
        <v>106</v>
      </c>
      <c r="BS24" s="605">
        <f>IF(HostBuild[Existing Server?]&lt;&gt;"Yes - Inside this BoM",IF(ISNUMBER(HostBuild[RAM 
(GB)]),IF(HostBuild[Existing RAM (GB)]+HostBuild[RAM 
(GB)]&gt;0,IF(HostBuild[Virtual Platform Storage Type]="NAS",110+HostBuild[Existing RAM (GB)]+HostBuild[RAM 
(GB)]*1.75,0),0),0),0)</f>
        <v>0</v>
      </c>
      <c r="BT24" s="606"/>
      <c r="BU24" s="607">
        <f>IF(ISNUMBER(HostBuild[Recommended NAS (GB)]),HostBuild[Recommended NAS (GB)])+HostBuild[Additional NAS (GB)]</f>
        <v>0</v>
      </c>
      <c r="BV24" s="543"/>
      <c r="BW24" s="543"/>
      <c r="BX24" s="604">
        <f>IFERROR((HostBuild[SAN (GB)
End-State
DO NOT USE TO BUILD]+HostBuild[SAN (GB) Shared])*25%,"")</f>
        <v>84.25</v>
      </c>
      <c r="BY24" s="608">
        <f>IFERROR(HostBuild[Archive
Full (GB)]*15%,"")</f>
        <v>12.637499999999999</v>
      </c>
      <c r="BZ24" s="544"/>
      <c r="CA24" s="544"/>
      <c r="CB24" s="545"/>
      <c r="CC24" s="546"/>
      <c r="CD24" s="545"/>
      <c r="CE24" s="547"/>
      <c r="CF24" s="539"/>
      <c r="CG24" s="609"/>
      <c r="CH24" s="548"/>
      <c r="CI24" s="549"/>
      <c r="CJ24" s="550"/>
      <c r="CK24" s="551"/>
      <c r="CL24" s="552">
        <f>IFERROR(IF(FIND(CL$1,$W24)&gt;0,IF(INDEX(Product_Pricing_Table[],MATCH(CL$1,Products,0),2)="Cores",IF(HostBuild[Use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4" s="552">
        <f>IFERROR(IF(FIND(CM$1,$W24)&gt;0,IF(INDEX(Product_Pricing_Table[],MATCH(CM$1,Products,0),2)="Cores",IF(HostBuild[Use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4" s="552">
        <f>IFERROR(IF(FIND(CN$1,$W24)&gt;0,IF(INDEX(Product_Pricing_Table[],MATCH(CN$1,Products,0),2)="Cores",IF(HostBuild[Use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4" s="552">
        <f>IFERROR(IF(FIND(CO$1,$W24)&gt;0,IF(INDEX(Product_Pricing_Table[],MATCH(CO$1,Products,0),2)="Cores",IF(HostBuild[Use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4" s="552">
        <f>IFERROR(IF(FIND(CP$1,$W24)&gt;0,IF(INDEX(Product_Pricing_Table[],MATCH(CP$1,Products,0),2)="Cores",IF(HostBuild[Use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4" s="552">
        <f>IFERROR(IF(FIND(CQ$1,$W24)&gt;0,IF(INDEX(Product_Pricing_Table[],MATCH(CQ$1,Products,0),2)="Cores",IF(HostBuild[Use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4" s="552">
        <f>IFERROR(IF(FIND(CR$1,$W24)&gt;0,IF(INDEX(Product_Pricing_Table[],MATCH(CR$1,Products,0),2)="Cores",IF(HostBuild[Use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4" s="552">
        <f>IFERROR(IF(FIND(CS$1,$W24)&gt;0,IF(INDEX(Product_Pricing_Table[],MATCH(CS$1,Products,0),2)="Cores",IF(HostBuild[Use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4" s="552">
        <f>IFERROR(IF(FIND(CT$1,$W24)&gt;0,IF(INDEX(Product_Pricing_Table[],MATCH(CT$1,Products,0),2)="Cores",IF(HostBuild[Use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4" s="552">
        <f>IFERROR(IF(FIND(CU$1,$W24)&gt;0,IF(INDEX(Product_Pricing_Table[],MATCH(CU$1,Products,0),2)="Cores",IF(HostBuild[Use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4" s="552">
        <f>IFERROR(IF(FIND(CV$1,$W24)&gt;0,IF(INDEX(Product_Pricing_Table[],MATCH(CV$1,Products,0),2)="Cores",IF(HostBuild[Use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4" s="552">
        <f>IFERROR(IF(FIND(CW$1,$W24)&gt;0,IF(INDEX(Product_Pricing_Table[],MATCH(CW$1,Products,0),2)="Cores",IF(HostBuild[Use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4" s="552">
        <f>IFERROR(IF(FIND(CX$1,$W24)&gt;0,IF(INDEX(Product_Pricing_Table[],MATCH(CX$1,Products,0),2)="Cores",IF(HostBuild[Use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4" s="552">
        <f>IFERROR(IF(FIND(CY$1,$W24)&gt;0,IF(INDEX(Product_Pricing_Table[],MATCH(CY$1,Products,0),2)="Cores",IF(HostBuild[Use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4" s="552">
        <f>IFERROR(IF(FIND(CZ$1,$W24)&gt;0,IF(INDEX(Product_Pricing_Table[],MATCH(CZ$1,Products,0),2)="Cores",IF(HostBuild[Use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4" s="552">
        <f>IFERROR(IF(FIND(DA$1,$W24)&gt;0,IF(INDEX(Product_Pricing_Table[],MATCH(DA$1,Products,0),2)="Cores",IF(HostBuild[Use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4" s="552">
        <f>IFERROR(IF(FIND(DB$1,$W24)&gt;0,IF(INDEX(Product_Pricing_Table[],MATCH(DB$1,Products,0),2)="Cores",IF(HostBuild[Use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4" s="552">
        <f>IFERROR(IF(FIND(DC$1,$W24)&gt;0,IF(INDEX(Product_Pricing_Table[],MATCH(DC$1,Products,0),2)="Cores",IF(HostBuild[Use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4" s="552">
        <f>IFERROR(IF(FIND(DD$1,$W24)&gt;0,IF(INDEX(Product_Pricing_Table[],MATCH(DD$1,Products,0),2)="Cores",IF(HostBuild[Use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4" s="552">
        <f>IFERROR(IF(FIND(DE$1,$W24)&gt;0,IF(INDEX(Product_Pricing_Table[],MATCH(DE$1,Products,0),2)="Cores",IF(HostBuild[Use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4" s="553">
        <f>IFERROR(IF(FIND(DF$1,$W24)&gt;0,IF(INDEX(Product_Pricing_Table[],MATCH(DF$1,Products,0),2)="Cores",IF(HostBuild[Use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4" s="553">
        <f>IFERROR(IF(FIND(DG$1,$W24)&gt;0,IF(INDEX(Product_Pricing_Table[],MATCH(DG$1,Products,0),2)="Cores",IF(HostBuild[Use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4" s="552">
        <f>IFERROR(IF(FIND(DH$1,$W24)&gt;0,IF(INDEX(Product_Pricing_Table[],MATCH(DH$1,Products,0),2)="Cores",IF(HostBuild[Use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4" s="553">
        <f>IFERROR(IF(FIND(DI$1,$W24)&gt;0,IF(INDEX(Product_Pricing_Table[],MATCH(DI$1,Products,0),2)="Cores",IF(HostBuild[Use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4" s="552">
        <f>IFERROR(IF(FIND(DJ$1,$W24)&gt;0,IF(INDEX(Product_Pricing_Table[],MATCH(DJ$1,Products,0),2)="Cores",IF(HostBuild[Use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4" s="552">
        <f>IFERROR(IF(FIND(DK$1,$W24)&gt;0,IF(INDEX(Product_Pricing_Table[],MATCH(DK$1,Products,0),2)="Cores",IF(HostBuild[Use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4" s="552">
        <f>IFERROR(IF(FIND(DL$1,$W24)&gt;0,IF(INDEX(Product_Pricing_Table[],MATCH(DL$1,Products,0),2)="Cores",IF(HostBuild[Use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4" s="552">
        <f>IFERROR(IF(FIND(DM$1,$W24)&gt;0,IF(INDEX(Product_Pricing_Table[],MATCH(DM$1,Products,0),2)="Cores",IF(HostBuild[Use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4" s="552">
        <f>IFERROR(IF(FIND(DN$1,$W24)&gt;0,IF(INDEX(Product_Pricing_Table[],MATCH(DN$1,Products,0),2)="Cores",IF(HostBuild[Use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4" s="552">
        <f>IFERROR(IF(FIND(DO$1,$W24)&gt;0,IF(INDEX(Product_Pricing_Table[],MATCH(DO$1,Products,0),2)="Cores",IF(HostBuild[Use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4" s="552">
        <f>IFERROR(IF(FIND(DP$1,$W24)&gt;0,IF(INDEX(Product_Pricing_Table[],MATCH(DP$1,Products,0),2)="Cores",IF(HostBuild[Use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4" s="552">
        <f>IFERROR(IF(FIND(DQ$1,$W24)&gt;0,IF(INDEX(Product_Pricing_Table[],MATCH(DQ$1,Products,0),2)="Cores",IF(HostBuild[Use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4" s="552">
        <f>IFERROR(IF(FIND(DR$1,$W24)&gt;0,IF(INDEX(Product_Pricing_Table[],MATCH(DR$1,Products,0),2)="Cores",IF(HostBuild[Use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4" s="552">
        <f>IFERROR(IF(FIND(DS$1,$W24)&gt;0,IF(INDEX(Product_Pricing_Table[],MATCH(DS$1,Products,0),2)="Cores",IF(HostBuild[Use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4" s="552">
        <f>IFERROR(IF(FIND(DT$1,$W24)&gt;0,IF(INDEX(Product_Pricing_Table[],MATCH(DT$1,Products,0),2)="Cores",IF(HostBuild[Use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4" s="552">
        <f>IFERROR(IF(FIND(DU$1,$W24)&gt;0,IF(INDEX(Product_Pricing_Table[],MATCH(DU$1,Products,0),2)="Cores",IF(HostBuild[Use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4" s="552">
        <f>IFERROR(IF(FIND(DV$1,$W24)&gt;0,IF(INDEX(Product_Pricing_Table[],MATCH(DV$1,Products,0),2)="Cores",IF(HostBuild[Use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4" s="552">
        <f>IFERROR(IF(FIND(DW$1,$W24)&gt;0,IF(INDEX(Product_Pricing_Table[],MATCH(DW$1,Products,0),2)="Cores",IF(HostBuild[Use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4" s="552">
        <f>IFERROR(IF(FIND(DX$1,$W24)&gt;0,IF(INDEX(Product_Pricing_Table[],MATCH(DX$1,Products,0),2)="Cores",IF(HostBuild[Use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4" s="552">
        <f>IFERROR(IF(FIND(DY$1,$W24)&gt;0,IF(INDEX(Product_Pricing_Table[],MATCH(DY$1,Products,0),2)="Cores",IF(HostBuild[Use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4" s="552">
        <f>IFERROR(IF(FIND(DZ$1,$W24)&gt;0,IF(INDEX(Product_Pricing_Table[],MATCH(DZ$1,Products,0),2)="Cores",IF(HostBuild[Use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4" s="552">
        <f>IFERROR(IF(FIND(EA$1,$W24)&gt;0,IF(INDEX(Product_Pricing_Table[],MATCH(EA$1,Products,0),2)="Cores",IF(HostBuild[Use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4" s="552">
        <f>IFERROR(IF(FIND(EB$1,$W24)&gt;0,IF(INDEX(Product_Pricing_Table[],MATCH(EB$1,Products,0),2)="Cores",IF(HostBuild[Use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4" s="553">
        <f>IFERROR(IF(FIND(EC$1,$W24)&gt;0,IF(INDEX(Product_Pricing_Table[],MATCH(EC$1,Products,0),2)="Cores",IF(HostBuild[Use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4" s="552">
        <f>IFERROR(IF(FIND(ED$1,$W24)&gt;0,IF(INDEX(Product_Pricing_Table[],MATCH(ED$1,Products,0),2)="Cores",IF(HostBuild[Use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4" s="552">
        <f>IFERROR(IF(FIND(EE$1,$W24)&gt;0,IF(INDEX(Product_Pricing_Table[],MATCH(EE$1,Products,0),2)="Cores",IF(HostBuild[Use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4" s="552">
        <f>IFERROR(IF(FIND(EF$1,$W24)&gt;0,IF(INDEX(Product_Pricing_Table[],MATCH(EF$1,Products,0),2)="Cores",IF(HostBuild[Use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4" s="552">
        <f>IFERROR(IF(FIND(EG$1,$W24)&gt;0,IF(INDEX(Product_Pricing_Table[],MATCH(EG$1,Products,0),2)="Cores",IF(HostBuild[Use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4" s="552">
        <f>IFERROR(IF(FIND(EH$1,$W24)&gt;0,IF(INDEX(Product_Pricing_Table[],MATCH(EH$1,Products,0),2)="Cores",IF(HostBuild[Use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4" s="552">
        <f>IFERROR(IF(FIND(EI$1,$W24)&gt;0,IF(INDEX(Product_Pricing_Table[],MATCH(EI$1,Products,0),2)="Cores",IF(HostBuild[Use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4" s="552">
        <f>IFERROR(IF(FIND(EJ$1,$W24)&gt;0,IF(INDEX(Product_Pricing_Table[],MATCH(EJ$1,Products,0),2)="Cores",IF(HostBuild[Use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4" s="553">
        <f>IFERROR(IF(FIND(EK$1,$W24)&gt;0,IF(INDEX(Product_Pricing_Table[],MATCH(EK$1,Products,0),2)="Cores",IF(HostBuild[Use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4" s="554"/>
      <c r="EM24" s="555"/>
      <c r="EN24" s="556"/>
      <c r="EO24"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4" s="558">
        <f>(HostBuild[Archive
Full (GB)]+HostBuild[Archive
Incr (GB)])*Storage_DC_Dist_Tape_2014</f>
        <v>33.910624999999996</v>
      </c>
      <c r="ER24" s="558">
        <f>IF(ISNUMBER(HostBuild[Server HW Costs
(Monthly)]),SUM(HostBuild[[#This Row],[Server HW Costs
(Monthly)]:[Tape Costs
(Monthly)]]),0)</f>
        <v>1398.400625</v>
      </c>
      <c r="ES24" s="559">
        <f>HostBuild[Software Costs
'[Year 1']
(Monthly)]+HostBuild[Total Hardware Costs
(Monthly)]</f>
        <v>1398.400625</v>
      </c>
      <c r="ET24" s="559">
        <f>IFERROR(IF(FIND("Safenet",HostBuild[Server Model]),Safenet_PSE_PL600_Maint,0),0)+IFERROR(IF(FIND("XI52",HostBuild[Server Model]),IBM_DIA_XI52_Maint,0),0)+HostBuild[Software Costs
'[After Year 1']
(Monthly)]+HostBuild[Total Hardware Costs
(Monthly)]</f>
        <v>1398.400625</v>
      </c>
      <c r="EU24" s="560">
        <f>SUM(HostBuild[[#This Row],[Server Cost Breakdown]:[Network Cost]])</f>
        <v>1003.9</v>
      </c>
      <c r="EV24" s="561">
        <f>IF(HostBuild[Existing Server?]="Yes - Inside this BoM",0,SUMIF(HostBuild[Alias],HostBuild[Alias],HostBuild[CPU])+SUMIF(HostBuild[Alias],HostBuild[Alias],HostBuild[Existing CPUs]))</f>
        <v>2</v>
      </c>
      <c r="EW24" s="561">
        <f>IF(HostBuild[Existing Server?]="Yes - Inside this BoM",0,SUMIF(HostBuild[Alias],HostBuild[Alias],HostBuild[Cores 
(Licensed Units)])+SUMIF(HostBuild[Alias],HostBuild[Alias],HostBuild[Existing Cores]))</f>
        <v>16</v>
      </c>
      <c r="EX24" s="561">
        <f>IF(HostBuild[Existing Server?]="Yes - Inside this BoM",0,SUMIF(HostBuild[Alias],HostBuild[Alias],HostBuild[RAM 
(GB)])+SUMIF(HostBuild[Alias],HostBuild[Alias],HostBuild[Existing RAM (GB)]))</f>
        <v>256</v>
      </c>
      <c r="EY2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4" s="560">
        <f>IF(ISBLANK(HostBuild[Server Model]),0,IF(HostBuild[Server Tier]="VMware",0,VLOOKUP(HostBuild[Server Tier],ServerTierRates[#Data],2,0))*HostBuild[CPU]*IF(AND(HostBuild[Server Type]="pSeries",HostBuild[Virtual Platform Storage Type]="Cloud-SAN"),0.25,1))</f>
        <v>608</v>
      </c>
      <c r="FD24" s="560">
        <f>0</f>
        <v>0</v>
      </c>
      <c r="FE24" s="560">
        <f>IF(HostBuild[Server Type]="VMware",HostBuild[RAM 
(GB)]*IF(ISERROR(FIND("DevCloud", HostBuild[Server Model])&gt;0),vRAM_per_vCPU_2014_Monthly,vRAM_per_vCPU_2014_Daily*30),0)</f>
        <v>0</v>
      </c>
      <c r="FF2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4" s="563">
        <f>IF(HostBuild[Server Tier]="VMware",0,IF(LEFT(HostBuild[Existing Server?],3)="Yes",0,IF(OR(HostBuild[Server Type]="Sun",HostBuild[Server Type]="pSeries"),Support_Direct_Server_Sun_per_OS_2014,IF(HostBuild[Server Type]="x86",Support_Direct_Server_x86_Wintel_per_OS_2014,0))))</f>
        <v>187.1</v>
      </c>
      <c r="FI2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5" spans="1:165" s="139" customFormat="1">
      <c r="A25" s="360" t="s">
        <v>3942</v>
      </c>
      <c r="B25" s="521"/>
      <c r="C25" s="521"/>
      <c r="D25" s="521"/>
      <c r="E25" s="522"/>
      <c r="F25" s="522"/>
      <c r="G25" s="597"/>
      <c r="H25" s="597"/>
      <c r="I25" s="523"/>
      <c r="J25" s="522"/>
      <c r="K25" s="522"/>
      <c r="L25" s="522"/>
      <c r="M25" s="597" t="e">
        <f ca="1">IF(rngIsDate(HostBuild[CTO Acceptance]),"Y","N")</f>
        <v>#NAME?</v>
      </c>
      <c r="N25" s="361" t="s">
        <v>3938</v>
      </c>
      <c r="O25" s="525"/>
      <c r="P25" s="525"/>
      <c r="Q25" s="361" t="s">
        <v>79</v>
      </c>
      <c r="R25" s="526" t="str">
        <f>IF(NOT(ISBLANK(HostBuild[Env Label])),IFERROR(VLOOKUP(HostBuild[Env Label],tEnv[],3,FALSE),""),"")</f>
        <v>PROD</v>
      </c>
      <c r="S25" s="598"/>
      <c r="T25" s="527"/>
      <c r="U25" s="599"/>
      <c r="V25" s="524" t="s">
        <v>4006</v>
      </c>
      <c r="W25" s="524" t="s">
        <v>3941</v>
      </c>
      <c r="X25" s="524" t="s">
        <v>35</v>
      </c>
      <c r="Y25" s="361" t="s">
        <v>481</v>
      </c>
      <c r="Z25" s="526" t="str">
        <f>IF(NOT(ISBLANK(HostBuild[[#This Row],[Product 
(Acronym)]])),CONCATENATE(HostBuild[[#This Row],[Type]],"-",HostBuild[[#This Row],[Product 
(Acronym)]]),"")</f>
        <v>AP-ESB</v>
      </c>
      <c r="AA25" s="600"/>
      <c r="AB25" s="600" t="s">
        <v>105</v>
      </c>
      <c r="AC25" s="528"/>
      <c r="AD25" s="529"/>
      <c r="AE25" s="529"/>
      <c r="AF25" s="530"/>
      <c r="AG25" s="531"/>
      <c r="AH25" s="601"/>
      <c r="AI25" s="362" t="s">
        <v>3958</v>
      </c>
      <c r="AJ25" s="524">
        <f>IF(COUNTIF(HostBuild[Alias],HostBuild[Alias]),1/COUNTIF(HostBuild[Alias],HostBuild[Alias]),0)</f>
        <v>1</v>
      </c>
      <c r="AK25" s="531"/>
      <c r="AL25" s="531"/>
      <c r="AM25" s="532" t="s">
        <v>2173</v>
      </c>
      <c r="AN25" s="533" t="str">
        <f>IF(NOT(ISBLANK(HostBuild[Server Model])),VLOOKUP(HostBuild[Server Model],ServerModelsTier[],2,FALSE),"")</f>
        <v>x86 Tier 3</v>
      </c>
      <c r="AO25" s="533" t="str">
        <f>IF(NOT(ISBLANK(HostBuild[Server Model])),VLOOKUP(HostBuild[Server Model],ServerModelsTier[],5,FALSE),"")</f>
        <v>x86</v>
      </c>
      <c r="AP25" s="532"/>
      <c r="AQ25" s="532" t="s">
        <v>2337</v>
      </c>
      <c r="AR25" s="534">
        <v>2</v>
      </c>
      <c r="AS25" s="602"/>
      <c r="AT25" s="535">
        <v>16</v>
      </c>
      <c r="AU25" s="603"/>
      <c r="AV25" s="536">
        <v>256</v>
      </c>
      <c r="AW25" s="531"/>
      <c r="AX25" s="531"/>
      <c r="AY25" s="531"/>
      <c r="AZ25" s="537"/>
      <c r="BA25" s="531"/>
      <c r="BB25" s="531"/>
      <c r="BC25" s="529"/>
      <c r="BD25" s="531"/>
      <c r="BE25" s="531"/>
      <c r="BF25" s="531"/>
      <c r="BG25" s="531"/>
      <c r="BH25" s="531"/>
      <c r="BI25" s="531"/>
      <c r="BJ25" s="531"/>
      <c r="BK25"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25" s="538"/>
      <c r="BM25" s="540">
        <f>IF(ISNUMBER(HostBuild[Recommended SAN (GB)]),HostBuild[Recommended SAN (GB)])+IF(HostBuild[Additional SAN (GB)]&gt;0,CEILING(HostBuild[Additional SAN (GB)],LUN),-(CEILING(-HostBuild[Additional SAN (GB)],LUN)))</f>
        <v>337</v>
      </c>
      <c r="BN25" s="539"/>
      <c r="BO25" s="540">
        <f>HostBuild[SAN (GB)
NEEDED TODAY]+CEILING(HostBuild[SAN (GB)
RESERVED
DO NOT USE TO BUILD], LUN)</f>
        <v>337</v>
      </c>
      <c r="BP25" s="541"/>
      <c r="BQ25" s="542"/>
      <c r="BR25" s="432" t="s">
        <v>106</v>
      </c>
      <c r="BS25" s="605">
        <f>IF(HostBuild[Existing Server?]&lt;&gt;"Yes - Inside this BoM",IF(ISNUMBER(HostBuild[RAM 
(GB)]),IF(HostBuild[Existing RAM (GB)]+HostBuild[RAM 
(GB)]&gt;0,IF(HostBuild[Virtual Platform Storage Type]="NAS",110+HostBuild[Existing RAM (GB)]+HostBuild[RAM 
(GB)]*1.75,0),0),0),0)</f>
        <v>0</v>
      </c>
      <c r="BT25" s="606"/>
      <c r="BU25" s="607">
        <f>IF(ISNUMBER(HostBuild[Recommended NAS (GB)]),HostBuild[Recommended NAS (GB)])+HostBuild[Additional NAS (GB)]</f>
        <v>0</v>
      </c>
      <c r="BV25" s="543"/>
      <c r="BW25" s="543"/>
      <c r="BX25" s="604">
        <f>IFERROR((HostBuild[SAN (GB)
End-State
DO NOT USE TO BUILD]+HostBuild[SAN (GB) Shared])*25%,"")</f>
        <v>84.25</v>
      </c>
      <c r="BY25" s="608">
        <f>IFERROR(HostBuild[Archive
Full (GB)]*15%,"")</f>
        <v>12.637499999999999</v>
      </c>
      <c r="BZ25" s="544"/>
      <c r="CA25" s="544"/>
      <c r="CB25" s="545"/>
      <c r="CC25" s="546"/>
      <c r="CD25" s="545"/>
      <c r="CE25" s="547"/>
      <c r="CF25" s="539"/>
      <c r="CG25" s="609"/>
      <c r="CH25" s="548"/>
      <c r="CI25" s="549"/>
      <c r="CJ25" s="550"/>
      <c r="CK25" s="551"/>
      <c r="CL25" s="552">
        <f>IFERROR(IF(FIND(CL$1,$W25)&gt;0,IF(INDEX(Product_Pricing_Table[],MATCH(CL$1,Products,0),2)="Cores",IF(HostBuild[Use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5" s="552">
        <f>IFERROR(IF(FIND(CM$1,$W25)&gt;0,IF(INDEX(Product_Pricing_Table[],MATCH(CM$1,Products,0),2)="Cores",IF(HostBuild[Use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25" s="552">
        <f>IFERROR(IF(FIND(CN$1,$W25)&gt;0,IF(INDEX(Product_Pricing_Table[],MATCH(CN$1,Products,0),2)="Cores",IF(HostBuild[Use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5" s="552">
        <f>IFERROR(IF(FIND(CO$1,$W25)&gt;0,IF(INDEX(Product_Pricing_Table[],MATCH(CO$1,Products,0),2)="Cores",IF(HostBuild[Use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5" s="552">
        <f>IFERROR(IF(FIND(CP$1,$W25)&gt;0,IF(INDEX(Product_Pricing_Table[],MATCH(CP$1,Products,0),2)="Cores",IF(HostBuild[Use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5" s="552">
        <f>IFERROR(IF(FIND(CQ$1,$W25)&gt;0,IF(INDEX(Product_Pricing_Table[],MATCH(CQ$1,Products,0),2)="Cores",IF(HostBuild[Use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5" s="552">
        <f>IFERROR(IF(FIND(CR$1,$W25)&gt;0,IF(INDEX(Product_Pricing_Table[],MATCH(CR$1,Products,0),2)="Cores",IF(HostBuild[Use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5" s="552">
        <f>IFERROR(IF(FIND(CS$1,$W25)&gt;0,IF(INDEX(Product_Pricing_Table[],MATCH(CS$1,Products,0),2)="Cores",IF(HostBuild[Use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5" s="552">
        <f>IFERROR(IF(FIND(CT$1,$W25)&gt;0,IF(INDEX(Product_Pricing_Table[],MATCH(CT$1,Products,0),2)="Cores",IF(HostBuild[Use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5" s="552">
        <f>IFERROR(IF(FIND(CU$1,$W25)&gt;0,IF(INDEX(Product_Pricing_Table[],MATCH(CU$1,Products,0),2)="Cores",IF(HostBuild[Use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5" s="552">
        <f>IFERROR(IF(FIND(CV$1,$W25)&gt;0,IF(INDEX(Product_Pricing_Table[],MATCH(CV$1,Products,0),2)="Cores",IF(HostBuild[Use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5" s="552">
        <f>IFERROR(IF(FIND(CW$1,$W25)&gt;0,IF(INDEX(Product_Pricing_Table[],MATCH(CW$1,Products,0),2)="Cores",IF(HostBuild[Use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5" s="552">
        <f>IFERROR(IF(FIND(CX$1,$W25)&gt;0,IF(INDEX(Product_Pricing_Table[],MATCH(CX$1,Products,0),2)="Cores",IF(HostBuild[Use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5" s="552">
        <f>IFERROR(IF(FIND(CY$1,$W25)&gt;0,IF(INDEX(Product_Pricing_Table[],MATCH(CY$1,Products,0),2)="Cores",IF(HostBuild[Use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5" s="552">
        <f>IFERROR(IF(FIND(CZ$1,$W25)&gt;0,IF(INDEX(Product_Pricing_Table[],MATCH(CZ$1,Products,0),2)="Cores",IF(HostBuild[Use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5" s="552">
        <f>IFERROR(IF(FIND(DA$1,$W25)&gt;0,IF(INDEX(Product_Pricing_Table[],MATCH(DA$1,Products,0),2)="Cores",IF(HostBuild[Use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5" s="552">
        <f>IFERROR(IF(FIND(DB$1,$W25)&gt;0,IF(INDEX(Product_Pricing_Table[],MATCH(DB$1,Products,0),2)="Cores",IF(HostBuild[Use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5" s="552">
        <f>IFERROR(IF(FIND(DC$1,$W25)&gt;0,IF(INDEX(Product_Pricing_Table[],MATCH(DC$1,Products,0),2)="Cores",IF(HostBuild[Use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5" s="552">
        <f>IFERROR(IF(FIND(DD$1,$W25)&gt;0,IF(INDEX(Product_Pricing_Table[],MATCH(DD$1,Products,0),2)="Cores",IF(HostBuild[Use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5" s="552">
        <f>IFERROR(IF(FIND(DE$1,$W25)&gt;0,IF(INDEX(Product_Pricing_Table[],MATCH(DE$1,Products,0),2)="Cores",IF(HostBuild[Use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5" s="553">
        <f>IFERROR(IF(FIND(DF$1,$W25)&gt;0,IF(INDEX(Product_Pricing_Table[],MATCH(DF$1,Products,0),2)="Cores",IF(HostBuild[Use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5" s="553">
        <f>IFERROR(IF(FIND(DG$1,$W25)&gt;0,IF(INDEX(Product_Pricing_Table[],MATCH(DG$1,Products,0),2)="Cores",IF(HostBuild[Use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5" s="552">
        <f>IFERROR(IF(FIND(DH$1,$W25)&gt;0,IF(INDEX(Product_Pricing_Table[],MATCH(DH$1,Products,0),2)="Cores",IF(HostBuild[Use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5" s="553">
        <f>IFERROR(IF(FIND(DI$1,$W25)&gt;0,IF(INDEX(Product_Pricing_Table[],MATCH(DI$1,Products,0),2)="Cores",IF(HostBuild[Use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5" s="552">
        <f>IFERROR(IF(FIND(DJ$1,$W25)&gt;0,IF(INDEX(Product_Pricing_Table[],MATCH(DJ$1,Products,0),2)="Cores",IF(HostBuild[Use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5" s="552">
        <f>IFERROR(IF(FIND(DK$1,$W25)&gt;0,IF(INDEX(Product_Pricing_Table[],MATCH(DK$1,Products,0),2)="Cores",IF(HostBuild[Use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5" s="552">
        <f>IFERROR(IF(FIND(DL$1,$W25)&gt;0,IF(INDEX(Product_Pricing_Table[],MATCH(DL$1,Products,0),2)="Cores",IF(HostBuild[Use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5" s="552">
        <f>IFERROR(IF(FIND(DM$1,$W25)&gt;0,IF(INDEX(Product_Pricing_Table[],MATCH(DM$1,Products,0),2)="Cores",IF(HostBuild[Use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5" s="552">
        <f>IFERROR(IF(FIND(DN$1,$W25)&gt;0,IF(INDEX(Product_Pricing_Table[],MATCH(DN$1,Products,0),2)="Cores",IF(HostBuild[Use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5" s="552">
        <f>IFERROR(IF(FIND(DO$1,$W25)&gt;0,IF(INDEX(Product_Pricing_Table[],MATCH(DO$1,Products,0),2)="Cores",IF(HostBuild[Use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5" s="552">
        <f>IFERROR(IF(FIND(DP$1,$W25)&gt;0,IF(INDEX(Product_Pricing_Table[],MATCH(DP$1,Products,0),2)="Cores",IF(HostBuild[Use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5" s="552">
        <f>IFERROR(IF(FIND(DQ$1,$W25)&gt;0,IF(INDEX(Product_Pricing_Table[],MATCH(DQ$1,Products,0),2)="Cores",IF(HostBuild[Use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5" s="552">
        <f>IFERROR(IF(FIND(DR$1,$W25)&gt;0,IF(INDEX(Product_Pricing_Table[],MATCH(DR$1,Products,0),2)="Cores",IF(HostBuild[Use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5" s="552">
        <f>IFERROR(IF(FIND(DS$1,$W25)&gt;0,IF(INDEX(Product_Pricing_Table[],MATCH(DS$1,Products,0),2)="Cores",IF(HostBuild[Use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5" s="552">
        <f>IFERROR(IF(FIND(DT$1,$W25)&gt;0,IF(INDEX(Product_Pricing_Table[],MATCH(DT$1,Products,0),2)="Cores",IF(HostBuild[Use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5" s="552">
        <f>IFERROR(IF(FIND(DU$1,$W25)&gt;0,IF(INDEX(Product_Pricing_Table[],MATCH(DU$1,Products,0),2)="Cores",IF(HostBuild[Use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5" s="552">
        <f>IFERROR(IF(FIND(DV$1,$W25)&gt;0,IF(INDEX(Product_Pricing_Table[],MATCH(DV$1,Products,0),2)="Cores",IF(HostBuild[Use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5" s="552">
        <f>IFERROR(IF(FIND(DW$1,$W25)&gt;0,IF(INDEX(Product_Pricing_Table[],MATCH(DW$1,Products,0),2)="Cores",IF(HostBuild[Use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5" s="552">
        <f>IFERROR(IF(FIND(DX$1,$W25)&gt;0,IF(INDEX(Product_Pricing_Table[],MATCH(DX$1,Products,0),2)="Cores",IF(HostBuild[Use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5" s="552">
        <f>IFERROR(IF(FIND(DY$1,$W25)&gt;0,IF(INDEX(Product_Pricing_Table[],MATCH(DY$1,Products,0),2)="Cores",IF(HostBuild[Use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5" s="552">
        <f>IFERROR(IF(FIND(DZ$1,$W25)&gt;0,IF(INDEX(Product_Pricing_Table[],MATCH(DZ$1,Products,0),2)="Cores",IF(HostBuild[Use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5" s="552">
        <f>IFERROR(IF(FIND(EA$1,$W25)&gt;0,IF(INDEX(Product_Pricing_Table[],MATCH(EA$1,Products,0),2)="Cores",IF(HostBuild[Use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5" s="552">
        <f>IFERROR(IF(FIND(EB$1,$W25)&gt;0,IF(INDEX(Product_Pricing_Table[],MATCH(EB$1,Products,0),2)="Cores",IF(HostBuild[Use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5" s="553">
        <f>IFERROR(IF(FIND(EC$1,$W25)&gt;0,IF(INDEX(Product_Pricing_Table[],MATCH(EC$1,Products,0),2)="Cores",IF(HostBuild[Use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5" s="552">
        <f>IFERROR(IF(FIND(ED$1,$W25)&gt;0,IF(INDEX(Product_Pricing_Table[],MATCH(ED$1,Products,0),2)="Cores",IF(HostBuild[Use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5" s="552">
        <f>IFERROR(IF(FIND(EE$1,$W25)&gt;0,IF(INDEX(Product_Pricing_Table[],MATCH(EE$1,Products,0),2)="Cores",IF(HostBuild[Use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5" s="552">
        <f>IFERROR(IF(FIND(EF$1,$W25)&gt;0,IF(INDEX(Product_Pricing_Table[],MATCH(EF$1,Products,0),2)="Cores",IF(HostBuild[Use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5" s="552">
        <f>IFERROR(IF(FIND(EG$1,$W25)&gt;0,IF(INDEX(Product_Pricing_Table[],MATCH(EG$1,Products,0),2)="Cores",IF(HostBuild[Use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5" s="552">
        <f>IFERROR(IF(FIND(EH$1,$W25)&gt;0,IF(INDEX(Product_Pricing_Table[],MATCH(EH$1,Products,0),2)="Cores",IF(HostBuild[Use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25" s="552">
        <f>IFERROR(IF(FIND(EI$1,$W25)&gt;0,IF(INDEX(Product_Pricing_Table[],MATCH(EI$1,Products,0),2)="Cores",IF(HostBuild[Use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5" s="552">
        <f>IFERROR(IF(FIND(EJ$1,$W25)&gt;0,IF(INDEX(Product_Pricing_Table[],MATCH(EJ$1,Products,0),2)="Cores",IF(HostBuild[Use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5" s="553">
        <f>IFERROR(IF(FIND(EK$1,$W25)&gt;0,IF(INDEX(Product_Pricing_Table[],MATCH(EK$1,Products,0),2)="Cores",IF(HostBuild[Use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5" s="554"/>
      <c r="EM25" s="555"/>
      <c r="EN25" s="556"/>
      <c r="EO25"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2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360.59000000000003</v>
      </c>
      <c r="EQ25" s="558">
        <f>(HostBuild[Archive
Full (GB)]+HostBuild[Archive
Incr (GB)])*Storage_DC_Dist_Tape_2014</f>
        <v>33.910624999999996</v>
      </c>
      <c r="ER25" s="558">
        <f>IF(ISNUMBER(HostBuild[Server HW Costs
(Monthly)]),SUM(HostBuild[[#This Row],[Server HW Costs
(Monthly)]:[Tape Costs
(Monthly)]]),0)</f>
        <v>1398.400625</v>
      </c>
      <c r="ES25" s="559">
        <f>HostBuild[Software Costs
'[Year 1']
(Monthly)]+HostBuild[Total Hardware Costs
(Monthly)]</f>
        <v>1398.400625</v>
      </c>
      <c r="ET25" s="559">
        <f>IFERROR(IF(FIND("Safenet",HostBuild[Server Model]),Safenet_PSE_PL600_Maint,0),0)+IFERROR(IF(FIND("XI52",HostBuild[Server Model]),IBM_DIA_XI52_Maint,0),0)+HostBuild[Software Costs
'[After Year 1']
(Monthly)]+HostBuild[Total Hardware Costs
(Monthly)]</f>
        <v>1398.400625</v>
      </c>
      <c r="EU25" s="560">
        <f>SUM(HostBuild[[#This Row],[Server Cost Breakdown]:[Network Cost]])</f>
        <v>1003.9</v>
      </c>
      <c r="EV25" s="561">
        <f>IF(HostBuild[Existing Server?]="Yes - Inside this BoM",0,SUMIF(HostBuild[Alias],HostBuild[Alias],HostBuild[CPU])+SUMIF(HostBuild[Alias],HostBuild[Alias],HostBuild[Existing CPUs]))</f>
        <v>2</v>
      </c>
      <c r="EW25" s="561">
        <f>IF(HostBuild[Existing Server?]="Yes - Inside this BoM",0,SUMIF(HostBuild[Alias],HostBuild[Alias],HostBuild[Cores 
(Licensed Units)])+SUMIF(HostBuild[Alias],HostBuild[Alias],HostBuild[Existing Cores]))</f>
        <v>16</v>
      </c>
      <c r="EX25" s="561">
        <f>IF(HostBuild[Existing Server?]="Yes - Inside this BoM",0,SUMIF(HostBuild[Alias],HostBuild[Alias],HostBuild[RAM 
(GB)])+SUMIF(HostBuild[Alias],HostBuild[Alias],HostBuild[Existing RAM (GB)]))</f>
        <v>256</v>
      </c>
      <c r="EY2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5" s="560">
        <f>IF(ISBLANK(HostBuild[Server Model]),0,IF(HostBuild[Server Tier]="VMware",0,VLOOKUP(HostBuild[Server Tier],ServerTierRates[#Data],2,0))*HostBuild[CPU]*IF(AND(HostBuild[Server Type]="pSeries",HostBuild[Virtual Platform Storage Type]="Cloud-SAN"),0.25,1))</f>
        <v>608</v>
      </c>
      <c r="FD25" s="560">
        <f>0</f>
        <v>0</v>
      </c>
      <c r="FE25" s="560">
        <f>IF(HostBuild[Server Type]="VMware",HostBuild[RAM 
(GB)]*IF(ISERROR(FIND("DevCloud", HostBuild[Server Model])&gt;0),vRAM_per_vCPU_2014_Monthly,vRAM_per_vCPU_2014_Daily*30),0)</f>
        <v>0</v>
      </c>
      <c r="FF2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2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5" s="563">
        <f>IF(HostBuild[Server Tier]="VMware",0,IF(LEFT(HostBuild[Existing Server?],3)="Yes",0,IF(OR(HostBuild[Server Type]="Sun",HostBuild[Server Type]="pSeries"),Support_Direct_Server_Sun_per_OS_2014,IF(HostBuild[Server Type]="x86",Support_Direct_Server_x86_Wintel_per_OS_2014,0))))</f>
        <v>187.1</v>
      </c>
      <c r="FI2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6" spans="1:165" s="262" customFormat="1">
      <c r="A26" s="360" t="s">
        <v>3942</v>
      </c>
      <c r="B26" s="521"/>
      <c r="C26" s="521"/>
      <c r="D26" s="521"/>
      <c r="E26" s="522"/>
      <c r="F26" s="522"/>
      <c r="G26" s="597"/>
      <c r="H26" s="597"/>
      <c r="I26" s="523"/>
      <c r="J26" s="522"/>
      <c r="K26" s="522"/>
      <c r="L26" s="522"/>
      <c r="M26" s="597" t="e">
        <f ca="1">IF(rngIsDate(HostBuild[CTO Acceptance]),"Y","N")</f>
        <v>#NAME?</v>
      </c>
      <c r="N26" s="361" t="s">
        <v>3938</v>
      </c>
      <c r="O26" s="525"/>
      <c r="P26" s="525"/>
      <c r="Q26" s="361" t="s">
        <v>79</v>
      </c>
      <c r="R26" s="526" t="str">
        <f>IF(NOT(ISBLANK(HostBuild[Env Label])),IFERROR(VLOOKUP(HostBuild[Env Label],tEnv[],3,FALSE),""),"")</f>
        <v>PROD</v>
      </c>
      <c r="S26" s="598"/>
      <c r="T26" s="527"/>
      <c r="U26" s="599"/>
      <c r="V26" s="524" t="s">
        <v>3975</v>
      </c>
      <c r="W26" s="524" t="s">
        <v>2248</v>
      </c>
      <c r="X26" s="524" t="s">
        <v>32</v>
      </c>
      <c r="Y26" s="361" t="s">
        <v>481</v>
      </c>
      <c r="Z26" s="526" t="str">
        <f>IF(NOT(ISBLANK(HostBuild[[#This Row],[Product 
(Acronym)]])),CONCATENATE(HostBuild[[#This Row],[Type]],"-",HostBuild[[#This Row],[Product 
(Acronym)]]),"")</f>
        <v>DB-ESB</v>
      </c>
      <c r="AA26" s="600"/>
      <c r="AB26" s="600" t="s">
        <v>3985</v>
      </c>
      <c r="AC26" s="528"/>
      <c r="AD26" s="529"/>
      <c r="AE26" s="529"/>
      <c r="AF26" s="530" t="s">
        <v>3986</v>
      </c>
      <c r="AG26" s="531"/>
      <c r="AH26" s="601"/>
      <c r="AI26" s="362" t="s">
        <v>3979</v>
      </c>
      <c r="AJ26" s="524">
        <f>IF(COUNTIF(HostBuild[Alias],HostBuild[Alias]),1/COUNTIF(HostBuild[Alias],HostBuild[Alias]),0)</f>
        <v>1</v>
      </c>
      <c r="AK26" s="531"/>
      <c r="AL26" s="531"/>
      <c r="AM26" s="532" t="s">
        <v>314</v>
      </c>
      <c r="AN26" s="533" t="str">
        <f>IF(NOT(ISBLANK(HostBuild[Server Model])),VLOOKUP(HostBuild[Server Model],ServerModelsTier[],2,FALSE),"")</f>
        <v>IBM P-Series Tier 2</v>
      </c>
      <c r="AO26" s="533" t="str">
        <f>IF(NOT(ISBLANK(HostBuild[Server Model])),VLOOKUP(HostBuild[Server Model],ServerModelsTier[],5,FALSE),"")</f>
        <v>pSeries</v>
      </c>
      <c r="AP26" s="532"/>
      <c r="AQ26" s="532" t="s">
        <v>24</v>
      </c>
      <c r="AR26" s="534"/>
      <c r="AS26" s="602"/>
      <c r="AT26" s="535"/>
      <c r="AU26" s="603"/>
      <c r="AV26" s="536"/>
      <c r="AW26" s="531"/>
      <c r="AX26" s="531"/>
      <c r="AY26" s="531"/>
      <c r="AZ26" s="537"/>
      <c r="BA26" s="531"/>
      <c r="BB26" s="531"/>
      <c r="BC26" s="529"/>
      <c r="BD26" s="531"/>
      <c r="BE26" s="531"/>
      <c r="BF26" s="531"/>
      <c r="BG26" s="531"/>
      <c r="BH26" s="531"/>
      <c r="BI26" s="531"/>
      <c r="BJ26" s="531"/>
      <c r="BK26"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26" s="538">
        <v>100</v>
      </c>
      <c r="BM26" s="540">
        <f>IF(ISNUMBER(HostBuild[Recommended SAN (GB)]),HostBuild[Recommended SAN (GB)])+IF(HostBuild[Additional SAN (GB)]&gt;0,CEILING(HostBuild[Additional SAN (GB)],LUN),-(CEILING(-HostBuild[Additional SAN (GB)],LUN)))</f>
        <v>101.10000000000001</v>
      </c>
      <c r="BN26" s="539"/>
      <c r="BO26" s="540">
        <f>HostBuild[SAN (GB)
NEEDED TODAY]+CEILING(HostBuild[SAN (GB)
RESERVED
DO NOT USE TO BUILD], LUN)</f>
        <v>101.10000000000001</v>
      </c>
      <c r="BP26" s="541">
        <v>100</v>
      </c>
      <c r="BQ26" s="542"/>
      <c r="BR26" s="432" t="s">
        <v>106</v>
      </c>
      <c r="BS26" s="605">
        <f>IF(HostBuild[Existing Server?]&lt;&gt;"Yes - Inside this BoM",IF(ISNUMBER(HostBuild[RAM 
(GB)]),IF(HostBuild[Existing RAM (GB)]+HostBuild[RAM 
(GB)]&gt;0,IF(HostBuild[Virtual Platform Storage Type]="NAS",110+HostBuild[Existing RAM (GB)]+HostBuild[RAM 
(GB)]*1.75,0),0),0),0)</f>
        <v>0</v>
      </c>
      <c r="BT26" s="606"/>
      <c r="BU26" s="607">
        <f>IF(ISNUMBER(HostBuild[Recommended NAS (GB)]),HostBuild[Recommended NAS (GB)])+HostBuild[Additional NAS (GB)]</f>
        <v>0</v>
      </c>
      <c r="BV26" s="543"/>
      <c r="BW26" s="543"/>
      <c r="BX26" s="604">
        <f>IFERROR((HostBuild[SAN (GB)
End-State
DO NOT USE TO BUILD]+HostBuild[SAN (GB) Shared])*25%,"")</f>
        <v>50.275000000000006</v>
      </c>
      <c r="BY26" s="608">
        <f>IFERROR(HostBuild[Archive
Full (GB)]*15%,"")</f>
        <v>7.5412500000000007</v>
      </c>
      <c r="BZ26" s="544"/>
      <c r="CA26" s="544"/>
      <c r="CB26" s="545"/>
      <c r="CC26" s="546"/>
      <c r="CD26" s="545"/>
      <c r="CE26" s="547"/>
      <c r="CF26" s="539"/>
      <c r="CG26" s="609"/>
      <c r="CH26" s="548"/>
      <c r="CI26" s="549"/>
      <c r="CJ26" s="550"/>
      <c r="CK26" s="551"/>
      <c r="CL26" s="552">
        <f>IFERROR(IF(FIND(CL$1,$W26)&gt;0,IF(INDEX(Product_Pricing_Table[],MATCH(CL$1,Products,0),2)="Cores",IF(HostBuild[Use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6" s="552">
        <f>IFERROR(IF(FIND(CM$1,$W26)&gt;0,IF(INDEX(Product_Pricing_Table[],MATCH(CM$1,Products,0),2)="Cores",IF(HostBuild[Use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6" s="552">
        <f>IFERROR(IF(FIND(CN$1,$W26)&gt;0,IF(INDEX(Product_Pricing_Table[],MATCH(CN$1,Products,0),2)="Cores",IF(HostBuild[Use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6" s="552">
        <f>IFERROR(IF(FIND(CO$1,$W26)&gt;0,IF(INDEX(Product_Pricing_Table[],MATCH(CO$1,Products,0),2)="Cores",IF(HostBuild[Use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6" s="552">
        <f>IFERROR(IF(FIND(CP$1,$W26)&gt;0,IF(INDEX(Product_Pricing_Table[],MATCH(CP$1,Products,0),2)="Cores",IF(HostBuild[Use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6" s="552">
        <f>IFERROR(IF(FIND(CQ$1,$W26)&gt;0,IF(INDEX(Product_Pricing_Table[],MATCH(CQ$1,Products,0),2)="Cores",IF(HostBuild[Use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6" s="552">
        <f>IFERROR(IF(FIND(CR$1,$W26)&gt;0,IF(INDEX(Product_Pricing_Table[],MATCH(CR$1,Products,0),2)="Cores",IF(HostBuild[Use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6" s="552">
        <f>IFERROR(IF(FIND(CS$1,$W26)&gt;0,IF(INDEX(Product_Pricing_Table[],MATCH(CS$1,Products,0),2)="Cores",IF(HostBuild[Use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6" s="552">
        <f>IFERROR(IF(FIND(CT$1,$W26)&gt;0,IF(INDEX(Product_Pricing_Table[],MATCH(CT$1,Products,0),2)="Cores",IF(HostBuild[Use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6" s="552">
        <f>IFERROR(IF(FIND(CU$1,$W26)&gt;0,IF(INDEX(Product_Pricing_Table[],MATCH(CU$1,Products,0),2)="Cores",IF(HostBuild[Use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6" s="552">
        <f>IFERROR(IF(FIND(CV$1,$W26)&gt;0,IF(INDEX(Product_Pricing_Table[],MATCH(CV$1,Products,0),2)="Cores",IF(HostBuild[Use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6" s="552">
        <f>IFERROR(IF(FIND(CW$1,$W26)&gt;0,IF(INDEX(Product_Pricing_Table[],MATCH(CW$1,Products,0),2)="Cores",IF(HostBuild[Use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6" s="552">
        <f>IFERROR(IF(FIND(CX$1,$W26)&gt;0,IF(INDEX(Product_Pricing_Table[],MATCH(CX$1,Products,0),2)="Cores",IF(HostBuild[Use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6" s="552">
        <f>IFERROR(IF(FIND(CY$1,$W26)&gt;0,IF(INDEX(Product_Pricing_Table[],MATCH(CY$1,Products,0),2)="Cores",IF(HostBuild[Use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6" s="552">
        <f>IFERROR(IF(FIND(CZ$1,$W26)&gt;0,IF(INDEX(Product_Pricing_Table[],MATCH(CZ$1,Products,0),2)="Cores",IF(HostBuild[Use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6" s="552">
        <f>IFERROR(IF(FIND(DA$1,$W26)&gt;0,IF(INDEX(Product_Pricing_Table[],MATCH(DA$1,Products,0),2)="Cores",IF(HostBuild[Use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6" s="552">
        <f>IFERROR(IF(FIND(DB$1,$W26)&gt;0,IF(INDEX(Product_Pricing_Table[],MATCH(DB$1,Products,0),2)="Cores",IF(HostBuild[Use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6" s="552">
        <f>IFERROR(IF(FIND(DC$1,$W26)&gt;0,IF(INDEX(Product_Pricing_Table[],MATCH(DC$1,Products,0),2)="Cores",IF(HostBuild[Use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6" s="552">
        <f>IFERROR(IF(FIND(DD$1,$W26)&gt;0,IF(INDEX(Product_Pricing_Table[],MATCH(DD$1,Products,0),2)="Cores",IF(HostBuild[Use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6" s="552">
        <f>IFERROR(IF(FIND(DE$1,$W26)&gt;0,IF(INDEX(Product_Pricing_Table[],MATCH(DE$1,Products,0),2)="Cores",IF(HostBuild[Use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6" s="553">
        <f>IFERROR(IF(FIND(DF$1,$W26)&gt;0,IF(INDEX(Product_Pricing_Table[],MATCH(DF$1,Products,0),2)="Cores",IF(HostBuild[Use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6" s="553">
        <f>IFERROR(IF(FIND(DG$1,$W26)&gt;0,IF(INDEX(Product_Pricing_Table[],MATCH(DG$1,Products,0),2)="Cores",IF(HostBuild[Use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6" s="552">
        <f>IFERROR(IF(FIND(DH$1,$W26)&gt;0,IF(INDEX(Product_Pricing_Table[],MATCH(DH$1,Products,0),2)="Cores",IF(HostBuild[Use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6" s="553">
        <f>IFERROR(IF(FIND(DI$1,$W26)&gt;0,IF(INDEX(Product_Pricing_Table[],MATCH(DI$1,Products,0),2)="Cores",IF(HostBuild[Use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6" s="552">
        <f>IFERROR(IF(FIND(DJ$1,$W26)&gt;0,IF(INDEX(Product_Pricing_Table[],MATCH(DJ$1,Products,0),2)="Cores",IF(HostBuild[Use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6" s="552">
        <f>IFERROR(IF(FIND(DK$1,$W26)&gt;0,IF(INDEX(Product_Pricing_Table[],MATCH(DK$1,Products,0),2)="Cores",IF(HostBuild[Use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6" s="552">
        <f>IFERROR(IF(FIND(DL$1,$W26)&gt;0,IF(INDEX(Product_Pricing_Table[],MATCH(DL$1,Products,0),2)="Cores",IF(HostBuild[Use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6" s="552">
        <f>IFERROR(IF(FIND(DM$1,$W26)&gt;0,IF(INDEX(Product_Pricing_Table[],MATCH(DM$1,Products,0),2)="Cores",IF(HostBuild[Use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6" s="552">
        <f>IFERROR(IF(FIND(DN$1,$W26)&gt;0,IF(INDEX(Product_Pricing_Table[],MATCH(DN$1,Products,0),2)="Cores",IF(HostBuild[Use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6" s="552">
        <f>IFERROR(IF(FIND(DO$1,$W26)&gt;0,IF(INDEX(Product_Pricing_Table[],MATCH(DO$1,Products,0),2)="Cores",IF(HostBuild[Use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6" s="552">
        <f>IFERROR(IF(FIND(DP$1,$W26)&gt;0,IF(INDEX(Product_Pricing_Table[],MATCH(DP$1,Products,0),2)="Cores",IF(HostBuild[Use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6" s="552">
        <f>IFERROR(IF(FIND(DQ$1,$W26)&gt;0,IF(INDEX(Product_Pricing_Table[],MATCH(DQ$1,Products,0),2)="Cores",IF(HostBuild[Use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6" s="552">
        <f>IFERROR(IF(FIND(DR$1,$W26)&gt;0,IF(INDEX(Product_Pricing_Table[],MATCH(DR$1,Products,0),2)="Cores",IF(HostBuild[Use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6" s="552">
        <f>IFERROR(IF(FIND(DS$1,$W26)&gt;0,IF(INDEX(Product_Pricing_Table[],MATCH(DS$1,Products,0),2)="Cores",IF(HostBuild[Use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6" s="552">
        <f>IFERROR(IF(FIND(DT$1,$W26)&gt;0,IF(INDEX(Product_Pricing_Table[],MATCH(DT$1,Products,0),2)="Cores",IF(HostBuild[Use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6" s="552">
        <f>IFERROR(IF(FIND(DU$1,$W26)&gt;0,IF(INDEX(Product_Pricing_Table[],MATCH(DU$1,Products,0),2)="Cores",IF(HostBuild[Use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6" s="552">
        <f>IFERROR(IF(FIND(DV$1,$W26)&gt;0,IF(INDEX(Product_Pricing_Table[],MATCH(DV$1,Products,0),2)="Cores",IF(HostBuild[Use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6" s="552">
        <f>IFERROR(IF(FIND(DW$1,$W26)&gt;0,IF(INDEX(Product_Pricing_Table[],MATCH(DW$1,Products,0),2)="Cores",IF(HostBuild[Use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6" s="552">
        <f>IFERROR(IF(FIND(DX$1,$W26)&gt;0,IF(INDEX(Product_Pricing_Table[],MATCH(DX$1,Products,0),2)="Cores",IF(HostBuild[Use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6" s="552">
        <f>IFERROR(IF(FIND(DY$1,$W26)&gt;0,IF(INDEX(Product_Pricing_Table[],MATCH(DY$1,Products,0),2)="Cores",IF(HostBuild[Use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6" s="552">
        <f>IFERROR(IF(FIND(DZ$1,$W26)&gt;0,IF(INDEX(Product_Pricing_Table[],MATCH(DZ$1,Products,0),2)="Cores",IF(HostBuild[Use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6" s="552">
        <f>IFERROR(IF(FIND(EA$1,$W26)&gt;0,IF(INDEX(Product_Pricing_Table[],MATCH(EA$1,Products,0),2)="Cores",IF(HostBuild[Use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6" s="552">
        <f>IFERROR(IF(FIND(EB$1,$W26)&gt;0,IF(INDEX(Product_Pricing_Table[],MATCH(EB$1,Products,0),2)="Cores",IF(HostBuild[Use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6" s="553">
        <f>IFERROR(IF(FIND(EC$1,$W26)&gt;0,IF(INDEX(Product_Pricing_Table[],MATCH(EC$1,Products,0),2)="Cores",IF(HostBuild[Use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6" s="552">
        <f>IFERROR(IF(FIND(ED$1,$W26)&gt;0,IF(INDEX(Product_Pricing_Table[],MATCH(ED$1,Products,0),2)="Cores",IF(HostBuild[Use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6" s="552">
        <f>IFERROR(IF(FIND(EE$1,$W26)&gt;0,IF(INDEX(Product_Pricing_Table[],MATCH(EE$1,Products,0),2)="Cores",IF(HostBuild[Use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6" s="552">
        <f>IFERROR(IF(FIND(EF$1,$W26)&gt;0,IF(INDEX(Product_Pricing_Table[],MATCH(EF$1,Products,0),2)="Cores",IF(HostBuild[Use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6" s="552">
        <f>IFERROR(IF(FIND(EG$1,$W26)&gt;0,IF(INDEX(Product_Pricing_Table[],MATCH(EG$1,Products,0),2)="Cores",IF(HostBuild[Use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6" s="552">
        <f>IFERROR(IF(FIND(EH$1,$W26)&gt;0,IF(INDEX(Product_Pricing_Table[],MATCH(EH$1,Products,0),2)="Cores",IF(HostBuild[Use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6" s="552">
        <f>IFERROR(IF(FIND(EI$1,$W26)&gt;0,IF(INDEX(Product_Pricing_Table[],MATCH(EI$1,Products,0),2)="Cores",IF(HostBuild[Use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6" s="552">
        <f>IFERROR(IF(FIND(EJ$1,$W26)&gt;0,IF(INDEX(Product_Pricing_Table[],MATCH(EJ$1,Products,0),2)="Cores",IF(HostBuild[Use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6" s="553">
        <f>IFERROR(IF(FIND(EK$1,$W26)&gt;0,IF(INDEX(Product_Pricing_Table[],MATCH(EK$1,Products,0),2)="Cores",IF(HostBuild[Use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6" s="554"/>
      <c r="EM26" s="555">
        <v>0</v>
      </c>
      <c r="EN26" s="556">
        <v>0</v>
      </c>
      <c r="EO2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271.95900000000006</v>
      </c>
      <c r="EQ26" s="558">
        <f>(HostBuild[Archive
Full (GB)]+HostBuild[Archive
Incr (GB)])*Storage_DC_Dist_Tape_2014</f>
        <v>20.235687500000001</v>
      </c>
      <c r="ER26" s="558">
        <f>IF(ISNUMBER(HostBuild[Server HW Costs
(Monthly)]),SUM(HostBuild[[#This Row],[Server HW Costs
(Monthly)]:[Tape Costs
(Monthly)]]),0)</f>
        <v>292.19468750000004</v>
      </c>
      <c r="ES26" s="559">
        <f>HostBuild[Software Costs
'[Year 1']
(Monthly)]+HostBuild[Total Hardware Costs
(Monthly)]</f>
        <v>292.19468750000004</v>
      </c>
      <c r="ET26" s="559">
        <f>IFERROR(IF(FIND("Safenet",HostBuild[Server Model]),Safenet_PSE_PL600_Maint,0),0)+IFERROR(IF(FIND("XI52",HostBuild[Server Model]),IBM_DIA_XI52_Maint,0),0)+HostBuild[Software Costs
'[After Year 1']
(Monthly)]+HostBuild[Total Hardware Costs
(Monthly)]</f>
        <v>292.19468750000004</v>
      </c>
      <c r="EU26" s="560">
        <f>SUM(HostBuild[[#This Row],[Server Cost Breakdown]:[Network Cost]])</f>
        <v>0</v>
      </c>
      <c r="EV26" s="561">
        <f>IF(HostBuild[Existing Server?]="Yes - Inside this BoM",0,SUMIF(HostBuild[Alias],HostBuild[Alias],HostBuild[CPU])+SUMIF(HostBuild[Alias],HostBuild[Alias],HostBuild[Existing CPUs]))</f>
        <v>0</v>
      </c>
      <c r="EW26" s="561">
        <f>IF(HostBuild[Existing Server?]="Yes - Inside this BoM",0,SUMIF(HostBuild[Alias],HostBuild[Alias],HostBuild[Cores 
(Licensed Units)])+SUMIF(HostBuild[Alias],HostBuild[Alias],HostBuild[Existing Cores]))</f>
        <v>0</v>
      </c>
      <c r="EX26" s="561">
        <f>IF(HostBuild[Existing Server?]="Yes - Inside this BoM",0,SUMIF(HostBuild[Alias],HostBuild[Alias],HostBuild[RAM 
(GB)])+SUMIF(HostBuild[Alias],HostBuild[Alias],HostBuild[Existing RAM (GB)]))</f>
        <v>0</v>
      </c>
      <c r="EY2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6" s="560">
        <f>IF(ISBLANK(HostBuild[Server Model]),0,IF(HostBuild[Server Tier]="VMware",0,VLOOKUP(HostBuild[Server Tier],ServerTierRates[#Data],2,0))*HostBuild[CPU]*IF(AND(HostBuild[Server Type]="pSeries",HostBuild[Virtual Platform Storage Type]="Cloud-SAN"),0.25,1))</f>
        <v>0</v>
      </c>
      <c r="FD26" s="560">
        <f>0</f>
        <v>0</v>
      </c>
      <c r="FE26" s="560">
        <f>IF(HostBuild[Server Type]="VMware",HostBuild[RAM 
(GB)]*IF(ISERROR(FIND("DevCloud", HostBuild[Server Model])&gt;0),vRAM_per_vCPU_2014_Monthly,vRAM_per_vCPU_2014_Daily*30),0)</f>
        <v>0</v>
      </c>
      <c r="FF2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6" s="563">
        <f>IF(HostBuild[Server Tier]="VMware",0,IF(LEFT(HostBuild[Existing Server?],3)="Yes",0,IF(OR(HostBuild[Server Type]="Sun",HostBuild[Server Type]="pSeries"),Support_Direct_Server_Sun_per_OS_2014,IF(HostBuild[Server Type]="x86",Support_Direct_Server_x86_Wintel_per_OS_2014,0))))</f>
        <v>0</v>
      </c>
      <c r="FI2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7" spans="1:165" s="262" customFormat="1">
      <c r="A27" s="360" t="s">
        <v>3942</v>
      </c>
      <c r="B27" s="521"/>
      <c r="C27" s="521"/>
      <c r="D27" s="521"/>
      <c r="E27" s="522"/>
      <c r="F27" s="522"/>
      <c r="G27" s="597"/>
      <c r="H27" s="597"/>
      <c r="I27" s="523"/>
      <c r="J27" s="522"/>
      <c r="K27" s="522"/>
      <c r="L27" s="522"/>
      <c r="M27" s="597" t="e">
        <f ca="1">IF(rngIsDate(HostBuild[CTO Acceptance]),"Y","N")</f>
        <v>#NAME?</v>
      </c>
      <c r="N27" s="361" t="s">
        <v>3938</v>
      </c>
      <c r="O27" s="525"/>
      <c r="P27" s="525"/>
      <c r="Q27" s="361" t="s">
        <v>79</v>
      </c>
      <c r="R27" s="526" t="str">
        <f>IF(NOT(ISBLANK(HostBuild[Env Label])),IFERROR(VLOOKUP(HostBuild[Env Label],tEnv[],3,FALSE),""),"")</f>
        <v>PROD</v>
      </c>
      <c r="S27" s="598"/>
      <c r="T27" s="527"/>
      <c r="U27" s="599"/>
      <c r="V27" s="524" t="s">
        <v>3976</v>
      </c>
      <c r="W27" s="524" t="s">
        <v>2248</v>
      </c>
      <c r="X27" s="524" t="s">
        <v>32</v>
      </c>
      <c r="Y27" s="361" t="s">
        <v>481</v>
      </c>
      <c r="Z27" s="526" t="str">
        <f>IF(NOT(ISBLANK(HostBuild[[#This Row],[Product 
(Acronym)]])),CONCATENATE(HostBuild[[#This Row],[Type]],"-",HostBuild[[#This Row],[Product 
(Acronym)]]),"")</f>
        <v>DB-ESB</v>
      </c>
      <c r="AA27" s="600"/>
      <c r="AB27" s="600" t="s">
        <v>3985</v>
      </c>
      <c r="AC27" s="528"/>
      <c r="AD27" s="529"/>
      <c r="AE27" s="529"/>
      <c r="AF27" s="530" t="s">
        <v>3986</v>
      </c>
      <c r="AG27" s="531"/>
      <c r="AH27" s="601"/>
      <c r="AI27" s="362" t="s">
        <v>3980</v>
      </c>
      <c r="AJ27" s="524">
        <f>IF(COUNTIF(HostBuild[Alias],HostBuild[Alias]),1/COUNTIF(HostBuild[Alias],HostBuild[Alias]),0)</f>
        <v>1</v>
      </c>
      <c r="AK27" s="531"/>
      <c r="AL27" s="531"/>
      <c r="AM27" s="532" t="s">
        <v>314</v>
      </c>
      <c r="AN27" s="533" t="str">
        <f>IF(NOT(ISBLANK(HostBuild[Server Model])),VLOOKUP(HostBuild[Server Model],ServerModelsTier[],2,FALSE),"")</f>
        <v>IBM P-Series Tier 2</v>
      </c>
      <c r="AO27" s="533" t="str">
        <f>IF(NOT(ISBLANK(HostBuild[Server Model])),VLOOKUP(HostBuild[Server Model],ServerModelsTier[],5,FALSE),"")</f>
        <v>pSeries</v>
      </c>
      <c r="AP27" s="532"/>
      <c r="AQ27" s="532" t="s">
        <v>24</v>
      </c>
      <c r="AR27" s="534"/>
      <c r="AS27" s="602"/>
      <c r="AT27" s="535"/>
      <c r="AU27" s="603"/>
      <c r="AV27" s="536"/>
      <c r="AW27" s="531"/>
      <c r="AX27" s="531"/>
      <c r="AY27" s="531"/>
      <c r="AZ27" s="537"/>
      <c r="BA27" s="531"/>
      <c r="BB27" s="531"/>
      <c r="BC27" s="529"/>
      <c r="BD27" s="531"/>
      <c r="BE27" s="531"/>
      <c r="BF27" s="531"/>
      <c r="BG27" s="531"/>
      <c r="BH27" s="531"/>
      <c r="BI27" s="531"/>
      <c r="BJ27" s="531"/>
      <c r="BK27"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27" s="538"/>
      <c r="BM27" s="540">
        <f>IF(ISNUMBER(HostBuild[Recommended SAN (GB)]),HostBuild[Recommended SAN (GB)])+IF(HostBuild[Additional SAN (GB)]&gt;0,CEILING(HostBuild[Additional SAN (GB)],LUN),-(CEILING(-HostBuild[Additional SAN (GB)],LUN)))</f>
        <v>0</v>
      </c>
      <c r="BN27" s="539"/>
      <c r="BO27" s="540">
        <f>HostBuild[SAN (GB)
NEEDED TODAY]+CEILING(HostBuild[SAN (GB)
RESERVED
DO NOT USE TO BUILD], LUN)</f>
        <v>0</v>
      </c>
      <c r="BP27" s="541"/>
      <c r="BQ27" s="542"/>
      <c r="BR27" s="432" t="s">
        <v>106</v>
      </c>
      <c r="BS27" s="605">
        <f>IF(HostBuild[Existing Server?]&lt;&gt;"Yes - Inside this BoM",IF(ISNUMBER(HostBuild[RAM 
(GB)]),IF(HostBuild[Existing RAM (GB)]+HostBuild[RAM 
(GB)]&gt;0,IF(HostBuild[Virtual Platform Storage Type]="NAS",110+HostBuild[Existing RAM (GB)]+HostBuild[RAM 
(GB)]*1.75,0),0),0),0)</f>
        <v>0</v>
      </c>
      <c r="BT27" s="606"/>
      <c r="BU27" s="607">
        <f>IF(ISNUMBER(HostBuild[Recommended NAS (GB)]),HostBuild[Recommended NAS (GB)])+HostBuild[Additional NAS (GB)]</f>
        <v>0</v>
      </c>
      <c r="BV27" s="543"/>
      <c r="BW27" s="543"/>
      <c r="BX27" s="604">
        <f>IFERROR((HostBuild[SAN (GB)
End-State
DO NOT USE TO BUILD]+HostBuild[SAN (GB) Shared])*25%,"")</f>
        <v>0</v>
      </c>
      <c r="BY27" s="608">
        <f>IFERROR(HostBuild[Archive
Full (GB)]*15%,"")</f>
        <v>0</v>
      </c>
      <c r="BZ27" s="544"/>
      <c r="CA27" s="544"/>
      <c r="CB27" s="545"/>
      <c r="CC27" s="546"/>
      <c r="CD27" s="545"/>
      <c r="CE27" s="547"/>
      <c r="CF27" s="539"/>
      <c r="CG27" s="609"/>
      <c r="CH27" s="548"/>
      <c r="CI27" s="549"/>
      <c r="CJ27" s="550"/>
      <c r="CK27" s="551"/>
      <c r="CL27" s="552">
        <f>IFERROR(IF(FIND(CL$1,$W27)&gt;0,IF(INDEX(Product_Pricing_Table[],MATCH(CL$1,Products,0),2)="Cores",IF(HostBuild[Use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7" s="552">
        <f>IFERROR(IF(FIND(CM$1,$W27)&gt;0,IF(INDEX(Product_Pricing_Table[],MATCH(CM$1,Products,0),2)="Cores",IF(HostBuild[Use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7" s="552">
        <f>IFERROR(IF(FIND(CN$1,$W27)&gt;0,IF(INDEX(Product_Pricing_Table[],MATCH(CN$1,Products,0),2)="Cores",IF(HostBuild[Use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7" s="552">
        <f>IFERROR(IF(FIND(CO$1,$W27)&gt;0,IF(INDEX(Product_Pricing_Table[],MATCH(CO$1,Products,0),2)="Cores",IF(HostBuild[Use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7" s="552">
        <f>IFERROR(IF(FIND(CP$1,$W27)&gt;0,IF(INDEX(Product_Pricing_Table[],MATCH(CP$1,Products,0),2)="Cores",IF(HostBuild[Use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7" s="552">
        <f>IFERROR(IF(FIND(CQ$1,$W27)&gt;0,IF(INDEX(Product_Pricing_Table[],MATCH(CQ$1,Products,0),2)="Cores",IF(HostBuild[Use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7" s="552">
        <f>IFERROR(IF(FIND(CR$1,$W27)&gt;0,IF(INDEX(Product_Pricing_Table[],MATCH(CR$1,Products,0),2)="Cores",IF(HostBuild[Use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7" s="552">
        <f>IFERROR(IF(FIND(CS$1,$W27)&gt;0,IF(INDEX(Product_Pricing_Table[],MATCH(CS$1,Products,0),2)="Cores",IF(HostBuild[Use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7" s="552">
        <f>IFERROR(IF(FIND(CT$1,$W27)&gt;0,IF(INDEX(Product_Pricing_Table[],MATCH(CT$1,Products,0),2)="Cores",IF(HostBuild[Use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7" s="552">
        <f>IFERROR(IF(FIND(CU$1,$W27)&gt;0,IF(INDEX(Product_Pricing_Table[],MATCH(CU$1,Products,0),2)="Cores",IF(HostBuild[Use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7" s="552">
        <f>IFERROR(IF(FIND(CV$1,$W27)&gt;0,IF(INDEX(Product_Pricing_Table[],MATCH(CV$1,Products,0),2)="Cores",IF(HostBuild[Use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7" s="552">
        <f>IFERROR(IF(FIND(CW$1,$W27)&gt;0,IF(INDEX(Product_Pricing_Table[],MATCH(CW$1,Products,0),2)="Cores",IF(HostBuild[Use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7" s="552">
        <f>IFERROR(IF(FIND(CX$1,$W27)&gt;0,IF(INDEX(Product_Pricing_Table[],MATCH(CX$1,Products,0),2)="Cores",IF(HostBuild[Use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7" s="552">
        <f>IFERROR(IF(FIND(CY$1,$W27)&gt;0,IF(INDEX(Product_Pricing_Table[],MATCH(CY$1,Products,0),2)="Cores",IF(HostBuild[Use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7" s="552">
        <f>IFERROR(IF(FIND(CZ$1,$W27)&gt;0,IF(INDEX(Product_Pricing_Table[],MATCH(CZ$1,Products,0),2)="Cores",IF(HostBuild[Use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7" s="552">
        <f>IFERROR(IF(FIND(DA$1,$W27)&gt;0,IF(INDEX(Product_Pricing_Table[],MATCH(DA$1,Products,0),2)="Cores",IF(HostBuild[Use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7" s="552">
        <f>IFERROR(IF(FIND(DB$1,$W27)&gt;0,IF(INDEX(Product_Pricing_Table[],MATCH(DB$1,Products,0),2)="Cores",IF(HostBuild[Use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7" s="552">
        <f>IFERROR(IF(FIND(DC$1,$W27)&gt;0,IF(INDEX(Product_Pricing_Table[],MATCH(DC$1,Products,0),2)="Cores",IF(HostBuild[Use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7" s="552">
        <f>IFERROR(IF(FIND(DD$1,$W27)&gt;0,IF(INDEX(Product_Pricing_Table[],MATCH(DD$1,Products,0),2)="Cores",IF(HostBuild[Use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7" s="552">
        <f>IFERROR(IF(FIND(DE$1,$W27)&gt;0,IF(INDEX(Product_Pricing_Table[],MATCH(DE$1,Products,0),2)="Cores",IF(HostBuild[Use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7" s="553">
        <f>IFERROR(IF(FIND(DF$1,$W27)&gt;0,IF(INDEX(Product_Pricing_Table[],MATCH(DF$1,Products,0),2)="Cores",IF(HostBuild[Use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7" s="553">
        <f>IFERROR(IF(FIND(DG$1,$W27)&gt;0,IF(INDEX(Product_Pricing_Table[],MATCH(DG$1,Products,0),2)="Cores",IF(HostBuild[Use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7" s="552">
        <f>IFERROR(IF(FIND(DH$1,$W27)&gt;0,IF(INDEX(Product_Pricing_Table[],MATCH(DH$1,Products,0),2)="Cores",IF(HostBuild[Use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7" s="553">
        <f>IFERROR(IF(FIND(DI$1,$W27)&gt;0,IF(INDEX(Product_Pricing_Table[],MATCH(DI$1,Products,0),2)="Cores",IF(HostBuild[Use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7" s="552">
        <f>IFERROR(IF(FIND(DJ$1,$W27)&gt;0,IF(INDEX(Product_Pricing_Table[],MATCH(DJ$1,Products,0),2)="Cores",IF(HostBuild[Use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7" s="552">
        <f>IFERROR(IF(FIND(DK$1,$W27)&gt;0,IF(INDEX(Product_Pricing_Table[],MATCH(DK$1,Products,0),2)="Cores",IF(HostBuild[Use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7" s="552">
        <f>IFERROR(IF(FIND(DL$1,$W27)&gt;0,IF(INDEX(Product_Pricing_Table[],MATCH(DL$1,Products,0),2)="Cores",IF(HostBuild[Use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7" s="552">
        <f>IFERROR(IF(FIND(DM$1,$W27)&gt;0,IF(INDEX(Product_Pricing_Table[],MATCH(DM$1,Products,0),2)="Cores",IF(HostBuild[Use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7" s="552">
        <f>IFERROR(IF(FIND(DN$1,$W27)&gt;0,IF(INDEX(Product_Pricing_Table[],MATCH(DN$1,Products,0),2)="Cores",IF(HostBuild[Use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7" s="552">
        <f>IFERROR(IF(FIND(DO$1,$W27)&gt;0,IF(INDEX(Product_Pricing_Table[],MATCH(DO$1,Products,0),2)="Cores",IF(HostBuild[Use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7" s="552">
        <f>IFERROR(IF(FIND(DP$1,$W27)&gt;0,IF(INDEX(Product_Pricing_Table[],MATCH(DP$1,Products,0),2)="Cores",IF(HostBuild[Use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7" s="552">
        <f>IFERROR(IF(FIND(DQ$1,$W27)&gt;0,IF(INDEX(Product_Pricing_Table[],MATCH(DQ$1,Products,0),2)="Cores",IF(HostBuild[Use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7" s="552">
        <f>IFERROR(IF(FIND(DR$1,$W27)&gt;0,IF(INDEX(Product_Pricing_Table[],MATCH(DR$1,Products,0),2)="Cores",IF(HostBuild[Use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7" s="552">
        <f>IFERROR(IF(FIND(DS$1,$W27)&gt;0,IF(INDEX(Product_Pricing_Table[],MATCH(DS$1,Products,0),2)="Cores",IF(HostBuild[Use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7" s="552">
        <f>IFERROR(IF(FIND(DT$1,$W27)&gt;0,IF(INDEX(Product_Pricing_Table[],MATCH(DT$1,Products,0),2)="Cores",IF(HostBuild[Use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7" s="552">
        <f>IFERROR(IF(FIND(DU$1,$W27)&gt;0,IF(INDEX(Product_Pricing_Table[],MATCH(DU$1,Products,0),2)="Cores",IF(HostBuild[Use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7" s="552">
        <f>IFERROR(IF(FIND(DV$1,$W27)&gt;0,IF(INDEX(Product_Pricing_Table[],MATCH(DV$1,Products,0),2)="Cores",IF(HostBuild[Use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7" s="552">
        <f>IFERROR(IF(FIND(DW$1,$W27)&gt;0,IF(INDEX(Product_Pricing_Table[],MATCH(DW$1,Products,0),2)="Cores",IF(HostBuild[Use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7" s="552">
        <f>IFERROR(IF(FIND(DX$1,$W27)&gt;0,IF(INDEX(Product_Pricing_Table[],MATCH(DX$1,Products,0),2)="Cores",IF(HostBuild[Use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7" s="552">
        <f>IFERROR(IF(FIND(DY$1,$W27)&gt;0,IF(INDEX(Product_Pricing_Table[],MATCH(DY$1,Products,0),2)="Cores",IF(HostBuild[Use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7" s="552">
        <f>IFERROR(IF(FIND(DZ$1,$W27)&gt;0,IF(INDEX(Product_Pricing_Table[],MATCH(DZ$1,Products,0),2)="Cores",IF(HostBuild[Use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7" s="552">
        <f>IFERROR(IF(FIND(EA$1,$W27)&gt;0,IF(INDEX(Product_Pricing_Table[],MATCH(EA$1,Products,0),2)="Cores",IF(HostBuild[Use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7" s="552">
        <f>IFERROR(IF(FIND(EB$1,$W27)&gt;0,IF(INDEX(Product_Pricing_Table[],MATCH(EB$1,Products,0),2)="Cores",IF(HostBuild[Use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7" s="553">
        <f>IFERROR(IF(FIND(EC$1,$W27)&gt;0,IF(INDEX(Product_Pricing_Table[],MATCH(EC$1,Products,0),2)="Cores",IF(HostBuild[Use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7" s="552">
        <f>IFERROR(IF(FIND(ED$1,$W27)&gt;0,IF(INDEX(Product_Pricing_Table[],MATCH(ED$1,Products,0),2)="Cores",IF(HostBuild[Use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7" s="552">
        <f>IFERROR(IF(FIND(EE$1,$W27)&gt;0,IF(INDEX(Product_Pricing_Table[],MATCH(EE$1,Products,0),2)="Cores",IF(HostBuild[Use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7" s="552">
        <f>IFERROR(IF(FIND(EF$1,$W27)&gt;0,IF(INDEX(Product_Pricing_Table[],MATCH(EF$1,Products,0),2)="Cores",IF(HostBuild[Use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7" s="552">
        <f>IFERROR(IF(FIND(EG$1,$W27)&gt;0,IF(INDEX(Product_Pricing_Table[],MATCH(EG$1,Products,0),2)="Cores",IF(HostBuild[Use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7" s="552">
        <f>IFERROR(IF(FIND(EH$1,$W27)&gt;0,IF(INDEX(Product_Pricing_Table[],MATCH(EH$1,Products,0),2)="Cores",IF(HostBuild[Use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7" s="552">
        <f>IFERROR(IF(FIND(EI$1,$W27)&gt;0,IF(INDEX(Product_Pricing_Table[],MATCH(EI$1,Products,0),2)="Cores",IF(HostBuild[Use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7" s="552">
        <f>IFERROR(IF(FIND(EJ$1,$W27)&gt;0,IF(INDEX(Product_Pricing_Table[],MATCH(EJ$1,Products,0),2)="Cores",IF(HostBuild[Use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7" s="553">
        <f>IFERROR(IF(FIND(EK$1,$W27)&gt;0,IF(INDEX(Product_Pricing_Table[],MATCH(EK$1,Products,0),2)="Cores",IF(HostBuild[Use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7" s="554"/>
      <c r="EM27" s="555"/>
      <c r="EN27" s="556"/>
      <c r="EO2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27" s="558">
        <f>(HostBuild[Archive
Full (GB)]+HostBuild[Archive
Incr (GB)])*Storage_DC_Dist_Tape_2014</f>
        <v>0</v>
      </c>
      <c r="ER27" s="558">
        <f>IF(ISNUMBER(HostBuild[Server HW Costs
(Monthly)]),SUM(HostBuild[[#This Row],[Server HW Costs
(Monthly)]:[Tape Costs
(Monthly)]]),0)</f>
        <v>0</v>
      </c>
      <c r="ES27" s="559">
        <f>HostBuild[Software Costs
'[Year 1']
(Monthly)]+HostBuild[Total Hardware Costs
(Monthly)]</f>
        <v>0</v>
      </c>
      <c r="ET27" s="559">
        <f>IFERROR(IF(FIND("Safenet",HostBuild[Server Model]),Safenet_PSE_PL600_Maint,0),0)+IFERROR(IF(FIND("XI52",HostBuild[Server Model]),IBM_DIA_XI52_Maint,0),0)+HostBuild[Software Costs
'[After Year 1']
(Monthly)]+HostBuild[Total Hardware Costs
(Monthly)]</f>
        <v>0</v>
      </c>
      <c r="EU27" s="560">
        <f>SUM(HostBuild[[#This Row],[Server Cost Breakdown]:[Network Cost]])</f>
        <v>0</v>
      </c>
      <c r="EV27" s="561">
        <f>IF(HostBuild[Existing Server?]="Yes - Inside this BoM",0,SUMIF(HostBuild[Alias],HostBuild[Alias],HostBuild[CPU])+SUMIF(HostBuild[Alias],HostBuild[Alias],HostBuild[Existing CPUs]))</f>
        <v>0</v>
      </c>
      <c r="EW27" s="561">
        <f>IF(HostBuild[Existing Server?]="Yes - Inside this BoM",0,SUMIF(HostBuild[Alias],HostBuild[Alias],HostBuild[Cores 
(Licensed Units)])+SUMIF(HostBuild[Alias],HostBuild[Alias],HostBuild[Existing Cores]))</f>
        <v>0</v>
      </c>
      <c r="EX27" s="561">
        <f>IF(HostBuild[Existing Server?]="Yes - Inside this BoM",0,SUMIF(HostBuild[Alias],HostBuild[Alias],HostBuild[RAM 
(GB)])+SUMIF(HostBuild[Alias],HostBuild[Alias],HostBuild[Existing RAM (GB)]))</f>
        <v>0</v>
      </c>
      <c r="EY2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7" s="560">
        <f>IF(ISBLANK(HostBuild[Server Model]),0,IF(HostBuild[Server Tier]="VMware",0,VLOOKUP(HostBuild[Server Tier],ServerTierRates[#Data],2,0))*HostBuild[CPU]*IF(AND(HostBuild[Server Type]="pSeries",HostBuild[Virtual Platform Storage Type]="Cloud-SAN"),0.25,1))</f>
        <v>0</v>
      </c>
      <c r="FD27" s="560">
        <f>0</f>
        <v>0</v>
      </c>
      <c r="FE27" s="560">
        <f>IF(HostBuild[Server Type]="VMware",HostBuild[RAM 
(GB)]*IF(ISERROR(FIND("DevCloud", HostBuild[Server Model])&gt;0),vRAM_per_vCPU_2014_Monthly,vRAM_per_vCPU_2014_Daily*30),0)</f>
        <v>0</v>
      </c>
      <c r="FF2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7" s="563">
        <f>IF(HostBuild[Server Tier]="VMware",0,IF(LEFT(HostBuild[Existing Server?],3)="Yes",0,IF(OR(HostBuild[Server Type]="Sun",HostBuild[Server Type]="pSeries"),Support_Direct_Server_Sun_per_OS_2014,IF(HostBuild[Server Type]="x86",Support_Direct_Server_x86_Wintel_per_OS_2014,0))))</f>
        <v>0</v>
      </c>
      <c r="FI2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8" spans="1:165" s="262" customFormat="1">
      <c r="A28" s="360" t="s">
        <v>3942</v>
      </c>
      <c r="B28" s="521"/>
      <c r="C28" s="521"/>
      <c r="D28" s="521"/>
      <c r="E28" s="522"/>
      <c r="F28" s="522"/>
      <c r="G28" s="597"/>
      <c r="H28" s="597"/>
      <c r="I28" s="523"/>
      <c r="J28" s="522"/>
      <c r="K28" s="522"/>
      <c r="L28" s="522"/>
      <c r="M28" s="597" t="e">
        <f ca="1">IF(rngIsDate(HostBuild[CTO Acceptance]),"Y","N")</f>
        <v>#NAME?</v>
      </c>
      <c r="N28" s="361" t="s">
        <v>3938</v>
      </c>
      <c r="O28" s="525"/>
      <c r="P28" s="525"/>
      <c r="Q28" s="361" t="s">
        <v>79</v>
      </c>
      <c r="R28" s="526" t="str">
        <f>IF(NOT(ISBLANK(HostBuild[Env Label])),IFERROR(VLOOKUP(HostBuild[Env Label],tEnv[],3,FALSE),""),"")</f>
        <v>PROD</v>
      </c>
      <c r="S28" s="598"/>
      <c r="T28" s="527"/>
      <c r="U28" s="599"/>
      <c r="V28" s="524" t="s">
        <v>3977</v>
      </c>
      <c r="W28" s="524" t="s">
        <v>2248</v>
      </c>
      <c r="X28" s="524" t="s">
        <v>32</v>
      </c>
      <c r="Y28" s="361" t="s">
        <v>481</v>
      </c>
      <c r="Z28" s="526" t="str">
        <f>IF(NOT(ISBLANK(HostBuild[[#This Row],[Product 
(Acronym)]])),CONCATENATE(HostBuild[[#This Row],[Type]],"-",HostBuild[[#This Row],[Product 
(Acronym)]]),"")</f>
        <v>DB-ESB</v>
      </c>
      <c r="AA28" s="600"/>
      <c r="AB28" s="600" t="s">
        <v>3985</v>
      </c>
      <c r="AC28" s="528"/>
      <c r="AD28" s="529"/>
      <c r="AE28" s="529"/>
      <c r="AF28" s="530" t="s">
        <v>3986</v>
      </c>
      <c r="AG28" s="531"/>
      <c r="AH28" s="601"/>
      <c r="AI28" s="362" t="s">
        <v>3978</v>
      </c>
      <c r="AJ28" s="524">
        <f>IF(COUNTIF(HostBuild[Alias],HostBuild[Alias]),1/COUNTIF(HostBuild[Alias],HostBuild[Alias]),0)</f>
        <v>1</v>
      </c>
      <c r="AK28" s="531"/>
      <c r="AL28" s="531"/>
      <c r="AM28" s="532" t="s">
        <v>314</v>
      </c>
      <c r="AN28" s="533" t="str">
        <f>IF(NOT(ISBLANK(HostBuild[Server Model])),VLOOKUP(HostBuild[Server Model],ServerModelsTier[],2,FALSE),"")</f>
        <v>IBM P-Series Tier 2</v>
      </c>
      <c r="AO28" s="533" t="str">
        <f>IF(NOT(ISBLANK(HostBuild[Server Model])),VLOOKUP(HostBuild[Server Model],ServerModelsTier[],5,FALSE),"")</f>
        <v>pSeries</v>
      </c>
      <c r="AP28" s="532"/>
      <c r="AQ28" s="532" t="s">
        <v>24</v>
      </c>
      <c r="AR28" s="534"/>
      <c r="AS28" s="602"/>
      <c r="AT28" s="535"/>
      <c r="AU28" s="603"/>
      <c r="AV28" s="536"/>
      <c r="AW28" s="531"/>
      <c r="AX28" s="531"/>
      <c r="AY28" s="531"/>
      <c r="AZ28" s="537"/>
      <c r="BA28" s="531"/>
      <c r="BB28" s="531"/>
      <c r="BC28" s="529"/>
      <c r="BD28" s="531"/>
      <c r="BE28" s="531"/>
      <c r="BF28" s="531"/>
      <c r="BG28" s="531"/>
      <c r="BH28" s="531"/>
      <c r="BI28" s="531"/>
      <c r="BJ28" s="531"/>
      <c r="BK28"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28" s="538">
        <v>100</v>
      </c>
      <c r="BM28" s="540">
        <f>IF(ISNUMBER(HostBuild[Recommended SAN (GB)]),HostBuild[Recommended SAN (GB)])+IF(HostBuild[Additional SAN (GB)]&gt;0,CEILING(HostBuild[Additional SAN (GB)],LUN),-(CEILING(-HostBuild[Additional SAN (GB)],LUN)))</f>
        <v>101.10000000000001</v>
      </c>
      <c r="BN28" s="539"/>
      <c r="BO28" s="540">
        <f>HostBuild[SAN (GB)
NEEDED TODAY]+CEILING(HostBuild[SAN (GB)
RESERVED
DO NOT USE TO BUILD], LUN)</f>
        <v>101.10000000000001</v>
      </c>
      <c r="BP28" s="541">
        <v>100</v>
      </c>
      <c r="BQ28" s="542"/>
      <c r="BR28" s="432" t="s">
        <v>106</v>
      </c>
      <c r="BS28" s="605">
        <f>IF(HostBuild[Existing Server?]&lt;&gt;"Yes - Inside this BoM",IF(ISNUMBER(HostBuild[RAM 
(GB)]),IF(HostBuild[Existing RAM (GB)]+HostBuild[RAM 
(GB)]&gt;0,IF(HostBuild[Virtual Platform Storage Type]="NAS",110+HostBuild[Existing RAM (GB)]+HostBuild[RAM 
(GB)]*1.75,0),0),0),0)</f>
        <v>0</v>
      </c>
      <c r="BT28" s="606"/>
      <c r="BU28" s="607">
        <f>IF(ISNUMBER(HostBuild[Recommended NAS (GB)]),HostBuild[Recommended NAS (GB)])+HostBuild[Additional NAS (GB)]</f>
        <v>0</v>
      </c>
      <c r="BV28" s="543"/>
      <c r="BW28" s="543"/>
      <c r="BX28" s="604">
        <f>IFERROR((HostBuild[SAN (GB)
End-State
DO NOT USE TO BUILD]+HostBuild[SAN (GB) Shared])*25%,"")</f>
        <v>50.275000000000006</v>
      </c>
      <c r="BY28" s="608">
        <f>IFERROR(HostBuild[Archive
Full (GB)]*15%,"")</f>
        <v>7.5412500000000007</v>
      </c>
      <c r="BZ28" s="544"/>
      <c r="CA28" s="544"/>
      <c r="CB28" s="545"/>
      <c r="CC28" s="546"/>
      <c r="CD28" s="545"/>
      <c r="CE28" s="547"/>
      <c r="CF28" s="539"/>
      <c r="CG28" s="609"/>
      <c r="CH28" s="548"/>
      <c r="CI28" s="549"/>
      <c r="CJ28" s="550"/>
      <c r="CK28" s="551"/>
      <c r="CL28" s="552">
        <f>IFERROR(IF(FIND(CL$1,$W28)&gt;0,IF(INDEX(Product_Pricing_Table[],MATCH(CL$1,Products,0),2)="Cores",IF(HostBuild[Use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8" s="552">
        <f>IFERROR(IF(FIND(CM$1,$W28)&gt;0,IF(INDEX(Product_Pricing_Table[],MATCH(CM$1,Products,0),2)="Cores",IF(HostBuild[Use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8" s="552">
        <f>IFERROR(IF(FIND(CN$1,$W28)&gt;0,IF(INDEX(Product_Pricing_Table[],MATCH(CN$1,Products,0),2)="Cores",IF(HostBuild[Use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8" s="552">
        <f>IFERROR(IF(FIND(CO$1,$W28)&gt;0,IF(INDEX(Product_Pricing_Table[],MATCH(CO$1,Products,0),2)="Cores",IF(HostBuild[Use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8" s="552">
        <f>IFERROR(IF(FIND(CP$1,$W28)&gt;0,IF(INDEX(Product_Pricing_Table[],MATCH(CP$1,Products,0),2)="Cores",IF(HostBuild[Use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8" s="552">
        <f>IFERROR(IF(FIND(CQ$1,$W28)&gt;0,IF(INDEX(Product_Pricing_Table[],MATCH(CQ$1,Products,0),2)="Cores",IF(HostBuild[Use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8" s="552">
        <f>IFERROR(IF(FIND(CR$1,$W28)&gt;0,IF(INDEX(Product_Pricing_Table[],MATCH(CR$1,Products,0),2)="Cores",IF(HostBuild[Use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8" s="552">
        <f>IFERROR(IF(FIND(CS$1,$W28)&gt;0,IF(INDEX(Product_Pricing_Table[],MATCH(CS$1,Products,0),2)="Cores",IF(HostBuild[Use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8" s="552">
        <f>IFERROR(IF(FIND(CT$1,$W28)&gt;0,IF(INDEX(Product_Pricing_Table[],MATCH(CT$1,Products,0),2)="Cores",IF(HostBuild[Use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8" s="552">
        <f>IFERROR(IF(FIND(CU$1,$W28)&gt;0,IF(INDEX(Product_Pricing_Table[],MATCH(CU$1,Products,0),2)="Cores",IF(HostBuild[Use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8" s="552">
        <f>IFERROR(IF(FIND(CV$1,$W28)&gt;0,IF(INDEX(Product_Pricing_Table[],MATCH(CV$1,Products,0),2)="Cores",IF(HostBuild[Use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8" s="552">
        <f>IFERROR(IF(FIND(CW$1,$W28)&gt;0,IF(INDEX(Product_Pricing_Table[],MATCH(CW$1,Products,0),2)="Cores",IF(HostBuild[Use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8" s="552">
        <f>IFERROR(IF(FIND(CX$1,$W28)&gt;0,IF(INDEX(Product_Pricing_Table[],MATCH(CX$1,Products,0),2)="Cores",IF(HostBuild[Use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8" s="552">
        <f>IFERROR(IF(FIND(CY$1,$W28)&gt;0,IF(INDEX(Product_Pricing_Table[],MATCH(CY$1,Products,0),2)="Cores",IF(HostBuild[Use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8" s="552">
        <f>IFERROR(IF(FIND(CZ$1,$W28)&gt;0,IF(INDEX(Product_Pricing_Table[],MATCH(CZ$1,Products,0),2)="Cores",IF(HostBuild[Use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8" s="552">
        <f>IFERROR(IF(FIND(DA$1,$W28)&gt;0,IF(INDEX(Product_Pricing_Table[],MATCH(DA$1,Products,0),2)="Cores",IF(HostBuild[Use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8" s="552">
        <f>IFERROR(IF(FIND(DB$1,$W28)&gt;0,IF(INDEX(Product_Pricing_Table[],MATCH(DB$1,Products,0),2)="Cores",IF(HostBuild[Use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8" s="552">
        <f>IFERROR(IF(FIND(DC$1,$W28)&gt;0,IF(INDEX(Product_Pricing_Table[],MATCH(DC$1,Products,0),2)="Cores",IF(HostBuild[Use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8" s="552">
        <f>IFERROR(IF(FIND(DD$1,$W28)&gt;0,IF(INDEX(Product_Pricing_Table[],MATCH(DD$1,Products,0),2)="Cores",IF(HostBuild[Use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8" s="552">
        <f>IFERROR(IF(FIND(DE$1,$W28)&gt;0,IF(INDEX(Product_Pricing_Table[],MATCH(DE$1,Products,0),2)="Cores",IF(HostBuild[Use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8" s="553">
        <f>IFERROR(IF(FIND(DF$1,$W28)&gt;0,IF(INDEX(Product_Pricing_Table[],MATCH(DF$1,Products,0),2)="Cores",IF(HostBuild[Use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8" s="553">
        <f>IFERROR(IF(FIND(DG$1,$W28)&gt;0,IF(INDEX(Product_Pricing_Table[],MATCH(DG$1,Products,0),2)="Cores",IF(HostBuild[Use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8" s="552">
        <f>IFERROR(IF(FIND(DH$1,$W28)&gt;0,IF(INDEX(Product_Pricing_Table[],MATCH(DH$1,Products,0),2)="Cores",IF(HostBuild[Use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8" s="553">
        <f>IFERROR(IF(FIND(DI$1,$W28)&gt;0,IF(INDEX(Product_Pricing_Table[],MATCH(DI$1,Products,0),2)="Cores",IF(HostBuild[Use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8" s="552">
        <f>IFERROR(IF(FIND(DJ$1,$W28)&gt;0,IF(INDEX(Product_Pricing_Table[],MATCH(DJ$1,Products,0),2)="Cores",IF(HostBuild[Use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8" s="552">
        <f>IFERROR(IF(FIND(DK$1,$W28)&gt;0,IF(INDEX(Product_Pricing_Table[],MATCH(DK$1,Products,0),2)="Cores",IF(HostBuild[Use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8" s="552">
        <f>IFERROR(IF(FIND(DL$1,$W28)&gt;0,IF(INDEX(Product_Pricing_Table[],MATCH(DL$1,Products,0),2)="Cores",IF(HostBuild[Use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8" s="552">
        <f>IFERROR(IF(FIND(DM$1,$W28)&gt;0,IF(INDEX(Product_Pricing_Table[],MATCH(DM$1,Products,0),2)="Cores",IF(HostBuild[Use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8" s="552">
        <f>IFERROR(IF(FIND(DN$1,$W28)&gt;0,IF(INDEX(Product_Pricing_Table[],MATCH(DN$1,Products,0),2)="Cores",IF(HostBuild[Use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8" s="552">
        <f>IFERROR(IF(FIND(DO$1,$W28)&gt;0,IF(INDEX(Product_Pricing_Table[],MATCH(DO$1,Products,0),2)="Cores",IF(HostBuild[Use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8" s="552">
        <f>IFERROR(IF(FIND(DP$1,$W28)&gt;0,IF(INDEX(Product_Pricing_Table[],MATCH(DP$1,Products,0),2)="Cores",IF(HostBuild[Use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8" s="552">
        <f>IFERROR(IF(FIND(DQ$1,$W28)&gt;0,IF(INDEX(Product_Pricing_Table[],MATCH(DQ$1,Products,0),2)="Cores",IF(HostBuild[Use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8" s="552">
        <f>IFERROR(IF(FIND(DR$1,$W28)&gt;0,IF(INDEX(Product_Pricing_Table[],MATCH(DR$1,Products,0),2)="Cores",IF(HostBuild[Use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8" s="552">
        <f>IFERROR(IF(FIND(DS$1,$W28)&gt;0,IF(INDEX(Product_Pricing_Table[],MATCH(DS$1,Products,0),2)="Cores",IF(HostBuild[Use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8" s="552">
        <f>IFERROR(IF(FIND(DT$1,$W28)&gt;0,IF(INDEX(Product_Pricing_Table[],MATCH(DT$1,Products,0),2)="Cores",IF(HostBuild[Use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8" s="552">
        <f>IFERROR(IF(FIND(DU$1,$W28)&gt;0,IF(INDEX(Product_Pricing_Table[],MATCH(DU$1,Products,0),2)="Cores",IF(HostBuild[Use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8" s="552">
        <f>IFERROR(IF(FIND(DV$1,$W28)&gt;0,IF(INDEX(Product_Pricing_Table[],MATCH(DV$1,Products,0),2)="Cores",IF(HostBuild[Use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8" s="552">
        <f>IFERROR(IF(FIND(DW$1,$W28)&gt;0,IF(INDEX(Product_Pricing_Table[],MATCH(DW$1,Products,0),2)="Cores",IF(HostBuild[Use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8" s="552">
        <f>IFERROR(IF(FIND(DX$1,$W28)&gt;0,IF(INDEX(Product_Pricing_Table[],MATCH(DX$1,Products,0),2)="Cores",IF(HostBuild[Use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8" s="552">
        <f>IFERROR(IF(FIND(DY$1,$W28)&gt;0,IF(INDEX(Product_Pricing_Table[],MATCH(DY$1,Products,0),2)="Cores",IF(HostBuild[Use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8" s="552">
        <f>IFERROR(IF(FIND(DZ$1,$W28)&gt;0,IF(INDEX(Product_Pricing_Table[],MATCH(DZ$1,Products,0),2)="Cores",IF(HostBuild[Use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8" s="552">
        <f>IFERROR(IF(FIND(EA$1,$W28)&gt;0,IF(INDEX(Product_Pricing_Table[],MATCH(EA$1,Products,0),2)="Cores",IF(HostBuild[Use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8" s="552">
        <f>IFERROR(IF(FIND(EB$1,$W28)&gt;0,IF(INDEX(Product_Pricing_Table[],MATCH(EB$1,Products,0),2)="Cores",IF(HostBuild[Use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8" s="553">
        <f>IFERROR(IF(FIND(EC$1,$W28)&gt;0,IF(INDEX(Product_Pricing_Table[],MATCH(EC$1,Products,0),2)="Cores",IF(HostBuild[Use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8" s="552">
        <f>IFERROR(IF(FIND(ED$1,$W28)&gt;0,IF(INDEX(Product_Pricing_Table[],MATCH(ED$1,Products,0),2)="Cores",IF(HostBuild[Use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8" s="552">
        <f>IFERROR(IF(FIND(EE$1,$W28)&gt;0,IF(INDEX(Product_Pricing_Table[],MATCH(EE$1,Products,0),2)="Cores",IF(HostBuild[Use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8" s="552">
        <f>IFERROR(IF(FIND(EF$1,$W28)&gt;0,IF(INDEX(Product_Pricing_Table[],MATCH(EF$1,Products,0),2)="Cores",IF(HostBuild[Use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8" s="552">
        <f>IFERROR(IF(FIND(EG$1,$W28)&gt;0,IF(INDEX(Product_Pricing_Table[],MATCH(EG$1,Products,0),2)="Cores",IF(HostBuild[Use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8" s="552">
        <f>IFERROR(IF(FIND(EH$1,$W28)&gt;0,IF(INDEX(Product_Pricing_Table[],MATCH(EH$1,Products,0),2)="Cores",IF(HostBuild[Use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8" s="552">
        <f>IFERROR(IF(FIND(EI$1,$W28)&gt;0,IF(INDEX(Product_Pricing_Table[],MATCH(EI$1,Products,0),2)="Cores",IF(HostBuild[Use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8" s="552">
        <f>IFERROR(IF(FIND(EJ$1,$W28)&gt;0,IF(INDEX(Product_Pricing_Table[],MATCH(EJ$1,Products,0),2)="Cores",IF(HostBuild[Use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8" s="553">
        <f>IFERROR(IF(FIND(EK$1,$W28)&gt;0,IF(INDEX(Product_Pricing_Table[],MATCH(EK$1,Products,0),2)="Cores",IF(HostBuild[Use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8" s="554"/>
      <c r="EM28" s="555"/>
      <c r="EN28" s="556"/>
      <c r="EO2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271.95900000000006</v>
      </c>
      <c r="EQ28" s="558">
        <f>(HostBuild[Archive
Full (GB)]+HostBuild[Archive
Incr (GB)])*Storage_DC_Dist_Tape_2014</f>
        <v>20.235687500000001</v>
      </c>
      <c r="ER28" s="558">
        <f>IF(ISNUMBER(HostBuild[Server HW Costs
(Monthly)]),SUM(HostBuild[[#This Row],[Server HW Costs
(Monthly)]:[Tape Costs
(Monthly)]]),0)</f>
        <v>292.19468750000004</v>
      </c>
      <c r="ES28" s="559">
        <f>HostBuild[Software Costs
'[Year 1']
(Monthly)]+HostBuild[Total Hardware Costs
(Monthly)]</f>
        <v>292.19468750000004</v>
      </c>
      <c r="ET28" s="559">
        <f>IFERROR(IF(FIND("Safenet",HostBuild[Server Model]),Safenet_PSE_PL600_Maint,0),0)+IFERROR(IF(FIND("XI52",HostBuild[Server Model]),IBM_DIA_XI52_Maint,0),0)+HostBuild[Software Costs
'[After Year 1']
(Monthly)]+HostBuild[Total Hardware Costs
(Monthly)]</f>
        <v>292.19468750000004</v>
      </c>
      <c r="EU28" s="560">
        <f>SUM(HostBuild[[#This Row],[Server Cost Breakdown]:[Network Cost]])</f>
        <v>0</v>
      </c>
      <c r="EV28" s="561">
        <f>IF(HostBuild[Existing Server?]="Yes - Inside this BoM",0,SUMIF(HostBuild[Alias],HostBuild[Alias],HostBuild[CPU])+SUMIF(HostBuild[Alias],HostBuild[Alias],HostBuild[Existing CPUs]))</f>
        <v>0</v>
      </c>
      <c r="EW28" s="561">
        <f>IF(HostBuild[Existing Server?]="Yes - Inside this BoM",0,SUMIF(HostBuild[Alias],HostBuild[Alias],HostBuild[Cores 
(Licensed Units)])+SUMIF(HostBuild[Alias],HostBuild[Alias],HostBuild[Existing Cores]))</f>
        <v>0</v>
      </c>
      <c r="EX28" s="561">
        <f>IF(HostBuild[Existing Server?]="Yes - Inside this BoM",0,SUMIF(HostBuild[Alias],HostBuild[Alias],HostBuild[RAM 
(GB)])+SUMIF(HostBuild[Alias],HostBuild[Alias],HostBuild[Existing RAM (GB)]))</f>
        <v>0</v>
      </c>
      <c r="EY2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8" s="560">
        <f>IF(ISBLANK(HostBuild[Server Model]),0,IF(HostBuild[Server Tier]="VMware",0,VLOOKUP(HostBuild[Server Tier],ServerTierRates[#Data],2,0))*HostBuild[CPU]*IF(AND(HostBuild[Server Type]="pSeries",HostBuild[Virtual Platform Storage Type]="Cloud-SAN"),0.25,1))</f>
        <v>0</v>
      </c>
      <c r="FD28" s="560">
        <f>0</f>
        <v>0</v>
      </c>
      <c r="FE28" s="560">
        <f>IF(HostBuild[Server Type]="VMware",HostBuild[RAM 
(GB)]*IF(ISERROR(FIND("DevCloud", HostBuild[Server Model])&gt;0),vRAM_per_vCPU_2014_Monthly,vRAM_per_vCPU_2014_Daily*30),0)</f>
        <v>0</v>
      </c>
      <c r="FF2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8" s="563">
        <f>IF(HostBuild[Server Tier]="VMware",0,IF(LEFT(HostBuild[Existing Server?],3)="Yes",0,IF(OR(HostBuild[Server Type]="Sun",HostBuild[Server Type]="pSeries"),Support_Direct_Server_Sun_per_OS_2014,IF(HostBuild[Server Type]="x86",Support_Direct_Server_x86_Wintel_per_OS_2014,0))))</f>
        <v>0</v>
      </c>
      <c r="FI2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29" spans="1:165" s="262" customFormat="1">
      <c r="A29" s="360" t="s">
        <v>3942</v>
      </c>
      <c r="B29" s="521"/>
      <c r="C29" s="521"/>
      <c r="D29" s="521"/>
      <c r="E29" s="522"/>
      <c r="F29" s="522"/>
      <c r="G29" s="597"/>
      <c r="H29" s="597"/>
      <c r="I29" s="523"/>
      <c r="J29" s="522"/>
      <c r="K29" s="522"/>
      <c r="L29" s="522"/>
      <c r="M29" s="597" t="e">
        <f ca="1">IF(rngIsDate(HostBuild[CTO Acceptance]),"Y","N")</f>
        <v>#NAME?</v>
      </c>
      <c r="N29" s="361" t="s">
        <v>3938</v>
      </c>
      <c r="O29" s="525"/>
      <c r="P29" s="525"/>
      <c r="Q29" s="361" t="s">
        <v>79</v>
      </c>
      <c r="R29" s="526" t="str">
        <f>IF(NOT(ISBLANK(HostBuild[Env Label])),IFERROR(VLOOKUP(HostBuild[Env Label],tEnv[],3,FALSE),""),"")</f>
        <v>PROD</v>
      </c>
      <c r="S29" s="598"/>
      <c r="T29" s="527"/>
      <c r="U29" s="599"/>
      <c r="V29" s="524" t="s">
        <v>3983</v>
      </c>
      <c r="W29" s="524" t="s">
        <v>483</v>
      </c>
      <c r="X29" s="524" t="s">
        <v>32</v>
      </c>
      <c r="Y29" s="361" t="s">
        <v>481</v>
      </c>
      <c r="Z29" s="526" t="str">
        <f>IF(NOT(ISBLANK(HostBuild[[#This Row],[Product 
(Acronym)]])),CONCATENATE(HostBuild[[#This Row],[Type]],"-",HostBuild[[#This Row],[Product 
(Acronym)]]),"")</f>
        <v>DB-ESB</v>
      </c>
      <c r="AA29" s="600"/>
      <c r="AB29" s="600" t="s">
        <v>3985</v>
      </c>
      <c r="AC29" s="528"/>
      <c r="AD29" s="529"/>
      <c r="AE29" s="529"/>
      <c r="AF29" s="530" t="s">
        <v>3986</v>
      </c>
      <c r="AG29" s="531"/>
      <c r="AH29" s="601"/>
      <c r="AI29" s="362" t="s">
        <v>3981</v>
      </c>
      <c r="AJ29" s="524">
        <f>IF(COUNTIF(HostBuild[Alias],HostBuild[Alias]),1/COUNTIF(HostBuild[Alias],HostBuild[Alias]),0)</f>
        <v>1</v>
      </c>
      <c r="AK29" s="531"/>
      <c r="AL29" s="531"/>
      <c r="AM29" s="532" t="s">
        <v>314</v>
      </c>
      <c r="AN29" s="533" t="str">
        <f>IF(NOT(ISBLANK(HostBuild[Server Model])),VLOOKUP(HostBuild[Server Model],ServerModelsTier[],2,FALSE),"")</f>
        <v>IBM P-Series Tier 2</v>
      </c>
      <c r="AO29" s="533" t="str">
        <f>IF(NOT(ISBLANK(HostBuild[Server Model])),VLOOKUP(HostBuild[Server Model],ServerModelsTier[],5,FALSE),"")</f>
        <v>pSeries</v>
      </c>
      <c r="AP29" s="532"/>
      <c r="AQ29" s="532" t="s">
        <v>24</v>
      </c>
      <c r="AR29" s="534"/>
      <c r="AS29" s="602"/>
      <c r="AT29" s="535"/>
      <c r="AU29" s="603"/>
      <c r="AV29" s="536"/>
      <c r="AW29" s="531"/>
      <c r="AX29" s="531"/>
      <c r="AY29" s="531"/>
      <c r="AZ29" s="537"/>
      <c r="BA29" s="531"/>
      <c r="BB29" s="531"/>
      <c r="BC29" s="529"/>
      <c r="BD29" s="531"/>
      <c r="BE29" s="531"/>
      <c r="BF29" s="531"/>
      <c r="BG29" s="531"/>
      <c r="BH29" s="531"/>
      <c r="BI29" s="531"/>
      <c r="BJ29" s="531"/>
      <c r="BK29"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29" s="538">
        <v>100</v>
      </c>
      <c r="BM29" s="540">
        <f>IF(ISNUMBER(HostBuild[Recommended SAN (GB)]),HostBuild[Recommended SAN (GB)])+IF(HostBuild[Additional SAN (GB)]&gt;0,CEILING(HostBuild[Additional SAN (GB)],LUN),-(CEILING(-HostBuild[Additional SAN (GB)],LUN)))</f>
        <v>101.10000000000001</v>
      </c>
      <c r="BN29" s="539"/>
      <c r="BO29" s="540">
        <f>HostBuild[SAN (GB)
NEEDED TODAY]+CEILING(HostBuild[SAN (GB)
RESERVED
DO NOT USE TO BUILD], LUN)</f>
        <v>101.10000000000001</v>
      </c>
      <c r="BP29" s="541">
        <v>100</v>
      </c>
      <c r="BQ29" s="542"/>
      <c r="BR29" s="432" t="s">
        <v>106</v>
      </c>
      <c r="BS29" s="605">
        <f>IF(HostBuild[Existing Server?]&lt;&gt;"Yes - Inside this BoM",IF(ISNUMBER(HostBuild[RAM 
(GB)]),IF(HostBuild[Existing RAM (GB)]+HostBuild[RAM 
(GB)]&gt;0,IF(HostBuild[Virtual Platform Storage Type]="NAS",110+HostBuild[Existing RAM (GB)]+HostBuild[RAM 
(GB)]*1.75,0),0),0),0)</f>
        <v>0</v>
      </c>
      <c r="BT29" s="606"/>
      <c r="BU29" s="607">
        <f>IF(ISNUMBER(HostBuild[Recommended NAS (GB)]),HostBuild[Recommended NAS (GB)])+HostBuild[Additional NAS (GB)]</f>
        <v>0</v>
      </c>
      <c r="BV29" s="543"/>
      <c r="BW29" s="543"/>
      <c r="BX29" s="604">
        <f>IFERROR((HostBuild[SAN (GB)
End-State
DO NOT USE TO BUILD]+HostBuild[SAN (GB) Shared])*25%,"")</f>
        <v>50.275000000000006</v>
      </c>
      <c r="BY29" s="608">
        <f>IFERROR(HostBuild[Archive
Full (GB)]*15%,"")</f>
        <v>7.5412500000000007</v>
      </c>
      <c r="BZ29" s="544"/>
      <c r="CA29" s="544"/>
      <c r="CB29" s="545"/>
      <c r="CC29" s="546"/>
      <c r="CD29" s="545"/>
      <c r="CE29" s="547"/>
      <c r="CF29" s="539"/>
      <c r="CG29" s="609"/>
      <c r="CH29" s="548"/>
      <c r="CI29" s="549"/>
      <c r="CJ29" s="550"/>
      <c r="CK29" s="551"/>
      <c r="CL29" s="552">
        <f>IFERROR(IF(FIND(CL$1,$W29)&gt;0,IF(INDEX(Product_Pricing_Table[],MATCH(CL$1,Products,0),2)="Cores",IF(HostBuild[Use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29" s="552">
        <f>IFERROR(IF(FIND(CM$1,$W29)&gt;0,IF(INDEX(Product_Pricing_Table[],MATCH(CM$1,Products,0),2)="Cores",IF(HostBuild[Use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29" s="552">
        <f>IFERROR(IF(FIND(CN$1,$W29)&gt;0,IF(INDEX(Product_Pricing_Table[],MATCH(CN$1,Products,0),2)="Cores",IF(HostBuild[Use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29" s="552">
        <f>IFERROR(IF(FIND(CO$1,$W29)&gt;0,IF(INDEX(Product_Pricing_Table[],MATCH(CO$1,Products,0),2)="Cores",IF(HostBuild[Use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29" s="552">
        <f>IFERROR(IF(FIND(CP$1,$W29)&gt;0,IF(INDEX(Product_Pricing_Table[],MATCH(CP$1,Products,0),2)="Cores",IF(HostBuild[Use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29" s="552">
        <f>IFERROR(IF(FIND(CQ$1,$W29)&gt;0,IF(INDEX(Product_Pricing_Table[],MATCH(CQ$1,Products,0),2)="Cores",IF(HostBuild[Use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29" s="552">
        <f>IFERROR(IF(FIND(CR$1,$W29)&gt;0,IF(INDEX(Product_Pricing_Table[],MATCH(CR$1,Products,0),2)="Cores",IF(HostBuild[Use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29" s="552">
        <f>IFERROR(IF(FIND(CS$1,$W29)&gt;0,IF(INDEX(Product_Pricing_Table[],MATCH(CS$1,Products,0),2)="Cores",IF(HostBuild[Use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29" s="552">
        <f>IFERROR(IF(FIND(CT$1,$W29)&gt;0,IF(INDEX(Product_Pricing_Table[],MATCH(CT$1,Products,0),2)="Cores",IF(HostBuild[Use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29" s="552">
        <f>IFERROR(IF(FIND(CU$1,$W29)&gt;0,IF(INDEX(Product_Pricing_Table[],MATCH(CU$1,Products,0),2)="Cores",IF(HostBuild[Use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29" s="552">
        <f>IFERROR(IF(FIND(CV$1,$W29)&gt;0,IF(INDEX(Product_Pricing_Table[],MATCH(CV$1,Products,0),2)="Cores",IF(HostBuild[Use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29" s="552">
        <f>IFERROR(IF(FIND(CW$1,$W29)&gt;0,IF(INDEX(Product_Pricing_Table[],MATCH(CW$1,Products,0),2)="Cores",IF(HostBuild[Use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29" s="552">
        <f>IFERROR(IF(FIND(CX$1,$W29)&gt;0,IF(INDEX(Product_Pricing_Table[],MATCH(CX$1,Products,0),2)="Cores",IF(HostBuild[Use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29" s="552">
        <f>IFERROR(IF(FIND(CY$1,$W29)&gt;0,IF(INDEX(Product_Pricing_Table[],MATCH(CY$1,Products,0),2)="Cores",IF(HostBuild[Use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29" s="552">
        <f>IFERROR(IF(FIND(CZ$1,$W29)&gt;0,IF(INDEX(Product_Pricing_Table[],MATCH(CZ$1,Products,0),2)="Cores",IF(HostBuild[Use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29" s="552">
        <f>IFERROR(IF(FIND(DA$1,$W29)&gt;0,IF(INDEX(Product_Pricing_Table[],MATCH(DA$1,Products,0),2)="Cores",IF(HostBuild[Use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29" s="552">
        <f>IFERROR(IF(FIND(DB$1,$W29)&gt;0,IF(INDEX(Product_Pricing_Table[],MATCH(DB$1,Products,0),2)="Cores",IF(HostBuild[Use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29" s="552">
        <f>IFERROR(IF(FIND(DC$1,$W29)&gt;0,IF(INDEX(Product_Pricing_Table[],MATCH(DC$1,Products,0),2)="Cores",IF(HostBuild[Use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29" s="552">
        <f>IFERROR(IF(FIND(DD$1,$W29)&gt;0,IF(INDEX(Product_Pricing_Table[],MATCH(DD$1,Products,0),2)="Cores",IF(HostBuild[Use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29" s="552">
        <f>IFERROR(IF(FIND(DE$1,$W29)&gt;0,IF(INDEX(Product_Pricing_Table[],MATCH(DE$1,Products,0),2)="Cores",IF(HostBuild[Use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29" s="553">
        <f>IFERROR(IF(FIND(DF$1,$W29)&gt;0,IF(INDEX(Product_Pricing_Table[],MATCH(DF$1,Products,0),2)="Cores",IF(HostBuild[Use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29" s="553">
        <f>IFERROR(IF(FIND(DG$1,$W29)&gt;0,IF(INDEX(Product_Pricing_Table[],MATCH(DG$1,Products,0),2)="Cores",IF(HostBuild[Use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29" s="552">
        <f>IFERROR(IF(FIND(DH$1,$W29)&gt;0,IF(INDEX(Product_Pricing_Table[],MATCH(DH$1,Products,0),2)="Cores",IF(HostBuild[Use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29" s="553">
        <f>IFERROR(IF(FIND(DI$1,$W29)&gt;0,IF(INDEX(Product_Pricing_Table[],MATCH(DI$1,Products,0),2)="Cores",IF(HostBuild[Use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29" s="552">
        <f>IFERROR(IF(FIND(DJ$1,$W29)&gt;0,IF(INDEX(Product_Pricing_Table[],MATCH(DJ$1,Products,0),2)="Cores",IF(HostBuild[Use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29" s="552">
        <f>IFERROR(IF(FIND(DK$1,$W29)&gt;0,IF(INDEX(Product_Pricing_Table[],MATCH(DK$1,Products,0),2)="Cores",IF(HostBuild[Use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29" s="552">
        <f>IFERROR(IF(FIND(DL$1,$W29)&gt;0,IF(INDEX(Product_Pricing_Table[],MATCH(DL$1,Products,0),2)="Cores",IF(HostBuild[Use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29" s="552">
        <f>IFERROR(IF(FIND(DM$1,$W29)&gt;0,IF(INDEX(Product_Pricing_Table[],MATCH(DM$1,Products,0),2)="Cores",IF(HostBuild[Use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29" s="552">
        <f>IFERROR(IF(FIND(DN$1,$W29)&gt;0,IF(INDEX(Product_Pricing_Table[],MATCH(DN$1,Products,0),2)="Cores",IF(HostBuild[Use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29" s="552">
        <f>IFERROR(IF(FIND(DO$1,$W29)&gt;0,IF(INDEX(Product_Pricing_Table[],MATCH(DO$1,Products,0),2)="Cores",IF(HostBuild[Use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29" s="552">
        <f>IFERROR(IF(FIND(DP$1,$W29)&gt;0,IF(INDEX(Product_Pricing_Table[],MATCH(DP$1,Products,0),2)="Cores",IF(HostBuild[Use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29" s="552">
        <f>IFERROR(IF(FIND(DQ$1,$W29)&gt;0,IF(INDEX(Product_Pricing_Table[],MATCH(DQ$1,Products,0),2)="Cores",IF(HostBuild[Use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29" s="552">
        <f>IFERROR(IF(FIND(DR$1,$W29)&gt;0,IF(INDEX(Product_Pricing_Table[],MATCH(DR$1,Products,0),2)="Cores",IF(HostBuild[Use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29" s="552">
        <f>IFERROR(IF(FIND(DS$1,$W29)&gt;0,IF(INDEX(Product_Pricing_Table[],MATCH(DS$1,Products,0),2)="Cores",IF(HostBuild[Use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29" s="552">
        <f>IFERROR(IF(FIND(DT$1,$W29)&gt;0,IF(INDEX(Product_Pricing_Table[],MATCH(DT$1,Products,0),2)="Cores",IF(HostBuild[Use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29" s="552">
        <f>IFERROR(IF(FIND(DU$1,$W29)&gt;0,IF(INDEX(Product_Pricing_Table[],MATCH(DU$1,Products,0),2)="Cores",IF(HostBuild[Use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29" s="552">
        <f>IFERROR(IF(FIND(DV$1,$W29)&gt;0,IF(INDEX(Product_Pricing_Table[],MATCH(DV$1,Products,0),2)="Cores",IF(HostBuild[Use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29" s="552">
        <f>IFERROR(IF(FIND(DW$1,$W29)&gt;0,IF(INDEX(Product_Pricing_Table[],MATCH(DW$1,Products,0),2)="Cores",IF(HostBuild[Use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29" s="552">
        <f>IFERROR(IF(FIND(DX$1,$W29)&gt;0,IF(INDEX(Product_Pricing_Table[],MATCH(DX$1,Products,0),2)="Cores",IF(HostBuild[Use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29" s="552">
        <f>IFERROR(IF(FIND(DY$1,$W29)&gt;0,IF(INDEX(Product_Pricing_Table[],MATCH(DY$1,Products,0),2)="Cores",IF(HostBuild[Use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29" s="552">
        <f>IFERROR(IF(FIND(DZ$1,$W29)&gt;0,IF(INDEX(Product_Pricing_Table[],MATCH(DZ$1,Products,0),2)="Cores",IF(HostBuild[Use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29" s="552">
        <f>IFERROR(IF(FIND(EA$1,$W29)&gt;0,IF(INDEX(Product_Pricing_Table[],MATCH(EA$1,Products,0),2)="Cores",IF(HostBuild[Use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29" s="552">
        <f>IFERROR(IF(FIND(EB$1,$W29)&gt;0,IF(INDEX(Product_Pricing_Table[],MATCH(EB$1,Products,0),2)="Cores",IF(HostBuild[Use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29" s="553">
        <f>IFERROR(IF(FIND(EC$1,$W29)&gt;0,IF(INDEX(Product_Pricing_Table[],MATCH(EC$1,Products,0),2)="Cores",IF(HostBuild[Use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29" s="552">
        <f>IFERROR(IF(FIND(ED$1,$W29)&gt;0,IF(INDEX(Product_Pricing_Table[],MATCH(ED$1,Products,0),2)="Cores",IF(HostBuild[Use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29" s="552">
        <f>IFERROR(IF(FIND(EE$1,$W29)&gt;0,IF(INDEX(Product_Pricing_Table[],MATCH(EE$1,Products,0),2)="Cores",IF(HostBuild[Use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29" s="552">
        <f>IFERROR(IF(FIND(EF$1,$W29)&gt;0,IF(INDEX(Product_Pricing_Table[],MATCH(EF$1,Products,0),2)="Cores",IF(HostBuild[Use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29" s="552">
        <f>IFERROR(IF(FIND(EG$1,$W29)&gt;0,IF(INDEX(Product_Pricing_Table[],MATCH(EG$1,Products,0),2)="Cores",IF(HostBuild[Use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29" s="552">
        <f>IFERROR(IF(FIND(EH$1,$W29)&gt;0,IF(INDEX(Product_Pricing_Table[],MATCH(EH$1,Products,0),2)="Cores",IF(HostBuild[Use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29" s="552">
        <f>IFERROR(IF(FIND(EI$1,$W29)&gt;0,IF(INDEX(Product_Pricing_Table[],MATCH(EI$1,Products,0),2)="Cores",IF(HostBuild[Use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29" s="552">
        <f>IFERROR(IF(FIND(EJ$1,$W29)&gt;0,IF(INDEX(Product_Pricing_Table[],MATCH(EJ$1,Products,0),2)="Cores",IF(HostBuild[Use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29" s="553">
        <f>IFERROR(IF(FIND(EK$1,$W29)&gt;0,IF(INDEX(Product_Pricing_Table[],MATCH(EK$1,Products,0),2)="Cores",IF(HostBuild[Use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29" s="554"/>
      <c r="EM29" s="555">
        <v>0</v>
      </c>
      <c r="EN29" s="556">
        <v>0</v>
      </c>
      <c r="EO2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2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271.95900000000006</v>
      </c>
      <c r="EQ29" s="558">
        <f>(HostBuild[Archive
Full (GB)]+HostBuild[Archive
Incr (GB)])*Storage_DC_Dist_Tape_2014</f>
        <v>20.235687500000001</v>
      </c>
      <c r="ER29" s="558">
        <f>IF(ISNUMBER(HostBuild[Server HW Costs
(Monthly)]),SUM(HostBuild[[#This Row],[Server HW Costs
(Monthly)]:[Tape Costs
(Monthly)]]),0)</f>
        <v>292.19468750000004</v>
      </c>
      <c r="ES29" s="559">
        <f>HostBuild[Software Costs
'[Year 1']
(Monthly)]+HostBuild[Total Hardware Costs
(Monthly)]</f>
        <v>292.19468750000004</v>
      </c>
      <c r="ET29" s="559">
        <f>IFERROR(IF(FIND("Safenet",HostBuild[Server Model]),Safenet_PSE_PL600_Maint,0),0)+IFERROR(IF(FIND("XI52",HostBuild[Server Model]),IBM_DIA_XI52_Maint,0),0)+HostBuild[Software Costs
'[After Year 1']
(Monthly)]+HostBuild[Total Hardware Costs
(Monthly)]</f>
        <v>292.19468750000004</v>
      </c>
      <c r="EU29" s="560">
        <f>SUM(HostBuild[[#This Row],[Server Cost Breakdown]:[Network Cost]])</f>
        <v>0</v>
      </c>
      <c r="EV29" s="561">
        <f>IF(HostBuild[Existing Server?]="Yes - Inside this BoM",0,SUMIF(HostBuild[Alias],HostBuild[Alias],HostBuild[CPU])+SUMIF(HostBuild[Alias],HostBuild[Alias],HostBuild[Existing CPUs]))</f>
        <v>0</v>
      </c>
      <c r="EW29" s="561">
        <f>IF(HostBuild[Existing Server?]="Yes - Inside this BoM",0,SUMIF(HostBuild[Alias],HostBuild[Alias],HostBuild[Cores 
(Licensed Units)])+SUMIF(HostBuild[Alias],HostBuild[Alias],HostBuild[Existing Cores]))</f>
        <v>0</v>
      </c>
      <c r="EX29" s="561">
        <f>IF(HostBuild[Existing Server?]="Yes - Inside this BoM",0,SUMIF(HostBuild[Alias],HostBuild[Alias],HostBuild[RAM 
(GB)])+SUMIF(HostBuild[Alias],HostBuild[Alias],HostBuild[Existing RAM (GB)]))</f>
        <v>0</v>
      </c>
      <c r="EY2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2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2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2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29" s="560">
        <f>IF(ISBLANK(HostBuild[Server Model]),0,IF(HostBuild[Server Tier]="VMware",0,VLOOKUP(HostBuild[Server Tier],ServerTierRates[#Data],2,0))*HostBuild[CPU]*IF(AND(HostBuild[Server Type]="pSeries",HostBuild[Virtual Platform Storage Type]="Cloud-SAN"),0.25,1))</f>
        <v>0</v>
      </c>
      <c r="FD29" s="560">
        <f>0</f>
        <v>0</v>
      </c>
      <c r="FE29" s="560">
        <f>IF(HostBuild[Server Type]="VMware",HostBuild[RAM 
(GB)]*IF(ISERROR(FIND("DevCloud", HostBuild[Server Model])&gt;0),vRAM_per_vCPU_2014_Monthly,vRAM_per_vCPU_2014_Daily*30),0)</f>
        <v>0</v>
      </c>
      <c r="FF2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2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29" s="563">
        <f>IF(HostBuild[Server Tier]="VMware",0,IF(LEFT(HostBuild[Existing Server?],3)="Yes",0,IF(OR(HostBuild[Server Type]="Sun",HostBuild[Server Type]="pSeries"),Support_Direct_Server_Sun_per_OS_2014,IF(HostBuild[Server Type]="x86",Support_Direct_Server_x86_Wintel_per_OS_2014,0))))</f>
        <v>0</v>
      </c>
      <c r="FI2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0" spans="1:165" s="262" customFormat="1">
      <c r="A30" s="360" t="s">
        <v>3942</v>
      </c>
      <c r="B30" s="521"/>
      <c r="C30" s="521"/>
      <c r="D30" s="521"/>
      <c r="E30" s="522"/>
      <c r="F30" s="522"/>
      <c r="G30" s="597"/>
      <c r="H30" s="597"/>
      <c r="I30" s="523"/>
      <c r="J30" s="522"/>
      <c r="K30" s="522"/>
      <c r="L30" s="522"/>
      <c r="M30" s="597" t="e">
        <f ca="1">IF(rngIsDate(HostBuild[CTO Acceptance]),"Y","N")</f>
        <v>#NAME?</v>
      </c>
      <c r="N30" s="361" t="s">
        <v>3938</v>
      </c>
      <c r="O30" s="525"/>
      <c r="P30" s="525"/>
      <c r="Q30" s="361" t="s">
        <v>79</v>
      </c>
      <c r="R30" s="526" t="str">
        <f>IF(NOT(ISBLANK(HostBuild[Env Label])),IFERROR(VLOOKUP(HostBuild[Env Label],tEnv[],3,FALSE),""),"")</f>
        <v>PROD</v>
      </c>
      <c r="S30" s="598"/>
      <c r="T30" s="527"/>
      <c r="U30" s="599"/>
      <c r="V30" s="524" t="s">
        <v>3984</v>
      </c>
      <c r="W30" s="524" t="s">
        <v>483</v>
      </c>
      <c r="X30" s="524" t="s">
        <v>32</v>
      </c>
      <c r="Y30" s="361" t="s">
        <v>481</v>
      </c>
      <c r="Z30" s="526" t="str">
        <f>IF(NOT(ISBLANK(HostBuild[[#This Row],[Product 
(Acronym)]])),CONCATENATE(HostBuild[[#This Row],[Type]],"-",HostBuild[[#This Row],[Product 
(Acronym)]]),"")</f>
        <v>DB-ESB</v>
      </c>
      <c r="AA30" s="600"/>
      <c r="AB30" s="600" t="s">
        <v>3985</v>
      </c>
      <c r="AC30" s="528"/>
      <c r="AD30" s="529"/>
      <c r="AE30" s="529"/>
      <c r="AF30" s="530" t="s">
        <v>3986</v>
      </c>
      <c r="AG30" s="531"/>
      <c r="AH30" s="601"/>
      <c r="AI30" s="362" t="s">
        <v>3982</v>
      </c>
      <c r="AJ30" s="524">
        <f>IF(COUNTIF(HostBuild[Alias],HostBuild[Alias]),1/COUNTIF(HostBuild[Alias],HostBuild[Alias]),0)</f>
        <v>1</v>
      </c>
      <c r="AK30" s="531"/>
      <c r="AL30" s="531"/>
      <c r="AM30" s="532" t="s">
        <v>314</v>
      </c>
      <c r="AN30" s="533" t="str">
        <f>IF(NOT(ISBLANK(HostBuild[Server Model])),VLOOKUP(HostBuild[Server Model],ServerModelsTier[],2,FALSE),"")</f>
        <v>IBM P-Series Tier 2</v>
      </c>
      <c r="AO30" s="533" t="str">
        <f>IF(NOT(ISBLANK(HostBuild[Server Model])),VLOOKUP(HostBuild[Server Model],ServerModelsTier[],5,FALSE),"")</f>
        <v>pSeries</v>
      </c>
      <c r="AP30" s="532"/>
      <c r="AQ30" s="532" t="s">
        <v>24</v>
      </c>
      <c r="AR30" s="534"/>
      <c r="AS30" s="602"/>
      <c r="AT30" s="535"/>
      <c r="AU30" s="603"/>
      <c r="AV30" s="536"/>
      <c r="AW30" s="531"/>
      <c r="AX30" s="531"/>
      <c r="AY30" s="531"/>
      <c r="AZ30" s="537"/>
      <c r="BA30" s="531"/>
      <c r="BB30" s="531"/>
      <c r="BC30" s="529"/>
      <c r="BD30" s="531"/>
      <c r="BE30" s="531"/>
      <c r="BF30" s="531"/>
      <c r="BG30" s="531"/>
      <c r="BH30" s="531"/>
      <c r="BI30" s="531"/>
      <c r="BJ30" s="531"/>
      <c r="BK30"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0" s="538"/>
      <c r="BM30" s="540">
        <f>IF(ISNUMBER(HostBuild[Recommended SAN (GB)]),HostBuild[Recommended SAN (GB)])+IF(HostBuild[Additional SAN (GB)]&gt;0,CEILING(HostBuild[Additional SAN (GB)],LUN),-(CEILING(-HostBuild[Additional SAN (GB)],LUN)))</f>
        <v>0</v>
      </c>
      <c r="BN30" s="539"/>
      <c r="BO30" s="540">
        <f>HostBuild[SAN (GB)
NEEDED TODAY]+CEILING(HostBuild[SAN (GB)
RESERVED
DO NOT USE TO BUILD], LUN)</f>
        <v>0</v>
      </c>
      <c r="BP30" s="541"/>
      <c r="BQ30" s="542"/>
      <c r="BR30" s="432" t="s">
        <v>106</v>
      </c>
      <c r="BS30" s="605">
        <f>IF(HostBuild[Existing Server?]&lt;&gt;"Yes - Inside this BoM",IF(ISNUMBER(HostBuild[RAM 
(GB)]),IF(HostBuild[Existing RAM (GB)]+HostBuild[RAM 
(GB)]&gt;0,IF(HostBuild[Virtual Platform Storage Type]="NAS",110+HostBuild[Existing RAM (GB)]+HostBuild[RAM 
(GB)]*1.75,0),0),0),0)</f>
        <v>0</v>
      </c>
      <c r="BT30" s="606"/>
      <c r="BU30" s="607">
        <f>IF(ISNUMBER(HostBuild[Recommended NAS (GB)]),HostBuild[Recommended NAS (GB)])+HostBuild[Additional NAS (GB)]</f>
        <v>0</v>
      </c>
      <c r="BV30" s="543"/>
      <c r="BW30" s="543"/>
      <c r="BX30" s="604">
        <f>IFERROR((HostBuild[SAN (GB)
End-State
DO NOT USE TO BUILD]+HostBuild[SAN (GB) Shared])*25%,"")</f>
        <v>0</v>
      </c>
      <c r="BY30" s="608">
        <f>IFERROR(HostBuild[Archive
Full (GB)]*15%,"")</f>
        <v>0</v>
      </c>
      <c r="BZ30" s="544"/>
      <c r="CA30" s="544"/>
      <c r="CB30" s="545"/>
      <c r="CC30" s="546"/>
      <c r="CD30" s="545"/>
      <c r="CE30" s="547"/>
      <c r="CF30" s="539"/>
      <c r="CG30" s="609"/>
      <c r="CH30" s="548"/>
      <c r="CI30" s="549"/>
      <c r="CJ30" s="550"/>
      <c r="CK30" s="551"/>
      <c r="CL30" s="552">
        <f>IFERROR(IF(FIND(CL$1,$W30)&gt;0,IF(INDEX(Product_Pricing_Table[],MATCH(CL$1,Products,0),2)="Cores",IF(HostBuild[Use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0" s="552">
        <f>IFERROR(IF(FIND(CM$1,$W30)&gt;0,IF(INDEX(Product_Pricing_Table[],MATCH(CM$1,Products,0),2)="Cores",IF(HostBuild[Use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0" s="552">
        <f>IFERROR(IF(FIND(CN$1,$W30)&gt;0,IF(INDEX(Product_Pricing_Table[],MATCH(CN$1,Products,0),2)="Cores",IF(HostBuild[Use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0" s="552">
        <f>IFERROR(IF(FIND(CO$1,$W30)&gt;0,IF(INDEX(Product_Pricing_Table[],MATCH(CO$1,Products,0),2)="Cores",IF(HostBuild[Use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0" s="552">
        <f>IFERROR(IF(FIND(CP$1,$W30)&gt;0,IF(INDEX(Product_Pricing_Table[],MATCH(CP$1,Products,0),2)="Cores",IF(HostBuild[Use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0" s="552">
        <f>IFERROR(IF(FIND(CQ$1,$W30)&gt;0,IF(INDEX(Product_Pricing_Table[],MATCH(CQ$1,Products,0),2)="Cores",IF(HostBuild[Use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0" s="552">
        <f>IFERROR(IF(FIND(CR$1,$W30)&gt;0,IF(INDEX(Product_Pricing_Table[],MATCH(CR$1,Products,0),2)="Cores",IF(HostBuild[Use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0" s="552">
        <f>IFERROR(IF(FIND(CS$1,$W30)&gt;0,IF(INDEX(Product_Pricing_Table[],MATCH(CS$1,Products,0),2)="Cores",IF(HostBuild[Use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0" s="552">
        <f>IFERROR(IF(FIND(CT$1,$W30)&gt;0,IF(INDEX(Product_Pricing_Table[],MATCH(CT$1,Products,0),2)="Cores",IF(HostBuild[Use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0" s="552">
        <f>IFERROR(IF(FIND(CU$1,$W30)&gt;0,IF(INDEX(Product_Pricing_Table[],MATCH(CU$1,Products,0),2)="Cores",IF(HostBuild[Use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0" s="552">
        <f>IFERROR(IF(FIND(CV$1,$W30)&gt;0,IF(INDEX(Product_Pricing_Table[],MATCH(CV$1,Products,0),2)="Cores",IF(HostBuild[Use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0" s="552">
        <f>IFERROR(IF(FIND(CW$1,$W30)&gt;0,IF(INDEX(Product_Pricing_Table[],MATCH(CW$1,Products,0),2)="Cores",IF(HostBuild[Use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0" s="552">
        <f>IFERROR(IF(FIND(CX$1,$W30)&gt;0,IF(INDEX(Product_Pricing_Table[],MATCH(CX$1,Products,0),2)="Cores",IF(HostBuild[Use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0" s="552">
        <f>IFERROR(IF(FIND(CY$1,$W30)&gt;0,IF(INDEX(Product_Pricing_Table[],MATCH(CY$1,Products,0),2)="Cores",IF(HostBuild[Use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0" s="552">
        <f>IFERROR(IF(FIND(CZ$1,$W30)&gt;0,IF(INDEX(Product_Pricing_Table[],MATCH(CZ$1,Products,0),2)="Cores",IF(HostBuild[Use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0" s="552">
        <f>IFERROR(IF(FIND(DA$1,$W30)&gt;0,IF(INDEX(Product_Pricing_Table[],MATCH(DA$1,Products,0),2)="Cores",IF(HostBuild[Use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0" s="552">
        <f>IFERROR(IF(FIND(DB$1,$W30)&gt;0,IF(INDEX(Product_Pricing_Table[],MATCH(DB$1,Products,0),2)="Cores",IF(HostBuild[Use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0" s="552">
        <f>IFERROR(IF(FIND(DC$1,$W30)&gt;0,IF(INDEX(Product_Pricing_Table[],MATCH(DC$1,Products,0),2)="Cores",IF(HostBuild[Use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0" s="552">
        <f>IFERROR(IF(FIND(DD$1,$W30)&gt;0,IF(INDEX(Product_Pricing_Table[],MATCH(DD$1,Products,0),2)="Cores",IF(HostBuild[Use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0" s="552">
        <f>IFERROR(IF(FIND(DE$1,$W30)&gt;0,IF(INDEX(Product_Pricing_Table[],MATCH(DE$1,Products,0),2)="Cores",IF(HostBuild[Use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0" s="553">
        <f>IFERROR(IF(FIND(DF$1,$W30)&gt;0,IF(INDEX(Product_Pricing_Table[],MATCH(DF$1,Products,0),2)="Cores",IF(HostBuild[Use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0" s="553">
        <f>IFERROR(IF(FIND(DG$1,$W30)&gt;0,IF(INDEX(Product_Pricing_Table[],MATCH(DG$1,Products,0),2)="Cores",IF(HostBuild[Use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0" s="552">
        <f>IFERROR(IF(FIND(DH$1,$W30)&gt;0,IF(INDEX(Product_Pricing_Table[],MATCH(DH$1,Products,0),2)="Cores",IF(HostBuild[Use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0" s="553">
        <f>IFERROR(IF(FIND(DI$1,$W30)&gt;0,IF(INDEX(Product_Pricing_Table[],MATCH(DI$1,Products,0),2)="Cores",IF(HostBuild[Use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0" s="552">
        <f>IFERROR(IF(FIND(DJ$1,$W30)&gt;0,IF(INDEX(Product_Pricing_Table[],MATCH(DJ$1,Products,0),2)="Cores",IF(HostBuild[Use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0" s="552">
        <f>IFERROR(IF(FIND(DK$1,$W30)&gt;0,IF(INDEX(Product_Pricing_Table[],MATCH(DK$1,Products,0),2)="Cores",IF(HostBuild[Use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0" s="552">
        <f>IFERROR(IF(FIND(DL$1,$W30)&gt;0,IF(INDEX(Product_Pricing_Table[],MATCH(DL$1,Products,0),2)="Cores",IF(HostBuild[Use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0" s="552">
        <f>IFERROR(IF(FIND(DM$1,$W30)&gt;0,IF(INDEX(Product_Pricing_Table[],MATCH(DM$1,Products,0),2)="Cores",IF(HostBuild[Use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0" s="552">
        <f>IFERROR(IF(FIND(DN$1,$W30)&gt;0,IF(INDEX(Product_Pricing_Table[],MATCH(DN$1,Products,0),2)="Cores",IF(HostBuild[Use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0" s="552">
        <f>IFERROR(IF(FIND(DO$1,$W30)&gt;0,IF(INDEX(Product_Pricing_Table[],MATCH(DO$1,Products,0),2)="Cores",IF(HostBuild[Use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0" s="552">
        <f>IFERROR(IF(FIND(DP$1,$W30)&gt;0,IF(INDEX(Product_Pricing_Table[],MATCH(DP$1,Products,0),2)="Cores",IF(HostBuild[Use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0" s="552">
        <f>IFERROR(IF(FIND(DQ$1,$W30)&gt;0,IF(INDEX(Product_Pricing_Table[],MATCH(DQ$1,Products,0),2)="Cores",IF(HostBuild[Use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0" s="552">
        <f>IFERROR(IF(FIND(DR$1,$W30)&gt;0,IF(INDEX(Product_Pricing_Table[],MATCH(DR$1,Products,0),2)="Cores",IF(HostBuild[Use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0" s="552">
        <f>IFERROR(IF(FIND(DS$1,$W30)&gt;0,IF(INDEX(Product_Pricing_Table[],MATCH(DS$1,Products,0),2)="Cores",IF(HostBuild[Use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0" s="552">
        <f>IFERROR(IF(FIND(DT$1,$W30)&gt;0,IF(INDEX(Product_Pricing_Table[],MATCH(DT$1,Products,0),2)="Cores",IF(HostBuild[Use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0" s="552">
        <f>IFERROR(IF(FIND(DU$1,$W30)&gt;0,IF(INDEX(Product_Pricing_Table[],MATCH(DU$1,Products,0),2)="Cores",IF(HostBuild[Use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0" s="552">
        <f>IFERROR(IF(FIND(DV$1,$W30)&gt;0,IF(INDEX(Product_Pricing_Table[],MATCH(DV$1,Products,0),2)="Cores",IF(HostBuild[Use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0" s="552">
        <f>IFERROR(IF(FIND(DW$1,$W30)&gt;0,IF(INDEX(Product_Pricing_Table[],MATCH(DW$1,Products,0),2)="Cores",IF(HostBuild[Use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0" s="552">
        <f>IFERROR(IF(FIND(DX$1,$W30)&gt;0,IF(INDEX(Product_Pricing_Table[],MATCH(DX$1,Products,0),2)="Cores",IF(HostBuild[Use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0" s="552">
        <f>IFERROR(IF(FIND(DY$1,$W30)&gt;0,IF(INDEX(Product_Pricing_Table[],MATCH(DY$1,Products,0),2)="Cores",IF(HostBuild[Use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0" s="552">
        <f>IFERROR(IF(FIND(DZ$1,$W30)&gt;0,IF(INDEX(Product_Pricing_Table[],MATCH(DZ$1,Products,0),2)="Cores",IF(HostBuild[Use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0" s="552">
        <f>IFERROR(IF(FIND(EA$1,$W30)&gt;0,IF(INDEX(Product_Pricing_Table[],MATCH(EA$1,Products,0),2)="Cores",IF(HostBuild[Use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0" s="552">
        <f>IFERROR(IF(FIND(EB$1,$W30)&gt;0,IF(INDEX(Product_Pricing_Table[],MATCH(EB$1,Products,0),2)="Cores",IF(HostBuild[Use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0" s="553">
        <f>IFERROR(IF(FIND(EC$1,$W30)&gt;0,IF(INDEX(Product_Pricing_Table[],MATCH(EC$1,Products,0),2)="Cores",IF(HostBuild[Use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0" s="552">
        <f>IFERROR(IF(FIND(ED$1,$W30)&gt;0,IF(INDEX(Product_Pricing_Table[],MATCH(ED$1,Products,0),2)="Cores",IF(HostBuild[Use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0" s="552">
        <f>IFERROR(IF(FIND(EE$1,$W30)&gt;0,IF(INDEX(Product_Pricing_Table[],MATCH(EE$1,Products,0),2)="Cores",IF(HostBuild[Use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0" s="552">
        <f>IFERROR(IF(FIND(EF$1,$W30)&gt;0,IF(INDEX(Product_Pricing_Table[],MATCH(EF$1,Products,0),2)="Cores",IF(HostBuild[Use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0" s="552">
        <f>IFERROR(IF(FIND(EG$1,$W30)&gt;0,IF(INDEX(Product_Pricing_Table[],MATCH(EG$1,Products,0),2)="Cores",IF(HostBuild[Use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0" s="552">
        <f>IFERROR(IF(FIND(EH$1,$W30)&gt;0,IF(INDEX(Product_Pricing_Table[],MATCH(EH$1,Products,0),2)="Cores",IF(HostBuild[Use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0" s="552">
        <f>IFERROR(IF(FIND(EI$1,$W30)&gt;0,IF(INDEX(Product_Pricing_Table[],MATCH(EI$1,Products,0),2)="Cores",IF(HostBuild[Use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0" s="552">
        <f>IFERROR(IF(FIND(EJ$1,$W30)&gt;0,IF(INDEX(Product_Pricing_Table[],MATCH(EJ$1,Products,0),2)="Cores",IF(HostBuild[Use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0" s="553">
        <f>IFERROR(IF(FIND(EK$1,$W30)&gt;0,IF(INDEX(Product_Pricing_Table[],MATCH(EK$1,Products,0),2)="Cores",IF(HostBuild[Use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0" s="554"/>
      <c r="EM30" s="555">
        <v>0</v>
      </c>
      <c r="EN30" s="556">
        <v>0</v>
      </c>
      <c r="EO3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0" s="558">
        <f>(HostBuild[Archive
Full (GB)]+HostBuild[Archive
Incr (GB)])*Storage_DC_Dist_Tape_2014</f>
        <v>0</v>
      </c>
      <c r="ER30" s="558">
        <f>IF(ISNUMBER(HostBuild[Server HW Costs
(Monthly)]),SUM(HostBuild[[#This Row],[Server HW Costs
(Monthly)]:[Tape Costs
(Monthly)]]),0)</f>
        <v>0</v>
      </c>
      <c r="ES30" s="559">
        <f>HostBuild[Software Costs
'[Year 1']
(Monthly)]+HostBuild[Total Hardware Costs
(Monthly)]</f>
        <v>0</v>
      </c>
      <c r="ET30" s="559">
        <f>IFERROR(IF(FIND("Safenet",HostBuild[Server Model]),Safenet_PSE_PL600_Maint,0),0)+IFERROR(IF(FIND("XI52",HostBuild[Server Model]),IBM_DIA_XI52_Maint,0),0)+HostBuild[Software Costs
'[After Year 1']
(Monthly)]+HostBuild[Total Hardware Costs
(Monthly)]</f>
        <v>0</v>
      </c>
      <c r="EU30" s="560">
        <f>SUM(HostBuild[[#This Row],[Server Cost Breakdown]:[Network Cost]])</f>
        <v>0</v>
      </c>
      <c r="EV30" s="561">
        <f>IF(HostBuild[Existing Server?]="Yes - Inside this BoM",0,SUMIF(HostBuild[Alias],HostBuild[Alias],HostBuild[CPU])+SUMIF(HostBuild[Alias],HostBuild[Alias],HostBuild[Existing CPUs]))</f>
        <v>0</v>
      </c>
      <c r="EW30" s="561">
        <f>IF(HostBuild[Existing Server?]="Yes - Inside this BoM",0,SUMIF(HostBuild[Alias],HostBuild[Alias],HostBuild[Cores 
(Licensed Units)])+SUMIF(HostBuild[Alias],HostBuild[Alias],HostBuild[Existing Cores]))</f>
        <v>0</v>
      </c>
      <c r="EX30" s="561">
        <f>IF(HostBuild[Existing Server?]="Yes - Inside this BoM",0,SUMIF(HostBuild[Alias],HostBuild[Alias],HostBuild[RAM 
(GB)])+SUMIF(HostBuild[Alias],HostBuild[Alias],HostBuild[Existing RAM (GB)]))</f>
        <v>0</v>
      </c>
      <c r="EY3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0" s="560">
        <f>IF(ISBLANK(HostBuild[Server Model]),0,IF(HostBuild[Server Tier]="VMware",0,VLOOKUP(HostBuild[Server Tier],ServerTierRates[#Data],2,0))*HostBuild[CPU]*IF(AND(HostBuild[Server Type]="pSeries",HostBuild[Virtual Platform Storage Type]="Cloud-SAN"),0.25,1))</f>
        <v>0</v>
      </c>
      <c r="FD30" s="560">
        <f>0</f>
        <v>0</v>
      </c>
      <c r="FE30" s="560">
        <f>IF(HostBuild[Server Type]="VMware",HostBuild[RAM 
(GB)]*IF(ISERROR(FIND("DevCloud", HostBuild[Server Model])&gt;0),vRAM_per_vCPU_2014_Monthly,vRAM_per_vCPU_2014_Daily*30),0)</f>
        <v>0</v>
      </c>
      <c r="FF3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0" s="563">
        <f>IF(HostBuild[Server Tier]="VMware",0,IF(LEFT(HostBuild[Existing Server?],3)="Yes",0,IF(OR(HostBuild[Server Type]="Sun",HostBuild[Server Type]="pSeries"),Support_Direct_Server_Sun_per_OS_2014,IF(HostBuild[Server Type]="x86",Support_Direct_Server_x86_Wintel_per_OS_2014,0))))</f>
        <v>0</v>
      </c>
      <c r="FI3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1" spans="1:165" s="262" customFormat="1">
      <c r="A31" s="360" t="s">
        <v>3942</v>
      </c>
      <c r="B31" s="521"/>
      <c r="C31" s="521"/>
      <c r="D31" s="521"/>
      <c r="E31" s="522"/>
      <c r="F31" s="522"/>
      <c r="G31" s="597"/>
      <c r="H31" s="597"/>
      <c r="I31" s="523"/>
      <c r="J31" s="522"/>
      <c r="K31" s="522"/>
      <c r="L31" s="522"/>
      <c r="M31" s="597" t="e">
        <f ca="1">IF(rngIsDate(HostBuild[CTO Acceptance]),"Y","N")</f>
        <v>#NAME?</v>
      </c>
      <c r="N31" s="361" t="s">
        <v>3938</v>
      </c>
      <c r="O31" s="525"/>
      <c r="P31" s="525"/>
      <c r="Q31" s="361" t="s">
        <v>3992</v>
      </c>
      <c r="R31" s="526" t="str">
        <f>IF(NOT(ISBLANK(HostBuild[Env Label])),IFERROR(VLOOKUP(HostBuild[Env Label],tEnv[],3,FALSE),""),"")</f>
        <v>PROD</v>
      </c>
      <c r="S31" s="598"/>
      <c r="T31" s="527"/>
      <c r="U31" s="599"/>
      <c r="V31" s="524" t="s">
        <v>3975</v>
      </c>
      <c r="W31" s="524" t="s">
        <v>2248</v>
      </c>
      <c r="X31" s="524" t="s">
        <v>32</v>
      </c>
      <c r="Y31" s="361" t="s">
        <v>481</v>
      </c>
      <c r="Z31" s="526" t="str">
        <f>IF(NOT(ISBLANK(HostBuild[[#This Row],[Product 
(Acronym)]])),CONCATENATE(HostBuild[[#This Row],[Type]],"-",HostBuild[[#This Row],[Product 
(Acronym)]]),"")</f>
        <v>DB-ESB</v>
      </c>
      <c r="AA31" s="600"/>
      <c r="AB31" s="600" t="s">
        <v>3985</v>
      </c>
      <c r="AC31" s="528"/>
      <c r="AD31" s="529"/>
      <c r="AE31" s="529"/>
      <c r="AF31" s="530" t="s">
        <v>3986</v>
      </c>
      <c r="AG31" s="531"/>
      <c r="AH31" s="601"/>
      <c r="AI31" s="362" t="s">
        <v>3993</v>
      </c>
      <c r="AJ31" s="524">
        <f>IF(COUNTIF(HostBuild[Alias],HostBuild[Alias]),1/COUNTIF(HostBuild[Alias],HostBuild[Alias]),0)</f>
        <v>1</v>
      </c>
      <c r="AK31" s="531"/>
      <c r="AL31" s="531"/>
      <c r="AM31" s="532" t="s">
        <v>314</v>
      </c>
      <c r="AN31" s="533" t="str">
        <f>IF(NOT(ISBLANK(HostBuild[Server Model])),VLOOKUP(HostBuild[Server Model],ServerModelsTier[],2,FALSE),"")</f>
        <v>IBM P-Series Tier 2</v>
      </c>
      <c r="AO31" s="533" t="str">
        <f>IF(NOT(ISBLANK(HostBuild[Server Model])),VLOOKUP(HostBuild[Server Model],ServerModelsTier[],5,FALSE),"")</f>
        <v>pSeries</v>
      </c>
      <c r="AP31" s="532"/>
      <c r="AQ31" s="532" t="s">
        <v>24</v>
      </c>
      <c r="AR31" s="535">
        <v>2</v>
      </c>
      <c r="AS31" s="602"/>
      <c r="AT31" s="535">
        <v>2</v>
      </c>
      <c r="AU31" s="603"/>
      <c r="AV31" s="536">
        <v>128</v>
      </c>
      <c r="AW31" s="531"/>
      <c r="AX31" s="531"/>
      <c r="AY31" s="531"/>
      <c r="AZ31" s="537"/>
      <c r="BA31" s="531"/>
      <c r="BB31" s="531"/>
      <c r="BC31" s="529"/>
      <c r="BD31" s="531"/>
      <c r="BE31" s="531"/>
      <c r="BF31" s="531"/>
      <c r="BG31" s="531"/>
      <c r="BH31" s="531"/>
      <c r="BI31" s="531"/>
      <c r="BJ31" s="531"/>
      <c r="BK31"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1" s="538">
        <v>1300</v>
      </c>
      <c r="BM31" s="540">
        <f>IF(ISNUMBER(HostBuild[Recommended SAN (GB)]),HostBuild[Recommended SAN (GB)])+IF(HostBuild[Additional SAN (GB)]&gt;0,CEILING(HostBuild[Additional SAN (GB)],LUN),-(CEILING(-HostBuild[Additional SAN (GB)],LUN)))</f>
        <v>1314.3000000000002</v>
      </c>
      <c r="BN31" s="539"/>
      <c r="BO31" s="540">
        <f>HostBuild[SAN (GB)
NEEDED TODAY]+CEILING(HostBuild[SAN (GB)
RESERVED
DO NOT USE TO BUILD], LUN)</f>
        <v>1314.3000000000002</v>
      </c>
      <c r="BP31" s="541">
        <v>1000</v>
      </c>
      <c r="BQ31" s="542"/>
      <c r="BR31" s="432" t="s">
        <v>105</v>
      </c>
      <c r="BS31" s="605">
        <f>IF(HostBuild[Existing Server?]&lt;&gt;"Yes - Inside this BoM",IF(ISNUMBER(HostBuild[RAM 
(GB)]),IF(HostBuild[Existing RAM (GB)]+HostBuild[RAM 
(GB)]&gt;0,IF(HostBuild[Virtual Platform Storage Type]="NAS",110+HostBuild[Existing RAM (GB)]+HostBuild[RAM 
(GB)]*1.75,0),0),0),0)</f>
        <v>0</v>
      </c>
      <c r="BT31" s="606"/>
      <c r="BU31" s="607">
        <f>IF(ISNUMBER(HostBuild[Recommended NAS (GB)]),HostBuild[Recommended NAS (GB)])+HostBuild[Additional NAS (GB)]</f>
        <v>0</v>
      </c>
      <c r="BV31" s="543"/>
      <c r="BW31" s="543"/>
      <c r="BX31" s="604">
        <f>IFERROR((HostBuild[SAN (GB)
End-State
DO NOT USE TO BUILD]+HostBuild[SAN (GB) Shared])*25%,"")</f>
        <v>578.57500000000005</v>
      </c>
      <c r="BY31" s="608">
        <f>IFERROR(HostBuild[Archive
Full (GB)]*15%,"")</f>
        <v>86.78625000000001</v>
      </c>
      <c r="BZ31" s="544"/>
      <c r="CA31" s="544"/>
      <c r="CB31" s="545"/>
      <c r="CC31" s="546"/>
      <c r="CD31" s="545"/>
      <c r="CE31" s="547"/>
      <c r="CF31" s="539"/>
      <c r="CG31" s="609"/>
      <c r="CH31" s="548"/>
      <c r="CI31" s="549"/>
      <c r="CJ31" s="550"/>
      <c r="CK31" s="551"/>
      <c r="CL31" s="552">
        <f>IFERROR(IF(FIND(CL$1,$W31)&gt;0,IF(INDEX(Product_Pricing_Table[],MATCH(CL$1,Products,0),2)="Cores",IF(HostBuild[Use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1" s="552">
        <f>IFERROR(IF(FIND(CM$1,$W31)&gt;0,IF(INDEX(Product_Pricing_Table[],MATCH(CM$1,Products,0),2)="Cores",IF(HostBuild[Use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1" s="552">
        <f>IFERROR(IF(FIND(CN$1,$W31)&gt;0,IF(INDEX(Product_Pricing_Table[],MATCH(CN$1,Products,0),2)="Cores",IF(HostBuild[Use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1" s="552">
        <f>IFERROR(IF(FIND(CO$1,$W31)&gt;0,IF(INDEX(Product_Pricing_Table[],MATCH(CO$1,Products,0),2)="Cores",IF(HostBuild[Use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1" s="552">
        <f>IFERROR(IF(FIND(CP$1,$W31)&gt;0,IF(INDEX(Product_Pricing_Table[],MATCH(CP$1,Products,0),2)="Cores",IF(HostBuild[Use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1" s="552">
        <f>IFERROR(IF(FIND(CQ$1,$W31)&gt;0,IF(INDEX(Product_Pricing_Table[],MATCH(CQ$1,Products,0),2)="Cores",IF(HostBuild[Use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1" s="552">
        <f>IFERROR(IF(FIND(CR$1,$W31)&gt;0,IF(INDEX(Product_Pricing_Table[],MATCH(CR$1,Products,0),2)="Cores",IF(HostBuild[Use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1" s="552">
        <f>IFERROR(IF(FIND(CS$1,$W31)&gt;0,IF(INDEX(Product_Pricing_Table[],MATCH(CS$1,Products,0),2)="Cores",IF(HostBuild[Use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1" s="552">
        <f>IFERROR(IF(FIND(CT$1,$W31)&gt;0,IF(INDEX(Product_Pricing_Table[],MATCH(CT$1,Products,0),2)="Cores",IF(HostBuild[Use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1" s="552">
        <f>IFERROR(IF(FIND(CU$1,$W31)&gt;0,IF(INDEX(Product_Pricing_Table[],MATCH(CU$1,Products,0),2)="Cores",IF(HostBuild[Use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1" s="552">
        <f>IFERROR(IF(FIND(CV$1,$W31)&gt;0,IF(INDEX(Product_Pricing_Table[],MATCH(CV$1,Products,0),2)="Cores",IF(HostBuild[Use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1" s="552">
        <f>IFERROR(IF(FIND(CW$1,$W31)&gt;0,IF(INDEX(Product_Pricing_Table[],MATCH(CW$1,Products,0),2)="Cores",IF(HostBuild[Use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1" s="552">
        <f>IFERROR(IF(FIND(CX$1,$W31)&gt;0,IF(INDEX(Product_Pricing_Table[],MATCH(CX$1,Products,0),2)="Cores",IF(HostBuild[Use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1" s="552">
        <f>IFERROR(IF(FIND(CY$1,$W31)&gt;0,IF(INDEX(Product_Pricing_Table[],MATCH(CY$1,Products,0),2)="Cores",IF(HostBuild[Use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1" s="552">
        <f>IFERROR(IF(FIND(CZ$1,$W31)&gt;0,IF(INDEX(Product_Pricing_Table[],MATCH(CZ$1,Products,0),2)="Cores",IF(HostBuild[Use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1" s="552">
        <f>IFERROR(IF(FIND(DA$1,$W31)&gt;0,IF(INDEX(Product_Pricing_Table[],MATCH(DA$1,Products,0),2)="Cores",IF(HostBuild[Use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1" s="552">
        <f>IFERROR(IF(FIND(DB$1,$W31)&gt;0,IF(INDEX(Product_Pricing_Table[],MATCH(DB$1,Products,0),2)="Cores",IF(HostBuild[Use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1" s="552">
        <f>IFERROR(IF(FIND(DC$1,$W31)&gt;0,IF(INDEX(Product_Pricing_Table[],MATCH(DC$1,Products,0),2)="Cores",IF(HostBuild[Use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1" s="552">
        <f>IFERROR(IF(FIND(DD$1,$W31)&gt;0,IF(INDEX(Product_Pricing_Table[],MATCH(DD$1,Products,0),2)="Cores",IF(HostBuild[Use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1" s="552">
        <f>IFERROR(IF(FIND(DE$1,$W31)&gt;0,IF(INDEX(Product_Pricing_Table[],MATCH(DE$1,Products,0),2)="Cores",IF(HostBuild[Use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1" s="553">
        <f>IFERROR(IF(FIND(DF$1,$W31)&gt;0,IF(INDEX(Product_Pricing_Table[],MATCH(DF$1,Products,0),2)="Cores",IF(HostBuild[Use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1" s="553">
        <f>IFERROR(IF(FIND(DG$1,$W31)&gt;0,IF(INDEX(Product_Pricing_Table[],MATCH(DG$1,Products,0),2)="Cores",IF(HostBuild[Use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1" s="552">
        <f>IFERROR(IF(FIND(DH$1,$W31)&gt;0,IF(INDEX(Product_Pricing_Table[],MATCH(DH$1,Products,0),2)="Cores",IF(HostBuild[Use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1" s="553">
        <f>IFERROR(IF(FIND(DI$1,$W31)&gt;0,IF(INDEX(Product_Pricing_Table[],MATCH(DI$1,Products,0),2)="Cores",IF(HostBuild[Use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1" s="552">
        <f>IFERROR(IF(FIND(DJ$1,$W31)&gt;0,IF(INDEX(Product_Pricing_Table[],MATCH(DJ$1,Products,0),2)="Cores",IF(HostBuild[Use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1" s="552">
        <f>IFERROR(IF(FIND(DK$1,$W31)&gt;0,IF(INDEX(Product_Pricing_Table[],MATCH(DK$1,Products,0),2)="Cores",IF(HostBuild[Use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1" s="552">
        <f>IFERROR(IF(FIND(DL$1,$W31)&gt;0,IF(INDEX(Product_Pricing_Table[],MATCH(DL$1,Products,0),2)="Cores",IF(HostBuild[Use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1" s="552">
        <f>IFERROR(IF(FIND(DM$1,$W31)&gt;0,IF(INDEX(Product_Pricing_Table[],MATCH(DM$1,Products,0),2)="Cores",IF(HostBuild[Use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1" s="552">
        <f>IFERROR(IF(FIND(DN$1,$W31)&gt;0,IF(INDEX(Product_Pricing_Table[],MATCH(DN$1,Products,0),2)="Cores",IF(HostBuild[Use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1" s="552">
        <f>IFERROR(IF(FIND(DO$1,$W31)&gt;0,IF(INDEX(Product_Pricing_Table[],MATCH(DO$1,Products,0),2)="Cores",IF(HostBuild[Use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1" s="552">
        <f>IFERROR(IF(FIND(DP$1,$W31)&gt;0,IF(INDEX(Product_Pricing_Table[],MATCH(DP$1,Products,0),2)="Cores",IF(HostBuild[Use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1" s="552">
        <f>IFERROR(IF(FIND(DQ$1,$W31)&gt;0,IF(INDEX(Product_Pricing_Table[],MATCH(DQ$1,Products,0),2)="Cores",IF(HostBuild[Use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1" s="552">
        <f>IFERROR(IF(FIND(DR$1,$W31)&gt;0,IF(INDEX(Product_Pricing_Table[],MATCH(DR$1,Products,0),2)="Cores",IF(HostBuild[Use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1" s="552">
        <f>IFERROR(IF(FIND(DS$1,$W31)&gt;0,IF(INDEX(Product_Pricing_Table[],MATCH(DS$1,Products,0),2)="Cores",IF(HostBuild[Use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1" s="552">
        <f>IFERROR(IF(FIND(DT$1,$W31)&gt;0,IF(INDEX(Product_Pricing_Table[],MATCH(DT$1,Products,0),2)="Cores",IF(HostBuild[Use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1" s="552">
        <f>IFERROR(IF(FIND(DU$1,$W31)&gt;0,IF(INDEX(Product_Pricing_Table[],MATCH(DU$1,Products,0),2)="Cores",IF(HostBuild[Use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2</v>
      </c>
      <c r="DV31" s="552">
        <f>IFERROR(IF(FIND(DV$1,$W31)&gt;0,IF(INDEX(Product_Pricing_Table[],MATCH(DV$1,Products,0),2)="Cores",IF(HostBuild[Use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1" s="552">
        <f>IFERROR(IF(FIND(DW$1,$W31)&gt;0,IF(INDEX(Product_Pricing_Table[],MATCH(DW$1,Products,0),2)="Cores",IF(HostBuild[Use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1" s="552">
        <f>IFERROR(IF(FIND(DX$1,$W31)&gt;0,IF(INDEX(Product_Pricing_Table[],MATCH(DX$1,Products,0),2)="Cores",IF(HostBuild[Use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1" s="552">
        <f>IFERROR(IF(FIND(DY$1,$W31)&gt;0,IF(INDEX(Product_Pricing_Table[],MATCH(DY$1,Products,0),2)="Cores",IF(HostBuild[Use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1" s="552">
        <f>IFERROR(IF(FIND(DZ$1,$W31)&gt;0,IF(INDEX(Product_Pricing_Table[],MATCH(DZ$1,Products,0),2)="Cores",IF(HostBuild[Use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1" s="552">
        <f>IFERROR(IF(FIND(EA$1,$W31)&gt;0,IF(INDEX(Product_Pricing_Table[],MATCH(EA$1,Products,0),2)="Cores",IF(HostBuild[Use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1" s="552">
        <f>IFERROR(IF(FIND(EB$1,$W31)&gt;0,IF(INDEX(Product_Pricing_Table[],MATCH(EB$1,Products,0),2)="Cores",IF(HostBuild[Use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1" s="553">
        <f>IFERROR(IF(FIND(EC$1,$W31)&gt;0,IF(INDEX(Product_Pricing_Table[],MATCH(EC$1,Products,0),2)="Cores",IF(HostBuild[Use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1" s="552">
        <f>IFERROR(IF(FIND(ED$1,$W31)&gt;0,IF(INDEX(Product_Pricing_Table[],MATCH(ED$1,Products,0),2)="Cores",IF(HostBuild[Use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1" s="552">
        <f>IFERROR(IF(FIND(EE$1,$W31)&gt;0,IF(INDEX(Product_Pricing_Table[],MATCH(EE$1,Products,0),2)="Cores",IF(HostBuild[Use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1" s="552">
        <f>IFERROR(IF(FIND(EF$1,$W31)&gt;0,IF(INDEX(Product_Pricing_Table[],MATCH(EF$1,Products,0),2)="Cores",IF(HostBuild[Use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1" s="552">
        <f>IFERROR(IF(FIND(EG$1,$W31)&gt;0,IF(INDEX(Product_Pricing_Table[],MATCH(EG$1,Products,0),2)="Cores",IF(HostBuild[Use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1" s="552">
        <f>IFERROR(IF(FIND(EH$1,$W31)&gt;0,IF(INDEX(Product_Pricing_Table[],MATCH(EH$1,Products,0),2)="Cores",IF(HostBuild[Use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1" s="552">
        <f>IFERROR(IF(FIND(EI$1,$W31)&gt;0,IF(INDEX(Product_Pricing_Table[],MATCH(EI$1,Products,0),2)="Cores",IF(HostBuild[Use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1" s="552">
        <f>IFERROR(IF(FIND(EJ$1,$W31)&gt;0,IF(INDEX(Product_Pricing_Table[],MATCH(EJ$1,Products,0),2)="Cores",IF(HostBuild[Use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1" s="553">
        <f>IFERROR(IF(FIND(EK$1,$W31)&gt;0,IF(INDEX(Product_Pricing_Table[],MATCH(EK$1,Products,0),2)="Cores",IF(HostBuild[Use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1" s="554"/>
      <c r="EM31" s="555">
        <v>359.30500000000001</v>
      </c>
      <c r="EN31" s="556">
        <v>62.913333333333334</v>
      </c>
      <c r="EO31" s="557">
        <f>IF(OR(ISBLANK(HostBuild[Alias]),HostBuild[Server Tier]="",),0,IF(HostBuild[Server Tier]="SafeNet",Safenet_PSE_PL600+HostBuild[Network Cost],IF(HostBuild[Server Tier]="VMware",HostBuild[New VMware (Adjusted)]+HostBuild[Initial Server Cost],IF(HostBuild[Server Tier]="XI52",IBM_DIA_XI52,HostBuild[Initial Server Cost]))))</f>
        <v>2522</v>
      </c>
      <c r="EP3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1602.4350000000002</v>
      </c>
      <c r="EQ31" s="558">
        <f>(HostBuild[Archive
Full (GB)]+HostBuild[Archive
Incr (GB)])*Storage_DC_Dist_Tape_2014</f>
        <v>232.87643750000001</v>
      </c>
      <c r="ER31" s="558">
        <f>IF(ISNUMBER(HostBuild[Server HW Costs
(Monthly)]),SUM(HostBuild[[#This Row],[Server HW Costs
(Monthly)]:[Tape Costs
(Monthly)]]),0)</f>
        <v>4357.3114375000005</v>
      </c>
      <c r="ES31" s="559">
        <f>HostBuild[Software Costs
'[Year 1']
(Monthly)]+HostBuild[Total Hardware Costs
(Monthly)]</f>
        <v>4716.6164375000008</v>
      </c>
      <c r="ET31" s="559">
        <f>IFERROR(IF(FIND("Safenet",HostBuild[Server Model]),Safenet_PSE_PL600_Maint,0),0)+IFERROR(IF(FIND("XI52",HostBuild[Server Model]),IBM_DIA_XI52_Maint,0),0)+HostBuild[Software Costs
'[After Year 1']
(Monthly)]+HostBuild[Total Hardware Costs
(Monthly)]</f>
        <v>4420.2247708333334</v>
      </c>
      <c r="EU31" s="560">
        <f>SUM(HostBuild[[#This Row],[Server Cost Breakdown]:[Network Cost]])</f>
        <v>2522</v>
      </c>
      <c r="EV31" s="561">
        <f>IF(HostBuild[Existing Server?]="Yes - Inside this BoM",0,SUMIF(HostBuild[Alias],HostBuild[Alias],HostBuild[CPU])+SUMIF(HostBuild[Alias],HostBuild[Alias],HostBuild[Existing CPUs]))</f>
        <v>2</v>
      </c>
      <c r="EW31" s="561">
        <f>IF(HostBuild[Existing Server?]="Yes - Inside this BoM",0,SUMIF(HostBuild[Alias],HostBuild[Alias],HostBuild[Cores 
(Licensed Units)])+SUMIF(HostBuild[Alias],HostBuild[Alias],HostBuild[Existing Cores]))</f>
        <v>2</v>
      </c>
      <c r="EX31" s="561">
        <f>IF(HostBuild[Existing Server?]="Yes - Inside this BoM",0,SUMIF(HostBuild[Alias],HostBuild[Alias],HostBuild[RAM 
(GB)])+SUMIF(HostBuild[Alias],HostBuild[Alias],HostBuild[Existing RAM (GB)]))</f>
        <v>128</v>
      </c>
      <c r="EY3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1" s="560">
        <f>IF(ISBLANK(HostBuild[Server Model]),0,IF(HostBuild[Server Tier]="VMware",0,VLOOKUP(HostBuild[Server Tier],ServerTierRates[#Data],2,0))*HostBuild[CPU]*IF(AND(HostBuild[Server Type]="pSeries",HostBuild[Virtual Platform Storage Type]="Cloud-SAN"),0.25,1))</f>
        <v>1658</v>
      </c>
      <c r="FD31" s="560">
        <f>0</f>
        <v>0</v>
      </c>
      <c r="FE31" s="560">
        <f>IF(HostBuild[Server Type]="VMware",HostBuild[RAM 
(GB)]*IF(ISERROR(FIND("DevCloud", HostBuild[Server Model])&gt;0),vRAM_per_vCPU_2014_Monthly,vRAM_per_vCPU_2014_Daily*30),0)</f>
        <v>0</v>
      </c>
      <c r="FF3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864</v>
      </c>
      <c r="FG3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1" s="563">
        <f>IF(HostBuild[Server Tier]="VMware",0,IF(LEFT(HostBuild[Existing Server?],3)="Yes",0,IF(OR(HostBuild[Server Type]="Sun",HostBuild[Server Type]="pSeries"),Support_Direct_Server_Sun_per_OS_2014,IF(HostBuild[Server Type]="x86",Support_Direct_Server_x86_Wintel_per_OS_2014,0))))</f>
        <v>0</v>
      </c>
      <c r="FI3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2" spans="1:165" s="262" customFormat="1">
      <c r="A32" s="360" t="s">
        <v>3942</v>
      </c>
      <c r="B32" s="521"/>
      <c r="C32" s="521"/>
      <c r="D32" s="521"/>
      <c r="E32" s="522"/>
      <c r="F32" s="522"/>
      <c r="G32" s="597"/>
      <c r="H32" s="597"/>
      <c r="I32" s="523"/>
      <c r="J32" s="522"/>
      <c r="K32" s="522"/>
      <c r="L32" s="522"/>
      <c r="M32" s="597" t="e">
        <f ca="1">IF(rngIsDate(HostBuild[CTO Acceptance]),"Y","N")</f>
        <v>#NAME?</v>
      </c>
      <c r="N32" s="361" t="s">
        <v>3938</v>
      </c>
      <c r="O32" s="525"/>
      <c r="P32" s="525"/>
      <c r="Q32" s="361" t="s">
        <v>3992</v>
      </c>
      <c r="R32" s="526" t="str">
        <f>IF(NOT(ISBLANK(HostBuild[Env Label])),IFERROR(VLOOKUP(HostBuild[Env Label],tEnv[],3,FALSE),""),"")</f>
        <v>PROD</v>
      </c>
      <c r="S32" s="598"/>
      <c r="T32" s="527"/>
      <c r="U32" s="599"/>
      <c r="V32" s="524" t="s">
        <v>3975</v>
      </c>
      <c r="W32" s="524" t="s">
        <v>2248</v>
      </c>
      <c r="X32" s="524" t="s">
        <v>32</v>
      </c>
      <c r="Y32" s="361" t="s">
        <v>481</v>
      </c>
      <c r="Z32" s="526" t="str">
        <f>IF(NOT(ISBLANK(HostBuild[[#This Row],[Product 
(Acronym)]])),CONCATENATE(HostBuild[[#This Row],[Type]],"-",HostBuild[[#This Row],[Product 
(Acronym)]]),"")</f>
        <v>DB-ESB</v>
      </c>
      <c r="AA32" s="600"/>
      <c r="AB32" s="600" t="s">
        <v>3985</v>
      </c>
      <c r="AC32" s="528"/>
      <c r="AD32" s="529"/>
      <c r="AE32" s="529"/>
      <c r="AF32" s="530" t="s">
        <v>3986</v>
      </c>
      <c r="AG32" s="531"/>
      <c r="AH32" s="601"/>
      <c r="AI32" s="362" t="s">
        <v>3994</v>
      </c>
      <c r="AJ32" s="524">
        <f>IF(COUNTIF(HostBuild[Alias],HostBuild[Alias]),1/COUNTIF(HostBuild[Alias],HostBuild[Alias]),0)</f>
        <v>1</v>
      </c>
      <c r="AK32" s="531"/>
      <c r="AL32" s="531"/>
      <c r="AM32" s="532" t="s">
        <v>314</v>
      </c>
      <c r="AN32" s="533" t="str">
        <f>IF(NOT(ISBLANK(HostBuild[Server Model])),VLOOKUP(HostBuild[Server Model],ServerModelsTier[],2,FALSE),"")</f>
        <v>IBM P-Series Tier 2</v>
      </c>
      <c r="AO32" s="533" t="str">
        <f>IF(NOT(ISBLANK(HostBuild[Server Model])),VLOOKUP(HostBuild[Server Model],ServerModelsTier[],5,FALSE),"")</f>
        <v>pSeries</v>
      </c>
      <c r="AP32" s="532"/>
      <c r="AQ32" s="532" t="s">
        <v>24</v>
      </c>
      <c r="AR32" s="535">
        <v>2</v>
      </c>
      <c r="AS32" s="602"/>
      <c r="AT32" s="535">
        <v>2</v>
      </c>
      <c r="AU32" s="603"/>
      <c r="AV32" s="536">
        <v>128</v>
      </c>
      <c r="AW32" s="531"/>
      <c r="AX32" s="531"/>
      <c r="AY32" s="531"/>
      <c r="AZ32" s="537"/>
      <c r="BA32" s="531"/>
      <c r="BB32" s="531"/>
      <c r="BC32" s="529"/>
      <c r="BD32" s="531"/>
      <c r="BE32" s="531"/>
      <c r="BF32" s="531"/>
      <c r="BG32" s="531"/>
      <c r="BH32" s="531"/>
      <c r="BI32" s="531"/>
      <c r="BJ32" s="531"/>
      <c r="BK32"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2" s="538">
        <v>300</v>
      </c>
      <c r="BM32" s="540">
        <f>IF(ISNUMBER(HostBuild[Recommended SAN (GB)]),HostBuild[Recommended SAN (GB)])+IF(HostBuild[Additional SAN (GB)]&gt;0,CEILING(HostBuild[Additional SAN (GB)],LUN),-(CEILING(-HostBuild[Additional SAN (GB)],LUN)))</f>
        <v>303.3</v>
      </c>
      <c r="BN32" s="539"/>
      <c r="BO32" s="540">
        <f>HostBuild[SAN (GB)
NEEDED TODAY]+CEILING(HostBuild[SAN (GB)
RESERVED
DO NOT USE TO BUILD], LUN)</f>
        <v>303.3</v>
      </c>
      <c r="BP32" s="541"/>
      <c r="BQ32" s="542"/>
      <c r="BR32" s="432" t="s">
        <v>105</v>
      </c>
      <c r="BS32" s="605">
        <f>IF(HostBuild[Existing Server?]&lt;&gt;"Yes - Inside this BoM",IF(ISNUMBER(HostBuild[RAM 
(GB)]),IF(HostBuild[Existing RAM (GB)]+HostBuild[RAM 
(GB)]&gt;0,IF(HostBuild[Virtual Platform Storage Type]="NAS",110+HostBuild[Existing RAM (GB)]+HostBuild[RAM 
(GB)]*1.75,0),0),0),0)</f>
        <v>0</v>
      </c>
      <c r="BT32" s="606"/>
      <c r="BU32" s="607">
        <f>IF(ISNUMBER(HostBuild[Recommended NAS (GB)]),HostBuild[Recommended NAS (GB)])+HostBuild[Additional NAS (GB)]</f>
        <v>0</v>
      </c>
      <c r="BV32" s="543"/>
      <c r="BW32" s="543"/>
      <c r="BX32" s="604">
        <f>IFERROR((HostBuild[SAN (GB)
End-State
DO NOT USE TO BUILD]+HostBuild[SAN (GB) Shared])*25%,"")</f>
        <v>75.825000000000003</v>
      </c>
      <c r="BY32" s="608">
        <f>IFERROR(HostBuild[Archive
Full (GB)]*15%,"")</f>
        <v>11.373749999999999</v>
      </c>
      <c r="BZ32" s="544"/>
      <c r="CA32" s="544"/>
      <c r="CB32" s="545"/>
      <c r="CC32" s="546"/>
      <c r="CD32" s="545"/>
      <c r="CE32" s="547"/>
      <c r="CF32" s="539"/>
      <c r="CG32" s="609"/>
      <c r="CH32" s="548"/>
      <c r="CI32" s="549"/>
      <c r="CJ32" s="550"/>
      <c r="CK32" s="551"/>
      <c r="CL32" s="552">
        <f>IFERROR(IF(FIND(CL$1,$W32)&gt;0,IF(INDEX(Product_Pricing_Table[],MATCH(CL$1,Products,0),2)="Cores",IF(HostBuild[Use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2" s="552">
        <f>IFERROR(IF(FIND(CM$1,$W32)&gt;0,IF(INDEX(Product_Pricing_Table[],MATCH(CM$1,Products,0),2)="Cores",IF(HostBuild[Use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2" s="552">
        <f>IFERROR(IF(FIND(CN$1,$W32)&gt;0,IF(INDEX(Product_Pricing_Table[],MATCH(CN$1,Products,0),2)="Cores",IF(HostBuild[Use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2" s="552">
        <f>IFERROR(IF(FIND(CO$1,$W32)&gt;0,IF(INDEX(Product_Pricing_Table[],MATCH(CO$1,Products,0),2)="Cores",IF(HostBuild[Use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2" s="552">
        <f>IFERROR(IF(FIND(CP$1,$W32)&gt;0,IF(INDEX(Product_Pricing_Table[],MATCH(CP$1,Products,0),2)="Cores",IF(HostBuild[Use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2" s="552">
        <f>IFERROR(IF(FIND(CQ$1,$W32)&gt;0,IF(INDEX(Product_Pricing_Table[],MATCH(CQ$1,Products,0),2)="Cores",IF(HostBuild[Use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2" s="552">
        <f>IFERROR(IF(FIND(CR$1,$W32)&gt;0,IF(INDEX(Product_Pricing_Table[],MATCH(CR$1,Products,0),2)="Cores",IF(HostBuild[Use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2" s="552">
        <f>IFERROR(IF(FIND(CS$1,$W32)&gt;0,IF(INDEX(Product_Pricing_Table[],MATCH(CS$1,Products,0),2)="Cores",IF(HostBuild[Use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2" s="552">
        <f>IFERROR(IF(FIND(CT$1,$W32)&gt;0,IF(INDEX(Product_Pricing_Table[],MATCH(CT$1,Products,0),2)="Cores",IF(HostBuild[Use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2" s="552">
        <f>IFERROR(IF(FIND(CU$1,$W32)&gt;0,IF(INDEX(Product_Pricing_Table[],MATCH(CU$1,Products,0),2)="Cores",IF(HostBuild[Use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2" s="552">
        <f>IFERROR(IF(FIND(CV$1,$W32)&gt;0,IF(INDEX(Product_Pricing_Table[],MATCH(CV$1,Products,0),2)="Cores",IF(HostBuild[Use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2" s="552">
        <f>IFERROR(IF(FIND(CW$1,$W32)&gt;0,IF(INDEX(Product_Pricing_Table[],MATCH(CW$1,Products,0),2)="Cores",IF(HostBuild[Use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2" s="552">
        <f>IFERROR(IF(FIND(CX$1,$W32)&gt;0,IF(INDEX(Product_Pricing_Table[],MATCH(CX$1,Products,0),2)="Cores",IF(HostBuild[Use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2" s="552">
        <f>IFERROR(IF(FIND(CY$1,$W32)&gt;0,IF(INDEX(Product_Pricing_Table[],MATCH(CY$1,Products,0),2)="Cores",IF(HostBuild[Use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2" s="552">
        <f>IFERROR(IF(FIND(CZ$1,$W32)&gt;0,IF(INDEX(Product_Pricing_Table[],MATCH(CZ$1,Products,0),2)="Cores",IF(HostBuild[Use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2" s="552">
        <f>IFERROR(IF(FIND(DA$1,$W32)&gt;0,IF(INDEX(Product_Pricing_Table[],MATCH(DA$1,Products,0),2)="Cores",IF(HostBuild[Use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2" s="552">
        <f>IFERROR(IF(FIND(DB$1,$W32)&gt;0,IF(INDEX(Product_Pricing_Table[],MATCH(DB$1,Products,0),2)="Cores",IF(HostBuild[Use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2" s="552">
        <f>IFERROR(IF(FIND(DC$1,$W32)&gt;0,IF(INDEX(Product_Pricing_Table[],MATCH(DC$1,Products,0),2)="Cores",IF(HostBuild[Use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2" s="552">
        <f>IFERROR(IF(FIND(DD$1,$W32)&gt;0,IF(INDEX(Product_Pricing_Table[],MATCH(DD$1,Products,0),2)="Cores",IF(HostBuild[Use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2" s="552">
        <f>IFERROR(IF(FIND(DE$1,$W32)&gt;0,IF(INDEX(Product_Pricing_Table[],MATCH(DE$1,Products,0),2)="Cores",IF(HostBuild[Use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2" s="553">
        <f>IFERROR(IF(FIND(DF$1,$W32)&gt;0,IF(INDEX(Product_Pricing_Table[],MATCH(DF$1,Products,0),2)="Cores",IF(HostBuild[Use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2" s="553">
        <f>IFERROR(IF(FIND(DG$1,$W32)&gt;0,IF(INDEX(Product_Pricing_Table[],MATCH(DG$1,Products,0),2)="Cores",IF(HostBuild[Use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2" s="552">
        <f>IFERROR(IF(FIND(DH$1,$W32)&gt;0,IF(INDEX(Product_Pricing_Table[],MATCH(DH$1,Products,0),2)="Cores",IF(HostBuild[Use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2" s="553">
        <f>IFERROR(IF(FIND(DI$1,$W32)&gt;0,IF(INDEX(Product_Pricing_Table[],MATCH(DI$1,Products,0),2)="Cores",IF(HostBuild[Use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2" s="552">
        <f>IFERROR(IF(FIND(DJ$1,$W32)&gt;0,IF(INDEX(Product_Pricing_Table[],MATCH(DJ$1,Products,0),2)="Cores",IF(HostBuild[Use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2" s="552">
        <f>IFERROR(IF(FIND(DK$1,$W32)&gt;0,IF(INDEX(Product_Pricing_Table[],MATCH(DK$1,Products,0),2)="Cores",IF(HostBuild[Use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2" s="552">
        <f>IFERROR(IF(FIND(DL$1,$W32)&gt;0,IF(INDEX(Product_Pricing_Table[],MATCH(DL$1,Products,0),2)="Cores",IF(HostBuild[Use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2" s="552">
        <f>IFERROR(IF(FIND(DM$1,$W32)&gt;0,IF(INDEX(Product_Pricing_Table[],MATCH(DM$1,Products,0),2)="Cores",IF(HostBuild[Use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2" s="552">
        <f>IFERROR(IF(FIND(DN$1,$W32)&gt;0,IF(INDEX(Product_Pricing_Table[],MATCH(DN$1,Products,0),2)="Cores",IF(HostBuild[Use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2" s="552">
        <f>IFERROR(IF(FIND(DO$1,$W32)&gt;0,IF(INDEX(Product_Pricing_Table[],MATCH(DO$1,Products,0),2)="Cores",IF(HostBuild[Use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2" s="552">
        <f>IFERROR(IF(FIND(DP$1,$W32)&gt;0,IF(INDEX(Product_Pricing_Table[],MATCH(DP$1,Products,0),2)="Cores",IF(HostBuild[Use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2" s="552">
        <f>IFERROR(IF(FIND(DQ$1,$W32)&gt;0,IF(INDEX(Product_Pricing_Table[],MATCH(DQ$1,Products,0),2)="Cores",IF(HostBuild[Use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2" s="552">
        <f>IFERROR(IF(FIND(DR$1,$W32)&gt;0,IF(INDEX(Product_Pricing_Table[],MATCH(DR$1,Products,0),2)="Cores",IF(HostBuild[Use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2" s="552">
        <f>IFERROR(IF(FIND(DS$1,$W32)&gt;0,IF(INDEX(Product_Pricing_Table[],MATCH(DS$1,Products,0),2)="Cores",IF(HostBuild[Use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2" s="552">
        <f>IFERROR(IF(FIND(DT$1,$W32)&gt;0,IF(INDEX(Product_Pricing_Table[],MATCH(DT$1,Products,0),2)="Cores",IF(HostBuild[Use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2" s="552">
        <f>IFERROR(IF(FIND(DU$1,$W32)&gt;0,IF(INDEX(Product_Pricing_Table[],MATCH(DU$1,Products,0),2)="Cores",IF(HostBuild[Use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2</v>
      </c>
      <c r="DV32" s="552">
        <f>IFERROR(IF(FIND(DV$1,$W32)&gt;0,IF(INDEX(Product_Pricing_Table[],MATCH(DV$1,Products,0),2)="Cores",IF(HostBuild[Use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2" s="552">
        <f>IFERROR(IF(FIND(DW$1,$W32)&gt;0,IF(INDEX(Product_Pricing_Table[],MATCH(DW$1,Products,0),2)="Cores",IF(HostBuild[Use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2" s="552">
        <f>IFERROR(IF(FIND(DX$1,$W32)&gt;0,IF(INDEX(Product_Pricing_Table[],MATCH(DX$1,Products,0),2)="Cores",IF(HostBuild[Use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2" s="552">
        <f>IFERROR(IF(FIND(DY$1,$W32)&gt;0,IF(INDEX(Product_Pricing_Table[],MATCH(DY$1,Products,0),2)="Cores",IF(HostBuild[Use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2" s="552">
        <f>IFERROR(IF(FIND(DZ$1,$W32)&gt;0,IF(INDEX(Product_Pricing_Table[],MATCH(DZ$1,Products,0),2)="Cores",IF(HostBuild[Use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2" s="552">
        <f>IFERROR(IF(FIND(EA$1,$W32)&gt;0,IF(INDEX(Product_Pricing_Table[],MATCH(EA$1,Products,0),2)="Cores",IF(HostBuild[Use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2" s="552">
        <f>IFERROR(IF(FIND(EB$1,$W32)&gt;0,IF(INDEX(Product_Pricing_Table[],MATCH(EB$1,Products,0),2)="Cores",IF(HostBuild[Use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2" s="553">
        <f>IFERROR(IF(FIND(EC$1,$W32)&gt;0,IF(INDEX(Product_Pricing_Table[],MATCH(EC$1,Products,0),2)="Cores",IF(HostBuild[Use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2" s="552">
        <f>IFERROR(IF(FIND(ED$1,$W32)&gt;0,IF(INDEX(Product_Pricing_Table[],MATCH(ED$1,Products,0),2)="Cores",IF(HostBuild[Use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2" s="552">
        <f>IFERROR(IF(FIND(EE$1,$W32)&gt;0,IF(INDEX(Product_Pricing_Table[],MATCH(EE$1,Products,0),2)="Cores",IF(HostBuild[Use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2" s="552">
        <f>IFERROR(IF(FIND(EF$1,$W32)&gt;0,IF(INDEX(Product_Pricing_Table[],MATCH(EF$1,Products,0),2)="Cores",IF(HostBuild[Use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2" s="552">
        <f>IFERROR(IF(FIND(EG$1,$W32)&gt;0,IF(INDEX(Product_Pricing_Table[],MATCH(EG$1,Products,0),2)="Cores",IF(HostBuild[Use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2" s="552">
        <f>IFERROR(IF(FIND(EH$1,$W32)&gt;0,IF(INDEX(Product_Pricing_Table[],MATCH(EH$1,Products,0),2)="Cores",IF(HostBuild[Use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2" s="552">
        <f>IFERROR(IF(FIND(EI$1,$W32)&gt;0,IF(INDEX(Product_Pricing_Table[],MATCH(EI$1,Products,0),2)="Cores",IF(HostBuild[Use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2" s="552">
        <f>IFERROR(IF(FIND(EJ$1,$W32)&gt;0,IF(INDEX(Product_Pricing_Table[],MATCH(EJ$1,Products,0),2)="Cores",IF(HostBuild[Use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2" s="553">
        <f>IFERROR(IF(FIND(EK$1,$W32)&gt;0,IF(INDEX(Product_Pricing_Table[],MATCH(EK$1,Products,0),2)="Cores",IF(HostBuild[Use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2" s="554"/>
      <c r="EM32" s="555">
        <v>359.30500000000001</v>
      </c>
      <c r="EN32" s="556">
        <v>62.913333333333334</v>
      </c>
      <c r="EO32" s="557">
        <f>IF(OR(ISBLANK(HostBuild[Alias]),HostBuild[Server Tier]="",),0,IF(HostBuild[Server Tier]="SafeNet",Safenet_PSE_PL600+HostBuild[Network Cost],IF(HostBuild[Server Tier]="VMware",HostBuild[New VMware (Adjusted)]+HostBuild[Initial Server Cost],IF(HostBuild[Server Tier]="XI52",IBM_DIA_XI52,HostBuild[Initial Server Cost]))))</f>
        <v>2522</v>
      </c>
      <c r="EP3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136.48500000000001</v>
      </c>
      <c r="EQ32" s="558">
        <f>(HostBuild[Archive
Full (GB)]+HostBuild[Archive
Incr (GB)])*Storage_DC_Dist_Tape_2014</f>
        <v>30.519562499999999</v>
      </c>
      <c r="ER32" s="558">
        <f>IF(ISNUMBER(HostBuild[Server HW Costs
(Monthly)]),SUM(HostBuild[[#This Row],[Server HW Costs
(Monthly)]:[Tape Costs
(Monthly)]]),0)</f>
        <v>2689.0045625000002</v>
      </c>
      <c r="ES32" s="559">
        <f>HostBuild[Software Costs
'[Year 1']
(Monthly)]+HostBuild[Total Hardware Costs
(Monthly)]</f>
        <v>3048.3095625000001</v>
      </c>
      <c r="ET32" s="559">
        <f>IFERROR(IF(FIND("Safenet",HostBuild[Server Model]),Safenet_PSE_PL600_Maint,0),0)+IFERROR(IF(FIND("XI52",HostBuild[Server Model]),IBM_DIA_XI52_Maint,0),0)+HostBuild[Software Costs
'[After Year 1']
(Monthly)]+HostBuild[Total Hardware Costs
(Monthly)]</f>
        <v>2751.9178958333337</v>
      </c>
      <c r="EU32" s="560">
        <f>SUM(HostBuild[[#This Row],[Server Cost Breakdown]:[Network Cost]])</f>
        <v>2522</v>
      </c>
      <c r="EV32" s="561">
        <f>IF(HostBuild[Existing Server?]="Yes - Inside this BoM",0,SUMIF(HostBuild[Alias],HostBuild[Alias],HostBuild[CPU])+SUMIF(HostBuild[Alias],HostBuild[Alias],HostBuild[Existing CPUs]))</f>
        <v>2</v>
      </c>
      <c r="EW32" s="561">
        <f>IF(HostBuild[Existing Server?]="Yes - Inside this BoM",0,SUMIF(HostBuild[Alias],HostBuild[Alias],HostBuild[Cores 
(Licensed Units)])+SUMIF(HostBuild[Alias],HostBuild[Alias],HostBuild[Existing Cores]))</f>
        <v>2</v>
      </c>
      <c r="EX32" s="561">
        <f>IF(HostBuild[Existing Server?]="Yes - Inside this BoM",0,SUMIF(HostBuild[Alias],HostBuild[Alias],HostBuild[RAM 
(GB)])+SUMIF(HostBuild[Alias],HostBuild[Alias],HostBuild[Existing RAM (GB)]))</f>
        <v>128</v>
      </c>
      <c r="EY3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2" s="560">
        <f>IF(ISBLANK(HostBuild[Server Model]),0,IF(HostBuild[Server Tier]="VMware",0,VLOOKUP(HostBuild[Server Tier],ServerTierRates[#Data],2,0))*HostBuild[CPU]*IF(AND(HostBuild[Server Type]="pSeries",HostBuild[Virtual Platform Storage Type]="Cloud-SAN"),0.25,1))</f>
        <v>1658</v>
      </c>
      <c r="FD32" s="560">
        <f>0</f>
        <v>0</v>
      </c>
      <c r="FE32" s="560">
        <f>IF(HostBuild[Server Type]="VMware",HostBuild[RAM 
(GB)]*IF(ISERROR(FIND("DevCloud", HostBuild[Server Model])&gt;0),vRAM_per_vCPU_2014_Monthly,vRAM_per_vCPU_2014_Daily*30),0)</f>
        <v>0</v>
      </c>
      <c r="FF3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864</v>
      </c>
      <c r="FG3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2" s="563">
        <f>IF(HostBuild[Server Tier]="VMware",0,IF(LEFT(HostBuild[Existing Server?],3)="Yes",0,IF(OR(HostBuild[Server Type]="Sun",HostBuild[Server Type]="pSeries"),Support_Direct_Server_Sun_per_OS_2014,IF(HostBuild[Server Type]="x86",Support_Direct_Server_x86_Wintel_per_OS_2014,0))))</f>
        <v>0</v>
      </c>
      <c r="FI3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3" spans="1:165" s="262" customFormat="1">
      <c r="A33" s="360" t="s">
        <v>3942</v>
      </c>
      <c r="B33" s="521"/>
      <c r="C33" s="521"/>
      <c r="D33" s="521"/>
      <c r="E33" s="522"/>
      <c r="F33" s="522"/>
      <c r="G33" s="597"/>
      <c r="H33" s="597"/>
      <c r="I33" s="523"/>
      <c r="J33" s="522"/>
      <c r="K33" s="522"/>
      <c r="L33" s="522"/>
      <c r="M33" s="597" t="e">
        <f ca="1">IF(rngIsDate(HostBuild[CTO Acceptance]),"Y","N")</f>
        <v>#NAME?</v>
      </c>
      <c r="N33" s="361" t="s">
        <v>3938</v>
      </c>
      <c r="O33" s="525"/>
      <c r="P33" s="525"/>
      <c r="Q33" s="361" t="s">
        <v>3992</v>
      </c>
      <c r="R33" s="526" t="str">
        <f>IF(NOT(ISBLANK(HostBuild[Env Label])),IFERROR(VLOOKUP(HostBuild[Env Label],tEnv[],3,FALSE),""),"")</f>
        <v>PROD</v>
      </c>
      <c r="S33" s="598"/>
      <c r="T33" s="527"/>
      <c r="U33" s="599"/>
      <c r="V33" s="524" t="s">
        <v>4007</v>
      </c>
      <c r="W33" s="524" t="s">
        <v>3941</v>
      </c>
      <c r="X33" s="524" t="s">
        <v>35</v>
      </c>
      <c r="Y33" s="361" t="s">
        <v>481</v>
      </c>
      <c r="Z33" s="526" t="str">
        <f>IF(NOT(ISBLANK(HostBuild[[#This Row],[Product 
(Acronym)]])),CONCATENATE(HostBuild[[#This Row],[Type]],"-",HostBuild[[#This Row],[Product 
(Acronym)]]),"")</f>
        <v>AP-ESB</v>
      </c>
      <c r="AA33" s="600"/>
      <c r="AB33" s="600" t="s">
        <v>3985</v>
      </c>
      <c r="AC33" s="528"/>
      <c r="AD33" s="529"/>
      <c r="AE33" s="529"/>
      <c r="AF33" s="530" t="s">
        <v>3986</v>
      </c>
      <c r="AG33" s="531"/>
      <c r="AH33" s="601"/>
      <c r="AI33" s="362" t="s">
        <v>4008</v>
      </c>
      <c r="AJ33" s="524">
        <f>IF(COUNTIF(HostBuild[Alias],HostBuild[Alias]),1/COUNTIF(HostBuild[Alias],HostBuild[Alias]),0)</f>
        <v>1</v>
      </c>
      <c r="AK33" s="531"/>
      <c r="AL33" s="531"/>
      <c r="AM33" s="532" t="s">
        <v>2173</v>
      </c>
      <c r="AN33" s="533" t="str">
        <f>IF(NOT(ISBLANK(HostBuild[Server Model])),VLOOKUP(HostBuild[Server Model],ServerModelsTier[],2,FALSE),"")</f>
        <v>x86 Tier 3</v>
      </c>
      <c r="AO33" s="533" t="str">
        <f>IF(NOT(ISBLANK(HostBuild[Server Model])),VLOOKUP(HostBuild[Server Model],ServerModelsTier[],5,FALSE),"")</f>
        <v>x86</v>
      </c>
      <c r="AP33" s="532"/>
      <c r="AQ33" s="532" t="s">
        <v>2337</v>
      </c>
      <c r="AR33" s="534"/>
      <c r="AS33" s="602"/>
      <c r="AT33" s="535"/>
      <c r="AU33" s="603" t="str">
        <f>IF(IFERROR(FIND("P-Series",HostBuild[Server Tier]),0),CEILING((HostBuild[Existing CPUs]+HostBuild[CPU])*16,8),"")</f>
        <v/>
      </c>
      <c r="AV33" s="536"/>
      <c r="AW33" s="531"/>
      <c r="AX33" s="531"/>
      <c r="AY33" s="531"/>
      <c r="AZ33" s="537"/>
      <c r="BA33" s="531"/>
      <c r="BB33" s="531"/>
      <c r="BC33" s="529"/>
      <c r="BD33" s="531"/>
      <c r="BE33" s="531"/>
      <c r="BF33" s="531"/>
      <c r="BG33" s="531"/>
      <c r="BH33" s="531"/>
      <c r="BI33" s="531"/>
      <c r="BJ33" s="531"/>
      <c r="BK33"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3" s="538"/>
      <c r="BM33" s="540">
        <f>IF(ISNUMBER(HostBuild[Recommended SAN (GB)]),HostBuild[Recommended SAN (GB)])+IF(HostBuild[Additional SAN (GB)]&gt;0,CEILING(HostBuild[Additional SAN (GB)],LUN),-(CEILING(-HostBuild[Additional SAN (GB)],LUN)))</f>
        <v>0</v>
      </c>
      <c r="BN33" s="539"/>
      <c r="BO33" s="540">
        <f>HostBuild[SAN (GB)
NEEDED TODAY]+CEILING(HostBuild[SAN (GB)
RESERVED
DO NOT USE TO BUILD], LUN)</f>
        <v>0</v>
      </c>
      <c r="BP33" s="541"/>
      <c r="BQ33" s="542"/>
      <c r="BR33" s="432"/>
      <c r="BS33" s="605">
        <f>IF(HostBuild[Existing Server?]&lt;&gt;"Yes - Inside this BoM",IF(ISNUMBER(HostBuild[RAM 
(GB)]),IF(HostBuild[Existing RAM (GB)]+HostBuild[RAM 
(GB)]&gt;0,IF(HostBuild[Virtual Platform Storage Type]="NAS",110+HostBuild[Existing RAM (GB)]+HostBuild[RAM 
(GB)]*1.75,0),0),0),0)</f>
        <v>0</v>
      </c>
      <c r="BT33" s="606"/>
      <c r="BU33" s="607">
        <f>IF(ISNUMBER(HostBuild[Recommended NAS (GB)]),HostBuild[Recommended NAS (GB)])+HostBuild[Additional NAS (GB)]</f>
        <v>0</v>
      </c>
      <c r="BV33" s="543"/>
      <c r="BW33" s="543"/>
      <c r="BX33" s="604">
        <f>IFERROR((HostBuild[SAN (GB)
End-State
DO NOT USE TO BUILD]+HostBuild[SAN (GB) Shared])*25%,"")</f>
        <v>0</v>
      </c>
      <c r="BY33" s="608">
        <f>IFERROR(HostBuild[Archive
Full (GB)]*15%,"")</f>
        <v>0</v>
      </c>
      <c r="BZ33" s="544"/>
      <c r="CA33" s="544"/>
      <c r="CB33" s="545"/>
      <c r="CC33" s="546"/>
      <c r="CD33" s="545"/>
      <c r="CE33" s="547"/>
      <c r="CF33" s="539"/>
      <c r="CG33" s="609"/>
      <c r="CH33" s="548"/>
      <c r="CI33" s="549"/>
      <c r="CJ33" s="550"/>
      <c r="CK33" s="551"/>
      <c r="CL33" s="552">
        <f>IFERROR(IF(FIND(CL$1,$W33)&gt;0,IF(INDEX(Product_Pricing_Table[],MATCH(CL$1,Products,0),2)="Cores",IF(HostBuild[Use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3" s="552">
        <f>IFERROR(IF(FIND(CM$1,$W33)&gt;0,IF(INDEX(Product_Pricing_Table[],MATCH(CM$1,Products,0),2)="Cores",IF(HostBuild[Use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3" s="552">
        <f>IFERROR(IF(FIND(CN$1,$W33)&gt;0,IF(INDEX(Product_Pricing_Table[],MATCH(CN$1,Products,0),2)="Cores",IF(HostBuild[Use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3" s="552">
        <f>IFERROR(IF(FIND(CO$1,$W33)&gt;0,IF(INDEX(Product_Pricing_Table[],MATCH(CO$1,Products,0),2)="Cores",IF(HostBuild[Use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3" s="552">
        <f>IFERROR(IF(FIND(CP$1,$W33)&gt;0,IF(INDEX(Product_Pricing_Table[],MATCH(CP$1,Products,0),2)="Cores",IF(HostBuild[Use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3" s="552">
        <f>IFERROR(IF(FIND(CQ$1,$W33)&gt;0,IF(INDEX(Product_Pricing_Table[],MATCH(CQ$1,Products,0),2)="Cores",IF(HostBuild[Use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3" s="552">
        <f>IFERROR(IF(FIND(CR$1,$W33)&gt;0,IF(INDEX(Product_Pricing_Table[],MATCH(CR$1,Products,0),2)="Cores",IF(HostBuild[Use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3" s="552">
        <f>IFERROR(IF(FIND(CS$1,$W33)&gt;0,IF(INDEX(Product_Pricing_Table[],MATCH(CS$1,Products,0),2)="Cores",IF(HostBuild[Use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3" s="552">
        <f>IFERROR(IF(FIND(CT$1,$W33)&gt;0,IF(INDEX(Product_Pricing_Table[],MATCH(CT$1,Products,0),2)="Cores",IF(HostBuild[Use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3" s="552">
        <f>IFERROR(IF(FIND(CU$1,$W33)&gt;0,IF(INDEX(Product_Pricing_Table[],MATCH(CU$1,Products,0),2)="Cores",IF(HostBuild[Use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3" s="552">
        <f>IFERROR(IF(FIND(CV$1,$W33)&gt;0,IF(INDEX(Product_Pricing_Table[],MATCH(CV$1,Products,0),2)="Cores",IF(HostBuild[Use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3" s="552">
        <f>IFERROR(IF(FIND(CW$1,$W33)&gt;0,IF(INDEX(Product_Pricing_Table[],MATCH(CW$1,Products,0),2)="Cores",IF(HostBuild[Use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3" s="552">
        <f>IFERROR(IF(FIND(CX$1,$W33)&gt;0,IF(INDEX(Product_Pricing_Table[],MATCH(CX$1,Products,0),2)="Cores",IF(HostBuild[Use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3" s="552">
        <f>IFERROR(IF(FIND(CY$1,$W33)&gt;0,IF(INDEX(Product_Pricing_Table[],MATCH(CY$1,Products,0),2)="Cores",IF(HostBuild[Use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3" s="552">
        <f>IFERROR(IF(FIND(CZ$1,$W33)&gt;0,IF(INDEX(Product_Pricing_Table[],MATCH(CZ$1,Products,0),2)="Cores",IF(HostBuild[Use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3" s="552">
        <f>IFERROR(IF(FIND(DA$1,$W33)&gt;0,IF(INDEX(Product_Pricing_Table[],MATCH(DA$1,Products,0),2)="Cores",IF(HostBuild[Use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3" s="552">
        <f>IFERROR(IF(FIND(DB$1,$W33)&gt;0,IF(INDEX(Product_Pricing_Table[],MATCH(DB$1,Products,0),2)="Cores",IF(HostBuild[Use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3" s="552">
        <f>IFERROR(IF(FIND(DC$1,$W33)&gt;0,IF(INDEX(Product_Pricing_Table[],MATCH(DC$1,Products,0),2)="Cores",IF(HostBuild[Use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3" s="552">
        <f>IFERROR(IF(FIND(DD$1,$W33)&gt;0,IF(INDEX(Product_Pricing_Table[],MATCH(DD$1,Products,0),2)="Cores",IF(HostBuild[Use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3" s="552">
        <f>IFERROR(IF(FIND(DE$1,$W33)&gt;0,IF(INDEX(Product_Pricing_Table[],MATCH(DE$1,Products,0),2)="Cores",IF(HostBuild[Use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3" s="553">
        <f>IFERROR(IF(FIND(DF$1,$W33)&gt;0,IF(INDEX(Product_Pricing_Table[],MATCH(DF$1,Products,0),2)="Cores",IF(HostBuild[Use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3" s="553">
        <f>IFERROR(IF(FIND(DG$1,$W33)&gt;0,IF(INDEX(Product_Pricing_Table[],MATCH(DG$1,Products,0),2)="Cores",IF(HostBuild[Use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3" s="552">
        <f>IFERROR(IF(FIND(DH$1,$W33)&gt;0,IF(INDEX(Product_Pricing_Table[],MATCH(DH$1,Products,0),2)="Cores",IF(HostBuild[Use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3" s="553">
        <f>IFERROR(IF(FIND(DI$1,$W33)&gt;0,IF(INDEX(Product_Pricing_Table[],MATCH(DI$1,Products,0),2)="Cores",IF(HostBuild[Use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3" s="552">
        <f>IFERROR(IF(FIND(DJ$1,$W33)&gt;0,IF(INDEX(Product_Pricing_Table[],MATCH(DJ$1,Products,0),2)="Cores",IF(HostBuild[Use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3" s="552">
        <f>IFERROR(IF(FIND(DK$1,$W33)&gt;0,IF(INDEX(Product_Pricing_Table[],MATCH(DK$1,Products,0),2)="Cores",IF(HostBuild[Use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3" s="552">
        <f>IFERROR(IF(FIND(DL$1,$W33)&gt;0,IF(INDEX(Product_Pricing_Table[],MATCH(DL$1,Products,0),2)="Cores",IF(HostBuild[Use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3" s="552">
        <f>IFERROR(IF(FIND(DM$1,$W33)&gt;0,IF(INDEX(Product_Pricing_Table[],MATCH(DM$1,Products,0),2)="Cores",IF(HostBuild[Use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3" s="552">
        <f>IFERROR(IF(FIND(DN$1,$W33)&gt;0,IF(INDEX(Product_Pricing_Table[],MATCH(DN$1,Products,0),2)="Cores",IF(HostBuild[Use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3" s="552">
        <f>IFERROR(IF(FIND(DO$1,$W33)&gt;0,IF(INDEX(Product_Pricing_Table[],MATCH(DO$1,Products,0),2)="Cores",IF(HostBuild[Use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3" s="552">
        <f>IFERROR(IF(FIND(DP$1,$W33)&gt;0,IF(INDEX(Product_Pricing_Table[],MATCH(DP$1,Products,0),2)="Cores",IF(HostBuild[Use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3" s="552">
        <f>IFERROR(IF(FIND(DQ$1,$W33)&gt;0,IF(INDEX(Product_Pricing_Table[],MATCH(DQ$1,Products,0),2)="Cores",IF(HostBuild[Use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3" s="552">
        <f>IFERROR(IF(FIND(DR$1,$W33)&gt;0,IF(INDEX(Product_Pricing_Table[],MATCH(DR$1,Products,0),2)="Cores",IF(HostBuild[Use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3" s="552">
        <f>IFERROR(IF(FIND(DS$1,$W33)&gt;0,IF(INDEX(Product_Pricing_Table[],MATCH(DS$1,Products,0),2)="Cores",IF(HostBuild[Use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3" s="552">
        <f>IFERROR(IF(FIND(DT$1,$W33)&gt;0,IF(INDEX(Product_Pricing_Table[],MATCH(DT$1,Products,0),2)="Cores",IF(HostBuild[Use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3" s="552">
        <f>IFERROR(IF(FIND(DU$1,$W33)&gt;0,IF(INDEX(Product_Pricing_Table[],MATCH(DU$1,Products,0),2)="Cores",IF(HostBuild[Use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3" s="552">
        <f>IFERROR(IF(FIND(DV$1,$W33)&gt;0,IF(INDEX(Product_Pricing_Table[],MATCH(DV$1,Products,0),2)="Cores",IF(HostBuild[Use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3" s="552">
        <f>IFERROR(IF(FIND(DW$1,$W33)&gt;0,IF(INDEX(Product_Pricing_Table[],MATCH(DW$1,Products,0),2)="Cores",IF(HostBuild[Use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3" s="552">
        <f>IFERROR(IF(FIND(DX$1,$W33)&gt;0,IF(INDEX(Product_Pricing_Table[],MATCH(DX$1,Products,0),2)="Cores",IF(HostBuild[Use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3" s="552">
        <f>IFERROR(IF(FIND(DY$1,$W33)&gt;0,IF(INDEX(Product_Pricing_Table[],MATCH(DY$1,Products,0),2)="Cores",IF(HostBuild[Use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3" s="552">
        <f>IFERROR(IF(FIND(DZ$1,$W33)&gt;0,IF(INDEX(Product_Pricing_Table[],MATCH(DZ$1,Products,0),2)="Cores",IF(HostBuild[Use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3" s="552">
        <f>IFERROR(IF(FIND(EA$1,$W33)&gt;0,IF(INDEX(Product_Pricing_Table[],MATCH(EA$1,Products,0),2)="Cores",IF(HostBuild[Use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3" s="552">
        <f>IFERROR(IF(FIND(EB$1,$W33)&gt;0,IF(INDEX(Product_Pricing_Table[],MATCH(EB$1,Products,0),2)="Cores",IF(HostBuild[Use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3" s="553">
        <f>IFERROR(IF(FIND(EC$1,$W33)&gt;0,IF(INDEX(Product_Pricing_Table[],MATCH(EC$1,Products,0),2)="Cores",IF(HostBuild[Use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3" s="552">
        <f>IFERROR(IF(FIND(ED$1,$W33)&gt;0,IF(INDEX(Product_Pricing_Table[],MATCH(ED$1,Products,0),2)="Cores",IF(HostBuild[Use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3" s="552">
        <f>IFERROR(IF(FIND(EE$1,$W33)&gt;0,IF(INDEX(Product_Pricing_Table[],MATCH(EE$1,Products,0),2)="Cores",IF(HostBuild[Use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3" s="552">
        <f>IFERROR(IF(FIND(EF$1,$W33)&gt;0,IF(INDEX(Product_Pricing_Table[],MATCH(EF$1,Products,0),2)="Cores",IF(HostBuild[Use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3" s="552">
        <f>IFERROR(IF(FIND(EG$1,$W33)&gt;0,IF(INDEX(Product_Pricing_Table[],MATCH(EG$1,Products,0),2)="Cores",IF(HostBuild[Use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3" s="552">
        <f>IFERROR(IF(FIND(EH$1,$W33)&gt;0,IF(INDEX(Product_Pricing_Table[],MATCH(EH$1,Products,0),2)="Cores",IF(HostBuild[Use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3" s="552">
        <f>IFERROR(IF(FIND(EI$1,$W33)&gt;0,IF(INDEX(Product_Pricing_Table[],MATCH(EI$1,Products,0),2)="Cores",IF(HostBuild[Use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3" s="552">
        <f>IFERROR(IF(FIND(EJ$1,$W33)&gt;0,IF(INDEX(Product_Pricing_Table[],MATCH(EJ$1,Products,0),2)="Cores",IF(HostBuild[Use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3" s="553">
        <f>IFERROR(IF(FIND(EK$1,$W33)&gt;0,IF(INDEX(Product_Pricing_Table[],MATCH(EK$1,Products,0),2)="Cores",IF(HostBuild[Use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3" s="554"/>
      <c r="EM33" s="555"/>
      <c r="EN33" s="556"/>
      <c r="EO3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3" s="558">
        <f>(HostBuild[Archive
Full (GB)]+HostBuild[Archive
Incr (GB)])*Storage_DC_Dist_Tape_2014</f>
        <v>0</v>
      </c>
      <c r="ER33" s="558">
        <f>IF(ISNUMBER(HostBuild[Server HW Costs
(Monthly)]),SUM(HostBuild[[#This Row],[Server HW Costs
(Monthly)]:[Tape Costs
(Monthly)]]),0)</f>
        <v>0</v>
      </c>
      <c r="ES33" s="559">
        <f>HostBuild[Software Costs
'[Year 1']
(Monthly)]+HostBuild[Total Hardware Costs
(Monthly)]</f>
        <v>0</v>
      </c>
      <c r="ET33" s="559">
        <f>IFERROR(IF(FIND("Safenet",HostBuild[Server Model]),Safenet_PSE_PL600_Maint,0),0)+IFERROR(IF(FIND("XI52",HostBuild[Server Model]),IBM_DIA_XI52_Maint,0),0)+HostBuild[Software Costs
'[After Year 1']
(Monthly)]+HostBuild[Total Hardware Costs
(Monthly)]</f>
        <v>0</v>
      </c>
      <c r="EU33" s="560">
        <f>SUM(HostBuild[[#This Row],[Server Cost Breakdown]:[Network Cost]])</f>
        <v>0</v>
      </c>
      <c r="EV33" s="561">
        <f>IF(HostBuild[Existing Server?]="Yes - Inside this BoM",0,SUMIF(HostBuild[Alias],HostBuild[Alias],HostBuild[CPU])+SUMIF(HostBuild[Alias],HostBuild[Alias],HostBuild[Existing CPUs]))</f>
        <v>0</v>
      </c>
      <c r="EW33" s="561">
        <f>IF(HostBuild[Existing Server?]="Yes - Inside this BoM",0,SUMIF(HostBuild[Alias],HostBuild[Alias],HostBuild[Cores 
(Licensed Units)])+SUMIF(HostBuild[Alias],HostBuild[Alias],HostBuild[Existing Cores]))</f>
        <v>0</v>
      </c>
      <c r="EX33" s="561">
        <f>IF(HostBuild[Existing Server?]="Yes - Inside this BoM",0,SUMIF(HostBuild[Alias],HostBuild[Alias],HostBuild[RAM 
(GB)])+SUMIF(HostBuild[Alias],HostBuild[Alias],HostBuild[Existing RAM (GB)]))</f>
        <v>0</v>
      </c>
      <c r="EY3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3" s="560">
        <f>IF(ISBLANK(HostBuild[Server Model]),0,IF(HostBuild[Server Tier]="VMware",0,VLOOKUP(HostBuild[Server Tier],ServerTierRates[#Data],2,0))*HostBuild[CPU]*IF(AND(HostBuild[Server Type]="pSeries",HostBuild[Virtual Platform Storage Type]="Cloud-SAN"),0.25,1))</f>
        <v>0</v>
      </c>
      <c r="FD33" s="560">
        <f>0</f>
        <v>0</v>
      </c>
      <c r="FE33" s="560">
        <f>IF(HostBuild[Server Type]="VMware",HostBuild[RAM 
(GB)]*IF(ISERROR(FIND("DevCloud", HostBuild[Server Model])&gt;0),vRAM_per_vCPU_2014_Monthly,vRAM_per_vCPU_2014_Daily*30),0)</f>
        <v>0</v>
      </c>
      <c r="FF3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3" s="563">
        <f>IF(HostBuild[Server Tier]="VMware",0,IF(LEFT(HostBuild[Existing Server?],3)="Yes",0,IF(OR(HostBuild[Server Type]="Sun",HostBuild[Server Type]="pSeries"),Support_Direct_Server_Sun_per_OS_2014,IF(HostBuild[Server Type]="x86",Support_Direct_Server_x86_Wintel_per_OS_2014,0))))</f>
        <v>0</v>
      </c>
      <c r="FI3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4" spans="1:165" s="262" customFormat="1">
      <c r="A34" s="360" t="s">
        <v>3942</v>
      </c>
      <c r="B34" s="521"/>
      <c r="C34" s="521"/>
      <c r="D34" s="521"/>
      <c r="E34" s="522"/>
      <c r="F34" s="522"/>
      <c r="G34" s="597"/>
      <c r="H34" s="597"/>
      <c r="I34" s="523"/>
      <c r="J34" s="522"/>
      <c r="K34" s="522"/>
      <c r="L34" s="522"/>
      <c r="M34" s="597" t="e">
        <f ca="1">IF(rngIsDate(HostBuild[CTO Acceptance]),"Y","N")</f>
        <v>#NAME?</v>
      </c>
      <c r="N34" s="361" t="s">
        <v>3938</v>
      </c>
      <c r="O34" s="525"/>
      <c r="P34" s="525"/>
      <c r="Q34" s="361" t="s">
        <v>3992</v>
      </c>
      <c r="R34" s="526" t="str">
        <f>IF(NOT(ISBLANK(HostBuild[Env Label])),IFERROR(VLOOKUP(HostBuild[Env Label],tEnv[],3,FALSE),""),"")</f>
        <v>PROD</v>
      </c>
      <c r="S34" s="598"/>
      <c r="T34" s="527"/>
      <c r="U34" s="599"/>
      <c r="V34" s="524" t="s">
        <v>4007</v>
      </c>
      <c r="W34" s="524" t="s">
        <v>3941</v>
      </c>
      <c r="X34" s="524" t="s">
        <v>35</v>
      </c>
      <c r="Y34" s="361" t="s">
        <v>481</v>
      </c>
      <c r="Z34" s="526" t="str">
        <f>IF(NOT(ISBLANK(HostBuild[[#This Row],[Product 
(Acronym)]])),CONCATENATE(HostBuild[[#This Row],[Type]],"-",HostBuild[[#This Row],[Product 
(Acronym)]]),"")</f>
        <v>AP-ESB</v>
      </c>
      <c r="AA34" s="600"/>
      <c r="AB34" s="600" t="s">
        <v>3985</v>
      </c>
      <c r="AC34" s="528"/>
      <c r="AD34" s="529"/>
      <c r="AE34" s="529"/>
      <c r="AF34" s="530" t="s">
        <v>3986</v>
      </c>
      <c r="AG34" s="531"/>
      <c r="AH34" s="601"/>
      <c r="AI34" s="362" t="s">
        <v>4009</v>
      </c>
      <c r="AJ34" s="524">
        <f>IF(COUNTIF(HostBuild[Alias],HostBuild[Alias]),1/COUNTIF(HostBuild[Alias],HostBuild[Alias]),0)</f>
        <v>1</v>
      </c>
      <c r="AK34" s="531"/>
      <c r="AL34" s="531"/>
      <c r="AM34" s="532" t="s">
        <v>2173</v>
      </c>
      <c r="AN34" s="533" t="str">
        <f>IF(NOT(ISBLANK(HostBuild[Server Model])),VLOOKUP(HostBuild[Server Model],ServerModelsTier[],2,FALSE),"")</f>
        <v>x86 Tier 3</v>
      </c>
      <c r="AO34" s="533" t="str">
        <f>IF(NOT(ISBLANK(HostBuild[Server Model])),VLOOKUP(HostBuild[Server Model],ServerModelsTier[],5,FALSE),"")</f>
        <v>x86</v>
      </c>
      <c r="AP34" s="532"/>
      <c r="AQ34" s="532" t="s">
        <v>2337</v>
      </c>
      <c r="AR34" s="534"/>
      <c r="AS34" s="602"/>
      <c r="AT34" s="535"/>
      <c r="AU34" s="603" t="str">
        <f>IF(IFERROR(FIND("P-Series",HostBuild[Server Tier]),0),CEILING((HostBuild[Existing CPUs]+HostBuild[CPU])*16,8),"")</f>
        <v/>
      </c>
      <c r="AV34" s="536"/>
      <c r="AW34" s="531"/>
      <c r="AX34" s="531"/>
      <c r="AY34" s="531"/>
      <c r="AZ34" s="537"/>
      <c r="BA34" s="531"/>
      <c r="BB34" s="531"/>
      <c r="BC34" s="529"/>
      <c r="BD34" s="531"/>
      <c r="BE34" s="531"/>
      <c r="BF34" s="531"/>
      <c r="BG34" s="531"/>
      <c r="BH34" s="531"/>
      <c r="BI34" s="531"/>
      <c r="BJ34" s="531"/>
      <c r="BK34"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4" s="538"/>
      <c r="BM34" s="540">
        <f>IF(ISNUMBER(HostBuild[Recommended SAN (GB)]),HostBuild[Recommended SAN (GB)])+IF(HostBuild[Additional SAN (GB)]&gt;0,CEILING(HostBuild[Additional SAN (GB)],LUN),-(CEILING(-HostBuild[Additional SAN (GB)],LUN)))</f>
        <v>0</v>
      </c>
      <c r="BN34" s="539"/>
      <c r="BO34" s="540">
        <f>HostBuild[SAN (GB)
NEEDED TODAY]+CEILING(HostBuild[SAN (GB)
RESERVED
DO NOT USE TO BUILD], LUN)</f>
        <v>0</v>
      </c>
      <c r="BP34" s="541"/>
      <c r="BQ34" s="542"/>
      <c r="BR34" s="432"/>
      <c r="BS34" s="605">
        <f>IF(HostBuild[Existing Server?]&lt;&gt;"Yes - Inside this BoM",IF(ISNUMBER(HostBuild[RAM 
(GB)]),IF(HostBuild[Existing RAM (GB)]+HostBuild[RAM 
(GB)]&gt;0,IF(HostBuild[Virtual Platform Storage Type]="NAS",110+HostBuild[Existing RAM (GB)]+HostBuild[RAM 
(GB)]*1.75,0),0),0),0)</f>
        <v>0</v>
      </c>
      <c r="BT34" s="606"/>
      <c r="BU34" s="607">
        <f>IF(ISNUMBER(HostBuild[Recommended NAS (GB)]),HostBuild[Recommended NAS (GB)])+HostBuild[Additional NAS (GB)]</f>
        <v>0</v>
      </c>
      <c r="BV34" s="543"/>
      <c r="BW34" s="543"/>
      <c r="BX34" s="604">
        <f>IFERROR((HostBuild[SAN (GB)
End-State
DO NOT USE TO BUILD]+HostBuild[SAN (GB) Shared])*25%,"")</f>
        <v>0</v>
      </c>
      <c r="BY34" s="608">
        <f>IFERROR(HostBuild[Archive
Full (GB)]*15%,"")</f>
        <v>0</v>
      </c>
      <c r="BZ34" s="544"/>
      <c r="CA34" s="544"/>
      <c r="CB34" s="545"/>
      <c r="CC34" s="546"/>
      <c r="CD34" s="545"/>
      <c r="CE34" s="547"/>
      <c r="CF34" s="539"/>
      <c r="CG34" s="609"/>
      <c r="CH34" s="548"/>
      <c r="CI34" s="549"/>
      <c r="CJ34" s="550"/>
      <c r="CK34" s="551"/>
      <c r="CL34" s="552">
        <f>IFERROR(IF(FIND(CL$1,$W34)&gt;0,IF(INDEX(Product_Pricing_Table[],MATCH(CL$1,Products,0),2)="Cores",IF(HostBuild[Use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4" s="552">
        <f>IFERROR(IF(FIND(CM$1,$W34)&gt;0,IF(INDEX(Product_Pricing_Table[],MATCH(CM$1,Products,0),2)="Cores",IF(HostBuild[Use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4" s="552">
        <f>IFERROR(IF(FIND(CN$1,$W34)&gt;0,IF(INDEX(Product_Pricing_Table[],MATCH(CN$1,Products,0),2)="Cores",IF(HostBuild[Use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4" s="552">
        <f>IFERROR(IF(FIND(CO$1,$W34)&gt;0,IF(INDEX(Product_Pricing_Table[],MATCH(CO$1,Products,0),2)="Cores",IF(HostBuild[Use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4" s="552">
        <f>IFERROR(IF(FIND(CP$1,$W34)&gt;0,IF(INDEX(Product_Pricing_Table[],MATCH(CP$1,Products,0),2)="Cores",IF(HostBuild[Use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4" s="552">
        <f>IFERROR(IF(FIND(CQ$1,$W34)&gt;0,IF(INDEX(Product_Pricing_Table[],MATCH(CQ$1,Products,0),2)="Cores",IF(HostBuild[Use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4" s="552">
        <f>IFERROR(IF(FIND(CR$1,$W34)&gt;0,IF(INDEX(Product_Pricing_Table[],MATCH(CR$1,Products,0),2)="Cores",IF(HostBuild[Use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4" s="552">
        <f>IFERROR(IF(FIND(CS$1,$W34)&gt;0,IF(INDEX(Product_Pricing_Table[],MATCH(CS$1,Products,0),2)="Cores",IF(HostBuild[Use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4" s="552">
        <f>IFERROR(IF(FIND(CT$1,$W34)&gt;0,IF(INDEX(Product_Pricing_Table[],MATCH(CT$1,Products,0),2)="Cores",IF(HostBuild[Use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4" s="552">
        <f>IFERROR(IF(FIND(CU$1,$W34)&gt;0,IF(INDEX(Product_Pricing_Table[],MATCH(CU$1,Products,0),2)="Cores",IF(HostBuild[Use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4" s="552">
        <f>IFERROR(IF(FIND(CV$1,$W34)&gt;0,IF(INDEX(Product_Pricing_Table[],MATCH(CV$1,Products,0),2)="Cores",IF(HostBuild[Use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4" s="552">
        <f>IFERROR(IF(FIND(CW$1,$W34)&gt;0,IF(INDEX(Product_Pricing_Table[],MATCH(CW$1,Products,0),2)="Cores",IF(HostBuild[Use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4" s="552">
        <f>IFERROR(IF(FIND(CX$1,$W34)&gt;0,IF(INDEX(Product_Pricing_Table[],MATCH(CX$1,Products,0),2)="Cores",IF(HostBuild[Use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4" s="552">
        <f>IFERROR(IF(FIND(CY$1,$W34)&gt;0,IF(INDEX(Product_Pricing_Table[],MATCH(CY$1,Products,0),2)="Cores",IF(HostBuild[Use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4" s="552">
        <f>IFERROR(IF(FIND(CZ$1,$W34)&gt;0,IF(INDEX(Product_Pricing_Table[],MATCH(CZ$1,Products,0),2)="Cores",IF(HostBuild[Use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4" s="552">
        <f>IFERROR(IF(FIND(DA$1,$W34)&gt;0,IF(INDEX(Product_Pricing_Table[],MATCH(DA$1,Products,0),2)="Cores",IF(HostBuild[Use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4" s="552">
        <f>IFERROR(IF(FIND(DB$1,$W34)&gt;0,IF(INDEX(Product_Pricing_Table[],MATCH(DB$1,Products,0),2)="Cores",IF(HostBuild[Use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4" s="552">
        <f>IFERROR(IF(FIND(DC$1,$W34)&gt;0,IF(INDEX(Product_Pricing_Table[],MATCH(DC$1,Products,0),2)="Cores",IF(HostBuild[Use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4" s="552">
        <f>IFERROR(IF(FIND(DD$1,$W34)&gt;0,IF(INDEX(Product_Pricing_Table[],MATCH(DD$1,Products,0),2)="Cores",IF(HostBuild[Use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4" s="552">
        <f>IFERROR(IF(FIND(DE$1,$W34)&gt;0,IF(INDEX(Product_Pricing_Table[],MATCH(DE$1,Products,0),2)="Cores",IF(HostBuild[Use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4" s="553">
        <f>IFERROR(IF(FIND(DF$1,$W34)&gt;0,IF(INDEX(Product_Pricing_Table[],MATCH(DF$1,Products,0),2)="Cores",IF(HostBuild[Use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4" s="553">
        <f>IFERROR(IF(FIND(DG$1,$W34)&gt;0,IF(INDEX(Product_Pricing_Table[],MATCH(DG$1,Products,0),2)="Cores",IF(HostBuild[Use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4" s="552">
        <f>IFERROR(IF(FIND(DH$1,$W34)&gt;0,IF(INDEX(Product_Pricing_Table[],MATCH(DH$1,Products,0),2)="Cores",IF(HostBuild[Use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4" s="553">
        <f>IFERROR(IF(FIND(DI$1,$W34)&gt;0,IF(INDEX(Product_Pricing_Table[],MATCH(DI$1,Products,0),2)="Cores",IF(HostBuild[Use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4" s="552">
        <f>IFERROR(IF(FIND(DJ$1,$W34)&gt;0,IF(INDEX(Product_Pricing_Table[],MATCH(DJ$1,Products,0),2)="Cores",IF(HostBuild[Use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4" s="552">
        <f>IFERROR(IF(FIND(DK$1,$W34)&gt;0,IF(INDEX(Product_Pricing_Table[],MATCH(DK$1,Products,0),2)="Cores",IF(HostBuild[Use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4" s="552">
        <f>IFERROR(IF(FIND(DL$1,$W34)&gt;0,IF(INDEX(Product_Pricing_Table[],MATCH(DL$1,Products,0),2)="Cores",IF(HostBuild[Use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4" s="552">
        <f>IFERROR(IF(FIND(DM$1,$W34)&gt;0,IF(INDEX(Product_Pricing_Table[],MATCH(DM$1,Products,0),2)="Cores",IF(HostBuild[Use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4" s="552">
        <f>IFERROR(IF(FIND(DN$1,$W34)&gt;0,IF(INDEX(Product_Pricing_Table[],MATCH(DN$1,Products,0),2)="Cores",IF(HostBuild[Use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4" s="552">
        <f>IFERROR(IF(FIND(DO$1,$W34)&gt;0,IF(INDEX(Product_Pricing_Table[],MATCH(DO$1,Products,0),2)="Cores",IF(HostBuild[Use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4" s="552">
        <f>IFERROR(IF(FIND(DP$1,$W34)&gt;0,IF(INDEX(Product_Pricing_Table[],MATCH(DP$1,Products,0),2)="Cores",IF(HostBuild[Use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4" s="552">
        <f>IFERROR(IF(FIND(DQ$1,$W34)&gt;0,IF(INDEX(Product_Pricing_Table[],MATCH(DQ$1,Products,0),2)="Cores",IF(HostBuild[Use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4" s="552">
        <f>IFERROR(IF(FIND(DR$1,$W34)&gt;0,IF(INDEX(Product_Pricing_Table[],MATCH(DR$1,Products,0),2)="Cores",IF(HostBuild[Use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4" s="552">
        <f>IFERROR(IF(FIND(DS$1,$W34)&gt;0,IF(INDEX(Product_Pricing_Table[],MATCH(DS$1,Products,0),2)="Cores",IF(HostBuild[Use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4" s="552">
        <f>IFERROR(IF(FIND(DT$1,$W34)&gt;0,IF(INDEX(Product_Pricing_Table[],MATCH(DT$1,Products,0),2)="Cores",IF(HostBuild[Use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4" s="552">
        <f>IFERROR(IF(FIND(DU$1,$W34)&gt;0,IF(INDEX(Product_Pricing_Table[],MATCH(DU$1,Products,0),2)="Cores",IF(HostBuild[Use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4" s="552">
        <f>IFERROR(IF(FIND(DV$1,$W34)&gt;0,IF(INDEX(Product_Pricing_Table[],MATCH(DV$1,Products,0),2)="Cores",IF(HostBuild[Use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4" s="552">
        <f>IFERROR(IF(FIND(DW$1,$W34)&gt;0,IF(INDEX(Product_Pricing_Table[],MATCH(DW$1,Products,0),2)="Cores",IF(HostBuild[Use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4" s="552">
        <f>IFERROR(IF(FIND(DX$1,$W34)&gt;0,IF(INDEX(Product_Pricing_Table[],MATCH(DX$1,Products,0),2)="Cores",IF(HostBuild[Use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4" s="552">
        <f>IFERROR(IF(FIND(DY$1,$W34)&gt;0,IF(INDEX(Product_Pricing_Table[],MATCH(DY$1,Products,0),2)="Cores",IF(HostBuild[Use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4" s="552">
        <f>IFERROR(IF(FIND(DZ$1,$W34)&gt;0,IF(INDEX(Product_Pricing_Table[],MATCH(DZ$1,Products,0),2)="Cores",IF(HostBuild[Use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4" s="552">
        <f>IFERROR(IF(FIND(EA$1,$W34)&gt;0,IF(INDEX(Product_Pricing_Table[],MATCH(EA$1,Products,0),2)="Cores",IF(HostBuild[Use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4" s="552">
        <f>IFERROR(IF(FIND(EB$1,$W34)&gt;0,IF(INDEX(Product_Pricing_Table[],MATCH(EB$1,Products,0),2)="Cores",IF(HostBuild[Use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4" s="553">
        <f>IFERROR(IF(FIND(EC$1,$W34)&gt;0,IF(INDEX(Product_Pricing_Table[],MATCH(EC$1,Products,0),2)="Cores",IF(HostBuild[Use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4" s="552">
        <f>IFERROR(IF(FIND(ED$1,$W34)&gt;0,IF(INDEX(Product_Pricing_Table[],MATCH(ED$1,Products,0),2)="Cores",IF(HostBuild[Use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4" s="552">
        <f>IFERROR(IF(FIND(EE$1,$W34)&gt;0,IF(INDEX(Product_Pricing_Table[],MATCH(EE$1,Products,0),2)="Cores",IF(HostBuild[Use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4" s="552">
        <f>IFERROR(IF(FIND(EF$1,$W34)&gt;0,IF(INDEX(Product_Pricing_Table[],MATCH(EF$1,Products,0),2)="Cores",IF(HostBuild[Use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4" s="552">
        <f>IFERROR(IF(FIND(EG$1,$W34)&gt;0,IF(INDEX(Product_Pricing_Table[],MATCH(EG$1,Products,0),2)="Cores",IF(HostBuild[Use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4" s="552">
        <f>IFERROR(IF(FIND(EH$1,$W34)&gt;0,IF(INDEX(Product_Pricing_Table[],MATCH(EH$1,Products,0),2)="Cores",IF(HostBuild[Use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4" s="552">
        <f>IFERROR(IF(FIND(EI$1,$W34)&gt;0,IF(INDEX(Product_Pricing_Table[],MATCH(EI$1,Products,0),2)="Cores",IF(HostBuild[Use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4" s="552">
        <f>IFERROR(IF(FIND(EJ$1,$W34)&gt;0,IF(INDEX(Product_Pricing_Table[],MATCH(EJ$1,Products,0),2)="Cores",IF(HostBuild[Use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4" s="553">
        <f>IFERROR(IF(FIND(EK$1,$W34)&gt;0,IF(INDEX(Product_Pricing_Table[],MATCH(EK$1,Products,0),2)="Cores",IF(HostBuild[Use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4" s="554"/>
      <c r="EM34" s="555"/>
      <c r="EN34" s="556"/>
      <c r="EO3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4" s="558">
        <f>(HostBuild[Archive
Full (GB)]+HostBuild[Archive
Incr (GB)])*Storage_DC_Dist_Tape_2014</f>
        <v>0</v>
      </c>
      <c r="ER34" s="558">
        <f>IF(ISNUMBER(HostBuild[Server HW Costs
(Monthly)]),SUM(HostBuild[[#This Row],[Server HW Costs
(Monthly)]:[Tape Costs
(Monthly)]]),0)</f>
        <v>0</v>
      </c>
      <c r="ES34" s="559">
        <f>HostBuild[Software Costs
'[Year 1']
(Monthly)]+HostBuild[Total Hardware Costs
(Monthly)]</f>
        <v>0</v>
      </c>
      <c r="ET34" s="559">
        <f>IFERROR(IF(FIND("Safenet",HostBuild[Server Model]),Safenet_PSE_PL600_Maint,0),0)+IFERROR(IF(FIND("XI52",HostBuild[Server Model]),IBM_DIA_XI52_Maint,0),0)+HostBuild[Software Costs
'[After Year 1']
(Monthly)]+HostBuild[Total Hardware Costs
(Monthly)]</f>
        <v>0</v>
      </c>
      <c r="EU34" s="560">
        <f>SUM(HostBuild[[#This Row],[Server Cost Breakdown]:[Network Cost]])</f>
        <v>0</v>
      </c>
      <c r="EV34" s="561">
        <f>IF(HostBuild[Existing Server?]="Yes - Inside this BoM",0,SUMIF(HostBuild[Alias],HostBuild[Alias],HostBuild[CPU])+SUMIF(HostBuild[Alias],HostBuild[Alias],HostBuild[Existing CPUs]))</f>
        <v>0</v>
      </c>
      <c r="EW34" s="561">
        <f>IF(HostBuild[Existing Server?]="Yes - Inside this BoM",0,SUMIF(HostBuild[Alias],HostBuild[Alias],HostBuild[Cores 
(Licensed Units)])+SUMIF(HostBuild[Alias],HostBuild[Alias],HostBuild[Existing Cores]))</f>
        <v>0</v>
      </c>
      <c r="EX34" s="561">
        <f>IF(HostBuild[Existing Server?]="Yes - Inside this BoM",0,SUMIF(HostBuild[Alias],HostBuild[Alias],HostBuild[RAM 
(GB)])+SUMIF(HostBuild[Alias],HostBuild[Alias],HostBuild[Existing RAM (GB)]))</f>
        <v>0</v>
      </c>
      <c r="EY3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4" s="560">
        <f>IF(ISBLANK(HostBuild[Server Model]),0,IF(HostBuild[Server Tier]="VMware",0,VLOOKUP(HostBuild[Server Tier],ServerTierRates[#Data],2,0))*HostBuild[CPU]*IF(AND(HostBuild[Server Type]="pSeries",HostBuild[Virtual Platform Storage Type]="Cloud-SAN"),0.25,1))</f>
        <v>0</v>
      </c>
      <c r="FD34" s="560">
        <f>0</f>
        <v>0</v>
      </c>
      <c r="FE34" s="560">
        <f>IF(HostBuild[Server Type]="VMware",HostBuild[RAM 
(GB)]*IF(ISERROR(FIND("DevCloud", HostBuild[Server Model])&gt;0),vRAM_per_vCPU_2014_Monthly,vRAM_per_vCPU_2014_Daily*30),0)</f>
        <v>0</v>
      </c>
      <c r="FF3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4" s="563">
        <f>IF(HostBuild[Server Tier]="VMware",0,IF(LEFT(HostBuild[Existing Server?],3)="Yes",0,IF(OR(HostBuild[Server Type]="Sun",HostBuild[Server Type]="pSeries"),Support_Direct_Server_Sun_per_OS_2014,IF(HostBuild[Server Type]="x86",Support_Direct_Server_x86_Wintel_per_OS_2014,0))))</f>
        <v>0</v>
      </c>
      <c r="FI3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5" spans="1:165" s="262" customFormat="1">
      <c r="A35" s="360" t="s">
        <v>3942</v>
      </c>
      <c r="B35" s="521"/>
      <c r="C35" s="521"/>
      <c r="D35" s="521"/>
      <c r="E35" s="522"/>
      <c r="F35" s="522"/>
      <c r="G35" s="597"/>
      <c r="H35" s="597"/>
      <c r="I35" s="523"/>
      <c r="J35" s="522"/>
      <c r="K35" s="522"/>
      <c r="L35" s="522"/>
      <c r="M35" s="597" t="e">
        <f ca="1">IF(rngIsDate(HostBuild[CTO Acceptance]),"Y","N")</f>
        <v>#NAME?</v>
      </c>
      <c r="N35" s="361" t="s">
        <v>3938</v>
      </c>
      <c r="O35" s="525"/>
      <c r="P35" s="525"/>
      <c r="Q35" s="361" t="s">
        <v>3992</v>
      </c>
      <c r="R35" s="526" t="str">
        <f>IF(NOT(ISBLANK(HostBuild[Env Label])),IFERROR(VLOOKUP(HostBuild[Env Label],tEnv[],3,FALSE),""),"")</f>
        <v>PROD</v>
      </c>
      <c r="S35" s="598"/>
      <c r="T35" s="527"/>
      <c r="U35" s="599"/>
      <c r="V35" s="524" t="s">
        <v>4007</v>
      </c>
      <c r="W35" s="524" t="s">
        <v>3941</v>
      </c>
      <c r="X35" s="524" t="s">
        <v>35</v>
      </c>
      <c r="Y35" s="361" t="s">
        <v>481</v>
      </c>
      <c r="Z35" s="526" t="str">
        <f>IF(NOT(ISBLANK(HostBuild[[#This Row],[Product 
(Acronym)]])),CONCATENATE(HostBuild[[#This Row],[Type]],"-",HostBuild[[#This Row],[Product 
(Acronym)]]),"")</f>
        <v>AP-ESB</v>
      </c>
      <c r="AA35" s="600"/>
      <c r="AB35" s="600" t="s">
        <v>3985</v>
      </c>
      <c r="AC35" s="528"/>
      <c r="AD35" s="529"/>
      <c r="AE35" s="529"/>
      <c r="AF35" s="530" t="s">
        <v>3986</v>
      </c>
      <c r="AG35" s="531"/>
      <c r="AH35" s="601"/>
      <c r="AI35" s="362" t="s">
        <v>4010</v>
      </c>
      <c r="AJ35" s="524">
        <f>IF(COUNTIF(HostBuild[Alias],HostBuild[Alias]),1/COUNTIF(HostBuild[Alias],HostBuild[Alias]),0)</f>
        <v>1</v>
      </c>
      <c r="AK35" s="531"/>
      <c r="AL35" s="531"/>
      <c r="AM35" s="532" t="s">
        <v>2173</v>
      </c>
      <c r="AN35" s="533" t="str">
        <f>IF(NOT(ISBLANK(HostBuild[Server Model])),VLOOKUP(HostBuild[Server Model],ServerModelsTier[],2,FALSE),"")</f>
        <v>x86 Tier 3</v>
      </c>
      <c r="AO35" s="533" t="str">
        <f>IF(NOT(ISBLANK(HostBuild[Server Model])),VLOOKUP(HostBuild[Server Model],ServerModelsTier[],5,FALSE),"")</f>
        <v>x86</v>
      </c>
      <c r="AP35" s="532"/>
      <c r="AQ35" s="532" t="s">
        <v>2337</v>
      </c>
      <c r="AR35" s="534"/>
      <c r="AS35" s="602"/>
      <c r="AT35" s="535"/>
      <c r="AU35" s="603" t="str">
        <f>IF(IFERROR(FIND("P-Series",HostBuild[Server Tier]),0),CEILING((HostBuild[Existing CPUs]+HostBuild[CPU])*16,8),"")</f>
        <v/>
      </c>
      <c r="AV35" s="536"/>
      <c r="AW35" s="531"/>
      <c r="AX35" s="531"/>
      <c r="AY35" s="531"/>
      <c r="AZ35" s="537"/>
      <c r="BA35" s="531"/>
      <c r="BB35" s="531"/>
      <c r="BC35" s="529"/>
      <c r="BD35" s="531"/>
      <c r="BE35" s="531"/>
      <c r="BF35" s="531"/>
      <c r="BG35" s="531"/>
      <c r="BH35" s="531"/>
      <c r="BI35" s="531"/>
      <c r="BJ35" s="531"/>
      <c r="BK35"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5" s="538"/>
      <c r="BM35" s="540">
        <f>IF(ISNUMBER(HostBuild[Recommended SAN (GB)]),HostBuild[Recommended SAN (GB)])+IF(HostBuild[Additional SAN (GB)]&gt;0,CEILING(HostBuild[Additional SAN (GB)],LUN),-(CEILING(-HostBuild[Additional SAN (GB)],LUN)))</f>
        <v>0</v>
      </c>
      <c r="BN35" s="539"/>
      <c r="BO35" s="540">
        <f>HostBuild[SAN (GB)
NEEDED TODAY]+CEILING(HostBuild[SAN (GB)
RESERVED
DO NOT USE TO BUILD], LUN)</f>
        <v>0</v>
      </c>
      <c r="BP35" s="541"/>
      <c r="BQ35" s="542"/>
      <c r="BR35" s="432"/>
      <c r="BS35" s="605">
        <f>IF(HostBuild[Existing Server?]&lt;&gt;"Yes - Inside this BoM",IF(ISNUMBER(HostBuild[RAM 
(GB)]),IF(HostBuild[Existing RAM (GB)]+HostBuild[RAM 
(GB)]&gt;0,IF(HostBuild[Virtual Platform Storage Type]="NAS",110+HostBuild[Existing RAM (GB)]+HostBuild[RAM 
(GB)]*1.75,0),0),0),0)</f>
        <v>0</v>
      </c>
      <c r="BT35" s="606"/>
      <c r="BU35" s="607">
        <f>IF(ISNUMBER(HostBuild[Recommended NAS (GB)]),HostBuild[Recommended NAS (GB)])+HostBuild[Additional NAS (GB)]</f>
        <v>0</v>
      </c>
      <c r="BV35" s="543"/>
      <c r="BW35" s="543"/>
      <c r="BX35" s="604">
        <f>IFERROR((HostBuild[SAN (GB)
End-State
DO NOT USE TO BUILD]+HostBuild[SAN (GB) Shared])*25%,"")</f>
        <v>0</v>
      </c>
      <c r="BY35" s="608">
        <f>IFERROR(HostBuild[Archive
Full (GB)]*15%,"")</f>
        <v>0</v>
      </c>
      <c r="BZ35" s="544"/>
      <c r="CA35" s="544"/>
      <c r="CB35" s="545"/>
      <c r="CC35" s="546"/>
      <c r="CD35" s="545"/>
      <c r="CE35" s="547"/>
      <c r="CF35" s="539"/>
      <c r="CG35" s="609"/>
      <c r="CH35" s="548"/>
      <c r="CI35" s="549"/>
      <c r="CJ35" s="550"/>
      <c r="CK35" s="551"/>
      <c r="CL35" s="552">
        <f>IFERROR(IF(FIND(CL$1,$W35)&gt;0,IF(INDEX(Product_Pricing_Table[],MATCH(CL$1,Products,0),2)="Cores",IF(HostBuild[Use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5" s="552">
        <f>IFERROR(IF(FIND(CM$1,$W35)&gt;0,IF(INDEX(Product_Pricing_Table[],MATCH(CM$1,Products,0),2)="Cores",IF(HostBuild[Use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5" s="552">
        <f>IFERROR(IF(FIND(CN$1,$W35)&gt;0,IF(INDEX(Product_Pricing_Table[],MATCH(CN$1,Products,0),2)="Cores",IF(HostBuild[Use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5" s="552">
        <f>IFERROR(IF(FIND(CO$1,$W35)&gt;0,IF(INDEX(Product_Pricing_Table[],MATCH(CO$1,Products,0),2)="Cores",IF(HostBuild[Use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5" s="552">
        <f>IFERROR(IF(FIND(CP$1,$W35)&gt;0,IF(INDEX(Product_Pricing_Table[],MATCH(CP$1,Products,0),2)="Cores",IF(HostBuild[Use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5" s="552">
        <f>IFERROR(IF(FIND(CQ$1,$W35)&gt;0,IF(INDEX(Product_Pricing_Table[],MATCH(CQ$1,Products,0),2)="Cores",IF(HostBuild[Use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5" s="552">
        <f>IFERROR(IF(FIND(CR$1,$W35)&gt;0,IF(INDEX(Product_Pricing_Table[],MATCH(CR$1,Products,0),2)="Cores",IF(HostBuild[Use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5" s="552">
        <f>IFERROR(IF(FIND(CS$1,$W35)&gt;0,IF(INDEX(Product_Pricing_Table[],MATCH(CS$1,Products,0),2)="Cores",IF(HostBuild[Use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5" s="552">
        <f>IFERROR(IF(FIND(CT$1,$W35)&gt;0,IF(INDEX(Product_Pricing_Table[],MATCH(CT$1,Products,0),2)="Cores",IF(HostBuild[Use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5" s="552">
        <f>IFERROR(IF(FIND(CU$1,$W35)&gt;0,IF(INDEX(Product_Pricing_Table[],MATCH(CU$1,Products,0),2)="Cores",IF(HostBuild[Use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5" s="552">
        <f>IFERROR(IF(FIND(CV$1,$W35)&gt;0,IF(INDEX(Product_Pricing_Table[],MATCH(CV$1,Products,0),2)="Cores",IF(HostBuild[Use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5" s="552">
        <f>IFERROR(IF(FIND(CW$1,$W35)&gt;0,IF(INDEX(Product_Pricing_Table[],MATCH(CW$1,Products,0),2)="Cores",IF(HostBuild[Use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5" s="552">
        <f>IFERROR(IF(FIND(CX$1,$W35)&gt;0,IF(INDEX(Product_Pricing_Table[],MATCH(CX$1,Products,0),2)="Cores",IF(HostBuild[Use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5" s="552">
        <f>IFERROR(IF(FIND(CY$1,$W35)&gt;0,IF(INDEX(Product_Pricing_Table[],MATCH(CY$1,Products,0),2)="Cores",IF(HostBuild[Use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5" s="552">
        <f>IFERROR(IF(FIND(CZ$1,$W35)&gt;0,IF(INDEX(Product_Pricing_Table[],MATCH(CZ$1,Products,0),2)="Cores",IF(HostBuild[Use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5" s="552">
        <f>IFERROR(IF(FIND(DA$1,$W35)&gt;0,IF(INDEX(Product_Pricing_Table[],MATCH(DA$1,Products,0),2)="Cores",IF(HostBuild[Use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5" s="552">
        <f>IFERROR(IF(FIND(DB$1,$W35)&gt;0,IF(INDEX(Product_Pricing_Table[],MATCH(DB$1,Products,0),2)="Cores",IF(HostBuild[Use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5" s="552">
        <f>IFERROR(IF(FIND(DC$1,$W35)&gt;0,IF(INDEX(Product_Pricing_Table[],MATCH(DC$1,Products,0),2)="Cores",IF(HostBuild[Use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5" s="552">
        <f>IFERROR(IF(FIND(DD$1,$W35)&gt;0,IF(INDEX(Product_Pricing_Table[],MATCH(DD$1,Products,0),2)="Cores",IF(HostBuild[Use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5" s="552">
        <f>IFERROR(IF(FIND(DE$1,$W35)&gt;0,IF(INDEX(Product_Pricing_Table[],MATCH(DE$1,Products,0),2)="Cores",IF(HostBuild[Use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5" s="553">
        <f>IFERROR(IF(FIND(DF$1,$W35)&gt;0,IF(INDEX(Product_Pricing_Table[],MATCH(DF$1,Products,0),2)="Cores",IF(HostBuild[Use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5" s="553">
        <f>IFERROR(IF(FIND(DG$1,$W35)&gt;0,IF(INDEX(Product_Pricing_Table[],MATCH(DG$1,Products,0),2)="Cores",IF(HostBuild[Use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5" s="552">
        <f>IFERROR(IF(FIND(DH$1,$W35)&gt;0,IF(INDEX(Product_Pricing_Table[],MATCH(DH$1,Products,0),2)="Cores",IF(HostBuild[Use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5" s="553">
        <f>IFERROR(IF(FIND(DI$1,$W35)&gt;0,IF(INDEX(Product_Pricing_Table[],MATCH(DI$1,Products,0),2)="Cores",IF(HostBuild[Use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5" s="552">
        <f>IFERROR(IF(FIND(DJ$1,$W35)&gt;0,IF(INDEX(Product_Pricing_Table[],MATCH(DJ$1,Products,0),2)="Cores",IF(HostBuild[Use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5" s="552">
        <f>IFERROR(IF(FIND(DK$1,$W35)&gt;0,IF(INDEX(Product_Pricing_Table[],MATCH(DK$1,Products,0),2)="Cores",IF(HostBuild[Use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5" s="552">
        <f>IFERROR(IF(FIND(DL$1,$W35)&gt;0,IF(INDEX(Product_Pricing_Table[],MATCH(DL$1,Products,0),2)="Cores",IF(HostBuild[Use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5" s="552">
        <f>IFERROR(IF(FIND(DM$1,$W35)&gt;0,IF(INDEX(Product_Pricing_Table[],MATCH(DM$1,Products,0),2)="Cores",IF(HostBuild[Use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5" s="552">
        <f>IFERROR(IF(FIND(DN$1,$W35)&gt;0,IF(INDEX(Product_Pricing_Table[],MATCH(DN$1,Products,0),2)="Cores",IF(HostBuild[Use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5" s="552">
        <f>IFERROR(IF(FIND(DO$1,$W35)&gt;0,IF(INDEX(Product_Pricing_Table[],MATCH(DO$1,Products,0),2)="Cores",IF(HostBuild[Use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5" s="552">
        <f>IFERROR(IF(FIND(DP$1,$W35)&gt;0,IF(INDEX(Product_Pricing_Table[],MATCH(DP$1,Products,0),2)="Cores",IF(HostBuild[Use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5" s="552">
        <f>IFERROR(IF(FIND(DQ$1,$W35)&gt;0,IF(INDEX(Product_Pricing_Table[],MATCH(DQ$1,Products,0),2)="Cores",IF(HostBuild[Use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5" s="552">
        <f>IFERROR(IF(FIND(DR$1,$W35)&gt;0,IF(INDEX(Product_Pricing_Table[],MATCH(DR$1,Products,0),2)="Cores",IF(HostBuild[Use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5" s="552">
        <f>IFERROR(IF(FIND(DS$1,$W35)&gt;0,IF(INDEX(Product_Pricing_Table[],MATCH(DS$1,Products,0),2)="Cores",IF(HostBuild[Use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5" s="552">
        <f>IFERROR(IF(FIND(DT$1,$W35)&gt;0,IF(INDEX(Product_Pricing_Table[],MATCH(DT$1,Products,0),2)="Cores",IF(HostBuild[Use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5" s="552">
        <f>IFERROR(IF(FIND(DU$1,$W35)&gt;0,IF(INDEX(Product_Pricing_Table[],MATCH(DU$1,Products,0),2)="Cores",IF(HostBuild[Use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5" s="552">
        <f>IFERROR(IF(FIND(DV$1,$W35)&gt;0,IF(INDEX(Product_Pricing_Table[],MATCH(DV$1,Products,0),2)="Cores",IF(HostBuild[Use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5" s="552">
        <f>IFERROR(IF(FIND(DW$1,$W35)&gt;0,IF(INDEX(Product_Pricing_Table[],MATCH(DW$1,Products,0),2)="Cores",IF(HostBuild[Use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5" s="552">
        <f>IFERROR(IF(FIND(DX$1,$W35)&gt;0,IF(INDEX(Product_Pricing_Table[],MATCH(DX$1,Products,0),2)="Cores",IF(HostBuild[Use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5" s="552">
        <f>IFERROR(IF(FIND(DY$1,$W35)&gt;0,IF(INDEX(Product_Pricing_Table[],MATCH(DY$1,Products,0),2)="Cores",IF(HostBuild[Use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5" s="552">
        <f>IFERROR(IF(FIND(DZ$1,$W35)&gt;0,IF(INDEX(Product_Pricing_Table[],MATCH(DZ$1,Products,0),2)="Cores",IF(HostBuild[Use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5" s="552">
        <f>IFERROR(IF(FIND(EA$1,$W35)&gt;0,IF(INDEX(Product_Pricing_Table[],MATCH(EA$1,Products,0),2)="Cores",IF(HostBuild[Use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5" s="552">
        <f>IFERROR(IF(FIND(EB$1,$W35)&gt;0,IF(INDEX(Product_Pricing_Table[],MATCH(EB$1,Products,0),2)="Cores",IF(HostBuild[Use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5" s="553">
        <f>IFERROR(IF(FIND(EC$1,$W35)&gt;0,IF(INDEX(Product_Pricing_Table[],MATCH(EC$1,Products,0),2)="Cores",IF(HostBuild[Use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5" s="552">
        <f>IFERROR(IF(FIND(ED$1,$W35)&gt;0,IF(INDEX(Product_Pricing_Table[],MATCH(ED$1,Products,0),2)="Cores",IF(HostBuild[Use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5" s="552">
        <f>IFERROR(IF(FIND(EE$1,$W35)&gt;0,IF(INDEX(Product_Pricing_Table[],MATCH(EE$1,Products,0),2)="Cores",IF(HostBuild[Use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5" s="552">
        <f>IFERROR(IF(FIND(EF$1,$W35)&gt;0,IF(INDEX(Product_Pricing_Table[],MATCH(EF$1,Products,0),2)="Cores",IF(HostBuild[Use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5" s="552">
        <f>IFERROR(IF(FIND(EG$1,$W35)&gt;0,IF(INDEX(Product_Pricing_Table[],MATCH(EG$1,Products,0),2)="Cores",IF(HostBuild[Use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5" s="552">
        <f>IFERROR(IF(FIND(EH$1,$W35)&gt;0,IF(INDEX(Product_Pricing_Table[],MATCH(EH$1,Products,0),2)="Cores",IF(HostBuild[Use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5" s="552">
        <f>IFERROR(IF(FIND(EI$1,$W35)&gt;0,IF(INDEX(Product_Pricing_Table[],MATCH(EI$1,Products,0),2)="Cores",IF(HostBuild[Use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5" s="552">
        <f>IFERROR(IF(FIND(EJ$1,$W35)&gt;0,IF(INDEX(Product_Pricing_Table[],MATCH(EJ$1,Products,0),2)="Cores",IF(HostBuild[Use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5" s="553">
        <f>IFERROR(IF(FIND(EK$1,$W35)&gt;0,IF(INDEX(Product_Pricing_Table[],MATCH(EK$1,Products,0),2)="Cores",IF(HostBuild[Use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5" s="554"/>
      <c r="EM35" s="555"/>
      <c r="EN35" s="556"/>
      <c r="EO3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5" s="558">
        <f>(HostBuild[Archive
Full (GB)]+HostBuild[Archive
Incr (GB)])*Storage_DC_Dist_Tape_2014</f>
        <v>0</v>
      </c>
      <c r="ER35" s="558">
        <f>IF(ISNUMBER(HostBuild[Server HW Costs
(Monthly)]),SUM(HostBuild[[#This Row],[Server HW Costs
(Monthly)]:[Tape Costs
(Monthly)]]),0)</f>
        <v>0</v>
      </c>
      <c r="ES35" s="559">
        <f>HostBuild[Software Costs
'[Year 1']
(Monthly)]+HostBuild[Total Hardware Costs
(Monthly)]</f>
        <v>0</v>
      </c>
      <c r="ET35" s="559">
        <f>IFERROR(IF(FIND("Safenet",HostBuild[Server Model]),Safenet_PSE_PL600_Maint,0),0)+IFERROR(IF(FIND("XI52",HostBuild[Server Model]),IBM_DIA_XI52_Maint,0),0)+HostBuild[Software Costs
'[After Year 1']
(Monthly)]+HostBuild[Total Hardware Costs
(Monthly)]</f>
        <v>0</v>
      </c>
      <c r="EU35" s="560">
        <f>SUM(HostBuild[[#This Row],[Server Cost Breakdown]:[Network Cost]])</f>
        <v>0</v>
      </c>
      <c r="EV35" s="561">
        <f>IF(HostBuild[Existing Server?]="Yes - Inside this BoM",0,SUMIF(HostBuild[Alias],HostBuild[Alias],HostBuild[CPU])+SUMIF(HostBuild[Alias],HostBuild[Alias],HostBuild[Existing CPUs]))</f>
        <v>0</v>
      </c>
      <c r="EW35" s="561">
        <f>IF(HostBuild[Existing Server?]="Yes - Inside this BoM",0,SUMIF(HostBuild[Alias],HostBuild[Alias],HostBuild[Cores 
(Licensed Units)])+SUMIF(HostBuild[Alias],HostBuild[Alias],HostBuild[Existing Cores]))</f>
        <v>0</v>
      </c>
      <c r="EX35" s="561">
        <f>IF(HostBuild[Existing Server?]="Yes - Inside this BoM",0,SUMIF(HostBuild[Alias],HostBuild[Alias],HostBuild[RAM 
(GB)])+SUMIF(HostBuild[Alias],HostBuild[Alias],HostBuild[Existing RAM (GB)]))</f>
        <v>0</v>
      </c>
      <c r="EY3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5" s="560">
        <f>IF(ISBLANK(HostBuild[Server Model]),0,IF(HostBuild[Server Tier]="VMware",0,VLOOKUP(HostBuild[Server Tier],ServerTierRates[#Data],2,0))*HostBuild[CPU]*IF(AND(HostBuild[Server Type]="pSeries",HostBuild[Virtual Platform Storage Type]="Cloud-SAN"),0.25,1))</f>
        <v>0</v>
      </c>
      <c r="FD35" s="560">
        <f>0</f>
        <v>0</v>
      </c>
      <c r="FE35" s="560">
        <f>IF(HostBuild[Server Type]="VMware",HostBuild[RAM 
(GB)]*IF(ISERROR(FIND("DevCloud", HostBuild[Server Model])&gt;0),vRAM_per_vCPU_2014_Monthly,vRAM_per_vCPU_2014_Daily*30),0)</f>
        <v>0</v>
      </c>
      <c r="FF3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5" s="563">
        <f>IF(HostBuild[Server Tier]="VMware",0,IF(LEFT(HostBuild[Existing Server?],3)="Yes",0,IF(OR(HostBuild[Server Type]="Sun",HostBuild[Server Type]="pSeries"),Support_Direct_Server_Sun_per_OS_2014,IF(HostBuild[Server Type]="x86",Support_Direct_Server_x86_Wintel_per_OS_2014,0))))</f>
        <v>0</v>
      </c>
      <c r="FI3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6" spans="1:165" s="262" customFormat="1" ht="15.75" customHeight="1">
      <c r="A36" s="360" t="s">
        <v>3942</v>
      </c>
      <c r="B36" s="521"/>
      <c r="C36" s="521"/>
      <c r="D36" s="521"/>
      <c r="E36" s="522"/>
      <c r="F36" s="522"/>
      <c r="G36" s="597"/>
      <c r="H36" s="597"/>
      <c r="I36" s="523"/>
      <c r="J36" s="522"/>
      <c r="K36" s="522"/>
      <c r="L36" s="522"/>
      <c r="M36" s="597" t="e">
        <f ca="1">IF(rngIsDate(HostBuild[CTO Acceptance]),"Y","N")</f>
        <v>#NAME?</v>
      </c>
      <c r="N36" s="361" t="s">
        <v>3938</v>
      </c>
      <c r="O36" s="525"/>
      <c r="P36" s="525"/>
      <c r="Q36" s="361" t="s">
        <v>3992</v>
      </c>
      <c r="R36" s="526" t="str">
        <f>IF(NOT(ISBLANK(HostBuild[Env Label])),IFERROR(VLOOKUP(HostBuild[Env Label],tEnv[],3,FALSE),""),"")</f>
        <v>PROD</v>
      </c>
      <c r="S36" s="598"/>
      <c r="T36" s="527"/>
      <c r="U36" s="599"/>
      <c r="V36" s="524" t="s">
        <v>4007</v>
      </c>
      <c r="W36" s="524" t="s">
        <v>3941</v>
      </c>
      <c r="X36" s="524" t="s">
        <v>35</v>
      </c>
      <c r="Y36" s="361" t="s">
        <v>481</v>
      </c>
      <c r="Z36" s="526" t="str">
        <f>IF(NOT(ISBLANK(HostBuild[[#This Row],[Product 
(Acronym)]])),CONCATENATE(HostBuild[[#This Row],[Type]],"-",HostBuild[[#This Row],[Product 
(Acronym)]]),"")</f>
        <v>AP-ESB</v>
      </c>
      <c r="AA36" s="600"/>
      <c r="AB36" s="600" t="s">
        <v>3985</v>
      </c>
      <c r="AC36" s="528"/>
      <c r="AD36" s="529"/>
      <c r="AE36" s="529"/>
      <c r="AF36" s="530" t="s">
        <v>3986</v>
      </c>
      <c r="AG36" s="531"/>
      <c r="AH36" s="601"/>
      <c r="AI36" s="362" t="s">
        <v>4011</v>
      </c>
      <c r="AJ36" s="524">
        <f>IF(COUNTIF(HostBuild[Alias],HostBuild[Alias]),1/COUNTIF(HostBuild[Alias],HostBuild[Alias]),0)</f>
        <v>1</v>
      </c>
      <c r="AK36" s="531"/>
      <c r="AL36" s="531"/>
      <c r="AM36" s="532" t="s">
        <v>2173</v>
      </c>
      <c r="AN36" s="533" t="str">
        <f>IF(NOT(ISBLANK(HostBuild[Server Model])),VLOOKUP(HostBuild[Server Model],ServerModelsTier[],2,FALSE),"")</f>
        <v>x86 Tier 3</v>
      </c>
      <c r="AO36" s="533" t="str">
        <f>IF(NOT(ISBLANK(HostBuild[Server Model])),VLOOKUP(HostBuild[Server Model],ServerModelsTier[],5,FALSE),"")</f>
        <v>x86</v>
      </c>
      <c r="AP36" s="532"/>
      <c r="AQ36" s="532" t="s">
        <v>2337</v>
      </c>
      <c r="AR36" s="534"/>
      <c r="AS36" s="602"/>
      <c r="AT36" s="535"/>
      <c r="AU36" s="603" t="str">
        <f>IF(IFERROR(FIND("P-Series",HostBuild[Server Tier]),0),CEILING((HostBuild[Existing CPUs]+HostBuild[CPU])*16,8),"")</f>
        <v/>
      </c>
      <c r="AV36" s="536"/>
      <c r="AW36" s="531"/>
      <c r="AX36" s="531"/>
      <c r="AY36" s="531"/>
      <c r="AZ36" s="537"/>
      <c r="BA36" s="531"/>
      <c r="BB36" s="531"/>
      <c r="BC36" s="529"/>
      <c r="BD36" s="531"/>
      <c r="BE36" s="531"/>
      <c r="BF36" s="531"/>
      <c r="BG36" s="531"/>
      <c r="BH36" s="531"/>
      <c r="BI36" s="531"/>
      <c r="BJ36" s="531"/>
      <c r="BK36"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6" s="538"/>
      <c r="BM36" s="540">
        <f>IF(ISNUMBER(HostBuild[Recommended SAN (GB)]),HostBuild[Recommended SAN (GB)])+IF(HostBuild[Additional SAN (GB)]&gt;0,CEILING(HostBuild[Additional SAN (GB)],LUN),-(CEILING(-HostBuild[Additional SAN (GB)],LUN)))</f>
        <v>0</v>
      </c>
      <c r="BN36" s="539"/>
      <c r="BO36" s="540">
        <f>HostBuild[SAN (GB)
NEEDED TODAY]+CEILING(HostBuild[SAN (GB)
RESERVED
DO NOT USE TO BUILD], LUN)</f>
        <v>0</v>
      </c>
      <c r="BP36" s="541"/>
      <c r="BQ36" s="542"/>
      <c r="BR36" s="432"/>
      <c r="BS36" s="605">
        <f>IF(HostBuild[Existing Server?]&lt;&gt;"Yes - Inside this BoM",IF(ISNUMBER(HostBuild[RAM 
(GB)]),IF(HostBuild[Existing RAM (GB)]+HostBuild[RAM 
(GB)]&gt;0,IF(HostBuild[Virtual Platform Storage Type]="NAS",110+HostBuild[Existing RAM (GB)]+HostBuild[RAM 
(GB)]*1.75,0),0),0),0)</f>
        <v>0</v>
      </c>
      <c r="BT36" s="606"/>
      <c r="BU36" s="607">
        <f>IF(ISNUMBER(HostBuild[Recommended NAS (GB)]),HostBuild[Recommended NAS (GB)])+HostBuild[Additional NAS (GB)]</f>
        <v>0</v>
      </c>
      <c r="BV36" s="543"/>
      <c r="BW36" s="543"/>
      <c r="BX36" s="604">
        <f>IFERROR((HostBuild[SAN (GB)
End-State
DO NOT USE TO BUILD]+HostBuild[SAN (GB) Shared])*25%,"")</f>
        <v>0</v>
      </c>
      <c r="BY36" s="608">
        <f>IFERROR(HostBuild[Archive
Full (GB)]*15%,"")</f>
        <v>0</v>
      </c>
      <c r="BZ36" s="544"/>
      <c r="CA36" s="544"/>
      <c r="CB36" s="545"/>
      <c r="CC36" s="546"/>
      <c r="CD36" s="545"/>
      <c r="CE36" s="547"/>
      <c r="CF36" s="539"/>
      <c r="CG36" s="609"/>
      <c r="CH36" s="548"/>
      <c r="CI36" s="549"/>
      <c r="CJ36" s="550"/>
      <c r="CK36" s="551"/>
      <c r="CL36" s="552">
        <f>IFERROR(IF(FIND(CL$1,$W36)&gt;0,IF(INDEX(Product_Pricing_Table[],MATCH(CL$1,Products,0),2)="Cores",IF(HostBuild[Use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6" s="552">
        <f>IFERROR(IF(FIND(CM$1,$W36)&gt;0,IF(INDEX(Product_Pricing_Table[],MATCH(CM$1,Products,0),2)="Cores",IF(HostBuild[Use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6" s="552">
        <f>IFERROR(IF(FIND(CN$1,$W36)&gt;0,IF(INDEX(Product_Pricing_Table[],MATCH(CN$1,Products,0),2)="Cores",IF(HostBuild[Use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6" s="552">
        <f>IFERROR(IF(FIND(CO$1,$W36)&gt;0,IF(INDEX(Product_Pricing_Table[],MATCH(CO$1,Products,0),2)="Cores",IF(HostBuild[Use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6" s="552">
        <f>IFERROR(IF(FIND(CP$1,$W36)&gt;0,IF(INDEX(Product_Pricing_Table[],MATCH(CP$1,Products,0),2)="Cores",IF(HostBuild[Use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6" s="552">
        <f>IFERROR(IF(FIND(CQ$1,$W36)&gt;0,IF(INDEX(Product_Pricing_Table[],MATCH(CQ$1,Products,0),2)="Cores",IF(HostBuild[Use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6" s="552">
        <f>IFERROR(IF(FIND(CR$1,$W36)&gt;0,IF(INDEX(Product_Pricing_Table[],MATCH(CR$1,Products,0),2)="Cores",IF(HostBuild[Use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6" s="552">
        <f>IFERROR(IF(FIND(CS$1,$W36)&gt;0,IF(INDEX(Product_Pricing_Table[],MATCH(CS$1,Products,0),2)="Cores",IF(HostBuild[Use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6" s="552">
        <f>IFERROR(IF(FIND(CT$1,$W36)&gt;0,IF(INDEX(Product_Pricing_Table[],MATCH(CT$1,Products,0),2)="Cores",IF(HostBuild[Use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6" s="552">
        <f>IFERROR(IF(FIND(CU$1,$W36)&gt;0,IF(INDEX(Product_Pricing_Table[],MATCH(CU$1,Products,0),2)="Cores",IF(HostBuild[Use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6" s="552">
        <f>IFERROR(IF(FIND(CV$1,$W36)&gt;0,IF(INDEX(Product_Pricing_Table[],MATCH(CV$1,Products,0),2)="Cores",IF(HostBuild[Use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6" s="552">
        <f>IFERROR(IF(FIND(CW$1,$W36)&gt;0,IF(INDEX(Product_Pricing_Table[],MATCH(CW$1,Products,0),2)="Cores",IF(HostBuild[Use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6" s="552">
        <f>IFERROR(IF(FIND(CX$1,$W36)&gt;0,IF(INDEX(Product_Pricing_Table[],MATCH(CX$1,Products,0),2)="Cores",IF(HostBuild[Use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6" s="552">
        <f>IFERROR(IF(FIND(CY$1,$W36)&gt;0,IF(INDEX(Product_Pricing_Table[],MATCH(CY$1,Products,0),2)="Cores",IF(HostBuild[Use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6" s="552">
        <f>IFERROR(IF(FIND(CZ$1,$W36)&gt;0,IF(INDEX(Product_Pricing_Table[],MATCH(CZ$1,Products,0),2)="Cores",IF(HostBuild[Use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6" s="552">
        <f>IFERROR(IF(FIND(DA$1,$W36)&gt;0,IF(INDEX(Product_Pricing_Table[],MATCH(DA$1,Products,0),2)="Cores",IF(HostBuild[Use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6" s="552">
        <f>IFERROR(IF(FIND(DB$1,$W36)&gt;0,IF(INDEX(Product_Pricing_Table[],MATCH(DB$1,Products,0),2)="Cores",IF(HostBuild[Use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6" s="552">
        <f>IFERROR(IF(FIND(DC$1,$W36)&gt;0,IF(INDEX(Product_Pricing_Table[],MATCH(DC$1,Products,0),2)="Cores",IF(HostBuild[Use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6" s="552">
        <f>IFERROR(IF(FIND(DD$1,$W36)&gt;0,IF(INDEX(Product_Pricing_Table[],MATCH(DD$1,Products,0),2)="Cores",IF(HostBuild[Use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6" s="552">
        <f>IFERROR(IF(FIND(DE$1,$W36)&gt;0,IF(INDEX(Product_Pricing_Table[],MATCH(DE$1,Products,0),2)="Cores",IF(HostBuild[Use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6" s="553">
        <f>IFERROR(IF(FIND(DF$1,$W36)&gt;0,IF(INDEX(Product_Pricing_Table[],MATCH(DF$1,Products,0),2)="Cores",IF(HostBuild[Use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6" s="553">
        <f>IFERROR(IF(FIND(DG$1,$W36)&gt;0,IF(INDEX(Product_Pricing_Table[],MATCH(DG$1,Products,0),2)="Cores",IF(HostBuild[Use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6" s="552">
        <f>IFERROR(IF(FIND(DH$1,$W36)&gt;0,IF(INDEX(Product_Pricing_Table[],MATCH(DH$1,Products,0),2)="Cores",IF(HostBuild[Use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6" s="553">
        <f>IFERROR(IF(FIND(DI$1,$W36)&gt;0,IF(INDEX(Product_Pricing_Table[],MATCH(DI$1,Products,0),2)="Cores",IF(HostBuild[Use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6" s="552">
        <f>IFERROR(IF(FIND(DJ$1,$W36)&gt;0,IF(INDEX(Product_Pricing_Table[],MATCH(DJ$1,Products,0),2)="Cores",IF(HostBuild[Use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6" s="552">
        <f>IFERROR(IF(FIND(DK$1,$W36)&gt;0,IF(INDEX(Product_Pricing_Table[],MATCH(DK$1,Products,0),2)="Cores",IF(HostBuild[Use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6" s="552">
        <f>IFERROR(IF(FIND(DL$1,$W36)&gt;0,IF(INDEX(Product_Pricing_Table[],MATCH(DL$1,Products,0),2)="Cores",IF(HostBuild[Use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6" s="552">
        <f>IFERROR(IF(FIND(DM$1,$W36)&gt;0,IF(INDEX(Product_Pricing_Table[],MATCH(DM$1,Products,0),2)="Cores",IF(HostBuild[Use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6" s="552">
        <f>IFERROR(IF(FIND(DN$1,$W36)&gt;0,IF(INDEX(Product_Pricing_Table[],MATCH(DN$1,Products,0),2)="Cores",IF(HostBuild[Use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6" s="552">
        <f>IFERROR(IF(FIND(DO$1,$W36)&gt;0,IF(INDEX(Product_Pricing_Table[],MATCH(DO$1,Products,0),2)="Cores",IF(HostBuild[Use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6" s="552">
        <f>IFERROR(IF(FIND(DP$1,$W36)&gt;0,IF(INDEX(Product_Pricing_Table[],MATCH(DP$1,Products,0),2)="Cores",IF(HostBuild[Use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6" s="552">
        <f>IFERROR(IF(FIND(DQ$1,$W36)&gt;0,IF(INDEX(Product_Pricing_Table[],MATCH(DQ$1,Products,0),2)="Cores",IF(HostBuild[Use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6" s="552">
        <f>IFERROR(IF(FIND(DR$1,$W36)&gt;0,IF(INDEX(Product_Pricing_Table[],MATCH(DR$1,Products,0),2)="Cores",IF(HostBuild[Use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6" s="552">
        <f>IFERROR(IF(FIND(DS$1,$W36)&gt;0,IF(INDEX(Product_Pricing_Table[],MATCH(DS$1,Products,0),2)="Cores",IF(HostBuild[Use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6" s="552">
        <f>IFERROR(IF(FIND(DT$1,$W36)&gt;0,IF(INDEX(Product_Pricing_Table[],MATCH(DT$1,Products,0),2)="Cores",IF(HostBuild[Use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6" s="552">
        <f>IFERROR(IF(FIND(DU$1,$W36)&gt;0,IF(INDEX(Product_Pricing_Table[],MATCH(DU$1,Products,0),2)="Cores",IF(HostBuild[Use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6" s="552">
        <f>IFERROR(IF(FIND(DV$1,$W36)&gt;0,IF(INDEX(Product_Pricing_Table[],MATCH(DV$1,Products,0),2)="Cores",IF(HostBuild[Use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6" s="552">
        <f>IFERROR(IF(FIND(DW$1,$W36)&gt;0,IF(INDEX(Product_Pricing_Table[],MATCH(DW$1,Products,0),2)="Cores",IF(HostBuild[Use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6" s="552">
        <f>IFERROR(IF(FIND(DX$1,$W36)&gt;0,IF(INDEX(Product_Pricing_Table[],MATCH(DX$1,Products,0),2)="Cores",IF(HostBuild[Use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6" s="552">
        <f>IFERROR(IF(FIND(DY$1,$W36)&gt;0,IF(INDEX(Product_Pricing_Table[],MATCH(DY$1,Products,0),2)="Cores",IF(HostBuild[Use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6" s="552">
        <f>IFERROR(IF(FIND(DZ$1,$W36)&gt;0,IF(INDEX(Product_Pricing_Table[],MATCH(DZ$1,Products,0),2)="Cores",IF(HostBuild[Use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6" s="552">
        <f>IFERROR(IF(FIND(EA$1,$W36)&gt;0,IF(INDEX(Product_Pricing_Table[],MATCH(EA$1,Products,0),2)="Cores",IF(HostBuild[Use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6" s="552">
        <f>IFERROR(IF(FIND(EB$1,$W36)&gt;0,IF(INDEX(Product_Pricing_Table[],MATCH(EB$1,Products,0),2)="Cores",IF(HostBuild[Use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6" s="553">
        <f>IFERROR(IF(FIND(EC$1,$W36)&gt;0,IF(INDEX(Product_Pricing_Table[],MATCH(EC$1,Products,0),2)="Cores",IF(HostBuild[Use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6" s="552">
        <f>IFERROR(IF(FIND(ED$1,$W36)&gt;0,IF(INDEX(Product_Pricing_Table[],MATCH(ED$1,Products,0),2)="Cores",IF(HostBuild[Use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6" s="552">
        <f>IFERROR(IF(FIND(EE$1,$W36)&gt;0,IF(INDEX(Product_Pricing_Table[],MATCH(EE$1,Products,0),2)="Cores",IF(HostBuild[Use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6" s="552">
        <f>IFERROR(IF(FIND(EF$1,$W36)&gt;0,IF(INDEX(Product_Pricing_Table[],MATCH(EF$1,Products,0),2)="Cores",IF(HostBuild[Use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6" s="552">
        <f>IFERROR(IF(FIND(EG$1,$W36)&gt;0,IF(INDEX(Product_Pricing_Table[],MATCH(EG$1,Products,0),2)="Cores",IF(HostBuild[Use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6" s="552">
        <f>IFERROR(IF(FIND(EH$1,$W36)&gt;0,IF(INDEX(Product_Pricing_Table[],MATCH(EH$1,Products,0),2)="Cores",IF(HostBuild[Use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6" s="552">
        <f>IFERROR(IF(FIND(EI$1,$W36)&gt;0,IF(INDEX(Product_Pricing_Table[],MATCH(EI$1,Products,0),2)="Cores",IF(HostBuild[Use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6" s="552">
        <f>IFERROR(IF(FIND(EJ$1,$W36)&gt;0,IF(INDEX(Product_Pricing_Table[],MATCH(EJ$1,Products,0),2)="Cores",IF(HostBuild[Use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6" s="553">
        <f>IFERROR(IF(FIND(EK$1,$W36)&gt;0,IF(INDEX(Product_Pricing_Table[],MATCH(EK$1,Products,0),2)="Cores",IF(HostBuild[Use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6" s="554"/>
      <c r="EM36" s="555"/>
      <c r="EN36" s="556"/>
      <c r="EO3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6" s="558">
        <f>(HostBuild[Archive
Full (GB)]+HostBuild[Archive
Incr (GB)])*Storage_DC_Dist_Tape_2014</f>
        <v>0</v>
      </c>
      <c r="ER36" s="558">
        <f>IF(ISNUMBER(HostBuild[Server HW Costs
(Monthly)]),SUM(HostBuild[[#This Row],[Server HW Costs
(Monthly)]:[Tape Costs
(Monthly)]]),0)</f>
        <v>0</v>
      </c>
      <c r="ES36" s="559">
        <f>HostBuild[Software Costs
'[Year 1']
(Monthly)]+HostBuild[Total Hardware Costs
(Monthly)]</f>
        <v>0</v>
      </c>
      <c r="ET36" s="559">
        <f>IFERROR(IF(FIND("Safenet",HostBuild[Server Model]),Safenet_PSE_PL600_Maint,0),0)+IFERROR(IF(FIND("XI52",HostBuild[Server Model]),IBM_DIA_XI52_Maint,0),0)+HostBuild[Software Costs
'[After Year 1']
(Monthly)]+HostBuild[Total Hardware Costs
(Monthly)]</f>
        <v>0</v>
      </c>
      <c r="EU36" s="560">
        <f>SUM(HostBuild[[#This Row],[Server Cost Breakdown]:[Network Cost]])</f>
        <v>0</v>
      </c>
      <c r="EV36" s="561">
        <f>IF(HostBuild[Existing Server?]="Yes - Inside this BoM",0,SUMIF(HostBuild[Alias],HostBuild[Alias],HostBuild[CPU])+SUMIF(HostBuild[Alias],HostBuild[Alias],HostBuild[Existing CPUs]))</f>
        <v>0</v>
      </c>
      <c r="EW36" s="561">
        <f>IF(HostBuild[Existing Server?]="Yes - Inside this BoM",0,SUMIF(HostBuild[Alias],HostBuild[Alias],HostBuild[Cores 
(Licensed Units)])+SUMIF(HostBuild[Alias],HostBuild[Alias],HostBuild[Existing Cores]))</f>
        <v>0</v>
      </c>
      <c r="EX36" s="561">
        <f>IF(HostBuild[Existing Server?]="Yes - Inside this BoM",0,SUMIF(HostBuild[Alias],HostBuild[Alias],HostBuild[RAM 
(GB)])+SUMIF(HostBuild[Alias],HostBuild[Alias],HostBuild[Existing RAM (GB)]))</f>
        <v>0</v>
      </c>
      <c r="EY3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6" s="560">
        <f>IF(ISBLANK(HostBuild[Server Model]),0,IF(HostBuild[Server Tier]="VMware",0,VLOOKUP(HostBuild[Server Tier],ServerTierRates[#Data],2,0))*HostBuild[CPU]*IF(AND(HostBuild[Server Type]="pSeries",HostBuild[Virtual Platform Storage Type]="Cloud-SAN"),0.25,1))</f>
        <v>0</v>
      </c>
      <c r="FD36" s="560">
        <f>0</f>
        <v>0</v>
      </c>
      <c r="FE36" s="560">
        <f>IF(HostBuild[Server Type]="VMware",HostBuild[RAM 
(GB)]*IF(ISERROR(FIND("DevCloud", HostBuild[Server Model])&gt;0),vRAM_per_vCPU_2014_Monthly,vRAM_per_vCPU_2014_Daily*30),0)</f>
        <v>0</v>
      </c>
      <c r="FF3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6" s="563">
        <f>IF(HostBuild[Server Tier]="VMware",0,IF(LEFT(HostBuild[Existing Server?],3)="Yes",0,IF(OR(HostBuild[Server Type]="Sun",HostBuild[Server Type]="pSeries"),Support_Direct_Server_Sun_per_OS_2014,IF(HostBuild[Server Type]="x86",Support_Direct_Server_x86_Wintel_per_OS_2014,0))))</f>
        <v>0</v>
      </c>
      <c r="FI3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7" spans="1:165" s="262" customFormat="1">
      <c r="A37" s="360" t="s">
        <v>3942</v>
      </c>
      <c r="B37" s="521"/>
      <c r="C37" s="521"/>
      <c r="D37" s="521"/>
      <c r="E37" s="522"/>
      <c r="F37" s="522"/>
      <c r="G37" s="597"/>
      <c r="H37" s="597"/>
      <c r="I37" s="523"/>
      <c r="J37" s="522"/>
      <c r="K37" s="522"/>
      <c r="L37" s="522"/>
      <c r="M37" s="597" t="e">
        <f ca="1">IF(rngIsDate(HostBuild[CTO Acceptance]),"Y","N")</f>
        <v>#NAME?</v>
      </c>
      <c r="N37" s="361" t="s">
        <v>3938</v>
      </c>
      <c r="O37" s="525"/>
      <c r="P37" s="525"/>
      <c r="Q37" s="361" t="s">
        <v>3992</v>
      </c>
      <c r="R37" s="526" t="str">
        <f>IF(NOT(ISBLANK(HostBuild[Env Label])),IFERROR(VLOOKUP(HostBuild[Env Label],tEnv[],3,FALSE),""),"")</f>
        <v>PROD</v>
      </c>
      <c r="S37" s="598"/>
      <c r="T37" s="527"/>
      <c r="U37" s="599"/>
      <c r="V37" s="524" t="s">
        <v>4007</v>
      </c>
      <c r="W37" s="524" t="s">
        <v>3941</v>
      </c>
      <c r="X37" s="524" t="s">
        <v>35</v>
      </c>
      <c r="Y37" s="361" t="s">
        <v>481</v>
      </c>
      <c r="Z37" s="526" t="str">
        <f>IF(NOT(ISBLANK(HostBuild[[#This Row],[Product 
(Acronym)]])),CONCATENATE(HostBuild[[#This Row],[Type]],"-",HostBuild[[#This Row],[Product 
(Acronym)]]),"")</f>
        <v>AP-ESB</v>
      </c>
      <c r="AA37" s="600"/>
      <c r="AB37" s="600" t="s">
        <v>3985</v>
      </c>
      <c r="AC37" s="528"/>
      <c r="AD37" s="529"/>
      <c r="AE37" s="529"/>
      <c r="AF37" s="530" t="s">
        <v>3986</v>
      </c>
      <c r="AG37" s="531"/>
      <c r="AH37" s="601"/>
      <c r="AI37" s="362" t="s">
        <v>4129</v>
      </c>
      <c r="AJ37" s="524">
        <f>IF(COUNTIF(HostBuild[Alias],HostBuild[Alias]),1/COUNTIF(HostBuild[Alias],HostBuild[Alias]),0)</f>
        <v>1</v>
      </c>
      <c r="AK37" s="531"/>
      <c r="AL37" s="531"/>
      <c r="AM37" s="532" t="s">
        <v>2173</v>
      </c>
      <c r="AN37" s="533" t="str">
        <f>IF(NOT(ISBLANK(HostBuild[Server Model])),VLOOKUP(HostBuild[Server Model],ServerModelsTier[],2,FALSE),"")</f>
        <v>x86 Tier 3</v>
      </c>
      <c r="AO37" s="533" t="str">
        <f>IF(NOT(ISBLANK(HostBuild[Server Model])),VLOOKUP(HostBuild[Server Model],ServerModelsTier[],5,FALSE),"")</f>
        <v>x86</v>
      </c>
      <c r="AP37" s="532"/>
      <c r="AQ37" s="532" t="s">
        <v>2337</v>
      </c>
      <c r="AR37" s="534"/>
      <c r="AS37" s="602"/>
      <c r="AT37" s="535"/>
      <c r="AU37" s="603" t="str">
        <f>IF(IFERROR(FIND("P-Series",HostBuild[Server Tier]),0),CEILING((HostBuild[Existing CPUs]+HostBuild[CPU])*16,8),"")</f>
        <v/>
      </c>
      <c r="AV37" s="536"/>
      <c r="AW37" s="531"/>
      <c r="AX37" s="531"/>
      <c r="AY37" s="531"/>
      <c r="AZ37" s="537"/>
      <c r="BA37" s="531"/>
      <c r="BB37" s="531"/>
      <c r="BC37" s="529"/>
      <c r="BD37" s="531"/>
      <c r="BE37" s="531"/>
      <c r="BF37" s="531"/>
      <c r="BG37" s="531"/>
      <c r="BH37" s="531"/>
      <c r="BI37" s="531"/>
      <c r="BJ37" s="531"/>
      <c r="BK37"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7" s="538"/>
      <c r="BM37" s="540">
        <f>IF(ISNUMBER(HostBuild[Recommended SAN (GB)]),HostBuild[Recommended SAN (GB)])+IF(HostBuild[Additional SAN (GB)]&gt;0,CEILING(HostBuild[Additional SAN (GB)],LUN),-(CEILING(-HostBuild[Additional SAN (GB)],LUN)))</f>
        <v>0</v>
      </c>
      <c r="BN37" s="539"/>
      <c r="BO37" s="540">
        <f>HostBuild[SAN (GB)
NEEDED TODAY]+CEILING(HostBuild[SAN (GB)
RESERVED
DO NOT USE TO BUILD], LUN)</f>
        <v>0</v>
      </c>
      <c r="BP37" s="541"/>
      <c r="BQ37" s="542"/>
      <c r="BR37" s="432"/>
      <c r="BS37" s="605">
        <f>IF(HostBuild[Existing Server?]&lt;&gt;"Yes - Inside this BoM",IF(ISNUMBER(HostBuild[RAM 
(GB)]),IF(HostBuild[Existing RAM (GB)]+HostBuild[RAM 
(GB)]&gt;0,IF(HostBuild[Virtual Platform Storage Type]="NAS",110+HostBuild[Existing RAM (GB)]+HostBuild[RAM 
(GB)]*1.75,0),0),0),0)</f>
        <v>0</v>
      </c>
      <c r="BT37" s="606"/>
      <c r="BU37" s="607">
        <f>IF(ISNUMBER(HostBuild[Recommended NAS (GB)]),HostBuild[Recommended NAS (GB)])+HostBuild[Additional NAS (GB)]</f>
        <v>0</v>
      </c>
      <c r="BV37" s="543"/>
      <c r="BW37" s="543"/>
      <c r="BX37" s="604">
        <f>IFERROR((HostBuild[SAN (GB)
End-State
DO NOT USE TO BUILD]+HostBuild[SAN (GB) Shared])*25%,"")</f>
        <v>0</v>
      </c>
      <c r="BY37" s="608">
        <f>IFERROR(HostBuild[Archive
Full (GB)]*15%,"")</f>
        <v>0</v>
      </c>
      <c r="BZ37" s="544"/>
      <c r="CA37" s="544"/>
      <c r="CB37" s="545"/>
      <c r="CC37" s="546"/>
      <c r="CD37" s="545"/>
      <c r="CE37" s="547"/>
      <c r="CF37" s="539"/>
      <c r="CG37" s="609"/>
      <c r="CH37" s="548"/>
      <c r="CI37" s="549"/>
      <c r="CJ37" s="550"/>
      <c r="CK37" s="551"/>
      <c r="CL37" s="552">
        <f>IFERROR(IF(FIND(CL$1,$W37)&gt;0,IF(INDEX(Product_Pricing_Table[],MATCH(CL$1,Products,0),2)="Cores",IF(HostBuild[Use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7" s="552">
        <f>IFERROR(IF(FIND(CM$1,$W37)&gt;0,IF(INDEX(Product_Pricing_Table[],MATCH(CM$1,Products,0),2)="Cores",IF(HostBuild[Use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7" s="552">
        <f>IFERROR(IF(FIND(CN$1,$W37)&gt;0,IF(INDEX(Product_Pricing_Table[],MATCH(CN$1,Products,0),2)="Cores",IF(HostBuild[Use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7" s="552">
        <f>IFERROR(IF(FIND(CO$1,$W37)&gt;0,IF(INDEX(Product_Pricing_Table[],MATCH(CO$1,Products,0),2)="Cores",IF(HostBuild[Use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7" s="552">
        <f>IFERROR(IF(FIND(CP$1,$W37)&gt;0,IF(INDEX(Product_Pricing_Table[],MATCH(CP$1,Products,0),2)="Cores",IF(HostBuild[Use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7" s="552">
        <f>IFERROR(IF(FIND(CQ$1,$W37)&gt;0,IF(INDEX(Product_Pricing_Table[],MATCH(CQ$1,Products,0),2)="Cores",IF(HostBuild[Use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7" s="552">
        <f>IFERROR(IF(FIND(CR$1,$W37)&gt;0,IF(INDEX(Product_Pricing_Table[],MATCH(CR$1,Products,0),2)="Cores",IF(HostBuild[Use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7" s="552">
        <f>IFERROR(IF(FIND(CS$1,$W37)&gt;0,IF(INDEX(Product_Pricing_Table[],MATCH(CS$1,Products,0),2)="Cores",IF(HostBuild[Use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7" s="552">
        <f>IFERROR(IF(FIND(CT$1,$W37)&gt;0,IF(INDEX(Product_Pricing_Table[],MATCH(CT$1,Products,0),2)="Cores",IF(HostBuild[Use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7" s="552">
        <f>IFERROR(IF(FIND(CU$1,$W37)&gt;0,IF(INDEX(Product_Pricing_Table[],MATCH(CU$1,Products,0),2)="Cores",IF(HostBuild[Use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7" s="552">
        <f>IFERROR(IF(FIND(CV$1,$W37)&gt;0,IF(INDEX(Product_Pricing_Table[],MATCH(CV$1,Products,0),2)="Cores",IF(HostBuild[Use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7" s="552">
        <f>IFERROR(IF(FIND(CW$1,$W37)&gt;0,IF(INDEX(Product_Pricing_Table[],MATCH(CW$1,Products,0),2)="Cores",IF(HostBuild[Use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7" s="552">
        <f>IFERROR(IF(FIND(CX$1,$W37)&gt;0,IF(INDEX(Product_Pricing_Table[],MATCH(CX$1,Products,0),2)="Cores",IF(HostBuild[Use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7" s="552">
        <f>IFERROR(IF(FIND(CY$1,$W37)&gt;0,IF(INDEX(Product_Pricing_Table[],MATCH(CY$1,Products,0),2)="Cores",IF(HostBuild[Use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7" s="552">
        <f>IFERROR(IF(FIND(CZ$1,$W37)&gt;0,IF(INDEX(Product_Pricing_Table[],MATCH(CZ$1,Products,0),2)="Cores",IF(HostBuild[Use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7" s="552">
        <f>IFERROR(IF(FIND(DA$1,$W37)&gt;0,IF(INDEX(Product_Pricing_Table[],MATCH(DA$1,Products,0),2)="Cores",IF(HostBuild[Use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7" s="552">
        <f>IFERROR(IF(FIND(DB$1,$W37)&gt;0,IF(INDEX(Product_Pricing_Table[],MATCH(DB$1,Products,0),2)="Cores",IF(HostBuild[Use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7" s="552">
        <f>IFERROR(IF(FIND(DC$1,$W37)&gt;0,IF(INDEX(Product_Pricing_Table[],MATCH(DC$1,Products,0),2)="Cores",IF(HostBuild[Use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7" s="552">
        <f>IFERROR(IF(FIND(DD$1,$W37)&gt;0,IF(INDEX(Product_Pricing_Table[],MATCH(DD$1,Products,0),2)="Cores",IF(HostBuild[Use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7" s="552">
        <f>IFERROR(IF(FIND(DE$1,$W37)&gt;0,IF(INDEX(Product_Pricing_Table[],MATCH(DE$1,Products,0),2)="Cores",IF(HostBuild[Use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7" s="553">
        <f>IFERROR(IF(FIND(DF$1,$W37)&gt;0,IF(INDEX(Product_Pricing_Table[],MATCH(DF$1,Products,0),2)="Cores",IF(HostBuild[Use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7" s="553">
        <f>IFERROR(IF(FIND(DG$1,$W37)&gt;0,IF(INDEX(Product_Pricing_Table[],MATCH(DG$1,Products,0),2)="Cores",IF(HostBuild[Use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7" s="552">
        <f>IFERROR(IF(FIND(DH$1,$W37)&gt;0,IF(INDEX(Product_Pricing_Table[],MATCH(DH$1,Products,0),2)="Cores",IF(HostBuild[Use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7" s="553">
        <f>IFERROR(IF(FIND(DI$1,$W37)&gt;0,IF(INDEX(Product_Pricing_Table[],MATCH(DI$1,Products,0),2)="Cores",IF(HostBuild[Use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7" s="552">
        <f>IFERROR(IF(FIND(DJ$1,$W37)&gt;0,IF(INDEX(Product_Pricing_Table[],MATCH(DJ$1,Products,0),2)="Cores",IF(HostBuild[Use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7" s="552">
        <f>IFERROR(IF(FIND(DK$1,$W37)&gt;0,IF(INDEX(Product_Pricing_Table[],MATCH(DK$1,Products,0),2)="Cores",IF(HostBuild[Use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7" s="552">
        <f>IFERROR(IF(FIND(DL$1,$W37)&gt;0,IF(INDEX(Product_Pricing_Table[],MATCH(DL$1,Products,0),2)="Cores",IF(HostBuild[Use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7" s="552">
        <f>IFERROR(IF(FIND(DM$1,$W37)&gt;0,IF(INDEX(Product_Pricing_Table[],MATCH(DM$1,Products,0),2)="Cores",IF(HostBuild[Use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7" s="552">
        <f>IFERROR(IF(FIND(DN$1,$W37)&gt;0,IF(INDEX(Product_Pricing_Table[],MATCH(DN$1,Products,0),2)="Cores",IF(HostBuild[Use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7" s="552">
        <f>IFERROR(IF(FIND(DO$1,$W37)&gt;0,IF(INDEX(Product_Pricing_Table[],MATCH(DO$1,Products,0),2)="Cores",IF(HostBuild[Use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7" s="552">
        <f>IFERROR(IF(FIND(DP$1,$W37)&gt;0,IF(INDEX(Product_Pricing_Table[],MATCH(DP$1,Products,0),2)="Cores",IF(HostBuild[Use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7" s="552">
        <f>IFERROR(IF(FIND(DQ$1,$W37)&gt;0,IF(INDEX(Product_Pricing_Table[],MATCH(DQ$1,Products,0),2)="Cores",IF(HostBuild[Use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7" s="552">
        <f>IFERROR(IF(FIND(DR$1,$W37)&gt;0,IF(INDEX(Product_Pricing_Table[],MATCH(DR$1,Products,0),2)="Cores",IF(HostBuild[Use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7" s="552">
        <f>IFERROR(IF(FIND(DS$1,$W37)&gt;0,IF(INDEX(Product_Pricing_Table[],MATCH(DS$1,Products,0),2)="Cores",IF(HostBuild[Use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7" s="552">
        <f>IFERROR(IF(FIND(DT$1,$W37)&gt;0,IF(INDEX(Product_Pricing_Table[],MATCH(DT$1,Products,0),2)="Cores",IF(HostBuild[Use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7" s="552">
        <f>IFERROR(IF(FIND(DU$1,$W37)&gt;0,IF(INDEX(Product_Pricing_Table[],MATCH(DU$1,Products,0),2)="Cores",IF(HostBuild[Use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7" s="552">
        <f>IFERROR(IF(FIND(DV$1,$W37)&gt;0,IF(INDEX(Product_Pricing_Table[],MATCH(DV$1,Products,0),2)="Cores",IF(HostBuild[Use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7" s="552">
        <f>IFERROR(IF(FIND(DW$1,$W37)&gt;0,IF(INDEX(Product_Pricing_Table[],MATCH(DW$1,Products,0),2)="Cores",IF(HostBuild[Use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7" s="552">
        <f>IFERROR(IF(FIND(DX$1,$W37)&gt;0,IF(INDEX(Product_Pricing_Table[],MATCH(DX$1,Products,0),2)="Cores",IF(HostBuild[Use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7" s="552">
        <f>IFERROR(IF(FIND(DY$1,$W37)&gt;0,IF(INDEX(Product_Pricing_Table[],MATCH(DY$1,Products,0),2)="Cores",IF(HostBuild[Use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7" s="552">
        <f>IFERROR(IF(FIND(DZ$1,$W37)&gt;0,IF(INDEX(Product_Pricing_Table[],MATCH(DZ$1,Products,0),2)="Cores",IF(HostBuild[Use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7" s="552">
        <f>IFERROR(IF(FIND(EA$1,$W37)&gt;0,IF(INDEX(Product_Pricing_Table[],MATCH(EA$1,Products,0),2)="Cores",IF(HostBuild[Use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7" s="552">
        <f>IFERROR(IF(FIND(EB$1,$W37)&gt;0,IF(INDEX(Product_Pricing_Table[],MATCH(EB$1,Products,0),2)="Cores",IF(HostBuild[Use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7" s="553">
        <f>IFERROR(IF(FIND(EC$1,$W37)&gt;0,IF(INDEX(Product_Pricing_Table[],MATCH(EC$1,Products,0),2)="Cores",IF(HostBuild[Use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7" s="552">
        <f>IFERROR(IF(FIND(ED$1,$W37)&gt;0,IF(INDEX(Product_Pricing_Table[],MATCH(ED$1,Products,0),2)="Cores",IF(HostBuild[Use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7" s="552">
        <f>IFERROR(IF(FIND(EE$1,$W37)&gt;0,IF(INDEX(Product_Pricing_Table[],MATCH(EE$1,Products,0),2)="Cores",IF(HostBuild[Use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7" s="552">
        <f>IFERROR(IF(FIND(EF$1,$W37)&gt;0,IF(INDEX(Product_Pricing_Table[],MATCH(EF$1,Products,0),2)="Cores",IF(HostBuild[Use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7" s="552">
        <f>IFERROR(IF(FIND(EG$1,$W37)&gt;0,IF(INDEX(Product_Pricing_Table[],MATCH(EG$1,Products,0),2)="Cores",IF(HostBuild[Use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7" s="552">
        <f>IFERROR(IF(FIND(EH$1,$W37)&gt;0,IF(INDEX(Product_Pricing_Table[],MATCH(EH$1,Products,0),2)="Cores",IF(HostBuild[Use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7" s="552">
        <f>IFERROR(IF(FIND(EI$1,$W37)&gt;0,IF(INDEX(Product_Pricing_Table[],MATCH(EI$1,Products,0),2)="Cores",IF(HostBuild[Use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7" s="552">
        <f>IFERROR(IF(FIND(EJ$1,$W37)&gt;0,IF(INDEX(Product_Pricing_Table[],MATCH(EJ$1,Products,0),2)="Cores",IF(HostBuild[Use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7" s="553">
        <f>IFERROR(IF(FIND(EK$1,$W37)&gt;0,IF(INDEX(Product_Pricing_Table[],MATCH(EK$1,Products,0),2)="Cores",IF(HostBuild[Use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7" s="554"/>
      <c r="EM37" s="555"/>
      <c r="EN37" s="556"/>
      <c r="EO3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7" s="558">
        <f>(HostBuild[Archive
Full (GB)]+HostBuild[Archive
Incr (GB)])*Storage_DC_Dist_Tape_2014</f>
        <v>0</v>
      </c>
      <c r="ER37" s="558">
        <f>IF(ISNUMBER(HostBuild[Server HW Costs
(Monthly)]),SUM(HostBuild[[#This Row],[Server HW Costs
(Monthly)]:[Tape Costs
(Monthly)]]),0)</f>
        <v>0</v>
      </c>
      <c r="ES37" s="559">
        <f>HostBuild[Software Costs
'[Year 1']
(Monthly)]+HostBuild[Total Hardware Costs
(Monthly)]</f>
        <v>0</v>
      </c>
      <c r="ET37" s="559">
        <f>IFERROR(IF(FIND("Safenet",HostBuild[Server Model]),Safenet_PSE_PL600_Maint,0),0)+IFERROR(IF(FIND("XI52",HostBuild[Server Model]),IBM_DIA_XI52_Maint,0),0)+HostBuild[Software Costs
'[After Year 1']
(Monthly)]+HostBuild[Total Hardware Costs
(Monthly)]</f>
        <v>0</v>
      </c>
      <c r="EU37" s="560">
        <f>SUM(HostBuild[[#This Row],[Server Cost Breakdown]:[Network Cost]])</f>
        <v>0</v>
      </c>
      <c r="EV37" s="561">
        <f>IF(HostBuild[Existing Server?]="Yes - Inside this BoM",0,SUMIF(HostBuild[Alias],HostBuild[Alias],HostBuild[CPU])+SUMIF(HostBuild[Alias],HostBuild[Alias],HostBuild[Existing CPUs]))</f>
        <v>0</v>
      </c>
      <c r="EW37" s="561">
        <f>IF(HostBuild[Existing Server?]="Yes - Inside this BoM",0,SUMIF(HostBuild[Alias],HostBuild[Alias],HostBuild[Cores 
(Licensed Units)])+SUMIF(HostBuild[Alias],HostBuild[Alias],HostBuild[Existing Cores]))</f>
        <v>0</v>
      </c>
      <c r="EX37" s="561">
        <f>IF(HostBuild[Existing Server?]="Yes - Inside this BoM",0,SUMIF(HostBuild[Alias],HostBuild[Alias],HostBuild[RAM 
(GB)])+SUMIF(HostBuild[Alias],HostBuild[Alias],HostBuild[Existing RAM (GB)]))</f>
        <v>0</v>
      </c>
      <c r="EY3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7" s="560">
        <f>IF(ISBLANK(HostBuild[Server Model]),0,IF(HostBuild[Server Tier]="VMware",0,VLOOKUP(HostBuild[Server Tier],ServerTierRates[#Data],2,0))*HostBuild[CPU]*IF(AND(HostBuild[Server Type]="pSeries",HostBuild[Virtual Platform Storage Type]="Cloud-SAN"),0.25,1))</f>
        <v>0</v>
      </c>
      <c r="FD37" s="560">
        <f>0</f>
        <v>0</v>
      </c>
      <c r="FE37" s="560">
        <f>IF(HostBuild[Server Type]="VMware",HostBuild[RAM 
(GB)]*IF(ISERROR(FIND("DevCloud", HostBuild[Server Model])&gt;0),vRAM_per_vCPU_2014_Monthly,vRAM_per_vCPU_2014_Daily*30),0)</f>
        <v>0</v>
      </c>
      <c r="FF3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7" s="563">
        <f>IF(HostBuild[Server Tier]="VMware",0,IF(LEFT(HostBuild[Existing Server?],3)="Yes",0,IF(OR(HostBuild[Server Type]="Sun",HostBuild[Server Type]="pSeries"),Support_Direct_Server_Sun_per_OS_2014,IF(HostBuild[Server Type]="x86",Support_Direct_Server_x86_Wintel_per_OS_2014,0))))</f>
        <v>0</v>
      </c>
      <c r="FI3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8" spans="1:165" s="262" customFormat="1" ht="15.75" customHeight="1">
      <c r="A38" s="360" t="s">
        <v>3942</v>
      </c>
      <c r="B38" s="521"/>
      <c r="C38" s="521"/>
      <c r="D38" s="521"/>
      <c r="E38" s="522"/>
      <c r="F38" s="522"/>
      <c r="G38" s="597"/>
      <c r="H38" s="597"/>
      <c r="I38" s="523"/>
      <c r="J38" s="522"/>
      <c r="K38" s="522"/>
      <c r="L38" s="522"/>
      <c r="M38" s="597" t="e">
        <f ca="1">IF(rngIsDate(HostBuild[CTO Acceptance]),"Y","N")</f>
        <v>#NAME?</v>
      </c>
      <c r="N38" s="361" t="s">
        <v>3938</v>
      </c>
      <c r="O38" s="525"/>
      <c r="P38" s="525"/>
      <c r="Q38" s="361" t="s">
        <v>3992</v>
      </c>
      <c r="R38" s="526" t="str">
        <f>IF(NOT(ISBLANK(HostBuild[Env Label])),IFERROR(VLOOKUP(HostBuild[Env Label],tEnv[],3,FALSE),""),"")</f>
        <v>PROD</v>
      </c>
      <c r="S38" s="598"/>
      <c r="T38" s="527"/>
      <c r="U38" s="599"/>
      <c r="V38" s="524" t="s">
        <v>4007</v>
      </c>
      <c r="W38" s="524" t="s">
        <v>3941</v>
      </c>
      <c r="X38" s="524" t="s">
        <v>35</v>
      </c>
      <c r="Y38" s="361" t="s">
        <v>481</v>
      </c>
      <c r="Z38" s="526" t="str">
        <f>IF(NOT(ISBLANK(HostBuild[[#This Row],[Product 
(Acronym)]])),CONCATENATE(HostBuild[[#This Row],[Type]],"-",HostBuild[[#This Row],[Product 
(Acronym)]]),"")</f>
        <v>AP-ESB</v>
      </c>
      <c r="AA38" s="600"/>
      <c r="AB38" s="600" t="s">
        <v>3985</v>
      </c>
      <c r="AC38" s="528"/>
      <c r="AD38" s="529"/>
      <c r="AE38" s="529"/>
      <c r="AF38" s="530" t="s">
        <v>3986</v>
      </c>
      <c r="AG38" s="531"/>
      <c r="AH38" s="601"/>
      <c r="AI38" s="362" t="s">
        <v>4130</v>
      </c>
      <c r="AJ38" s="524">
        <f>IF(COUNTIF(HostBuild[Alias],HostBuild[Alias]),1/COUNTIF(HostBuild[Alias],HostBuild[Alias]),0)</f>
        <v>1</v>
      </c>
      <c r="AK38" s="531"/>
      <c r="AL38" s="531"/>
      <c r="AM38" s="532" t="s">
        <v>2173</v>
      </c>
      <c r="AN38" s="533" t="str">
        <f>IF(NOT(ISBLANK(HostBuild[Server Model])),VLOOKUP(HostBuild[Server Model],ServerModelsTier[],2,FALSE),"")</f>
        <v>x86 Tier 3</v>
      </c>
      <c r="AO38" s="533" t="str">
        <f>IF(NOT(ISBLANK(HostBuild[Server Model])),VLOOKUP(HostBuild[Server Model],ServerModelsTier[],5,FALSE),"")</f>
        <v>x86</v>
      </c>
      <c r="AP38" s="532"/>
      <c r="AQ38" s="532" t="s">
        <v>2337</v>
      </c>
      <c r="AR38" s="534"/>
      <c r="AS38" s="602"/>
      <c r="AT38" s="535"/>
      <c r="AU38" s="603" t="str">
        <f>IF(IFERROR(FIND("P-Series",HostBuild[Server Tier]),0),CEILING((HostBuild[Existing CPUs]+HostBuild[CPU])*16,8),"")</f>
        <v/>
      </c>
      <c r="AV38" s="536"/>
      <c r="AW38" s="531"/>
      <c r="AX38" s="531"/>
      <c r="AY38" s="531"/>
      <c r="AZ38" s="537"/>
      <c r="BA38" s="531"/>
      <c r="BB38" s="531"/>
      <c r="BC38" s="529"/>
      <c r="BD38" s="531"/>
      <c r="BE38" s="531"/>
      <c r="BF38" s="531"/>
      <c r="BG38" s="531"/>
      <c r="BH38" s="531"/>
      <c r="BI38" s="531"/>
      <c r="BJ38" s="531"/>
      <c r="BK38"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8" s="538"/>
      <c r="BM38" s="540">
        <f>IF(ISNUMBER(HostBuild[Recommended SAN (GB)]),HostBuild[Recommended SAN (GB)])+IF(HostBuild[Additional SAN (GB)]&gt;0,CEILING(HostBuild[Additional SAN (GB)],LUN),-(CEILING(-HostBuild[Additional SAN (GB)],LUN)))</f>
        <v>0</v>
      </c>
      <c r="BN38" s="539"/>
      <c r="BO38" s="540">
        <f>HostBuild[SAN (GB)
NEEDED TODAY]+CEILING(HostBuild[SAN (GB)
RESERVED
DO NOT USE TO BUILD], LUN)</f>
        <v>0</v>
      </c>
      <c r="BP38" s="541"/>
      <c r="BQ38" s="542"/>
      <c r="BR38" s="432"/>
      <c r="BS38" s="605">
        <f>IF(HostBuild[Existing Server?]&lt;&gt;"Yes - Inside this BoM",IF(ISNUMBER(HostBuild[RAM 
(GB)]),IF(HostBuild[Existing RAM (GB)]+HostBuild[RAM 
(GB)]&gt;0,IF(HostBuild[Virtual Platform Storage Type]="NAS",110+HostBuild[Existing RAM (GB)]+HostBuild[RAM 
(GB)]*1.75,0),0),0),0)</f>
        <v>0</v>
      </c>
      <c r="BT38" s="606"/>
      <c r="BU38" s="607">
        <f>IF(ISNUMBER(HostBuild[Recommended NAS (GB)]),HostBuild[Recommended NAS (GB)])+HostBuild[Additional NAS (GB)]</f>
        <v>0</v>
      </c>
      <c r="BV38" s="543"/>
      <c r="BW38" s="543"/>
      <c r="BX38" s="604">
        <f>IFERROR((HostBuild[SAN (GB)
End-State
DO NOT USE TO BUILD]+HostBuild[SAN (GB) Shared])*25%,"")</f>
        <v>0</v>
      </c>
      <c r="BY38" s="608">
        <f>IFERROR(HostBuild[Archive
Full (GB)]*15%,"")</f>
        <v>0</v>
      </c>
      <c r="BZ38" s="544"/>
      <c r="CA38" s="544"/>
      <c r="CB38" s="545"/>
      <c r="CC38" s="546"/>
      <c r="CD38" s="545"/>
      <c r="CE38" s="547"/>
      <c r="CF38" s="539"/>
      <c r="CG38" s="609"/>
      <c r="CH38" s="548"/>
      <c r="CI38" s="549"/>
      <c r="CJ38" s="550"/>
      <c r="CK38" s="551"/>
      <c r="CL38" s="552">
        <f>IFERROR(IF(FIND(CL$1,$W38)&gt;0,IF(INDEX(Product_Pricing_Table[],MATCH(CL$1,Products,0),2)="Cores",IF(HostBuild[Use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8" s="552">
        <f>IFERROR(IF(FIND(CM$1,$W38)&gt;0,IF(INDEX(Product_Pricing_Table[],MATCH(CM$1,Products,0),2)="Cores",IF(HostBuild[Use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8" s="552">
        <f>IFERROR(IF(FIND(CN$1,$W38)&gt;0,IF(INDEX(Product_Pricing_Table[],MATCH(CN$1,Products,0),2)="Cores",IF(HostBuild[Use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8" s="552">
        <f>IFERROR(IF(FIND(CO$1,$W38)&gt;0,IF(INDEX(Product_Pricing_Table[],MATCH(CO$1,Products,0),2)="Cores",IF(HostBuild[Use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8" s="552">
        <f>IFERROR(IF(FIND(CP$1,$W38)&gt;0,IF(INDEX(Product_Pricing_Table[],MATCH(CP$1,Products,0),2)="Cores",IF(HostBuild[Use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8" s="552">
        <f>IFERROR(IF(FIND(CQ$1,$W38)&gt;0,IF(INDEX(Product_Pricing_Table[],MATCH(CQ$1,Products,0),2)="Cores",IF(HostBuild[Use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8" s="552">
        <f>IFERROR(IF(FIND(CR$1,$W38)&gt;0,IF(INDEX(Product_Pricing_Table[],MATCH(CR$1,Products,0),2)="Cores",IF(HostBuild[Use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8" s="552">
        <f>IFERROR(IF(FIND(CS$1,$W38)&gt;0,IF(INDEX(Product_Pricing_Table[],MATCH(CS$1,Products,0),2)="Cores",IF(HostBuild[Use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8" s="552">
        <f>IFERROR(IF(FIND(CT$1,$W38)&gt;0,IF(INDEX(Product_Pricing_Table[],MATCH(CT$1,Products,0),2)="Cores",IF(HostBuild[Use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8" s="552">
        <f>IFERROR(IF(FIND(CU$1,$W38)&gt;0,IF(INDEX(Product_Pricing_Table[],MATCH(CU$1,Products,0),2)="Cores",IF(HostBuild[Use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8" s="552">
        <f>IFERROR(IF(FIND(CV$1,$W38)&gt;0,IF(INDEX(Product_Pricing_Table[],MATCH(CV$1,Products,0),2)="Cores",IF(HostBuild[Use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8" s="552">
        <f>IFERROR(IF(FIND(CW$1,$W38)&gt;0,IF(INDEX(Product_Pricing_Table[],MATCH(CW$1,Products,0),2)="Cores",IF(HostBuild[Use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8" s="552">
        <f>IFERROR(IF(FIND(CX$1,$W38)&gt;0,IF(INDEX(Product_Pricing_Table[],MATCH(CX$1,Products,0),2)="Cores",IF(HostBuild[Use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8" s="552">
        <f>IFERROR(IF(FIND(CY$1,$W38)&gt;0,IF(INDEX(Product_Pricing_Table[],MATCH(CY$1,Products,0),2)="Cores",IF(HostBuild[Use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8" s="552">
        <f>IFERROR(IF(FIND(CZ$1,$W38)&gt;0,IF(INDEX(Product_Pricing_Table[],MATCH(CZ$1,Products,0),2)="Cores",IF(HostBuild[Use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8" s="552">
        <f>IFERROR(IF(FIND(DA$1,$W38)&gt;0,IF(INDEX(Product_Pricing_Table[],MATCH(DA$1,Products,0),2)="Cores",IF(HostBuild[Use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8" s="552">
        <f>IFERROR(IF(FIND(DB$1,$W38)&gt;0,IF(INDEX(Product_Pricing_Table[],MATCH(DB$1,Products,0),2)="Cores",IF(HostBuild[Use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8" s="552">
        <f>IFERROR(IF(FIND(DC$1,$W38)&gt;0,IF(INDEX(Product_Pricing_Table[],MATCH(DC$1,Products,0),2)="Cores",IF(HostBuild[Use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8" s="552">
        <f>IFERROR(IF(FIND(DD$1,$W38)&gt;0,IF(INDEX(Product_Pricing_Table[],MATCH(DD$1,Products,0),2)="Cores",IF(HostBuild[Use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8" s="552">
        <f>IFERROR(IF(FIND(DE$1,$W38)&gt;0,IF(INDEX(Product_Pricing_Table[],MATCH(DE$1,Products,0),2)="Cores",IF(HostBuild[Use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8" s="553">
        <f>IFERROR(IF(FIND(DF$1,$W38)&gt;0,IF(INDEX(Product_Pricing_Table[],MATCH(DF$1,Products,0),2)="Cores",IF(HostBuild[Use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8" s="553">
        <f>IFERROR(IF(FIND(DG$1,$W38)&gt;0,IF(INDEX(Product_Pricing_Table[],MATCH(DG$1,Products,0),2)="Cores",IF(HostBuild[Use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8" s="552">
        <f>IFERROR(IF(FIND(DH$1,$W38)&gt;0,IF(INDEX(Product_Pricing_Table[],MATCH(DH$1,Products,0),2)="Cores",IF(HostBuild[Use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8" s="553">
        <f>IFERROR(IF(FIND(DI$1,$W38)&gt;0,IF(INDEX(Product_Pricing_Table[],MATCH(DI$1,Products,0),2)="Cores",IF(HostBuild[Use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8" s="552">
        <f>IFERROR(IF(FIND(DJ$1,$W38)&gt;0,IF(INDEX(Product_Pricing_Table[],MATCH(DJ$1,Products,0),2)="Cores",IF(HostBuild[Use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8" s="552">
        <f>IFERROR(IF(FIND(DK$1,$W38)&gt;0,IF(INDEX(Product_Pricing_Table[],MATCH(DK$1,Products,0),2)="Cores",IF(HostBuild[Use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8" s="552">
        <f>IFERROR(IF(FIND(DL$1,$W38)&gt;0,IF(INDEX(Product_Pricing_Table[],MATCH(DL$1,Products,0),2)="Cores",IF(HostBuild[Use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8" s="552">
        <f>IFERROR(IF(FIND(DM$1,$W38)&gt;0,IF(INDEX(Product_Pricing_Table[],MATCH(DM$1,Products,0),2)="Cores",IF(HostBuild[Use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8" s="552">
        <f>IFERROR(IF(FIND(DN$1,$W38)&gt;0,IF(INDEX(Product_Pricing_Table[],MATCH(DN$1,Products,0),2)="Cores",IF(HostBuild[Use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8" s="552">
        <f>IFERROR(IF(FIND(DO$1,$W38)&gt;0,IF(INDEX(Product_Pricing_Table[],MATCH(DO$1,Products,0),2)="Cores",IF(HostBuild[Use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8" s="552">
        <f>IFERROR(IF(FIND(DP$1,$W38)&gt;0,IF(INDEX(Product_Pricing_Table[],MATCH(DP$1,Products,0),2)="Cores",IF(HostBuild[Use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8" s="552">
        <f>IFERROR(IF(FIND(DQ$1,$W38)&gt;0,IF(INDEX(Product_Pricing_Table[],MATCH(DQ$1,Products,0),2)="Cores",IF(HostBuild[Use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8" s="552">
        <f>IFERROR(IF(FIND(DR$1,$W38)&gt;0,IF(INDEX(Product_Pricing_Table[],MATCH(DR$1,Products,0),2)="Cores",IF(HostBuild[Use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8" s="552">
        <f>IFERROR(IF(FIND(DS$1,$W38)&gt;0,IF(INDEX(Product_Pricing_Table[],MATCH(DS$1,Products,0),2)="Cores",IF(HostBuild[Use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8" s="552">
        <f>IFERROR(IF(FIND(DT$1,$W38)&gt;0,IF(INDEX(Product_Pricing_Table[],MATCH(DT$1,Products,0),2)="Cores",IF(HostBuild[Use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8" s="552">
        <f>IFERROR(IF(FIND(DU$1,$W38)&gt;0,IF(INDEX(Product_Pricing_Table[],MATCH(DU$1,Products,0),2)="Cores",IF(HostBuild[Use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8" s="552">
        <f>IFERROR(IF(FIND(DV$1,$W38)&gt;0,IF(INDEX(Product_Pricing_Table[],MATCH(DV$1,Products,0),2)="Cores",IF(HostBuild[Use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8" s="552">
        <f>IFERROR(IF(FIND(DW$1,$W38)&gt;0,IF(INDEX(Product_Pricing_Table[],MATCH(DW$1,Products,0),2)="Cores",IF(HostBuild[Use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8" s="552">
        <f>IFERROR(IF(FIND(DX$1,$W38)&gt;0,IF(INDEX(Product_Pricing_Table[],MATCH(DX$1,Products,0),2)="Cores",IF(HostBuild[Use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8" s="552">
        <f>IFERROR(IF(FIND(DY$1,$W38)&gt;0,IF(INDEX(Product_Pricing_Table[],MATCH(DY$1,Products,0),2)="Cores",IF(HostBuild[Use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8" s="552">
        <f>IFERROR(IF(FIND(DZ$1,$W38)&gt;0,IF(INDEX(Product_Pricing_Table[],MATCH(DZ$1,Products,0),2)="Cores",IF(HostBuild[Use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8" s="552">
        <f>IFERROR(IF(FIND(EA$1,$W38)&gt;0,IF(INDEX(Product_Pricing_Table[],MATCH(EA$1,Products,0),2)="Cores",IF(HostBuild[Use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8" s="552">
        <f>IFERROR(IF(FIND(EB$1,$W38)&gt;0,IF(INDEX(Product_Pricing_Table[],MATCH(EB$1,Products,0),2)="Cores",IF(HostBuild[Use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8" s="553">
        <f>IFERROR(IF(FIND(EC$1,$W38)&gt;0,IF(INDEX(Product_Pricing_Table[],MATCH(EC$1,Products,0),2)="Cores",IF(HostBuild[Use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8" s="552">
        <f>IFERROR(IF(FIND(ED$1,$W38)&gt;0,IF(INDEX(Product_Pricing_Table[],MATCH(ED$1,Products,0),2)="Cores",IF(HostBuild[Use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8" s="552">
        <f>IFERROR(IF(FIND(EE$1,$W38)&gt;0,IF(INDEX(Product_Pricing_Table[],MATCH(EE$1,Products,0),2)="Cores",IF(HostBuild[Use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8" s="552">
        <f>IFERROR(IF(FIND(EF$1,$W38)&gt;0,IF(INDEX(Product_Pricing_Table[],MATCH(EF$1,Products,0),2)="Cores",IF(HostBuild[Use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8" s="552">
        <f>IFERROR(IF(FIND(EG$1,$W38)&gt;0,IF(INDEX(Product_Pricing_Table[],MATCH(EG$1,Products,0),2)="Cores",IF(HostBuild[Use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8" s="552">
        <f>IFERROR(IF(FIND(EH$1,$W38)&gt;0,IF(INDEX(Product_Pricing_Table[],MATCH(EH$1,Products,0),2)="Cores",IF(HostBuild[Use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8" s="552">
        <f>IFERROR(IF(FIND(EI$1,$W38)&gt;0,IF(INDEX(Product_Pricing_Table[],MATCH(EI$1,Products,0),2)="Cores",IF(HostBuild[Use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8" s="552">
        <f>IFERROR(IF(FIND(EJ$1,$W38)&gt;0,IF(INDEX(Product_Pricing_Table[],MATCH(EJ$1,Products,0),2)="Cores",IF(HostBuild[Use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8" s="553">
        <f>IFERROR(IF(FIND(EK$1,$W38)&gt;0,IF(INDEX(Product_Pricing_Table[],MATCH(EK$1,Products,0),2)="Cores",IF(HostBuild[Use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8" s="554"/>
      <c r="EM38" s="555"/>
      <c r="EN38" s="556"/>
      <c r="EO3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8" s="558">
        <f>(HostBuild[Archive
Full (GB)]+HostBuild[Archive
Incr (GB)])*Storage_DC_Dist_Tape_2014</f>
        <v>0</v>
      </c>
      <c r="ER38" s="558">
        <f>IF(ISNUMBER(HostBuild[Server HW Costs
(Monthly)]),SUM(HostBuild[[#This Row],[Server HW Costs
(Monthly)]:[Tape Costs
(Monthly)]]),0)</f>
        <v>0</v>
      </c>
      <c r="ES38" s="559">
        <f>HostBuild[Software Costs
'[Year 1']
(Monthly)]+HostBuild[Total Hardware Costs
(Monthly)]</f>
        <v>0</v>
      </c>
      <c r="ET38" s="559">
        <f>IFERROR(IF(FIND("Safenet",HostBuild[Server Model]),Safenet_PSE_PL600_Maint,0),0)+IFERROR(IF(FIND("XI52",HostBuild[Server Model]),IBM_DIA_XI52_Maint,0),0)+HostBuild[Software Costs
'[After Year 1']
(Monthly)]+HostBuild[Total Hardware Costs
(Monthly)]</f>
        <v>0</v>
      </c>
      <c r="EU38" s="560">
        <f>SUM(HostBuild[[#This Row],[Server Cost Breakdown]:[Network Cost]])</f>
        <v>0</v>
      </c>
      <c r="EV38" s="561">
        <f>IF(HostBuild[Existing Server?]="Yes - Inside this BoM",0,SUMIF(HostBuild[Alias],HostBuild[Alias],HostBuild[CPU])+SUMIF(HostBuild[Alias],HostBuild[Alias],HostBuild[Existing CPUs]))</f>
        <v>0</v>
      </c>
      <c r="EW38" s="561">
        <f>IF(HostBuild[Existing Server?]="Yes - Inside this BoM",0,SUMIF(HostBuild[Alias],HostBuild[Alias],HostBuild[Cores 
(Licensed Units)])+SUMIF(HostBuild[Alias],HostBuild[Alias],HostBuild[Existing Cores]))</f>
        <v>0</v>
      </c>
      <c r="EX38" s="561">
        <f>IF(HostBuild[Existing Server?]="Yes - Inside this BoM",0,SUMIF(HostBuild[Alias],HostBuild[Alias],HostBuild[RAM 
(GB)])+SUMIF(HostBuild[Alias],HostBuild[Alias],HostBuild[Existing RAM (GB)]))</f>
        <v>0</v>
      </c>
      <c r="EY3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8" s="560">
        <f>IF(ISBLANK(HostBuild[Server Model]),0,IF(HostBuild[Server Tier]="VMware",0,VLOOKUP(HostBuild[Server Tier],ServerTierRates[#Data],2,0))*HostBuild[CPU]*IF(AND(HostBuild[Server Type]="pSeries",HostBuild[Virtual Platform Storage Type]="Cloud-SAN"),0.25,1))</f>
        <v>0</v>
      </c>
      <c r="FD38" s="560">
        <f>0</f>
        <v>0</v>
      </c>
      <c r="FE38" s="560">
        <f>IF(HostBuild[Server Type]="VMware",HostBuild[RAM 
(GB)]*IF(ISERROR(FIND("DevCloud", HostBuild[Server Model])&gt;0),vRAM_per_vCPU_2014_Monthly,vRAM_per_vCPU_2014_Daily*30),0)</f>
        <v>0</v>
      </c>
      <c r="FF3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8" s="563">
        <f>IF(HostBuild[Server Tier]="VMware",0,IF(LEFT(HostBuild[Existing Server?],3)="Yes",0,IF(OR(HostBuild[Server Type]="Sun",HostBuild[Server Type]="pSeries"),Support_Direct_Server_Sun_per_OS_2014,IF(HostBuild[Server Type]="x86",Support_Direct_Server_x86_Wintel_per_OS_2014,0))))</f>
        <v>0</v>
      </c>
      <c r="FI3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39" spans="1:165" s="262" customFormat="1" ht="15.75" customHeight="1">
      <c r="A39" s="360" t="s">
        <v>3942</v>
      </c>
      <c r="B39" s="521"/>
      <c r="C39" s="521"/>
      <c r="D39" s="521"/>
      <c r="E39" s="522"/>
      <c r="F39" s="522"/>
      <c r="G39" s="597"/>
      <c r="H39" s="597"/>
      <c r="I39" s="523"/>
      <c r="J39" s="522"/>
      <c r="K39" s="522"/>
      <c r="L39" s="522"/>
      <c r="M39" s="597" t="e">
        <f ca="1">IF(rngIsDate(HostBuild[CTO Acceptance]),"Y","N")</f>
        <v>#NAME?</v>
      </c>
      <c r="N39" s="361" t="s">
        <v>3938</v>
      </c>
      <c r="O39" s="525"/>
      <c r="P39" s="525"/>
      <c r="Q39" s="361" t="s">
        <v>211</v>
      </c>
      <c r="R39" s="526" t="str">
        <f>IF(NOT(ISBLANK(HostBuild[Env Label])),IFERROR(VLOOKUP(HostBuild[Env Label],tEnv[],3,FALSE),""),"")</f>
        <v>COB</v>
      </c>
      <c r="S39" s="598"/>
      <c r="T39" s="527"/>
      <c r="U39" s="599"/>
      <c r="V39" s="524" t="s">
        <v>206</v>
      </c>
      <c r="W39" s="524" t="s">
        <v>3999</v>
      </c>
      <c r="X39" s="524" t="s">
        <v>35</v>
      </c>
      <c r="Y39" s="361" t="s">
        <v>481</v>
      </c>
      <c r="Z39" s="526" t="str">
        <f>IF(NOT(ISBLANK(HostBuild[[#This Row],[Product 
(Acronym)]])),CONCATENATE(HostBuild[[#This Row],[Type]],"-",HostBuild[[#This Row],[Product 
(Acronym)]]),"")</f>
        <v>AP-ESB</v>
      </c>
      <c r="AA39" s="600"/>
      <c r="AB39" s="600" t="s">
        <v>3985</v>
      </c>
      <c r="AC39" s="528"/>
      <c r="AD39" s="529"/>
      <c r="AE39" s="529"/>
      <c r="AF39" s="530" t="s">
        <v>3986</v>
      </c>
      <c r="AG39" s="531"/>
      <c r="AH39" s="601"/>
      <c r="AI39" s="362" t="s">
        <v>4131</v>
      </c>
      <c r="AJ39" s="617">
        <f>IF(COUNTIF(HostBuild[Alias],HostBuild[Alias]),1/COUNTIF(HostBuild[Alias],HostBuild[Alias]),0)</f>
        <v>1</v>
      </c>
      <c r="AK39" s="531"/>
      <c r="AL39" s="531"/>
      <c r="AM39" s="532" t="s">
        <v>2173</v>
      </c>
      <c r="AN39" s="533" t="str">
        <f>IF(NOT(ISBLANK(HostBuild[Server Model])),VLOOKUP(HostBuild[Server Model],ServerModelsTier[],2,FALSE),"")</f>
        <v>x86 Tier 3</v>
      </c>
      <c r="AO39" s="533" t="str">
        <f>IF(NOT(ISBLANK(HostBuild[Server Model])),VLOOKUP(HostBuild[Server Model],ServerModelsTier[],5,FALSE),"")</f>
        <v>x86</v>
      </c>
      <c r="AP39" s="532"/>
      <c r="AQ39" s="532" t="s">
        <v>2337</v>
      </c>
      <c r="AR39" s="534"/>
      <c r="AS39" s="602"/>
      <c r="AT39" s="535"/>
      <c r="AU39" s="603" t="str">
        <f>IF(IFERROR(FIND("P-Series",HostBuild[Server Tier]),0),CEILING((HostBuild[Existing CPUs]+HostBuild[CPU])*16,8),"")</f>
        <v/>
      </c>
      <c r="AV39" s="536"/>
      <c r="AW39" s="531"/>
      <c r="AX39" s="531"/>
      <c r="AY39" s="531"/>
      <c r="AZ39" s="537"/>
      <c r="BA39" s="531"/>
      <c r="BB39" s="531"/>
      <c r="BC39" s="529"/>
      <c r="BD39" s="531"/>
      <c r="BE39" s="531"/>
      <c r="BF39" s="531"/>
      <c r="BG39" s="531"/>
      <c r="BH39" s="531"/>
      <c r="BI39" s="531"/>
      <c r="BJ39" s="531"/>
      <c r="BK39"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39" s="538"/>
      <c r="BM39" s="540">
        <f>IF(ISNUMBER(HostBuild[Recommended SAN (GB)]),HostBuild[Recommended SAN (GB)])+IF(HostBuild[Additional SAN (GB)]&gt;0,CEILING(HostBuild[Additional SAN (GB)],LUN),-(CEILING(-HostBuild[Additional SAN (GB)],LUN)))</f>
        <v>0</v>
      </c>
      <c r="BN39" s="539"/>
      <c r="BO39" s="540">
        <f>HostBuild[SAN (GB)
NEEDED TODAY]+CEILING(HostBuild[SAN (GB)
RESERVED
DO NOT USE TO BUILD], LUN)</f>
        <v>0</v>
      </c>
      <c r="BP39" s="541"/>
      <c r="BQ39" s="542"/>
      <c r="BR39" s="432" t="s">
        <v>106</v>
      </c>
      <c r="BS39" s="605">
        <f>IF(HostBuild[Existing Server?]&lt;&gt;"Yes - Inside this BoM",IF(ISNUMBER(HostBuild[RAM 
(GB)]),IF(HostBuild[Existing RAM (GB)]+HostBuild[RAM 
(GB)]&gt;0,IF(HostBuild[Virtual Platform Storage Type]="NAS",110+HostBuild[Existing RAM (GB)]+HostBuild[RAM 
(GB)]*1.75,0),0),0),0)</f>
        <v>0</v>
      </c>
      <c r="BT39" s="606"/>
      <c r="BU39" s="607">
        <f>IF(ISNUMBER(HostBuild[Recommended NAS (GB)]),HostBuild[Recommended NAS (GB)])+HostBuild[Additional NAS (GB)]</f>
        <v>0</v>
      </c>
      <c r="BV39" s="543"/>
      <c r="BW39" s="543"/>
      <c r="BX39" s="604">
        <f>IFERROR((HostBuild[SAN (GB)
End-State
DO NOT USE TO BUILD]+HostBuild[SAN (GB) Shared])*25%,"")</f>
        <v>0</v>
      </c>
      <c r="BY39" s="608">
        <f>IFERROR(HostBuild[Archive
Full (GB)]*15%,"")</f>
        <v>0</v>
      </c>
      <c r="BZ39" s="544"/>
      <c r="CA39" s="544"/>
      <c r="CB39" s="545"/>
      <c r="CC39" s="546"/>
      <c r="CD39" s="545"/>
      <c r="CE39" s="547"/>
      <c r="CF39" s="539"/>
      <c r="CG39" s="609"/>
      <c r="CH39" s="548"/>
      <c r="CI39" s="549"/>
      <c r="CJ39" s="550" t="s">
        <v>4127</v>
      </c>
      <c r="CK39" s="551"/>
      <c r="CL39" s="552">
        <f>IFERROR(IF(FIND(CL$1,$W39)&gt;0,IF(INDEX(Product_Pricing_Table[],MATCH(CL$1,Products,0),2)="Cores",IF(HostBuild[Use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39" s="552">
        <f>IFERROR(IF(FIND(CM$1,$W39)&gt;0,IF(INDEX(Product_Pricing_Table[],MATCH(CM$1,Products,0),2)="Cores",IF(HostBuild[Use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39" s="552">
        <f>IFERROR(IF(FIND(CN$1,$W39)&gt;0,IF(INDEX(Product_Pricing_Table[],MATCH(CN$1,Products,0),2)="Cores",IF(HostBuild[Use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39" s="552">
        <f>IFERROR(IF(FIND(CO$1,$W39)&gt;0,IF(INDEX(Product_Pricing_Table[],MATCH(CO$1,Products,0),2)="Cores",IF(HostBuild[Use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39" s="552">
        <f>IFERROR(IF(FIND(CP$1,$W39)&gt;0,IF(INDEX(Product_Pricing_Table[],MATCH(CP$1,Products,0),2)="Cores",IF(HostBuild[Use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39" s="552">
        <f>IFERROR(IF(FIND(CQ$1,$W39)&gt;0,IF(INDEX(Product_Pricing_Table[],MATCH(CQ$1,Products,0),2)="Cores",IF(HostBuild[Use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39" s="552">
        <f>IFERROR(IF(FIND(CR$1,$W39)&gt;0,IF(INDEX(Product_Pricing_Table[],MATCH(CR$1,Products,0),2)="Cores",IF(HostBuild[Use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39" s="552">
        <f>IFERROR(IF(FIND(CS$1,$W39)&gt;0,IF(INDEX(Product_Pricing_Table[],MATCH(CS$1,Products,0),2)="Cores",IF(HostBuild[Use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39" s="552">
        <f>IFERROR(IF(FIND(CT$1,$W39)&gt;0,IF(INDEX(Product_Pricing_Table[],MATCH(CT$1,Products,0),2)="Cores",IF(HostBuild[Use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39" s="552">
        <f>IFERROR(IF(FIND(CU$1,$W39)&gt;0,IF(INDEX(Product_Pricing_Table[],MATCH(CU$1,Products,0),2)="Cores",IF(HostBuild[Use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39" s="552">
        <f>IFERROR(IF(FIND(CV$1,$W39)&gt;0,IF(INDEX(Product_Pricing_Table[],MATCH(CV$1,Products,0),2)="Cores",IF(HostBuild[Use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39" s="552">
        <f>IFERROR(IF(FIND(CW$1,$W39)&gt;0,IF(INDEX(Product_Pricing_Table[],MATCH(CW$1,Products,0),2)="Cores",IF(HostBuild[Use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39" s="552">
        <f>IFERROR(IF(FIND(CX$1,$W39)&gt;0,IF(INDEX(Product_Pricing_Table[],MATCH(CX$1,Products,0),2)="Cores",IF(HostBuild[Use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39" s="552">
        <f>IFERROR(IF(FIND(CY$1,$W39)&gt;0,IF(INDEX(Product_Pricing_Table[],MATCH(CY$1,Products,0),2)="Cores",IF(HostBuild[Use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39" s="552">
        <f>IFERROR(IF(FIND(CZ$1,$W39)&gt;0,IF(INDEX(Product_Pricing_Table[],MATCH(CZ$1,Products,0),2)="Cores",IF(HostBuild[Use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39" s="552">
        <f>IFERROR(IF(FIND(DA$1,$W39)&gt;0,IF(INDEX(Product_Pricing_Table[],MATCH(DA$1,Products,0),2)="Cores",IF(HostBuild[Use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39" s="552">
        <f>IFERROR(IF(FIND(DB$1,$W39)&gt;0,IF(INDEX(Product_Pricing_Table[],MATCH(DB$1,Products,0),2)="Cores",IF(HostBuild[Use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39" s="552">
        <f>IFERROR(IF(FIND(DC$1,$W39)&gt;0,IF(INDEX(Product_Pricing_Table[],MATCH(DC$1,Products,0),2)="Cores",IF(HostBuild[Use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39" s="552">
        <f>IFERROR(IF(FIND(DD$1,$W39)&gt;0,IF(INDEX(Product_Pricing_Table[],MATCH(DD$1,Products,0),2)="Cores",IF(HostBuild[Use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39" s="552">
        <f>IFERROR(IF(FIND(DE$1,$W39)&gt;0,IF(INDEX(Product_Pricing_Table[],MATCH(DE$1,Products,0),2)="Cores",IF(HostBuild[Use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39" s="553">
        <f>IFERROR(IF(FIND(DF$1,$W39)&gt;0,IF(INDEX(Product_Pricing_Table[],MATCH(DF$1,Products,0),2)="Cores",IF(HostBuild[Use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39" s="553">
        <f>IFERROR(IF(FIND(DG$1,$W39)&gt;0,IF(INDEX(Product_Pricing_Table[],MATCH(DG$1,Products,0),2)="Cores",IF(HostBuild[Use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39" s="552">
        <f>IFERROR(IF(FIND(DH$1,$W39)&gt;0,IF(INDEX(Product_Pricing_Table[],MATCH(DH$1,Products,0),2)="Cores",IF(HostBuild[Use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39" s="553">
        <f>IFERROR(IF(FIND(DI$1,$W39)&gt;0,IF(INDEX(Product_Pricing_Table[],MATCH(DI$1,Products,0),2)="Cores",IF(HostBuild[Use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39" s="552">
        <f>IFERROR(IF(FIND(DJ$1,$W39)&gt;0,IF(INDEX(Product_Pricing_Table[],MATCH(DJ$1,Products,0),2)="Cores",IF(HostBuild[Use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39" s="552">
        <f>IFERROR(IF(FIND(DK$1,$W39)&gt;0,IF(INDEX(Product_Pricing_Table[],MATCH(DK$1,Products,0),2)="Cores",IF(HostBuild[Use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39" s="552">
        <f>IFERROR(IF(FIND(DL$1,$W39)&gt;0,IF(INDEX(Product_Pricing_Table[],MATCH(DL$1,Products,0),2)="Cores",IF(HostBuild[Use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39" s="552">
        <f>IFERROR(IF(FIND(DM$1,$W39)&gt;0,IF(INDEX(Product_Pricing_Table[],MATCH(DM$1,Products,0),2)="Cores",IF(HostBuild[Use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39" s="552">
        <f>IFERROR(IF(FIND(DN$1,$W39)&gt;0,IF(INDEX(Product_Pricing_Table[],MATCH(DN$1,Products,0),2)="Cores",IF(HostBuild[Use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39" s="552">
        <f>IFERROR(IF(FIND(DO$1,$W39)&gt;0,IF(INDEX(Product_Pricing_Table[],MATCH(DO$1,Products,0),2)="Cores",IF(HostBuild[Use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39" s="552">
        <f>IFERROR(IF(FIND(DP$1,$W39)&gt;0,IF(INDEX(Product_Pricing_Table[],MATCH(DP$1,Products,0),2)="Cores",IF(HostBuild[Use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39" s="552">
        <f>IFERROR(IF(FIND(DQ$1,$W39)&gt;0,IF(INDEX(Product_Pricing_Table[],MATCH(DQ$1,Products,0),2)="Cores",IF(HostBuild[Use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39" s="552">
        <f>IFERROR(IF(FIND(DR$1,$W39)&gt;0,IF(INDEX(Product_Pricing_Table[],MATCH(DR$1,Products,0),2)="Cores",IF(HostBuild[Use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39" s="552">
        <f>IFERROR(IF(FIND(DS$1,$W39)&gt;0,IF(INDEX(Product_Pricing_Table[],MATCH(DS$1,Products,0),2)="Cores",IF(HostBuild[Use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39" s="552">
        <f>IFERROR(IF(FIND(DT$1,$W39)&gt;0,IF(INDEX(Product_Pricing_Table[],MATCH(DT$1,Products,0),2)="Cores",IF(HostBuild[Use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39" s="552">
        <f>IFERROR(IF(FIND(DU$1,$W39)&gt;0,IF(INDEX(Product_Pricing_Table[],MATCH(DU$1,Products,0),2)="Cores",IF(HostBuild[Use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39" s="552">
        <f>IFERROR(IF(FIND(DV$1,$W39)&gt;0,IF(INDEX(Product_Pricing_Table[],MATCH(DV$1,Products,0),2)="Cores",IF(HostBuild[Use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39" s="552">
        <f>IFERROR(IF(FIND(DW$1,$W39)&gt;0,IF(INDEX(Product_Pricing_Table[],MATCH(DW$1,Products,0),2)="Cores",IF(HostBuild[Use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39" s="552">
        <f>IFERROR(IF(FIND(DX$1,$W39)&gt;0,IF(INDEX(Product_Pricing_Table[],MATCH(DX$1,Products,0),2)="Cores",IF(HostBuild[Use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39" s="552">
        <f>IFERROR(IF(FIND(DY$1,$W39)&gt;0,IF(INDEX(Product_Pricing_Table[],MATCH(DY$1,Products,0),2)="Cores",IF(HostBuild[Use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39" s="552">
        <f>IFERROR(IF(FIND(DZ$1,$W39)&gt;0,IF(INDEX(Product_Pricing_Table[],MATCH(DZ$1,Products,0),2)="Cores",IF(HostBuild[Use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39" s="552">
        <f>IFERROR(IF(FIND(EA$1,$W39)&gt;0,IF(INDEX(Product_Pricing_Table[],MATCH(EA$1,Products,0),2)="Cores",IF(HostBuild[Use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39" s="552">
        <f>IFERROR(IF(FIND(EB$1,$W39)&gt;0,IF(INDEX(Product_Pricing_Table[],MATCH(EB$1,Products,0),2)="Cores",IF(HostBuild[Use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39" s="553">
        <f>IFERROR(IF(FIND(EC$1,$W39)&gt;0,IF(INDEX(Product_Pricing_Table[],MATCH(EC$1,Products,0),2)="Cores",IF(HostBuild[Use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39" s="552">
        <f>IFERROR(IF(FIND(ED$1,$W39)&gt;0,IF(INDEX(Product_Pricing_Table[],MATCH(ED$1,Products,0),2)="Cores",IF(HostBuild[Use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39" s="552">
        <f>IFERROR(IF(FIND(EE$1,$W39)&gt;0,IF(INDEX(Product_Pricing_Table[],MATCH(EE$1,Products,0),2)="Cores",IF(HostBuild[Use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39" s="552">
        <f>IFERROR(IF(FIND(EF$1,$W39)&gt;0,IF(INDEX(Product_Pricing_Table[],MATCH(EF$1,Products,0),2)="Cores",IF(HostBuild[Use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39" s="552">
        <f>IFERROR(IF(FIND(EG$1,$W39)&gt;0,IF(INDEX(Product_Pricing_Table[],MATCH(EG$1,Products,0),2)="Cores",IF(HostBuild[Use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39" s="552">
        <f>IFERROR(IF(FIND(EH$1,$W39)&gt;0,IF(INDEX(Product_Pricing_Table[],MATCH(EH$1,Products,0),2)="Cores",IF(HostBuild[Use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39" s="552">
        <f>IFERROR(IF(FIND(EI$1,$W39)&gt;0,IF(INDEX(Product_Pricing_Table[],MATCH(EI$1,Products,0),2)="Cores",IF(HostBuild[Use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39" s="552">
        <f>IFERROR(IF(FIND(EJ$1,$W39)&gt;0,IF(INDEX(Product_Pricing_Table[],MATCH(EJ$1,Products,0),2)="Cores",IF(HostBuild[Use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39" s="553">
        <f>IFERROR(IF(FIND(EK$1,$W39)&gt;0,IF(INDEX(Product_Pricing_Table[],MATCH(EK$1,Products,0),2)="Cores",IF(HostBuild[Use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39" s="554"/>
      <c r="EM39" s="555">
        <v>0</v>
      </c>
      <c r="EN39" s="556">
        <v>0</v>
      </c>
      <c r="EO3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3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39" s="558">
        <f>(HostBuild[Archive
Full (GB)]+HostBuild[Archive
Incr (GB)])*Storage_DC_Dist_Tape_2014</f>
        <v>0</v>
      </c>
      <c r="ER39" s="558">
        <f>IF(ISNUMBER(HostBuild[Server HW Costs
(Monthly)]),SUM(HostBuild[[#This Row],[Server HW Costs
(Monthly)]:[Tape Costs
(Monthly)]]),0)</f>
        <v>0</v>
      </c>
      <c r="ES39" s="559">
        <f>HostBuild[Software Costs
'[Year 1']
(Monthly)]+HostBuild[Total Hardware Costs
(Monthly)]</f>
        <v>0</v>
      </c>
      <c r="ET39" s="559">
        <f>IFERROR(IF(FIND("Safenet",HostBuild[Server Model]),Safenet_PSE_PL600_Maint,0),0)+IFERROR(IF(FIND("XI52",HostBuild[Server Model]),IBM_DIA_XI52_Maint,0),0)+HostBuild[Software Costs
'[After Year 1']
(Monthly)]+HostBuild[Total Hardware Costs
(Monthly)]</f>
        <v>0</v>
      </c>
      <c r="EU39" s="560">
        <f>SUM(HostBuild[[#This Row],[Server Cost Breakdown]:[Network Cost]])</f>
        <v>0</v>
      </c>
      <c r="EV39" s="561">
        <f>IF(HostBuild[Existing Server?]="Yes - Inside this BoM",0,SUMIF(HostBuild[Alias],HostBuild[Alias],HostBuild[CPU])+SUMIF(HostBuild[Alias],HostBuild[Alias],HostBuild[Existing CPUs]))</f>
        <v>0</v>
      </c>
      <c r="EW39" s="561">
        <f>IF(HostBuild[Existing Server?]="Yes - Inside this BoM",0,SUMIF(HostBuild[Alias],HostBuild[Alias],HostBuild[Cores 
(Licensed Units)])+SUMIF(HostBuild[Alias],HostBuild[Alias],HostBuild[Existing Cores]))</f>
        <v>0</v>
      </c>
      <c r="EX39" s="561">
        <f>IF(HostBuild[Existing Server?]="Yes - Inside this BoM",0,SUMIF(HostBuild[Alias],HostBuild[Alias],HostBuild[RAM 
(GB)])+SUMIF(HostBuild[Alias],HostBuild[Alias],HostBuild[Existing RAM (GB)]))</f>
        <v>0</v>
      </c>
      <c r="EY3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3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3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3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39" s="560">
        <f>IF(ISBLANK(HostBuild[Server Model]),0,IF(HostBuild[Server Tier]="VMware",0,VLOOKUP(HostBuild[Server Tier],ServerTierRates[#Data],2,0))*HostBuild[CPU]*IF(AND(HostBuild[Server Type]="pSeries",HostBuild[Virtual Platform Storage Type]="Cloud-SAN"),0.25,1))</f>
        <v>0</v>
      </c>
      <c r="FD39" s="560">
        <f>0</f>
        <v>0</v>
      </c>
      <c r="FE39" s="560">
        <f>IF(HostBuild[Server Type]="VMware",HostBuild[RAM 
(GB)]*IF(ISERROR(FIND("DevCloud", HostBuild[Server Model])&gt;0),vRAM_per_vCPU_2014_Monthly,vRAM_per_vCPU_2014_Daily*30),0)</f>
        <v>0</v>
      </c>
      <c r="FF3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3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39" s="563">
        <f>IF(HostBuild[Server Tier]="VMware",0,IF(LEFT(HostBuild[Existing Server?],3)="Yes",0,IF(OR(HostBuild[Server Type]="Sun",HostBuild[Server Type]="pSeries"),Support_Direct_Server_Sun_per_OS_2014,IF(HostBuild[Server Type]="x86",Support_Direct_Server_x86_Wintel_per_OS_2014,0))))</f>
        <v>0</v>
      </c>
      <c r="FI3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0" spans="1:165" s="262" customFormat="1" ht="15.75" customHeight="1">
      <c r="A40" s="360" t="s">
        <v>3942</v>
      </c>
      <c r="B40" s="521"/>
      <c r="C40" s="521"/>
      <c r="D40" s="521"/>
      <c r="E40" s="522"/>
      <c r="F40" s="522"/>
      <c r="G40" s="597"/>
      <c r="H40" s="597"/>
      <c r="I40" s="523"/>
      <c r="J40" s="522"/>
      <c r="K40" s="522"/>
      <c r="L40" s="522"/>
      <c r="M40" s="597" t="e">
        <f ca="1">IF(rngIsDate(HostBuild[CTO Acceptance]),"Y","N")</f>
        <v>#NAME?</v>
      </c>
      <c r="N40" s="361" t="s">
        <v>3938</v>
      </c>
      <c r="O40" s="525"/>
      <c r="P40" s="525"/>
      <c r="Q40" s="361" t="s">
        <v>211</v>
      </c>
      <c r="R40" s="526" t="str">
        <f>IF(NOT(ISBLANK(HostBuild[Env Label])),IFERROR(VLOOKUP(HostBuild[Env Label],tEnv[],3,FALSE),""),"")</f>
        <v>COB</v>
      </c>
      <c r="S40" s="598"/>
      <c r="T40" s="527"/>
      <c r="U40" s="599"/>
      <c r="V40" s="524" t="s">
        <v>206</v>
      </c>
      <c r="W40" s="524" t="s">
        <v>3999</v>
      </c>
      <c r="X40" s="524" t="s">
        <v>35</v>
      </c>
      <c r="Y40" s="361" t="s">
        <v>481</v>
      </c>
      <c r="Z40" s="526" t="str">
        <f>IF(NOT(ISBLANK(HostBuild[[#This Row],[Product 
(Acronym)]])),CONCATENATE(HostBuild[[#This Row],[Type]],"-",HostBuild[[#This Row],[Product 
(Acronym)]]),"")</f>
        <v>AP-ESB</v>
      </c>
      <c r="AA40" s="600"/>
      <c r="AB40" s="600" t="s">
        <v>3985</v>
      </c>
      <c r="AC40" s="528"/>
      <c r="AD40" s="529"/>
      <c r="AE40" s="529"/>
      <c r="AF40" s="530" t="s">
        <v>3986</v>
      </c>
      <c r="AG40" s="531"/>
      <c r="AH40" s="601"/>
      <c r="AI40" s="362" t="s">
        <v>4132</v>
      </c>
      <c r="AJ40" s="617">
        <f>IF(COUNTIF(HostBuild[Alias],HostBuild[Alias]),1/COUNTIF(HostBuild[Alias],HostBuild[Alias]),0)</f>
        <v>1</v>
      </c>
      <c r="AK40" s="531"/>
      <c r="AL40" s="531"/>
      <c r="AM40" s="532" t="s">
        <v>2173</v>
      </c>
      <c r="AN40" s="533" t="str">
        <f>IF(NOT(ISBLANK(HostBuild[Server Model])),VLOOKUP(HostBuild[Server Model],ServerModelsTier[],2,FALSE),"")</f>
        <v>x86 Tier 3</v>
      </c>
      <c r="AO40" s="533" t="str">
        <f>IF(NOT(ISBLANK(HostBuild[Server Model])),VLOOKUP(HostBuild[Server Model],ServerModelsTier[],5,FALSE),"")</f>
        <v>x86</v>
      </c>
      <c r="AP40" s="532"/>
      <c r="AQ40" s="532" t="s">
        <v>2337</v>
      </c>
      <c r="AR40" s="534"/>
      <c r="AS40" s="602"/>
      <c r="AT40" s="535"/>
      <c r="AU40" s="603" t="str">
        <f>IF(IFERROR(FIND("P-Series",HostBuild[Server Tier]),0),CEILING((HostBuild[Existing CPUs]+HostBuild[CPU])*16,8),"")</f>
        <v/>
      </c>
      <c r="AV40" s="536"/>
      <c r="AW40" s="531"/>
      <c r="AX40" s="531"/>
      <c r="AY40" s="531"/>
      <c r="AZ40" s="537"/>
      <c r="BA40" s="531"/>
      <c r="BB40" s="531"/>
      <c r="BC40" s="529"/>
      <c r="BD40" s="531"/>
      <c r="BE40" s="531"/>
      <c r="BF40" s="531"/>
      <c r="BG40" s="531"/>
      <c r="BH40" s="531"/>
      <c r="BI40" s="531"/>
      <c r="BJ40" s="531"/>
      <c r="BK40"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40" s="538"/>
      <c r="BM40" s="540">
        <f>IF(ISNUMBER(HostBuild[Recommended SAN (GB)]),HostBuild[Recommended SAN (GB)])+IF(HostBuild[Additional SAN (GB)]&gt;0,CEILING(HostBuild[Additional SAN (GB)],LUN),-(CEILING(-HostBuild[Additional SAN (GB)],LUN)))</f>
        <v>0</v>
      </c>
      <c r="BN40" s="539"/>
      <c r="BO40" s="540">
        <f>HostBuild[SAN (GB)
NEEDED TODAY]+CEILING(HostBuild[SAN (GB)
RESERVED
DO NOT USE TO BUILD], LUN)</f>
        <v>0</v>
      </c>
      <c r="BP40" s="541"/>
      <c r="BQ40" s="542"/>
      <c r="BR40" s="432" t="s">
        <v>106</v>
      </c>
      <c r="BS40" s="605">
        <f>IF(HostBuild[Existing Server?]&lt;&gt;"Yes - Inside this BoM",IF(ISNUMBER(HostBuild[RAM 
(GB)]),IF(HostBuild[Existing RAM (GB)]+HostBuild[RAM 
(GB)]&gt;0,IF(HostBuild[Virtual Platform Storage Type]="NAS",110+HostBuild[Existing RAM (GB)]+HostBuild[RAM 
(GB)]*1.75,0),0),0),0)</f>
        <v>0</v>
      </c>
      <c r="BT40" s="606"/>
      <c r="BU40" s="607">
        <f>IF(ISNUMBER(HostBuild[Recommended NAS (GB)]),HostBuild[Recommended NAS (GB)])+HostBuild[Additional NAS (GB)]</f>
        <v>0</v>
      </c>
      <c r="BV40" s="543"/>
      <c r="BW40" s="543"/>
      <c r="BX40" s="604">
        <f>IFERROR((HostBuild[SAN (GB)
End-State
DO NOT USE TO BUILD]+HostBuild[SAN (GB) Shared])*25%,"")</f>
        <v>0</v>
      </c>
      <c r="BY40" s="608">
        <f>IFERROR(HostBuild[Archive
Full (GB)]*15%,"")</f>
        <v>0</v>
      </c>
      <c r="BZ40" s="544"/>
      <c r="CA40" s="544"/>
      <c r="CB40" s="545"/>
      <c r="CC40" s="546"/>
      <c r="CD40" s="545"/>
      <c r="CE40" s="547"/>
      <c r="CF40" s="539"/>
      <c r="CG40" s="609"/>
      <c r="CH40" s="548"/>
      <c r="CI40" s="549"/>
      <c r="CJ40" s="550" t="s">
        <v>4127</v>
      </c>
      <c r="CK40" s="551"/>
      <c r="CL40" s="552">
        <f>IFERROR(IF(FIND(CL$1,$W40)&gt;0,IF(INDEX(Product_Pricing_Table[],MATCH(CL$1,Products,0),2)="Cores",IF(HostBuild[Use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0" s="552">
        <f>IFERROR(IF(FIND(CM$1,$W40)&gt;0,IF(INDEX(Product_Pricing_Table[],MATCH(CM$1,Products,0),2)="Cores",IF(HostBuild[Use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0" s="552">
        <f>IFERROR(IF(FIND(CN$1,$W40)&gt;0,IF(INDEX(Product_Pricing_Table[],MATCH(CN$1,Products,0),2)="Cores",IF(HostBuild[Use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0" s="552">
        <f>IFERROR(IF(FIND(CO$1,$W40)&gt;0,IF(INDEX(Product_Pricing_Table[],MATCH(CO$1,Products,0),2)="Cores",IF(HostBuild[Use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0" s="552">
        <f>IFERROR(IF(FIND(CP$1,$W40)&gt;0,IF(INDEX(Product_Pricing_Table[],MATCH(CP$1,Products,0),2)="Cores",IF(HostBuild[Use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0" s="552">
        <f>IFERROR(IF(FIND(CQ$1,$W40)&gt;0,IF(INDEX(Product_Pricing_Table[],MATCH(CQ$1,Products,0),2)="Cores",IF(HostBuild[Use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0" s="552">
        <f>IFERROR(IF(FIND(CR$1,$W40)&gt;0,IF(INDEX(Product_Pricing_Table[],MATCH(CR$1,Products,0),2)="Cores",IF(HostBuild[Use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0" s="552">
        <f>IFERROR(IF(FIND(CS$1,$W40)&gt;0,IF(INDEX(Product_Pricing_Table[],MATCH(CS$1,Products,0),2)="Cores",IF(HostBuild[Use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0" s="552">
        <f>IFERROR(IF(FIND(CT$1,$W40)&gt;0,IF(INDEX(Product_Pricing_Table[],MATCH(CT$1,Products,0),2)="Cores",IF(HostBuild[Use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0" s="552">
        <f>IFERROR(IF(FIND(CU$1,$W40)&gt;0,IF(INDEX(Product_Pricing_Table[],MATCH(CU$1,Products,0),2)="Cores",IF(HostBuild[Use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0" s="552">
        <f>IFERROR(IF(FIND(CV$1,$W40)&gt;0,IF(INDEX(Product_Pricing_Table[],MATCH(CV$1,Products,0),2)="Cores",IF(HostBuild[Use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0" s="552">
        <f>IFERROR(IF(FIND(CW$1,$W40)&gt;0,IF(INDEX(Product_Pricing_Table[],MATCH(CW$1,Products,0),2)="Cores",IF(HostBuild[Use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0" s="552">
        <f>IFERROR(IF(FIND(CX$1,$W40)&gt;0,IF(INDEX(Product_Pricing_Table[],MATCH(CX$1,Products,0),2)="Cores",IF(HostBuild[Use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0" s="552">
        <f>IFERROR(IF(FIND(CY$1,$W40)&gt;0,IF(INDEX(Product_Pricing_Table[],MATCH(CY$1,Products,0),2)="Cores",IF(HostBuild[Use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0" s="552">
        <f>IFERROR(IF(FIND(CZ$1,$W40)&gt;0,IF(INDEX(Product_Pricing_Table[],MATCH(CZ$1,Products,0),2)="Cores",IF(HostBuild[Use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0" s="552">
        <f>IFERROR(IF(FIND(DA$1,$W40)&gt;0,IF(INDEX(Product_Pricing_Table[],MATCH(DA$1,Products,0),2)="Cores",IF(HostBuild[Use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0" s="552">
        <f>IFERROR(IF(FIND(DB$1,$W40)&gt;0,IF(INDEX(Product_Pricing_Table[],MATCH(DB$1,Products,0),2)="Cores",IF(HostBuild[Use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0" s="552">
        <f>IFERROR(IF(FIND(DC$1,$W40)&gt;0,IF(INDEX(Product_Pricing_Table[],MATCH(DC$1,Products,0),2)="Cores",IF(HostBuild[Use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0" s="552">
        <f>IFERROR(IF(FIND(DD$1,$W40)&gt;0,IF(INDEX(Product_Pricing_Table[],MATCH(DD$1,Products,0),2)="Cores",IF(HostBuild[Use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0" s="552">
        <f>IFERROR(IF(FIND(DE$1,$W40)&gt;0,IF(INDEX(Product_Pricing_Table[],MATCH(DE$1,Products,0),2)="Cores",IF(HostBuild[Use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0" s="553">
        <f>IFERROR(IF(FIND(DF$1,$W40)&gt;0,IF(INDEX(Product_Pricing_Table[],MATCH(DF$1,Products,0),2)="Cores",IF(HostBuild[Use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0" s="553">
        <f>IFERROR(IF(FIND(DG$1,$W40)&gt;0,IF(INDEX(Product_Pricing_Table[],MATCH(DG$1,Products,0),2)="Cores",IF(HostBuild[Use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0" s="552">
        <f>IFERROR(IF(FIND(DH$1,$W40)&gt;0,IF(INDEX(Product_Pricing_Table[],MATCH(DH$1,Products,0),2)="Cores",IF(HostBuild[Use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0" s="553">
        <f>IFERROR(IF(FIND(DI$1,$W40)&gt;0,IF(INDEX(Product_Pricing_Table[],MATCH(DI$1,Products,0),2)="Cores",IF(HostBuild[Use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0" s="552">
        <f>IFERROR(IF(FIND(DJ$1,$W40)&gt;0,IF(INDEX(Product_Pricing_Table[],MATCH(DJ$1,Products,0),2)="Cores",IF(HostBuild[Use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0" s="552">
        <f>IFERROR(IF(FIND(DK$1,$W40)&gt;0,IF(INDEX(Product_Pricing_Table[],MATCH(DK$1,Products,0),2)="Cores",IF(HostBuild[Use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0" s="552">
        <f>IFERROR(IF(FIND(DL$1,$W40)&gt;0,IF(INDEX(Product_Pricing_Table[],MATCH(DL$1,Products,0),2)="Cores",IF(HostBuild[Use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0" s="552">
        <f>IFERROR(IF(FIND(DM$1,$W40)&gt;0,IF(INDEX(Product_Pricing_Table[],MATCH(DM$1,Products,0),2)="Cores",IF(HostBuild[Use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0" s="552">
        <f>IFERROR(IF(FIND(DN$1,$W40)&gt;0,IF(INDEX(Product_Pricing_Table[],MATCH(DN$1,Products,0),2)="Cores",IF(HostBuild[Use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0" s="552">
        <f>IFERROR(IF(FIND(DO$1,$W40)&gt;0,IF(INDEX(Product_Pricing_Table[],MATCH(DO$1,Products,0),2)="Cores",IF(HostBuild[Use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0" s="552">
        <f>IFERROR(IF(FIND(DP$1,$W40)&gt;0,IF(INDEX(Product_Pricing_Table[],MATCH(DP$1,Products,0),2)="Cores",IF(HostBuild[Use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0" s="552">
        <f>IFERROR(IF(FIND(DQ$1,$W40)&gt;0,IF(INDEX(Product_Pricing_Table[],MATCH(DQ$1,Products,0),2)="Cores",IF(HostBuild[Use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0" s="552">
        <f>IFERROR(IF(FIND(DR$1,$W40)&gt;0,IF(INDEX(Product_Pricing_Table[],MATCH(DR$1,Products,0),2)="Cores",IF(HostBuild[Use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0" s="552">
        <f>IFERROR(IF(FIND(DS$1,$W40)&gt;0,IF(INDEX(Product_Pricing_Table[],MATCH(DS$1,Products,0),2)="Cores",IF(HostBuild[Use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0" s="552">
        <f>IFERROR(IF(FIND(DT$1,$W40)&gt;0,IF(INDEX(Product_Pricing_Table[],MATCH(DT$1,Products,0),2)="Cores",IF(HostBuild[Use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0" s="552">
        <f>IFERROR(IF(FIND(DU$1,$W40)&gt;0,IF(INDEX(Product_Pricing_Table[],MATCH(DU$1,Products,0),2)="Cores",IF(HostBuild[Use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0" s="552">
        <f>IFERROR(IF(FIND(DV$1,$W40)&gt;0,IF(INDEX(Product_Pricing_Table[],MATCH(DV$1,Products,0),2)="Cores",IF(HostBuild[Use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0" s="552">
        <f>IFERROR(IF(FIND(DW$1,$W40)&gt;0,IF(INDEX(Product_Pricing_Table[],MATCH(DW$1,Products,0),2)="Cores",IF(HostBuild[Use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0" s="552">
        <f>IFERROR(IF(FIND(DX$1,$W40)&gt;0,IF(INDEX(Product_Pricing_Table[],MATCH(DX$1,Products,0),2)="Cores",IF(HostBuild[Use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0" s="552">
        <f>IFERROR(IF(FIND(DY$1,$W40)&gt;0,IF(INDEX(Product_Pricing_Table[],MATCH(DY$1,Products,0),2)="Cores",IF(HostBuild[Use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0" s="552">
        <f>IFERROR(IF(FIND(DZ$1,$W40)&gt;0,IF(INDEX(Product_Pricing_Table[],MATCH(DZ$1,Products,0),2)="Cores",IF(HostBuild[Use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0" s="552">
        <f>IFERROR(IF(FIND(EA$1,$W40)&gt;0,IF(INDEX(Product_Pricing_Table[],MATCH(EA$1,Products,0),2)="Cores",IF(HostBuild[Use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0" s="552">
        <f>IFERROR(IF(FIND(EB$1,$W40)&gt;0,IF(INDEX(Product_Pricing_Table[],MATCH(EB$1,Products,0),2)="Cores",IF(HostBuild[Use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0" s="553">
        <f>IFERROR(IF(FIND(EC$1,$W40)&gt;0,IF(INDEX(Product_Pricing_Table[],MATCH(EC$1,Products,0),2)="Cores",IF(HostBuild[Use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0" s="552">
        <f>IFERROR(IF(FIND(ED$1,$W40)&gt;0,IF(INDEX(Product_Pricing_Table[],MATCH(ED$1,Products,0),2)="Cores",IF(HostBuild[Use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0" s="552">
        <f>IFERROR(IF(FIND(EE$1,$W40)&gt;0,IF(INDEX(Product_Pricing_Table[],MATCH(EE$1,Products,0),2)="Cores",IF(HostBuild[Use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0" s="552">
        <f>IFERROR(IF(FIND(EF$1,$W40)&gt;0,IF(INDEX(Product_Pricing_Table[],MATCH(EF$1,Products,0),2)="Cores",IF(HostBuild[Use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0" s="552">
        <f>IFERROR(IF(FIND(EG$1,$W40)&gt;0,IF(INDEX(Product_Pricing_Table[],MATCH(EG$1,Products,0),2)="Cores",IF(HostBuild[Use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0" s="552">
        <f>IFERROR(IF(FIND(EH$1,$W40)&gt;0,IF(INDEX(Product_Pricing_Table[],MATCH(EH$1,Products,0),2)="Cores",IF(HostBuild[Use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0" s="552">
        <f>IFERROR(IF(FIND(EI$1,$W40)&gt;0,IF(INDEX(Product_Pricing_Table[],MATCH(EI$1,Products,0),2)="Cores",IF(HostBuild[Use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0" s="552">
        <f>IFERROR(IF(FIND(EJ$1,$W40)&gt;0,IF(INDEX(Product_Pricing_Table[],MATCH(EJ$1,Products,0),2)="Cores",IF(HostBuild[Use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0" s="553">
        <f>IFERROR(IF(FIND(EK$1,$W40)&gt;0,IF(INDEX(Product_Pricing_Table[],MATCH(EK$1,Products,0),2)="Cores",IF(HostBuild[Use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0" s="554"/>
      <c r="EM40" s="555"/>
      <c r="EN40" s="556"/>
      <c r="EO4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0" s="558">
        <f>(HostBuild[Archive
Full (GB)]+HostBuild[Archive
Incr (GB)])*Storage_DC_Dist_Tape_2014</f>
        <v>0</v>
      </c>
      <c r="ER40" s="558">
        <f>IF(ISNUMBER(HostBuild[Server HW Costs
(Monthly)]),SUM(HostBuild[[#This Row],[Server HW Costs
(Monthly)]:[Tape Costs
(Monthly)]]),0)</f>
        <v>0</v>
      </c>
      <c r="ES40" s="559">
        <f>HostBuild[Software Costs
'[Year 1']
(Monthly)]+HostBuild[Total Hardware Costs
(Monthly)]</f>
        <v>0</v>
      </c>
      <c r="ET40" s="559">
        <f>IFERROR(IF(FIND("Safenet",HostBuild[Server Model]),Safenet_PSE_PL600_Maint,0),0)+IFERROR(IF(FIND("XI52",HostBuild[Server Model]),IBM_DIA_XI52_Maint,0),0)+HostBuild[Software Costs
'[After Year 1']
(Monthly)]+HostBuild[Total Hardware Costs
(Monthly)]</f>
        <v>0</v>
      </c>
      <c r="EU40" s="560">
        <f>SUM(HostBuild[[#This Row],[Server Cost Breakdown]:[Network Cost]])</f>
        <v>0</v>
      </c>
      <c r="EV40" s="561">
        <f>IF(HostBuild[Existing Server?]="Yes - Inside this BoM",0,SUMIF(HostBuild[Alias],HostBuild[Alias],HostBuild[CPU])+SUMIF(HostBuild[Alias],HostBuild[Alias],HostBuild[Existing CPUs]))</f>
        <v>0</v>
      </c>
      <c r="EW40" s="561">
        <f>IF(HostBuild[Existing Server?]="Yes - Inside this BoM",0,SUMIF(HostBuild[Alias],HostBuild[Alias],HostBuild[Cores 
(Licensed Units)])+SUMIF(HostBuild[Alias],HostBuild[Alias],HostBuild[Existing Cores]))</f>
        <v>0</v>
      </c>
      <c r="EX40" s="561">
        <f>IF(HostBuild[Existing Server?]="Yes - Inside this BoM",0,SUMIF(HostBuild[Alias],HostBuild[Alias],HostBuild[RAM 
(GB)])+SUMIF(HostBuild[Alias],HostBuild[Alias],HostBuild[Existing RAM (GB)]))</f>
        <v>0</v>
      </c>
      <c r="EY4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0" s="560">
        <f>IF(ISBLANK(HostBuild[Server Model]),0,IF(HostBuild[Server Tier]="VMware",0,VLOOKUP(HostBuild[Server Tier],ServerTierRates[#Data],2,0))*HostBuild[CPU]*IF(AND(HostBuild[Server Type]="pSeries",HostBuild[Virtual Platform Storage Type]="Cloud-SAN"),0.25,1))</f>
        <v>0</v>
      </c>
      <c r="FD40" s="560">
        <f>0</f>
        <v>0</v>
      </c>
      <c r="FE40" s="560">
        <f>IF(HostBuild[Server Type]="VMware",HostBuild[RAM 
(GB)]*IF(ISERROR(FIND("DevCloud", HostBuild[Server Model])&gt;0),vRAM_per_vCPU_2014_Monthly,vRAM_per_vCPU_2014_Daily*30),0)</f>
        <v>0</v>
      </c>
      <c r="FF4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0" s="563">
        <f>IF(HostBuild[Server Tier]="VMware",0,IF(LEFT(HostBuild[Existing Server?],3)="Yes",0,IF(OR(HostBuild[Server Type]="Sun",HostBuild[Server Type]="pSeries"),Support_Direct_Server_Sun_per_OS_2014,IF(HostBuild[Server Type]="x86",Support_Direct_Server_x86_Wintel_per_OS_2014,0))))</f>
        <v>0</v>
      </c>
      <c r="FI4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1" spans="1:165" s="262" customFormat="1" ht="15.75" customHeight="1">
      <c r="A41" s="360" t="s">
        <v>3942</v>
      </c>
      <c r="B41" s="521"/>
      <c r="C41" s="521"/>
      <c r="D41" s="521"/>
      <c r="E41" s="522"/>
      <c r="F41" s="522"/>
      <c r="G41" s="597"/>
      <c r="H41" s="597"/>
      <c r="I41" s="523"/>
      <c r="J41" s="522"/>
      <c r="K41" s="522"/>
      <c r="L41" s="522"/>
      <c r="M41" s="597" t="e">
        <f ca="1">IF(rngIsDate(HostBuild[CTO Acceptance]),"Y","N")</f>
        <v>#NAME?</v>
      </c>
      <c r="N41" s="361" t="s">
        <v>3938</v>
      </c>
      <c r="O41" s="525"/>
      <c r="P41" s="525"/>
      <c r="Q41" s="361" t="s">
        <v>211</v>
      </c>
      <c r="R41" s="526" t="str">
        <f>IF(NOT(ISBLANK(HostBuild[Env Label])),IFERROR(VLOOKUP(HostBuild[Env Label],tEnv[],3,FALSE),""),"")</f>
        <v>COB</v>
      </c>
      <c r="S41" s="598"/>
      <c r="T41" s="527"/>
      <c r="U41" s="599"/>
      <c r="V41" s="524" t="s">
        <v>206</v>
      </c>
      <c r="W41" s="524" t="s">
        <v>3999</v>
      </c>
      <c r="X41" s="524" t="s">
        <v>35</v>
      </c>
      <c r="Y41" s="361" t="s">
        <v>481</v>
      </c>
      <c r="Z41" s="526" t="str">
        <f>IF(NOT(ISBLANK(HostBuild[[#This Row],[Product 
(Acronym)]])),CONCATENATE(HostBuild[[#This Row],[Type]],"-",HostBuild[[#This Row],[Product 
(Acronym)]]),"")</f>
        <v>AP-ESB</v>
      </c>
      <c r="AA41" s="600"/>
      <c r="AB41" s="600" t="s">
        <v>3985</v>
      </c>
      <c r="AC41" s="528"/>
      <c r="AD41" s="529"/>
      <c r="AE41" s="529"/>
      <c r="AF41" s="530" t="s">
        <v>3986</v>
      </c>
      <c r="AG41" s="531"/>
      <c r="AH41" s="601"/>
      <c r="AI41" s="362" t="s">
        <v>4133</v>
      </c>
      <c r="AJ41" s="617">
        <f>IF(COUNTIF(HostBuild[Alias],HostBuild[Alias]),1/COUNTIF(HostBuild[Alias],HostBuild[Alias]),0)</f>
        <v>1</v>
      </c>
      <c r="AK41" s="531"/>
      <c r="AL41" s="531"/>
      <c r="AM41" s="532" t="s">
        <v>2173</v>
      </c>
      <c r="AN41" s="533" t="str">
        <f>IF(NOT(ISBLANK(HostBuild[Server Model])),VLOOKUP(HostBuild[Server Model],ServerModelsTier[],2,FALSE),"")</f>
        <v>x86 Tier 3</v>
      </c>
      <c r="AO41" s="533" t="str">
        <f>IF(NOT(ISBLANK(HostBuild[Server Model])),VLOOKUP(HostBuild[Server Model],ServerModelsTier[],5,FALSE),"")</f>
        <v>x86</v>
      </c>
      <c r="AP41" s="532"/>
      <c r="AQ41" s="532" t="s">
        <v>2337</v>
      </c>
      <c r="AR41" s="534"/>
      <c r="AS41" s="602"/>
      <c r="AT41" s="535"/>
      <c r="AU41" s="603" t="str">
        <f>IF(IFERROR(FIND("P-Series",HostBuild[Server Tier]),0),CEILING((HostBuild[Existing CPUs]+HostBuild[CPU])*16,8),"")</f>
        <v/>
      </c>
      <c r="AV41" s="536"/>
      <c r="AW41" s="531"/>
      <c r="AX41" s="531"/>
      <c r="AY41" s="531"/>
      <c r="AZ41" s="537"/>
      <c r="BA41" s="531"/>
      <c r="BB41" s="531"/>
      <c r="BC41" s="529"/>
      <c r="BD41" s="531"/>
      <c r="BE41" s="531"/>
      <c r="BF41" s="531"/>
      <c r="BG41" s="531"/>
      <c r="BH41" s="531"/>
      <c r="BI41" s="531"/>
      <c r="BJ41" s="531"/>
      <c r="BK41"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41" s="538"/>
      <c r="BM41" s="540">
        <f>IF(ISNUMBER(HostBuild[Recommended SAN (GB)]),HostBuild[Recommended SAN (GB)])+IF(HostBuild[Additional SAN (GB)]&gt;0,CEILING(HostBuild[Additional SAN (GB)],LUN),-(CEILING(-HostBuild[Additional SAN (GB)],LUN)))</f>
        <v>0</v>
      </c>
      <c r="BN41" s="539"/>
      <c r="BO41" s="540">
        <f>HostBuild[SAN (GB)
NEEDED TODAY]+CEILING(HostBuild[SAN (GB)
RESERVED
DO NOT USE TO BUILD], LUN)</f>
        <v>0</v>
      </c>
      <c r="BP41" s="541"/>
      <c r="BQ41" s="542"/>
      <c r="BR41" s="432" t="s">
        <v>106</v>
      </c>
      <c r="BS41" s="605">
        <f>IF(HostBuild[Existing Server?]&lt;&gt;"Yes - Inside this BoM",IF(ISNUMBER(HostBuild[RAM 
(GB)]),IF(HostBuild[Existing RAM (GB)]+HostBuild[RAM 
(GB)]&gt;0,IF(HostBuild[Virtual Platform Storage Type]="NAS",110+HostBuild[Existing RAM (GB)]+HostBuild[RAM 
(GB)]*1.75,0),0),0),0)</f>
        <v>0</v>
      </c>
      <c r="BT41" s="606"/>
      <c r="BU41" s="607">
        <f>IF(ISNUMBER(HostBuild[Recommended NAS (GB)]),HostBuild[Recommended NAS (GB)])+HostBuild[Additional NAS (GB)]</f>
        <v>0</v>
      </c>
      <c r="BV41" s="543"/>
      <c r="BW41" s="543"/>
      <c r="BX41" s="604">
        <f>IFERROR((HostBuild[SAN (GB)
End-State
DO NOT USE TO BUILD]+HostBuild[SAN (GB) Shared])*25%,"")</f>
        <v>0</v>
      </c>
      <c r="BY41" s="608">
        <f>IFERROR(HostBuild[Archive
Full (GB)]*15%,"")</f>
        <v>0</v>
      </c>
      <c r="BZ41" s="544"/>
      <c r="CA41" s="544"/>
      <c r="CB41" s="545"/>
      <c r="CC41" s="546"/>
      <c r="CD41" s="545"/>
      <c r="CE41" s="547"/>
      <c r="CF41" s="539"/>
      <c r="CG41" s="609"/>
      <c r="CH41" s="548"/>
      <c r="CI41" s="549"/>
      <c r="CJ41" s="550" t="s">
        <v>4127</v>
      </c>
      <c r="CK41" s="551"/>
      <c r="CL41" s="552">
        <f>IFERROR(IF(FIND(CL$1,$W41)&gt;0,IF(INDEX(Product_Pricing_Table[],MATCH(CL$1,Products,0),2)="Cores",IF(HostBuild[Use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1" s="552">
        <f>IFERROR(IF(FIND(CM$1,$W41)&gt;0,IF(INDEX(Product_Pricing_Table[],MATCH(CM$1,Products,0),2)="Cores",IF(HostBuild[Use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1" s="552">
        <f>IFERROR(IF(FIND(CN$1,$W41)&gt;0,IF(INDEX(Product_Pricing_Table[],MATCH(CN$1,Products,0),2)="Cores",IF(HostBuild[Use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1" s="552">
        <f>IFERROR(IF(FIND(CO$1,$W41)&gt;0,IF(INDEX(Product_Pricing_Table[],MATCH(CO$1,Products,0),2)="Cores",IF(HostBuild[Use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1" s="552">
        <f>IFERROR(IF(FIND(CP$1,$W41)&gt;0,IF(INDEX(Product_Pricing_Table[],MATCH(CP$1,Products,0),2)="Cores",IF(HostBuild[Use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1" s="552">
        <f>IFERROR(IF(FIND(CQ$1,$W41)&gt;0,IF(INDEX(Product_Pricing_Table[],MATCH(CQ$1,Products,0),2)="Cores",IF(HostBuild[Use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1" s="552">
        <f>IFERROR(IF(FIND(CR$1,$W41)&gt;0,IF(INDEX(Product_Pricing_Table[],MATCH(CR$1,Products,0),2)="Cores",IF(HostBuild[Use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1" s="552">
        <f>IFERROR(IF(FIND(CS$1,$W41)&gt;0,IF(INDEX(Product_Pricing_Table[],MATCH(CS$1,Products,0),2)="Cores",IF(HostBuild[Use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1" s="552">
        <f>IFERROR(IF(FIND(CT$1,$W41)&gt;0,IF(INDEX(Product_Pricing_Table[],MATCH(CT$1,Products,0),2)="Cores",IF(HostBuild[Use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1" s="552">
        <f>IFERROR(IF(FIND(CU$1,$W41)&gt;0,IF(INDEX(Product_Pricing_Table[],MATCH(CU$1,Products,0),2)="Cores",IF(HostBuild[Use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1" s="552">
        <f>IFERROR(IF(FIND(CV$1,$W41)&gt;0,IF(INDEX(Product_Pricing_Table[],MATCH(CV$1,Products,0),2)="Cores",IF(HostBuild[Use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1" s="552">
        <f>IFERROR(IF(FIND(CW$1,$W41)&gt;0,IF(INDEX(Product_Pricing_Table[],MATCH(CW$1,Products,0),2)="Cores",IF(HostBuild[Use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1" s="552">
        <f>IFERROR(IF(FIND(CX$1,$W41)&gt;0,IF(INDEX(Product_Pricing_Table[],MATCH(CX$1,Products,0),2)="Cores",IF(HostBuild[Use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1" s="552">
        <f>IFERROR(IF(FIND(CY$1,$W41)&gt;0,IF(INDEX(Product_Pricing_Table[],MATCH(CY$1,Products,0),2)="Cores",IF(HostBuild[Use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1" s="552">
        <f>IFERROR(IF(FIND(CZ$1,$W41)&gt;0,IF(INDEX(Product_Pricing_Table[],MATCH(CZ$1,Products,0),2)="Cores",IF(HostBuild[Use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1" s="552">
        <f>IFERROR(IF(FIND(DA$1,$W41)&gt;0,IF(INDEX(Product_Pricing_Table[],MATCH(DA$1,Products,0),2)="Cores",IF(HostBuild[Use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1" s="552">
        <f>IFERROR(IF(FIND(DB$1,$W41)&gt;0,IF(INDEX(Product_Pricing_Table[],MATCH(DB$1,Products,0),2)="Cores",IF(HostBuild[Use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1" s="552">
        <f>IFERROR(IF(FIND(DC$1,$W41)&gt;0,IF(INDEX(Product_Pricing_Table[],MATCH(DC$1,Products,0),2)="Cores",IF(HostBuild[Use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1" s="552">
        <f>IFERROR(IF(FIND(DD$1,$W41)&gt;0,IF(INDEX(Product_Pricing_Table[],MATCH(DD$1,Products,0),2)="Cores",IF(HostBuild[Use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1" s="552">
        <f>IFERROR(IF(FIND(DE$1,$W41)&gt;0,IF(INDEX(Product_Pricing_Table[],MATCH(DE$1,Products,0),2)="Cores",IF(HostBuild[Use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1" s="553">
        <f>IFERROR(IF(FIND(DF$1,$W41)&gt;0,IF(INDEX(Product_Pricing_Table[],MATCH(DF$1,Products,0),2)="Cores",IF(HostBuild[Use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1" s="553">
        <f>IFERROR(IF(FIND(DG$1,$W41)&gt;0,IF(INDEX(Product_Pricing_Table[],MATCH(DG$1,Products,0),2)="Cores",IF(HostBuild[Use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1" s="552">
        <f>IFERROR(IF(FIND(DH$1,$W41)&gt;0,IF(INDEX(Product_Pricing_Table[],MATCH(DH$1,Products,0),2)="Cores",IF(HostBuild[Use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1" s="553">
        <f>IFERROR(IF(FIND(DI$1,$W41)&gt;0,IF(INDEX(Product_Pricing_Table[],MATCH(DI$1,Products,0),2)="Cores",IF(HostBuild[Use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1" s="552">
        <f>IFERROR(IF(FIND(DJ$1,$W41)&gt;0,IF(INDEX(Product_Pricing_Table[],MATCH(DJ$1,Products,0),2)="Cores",IF(HostBuild[Use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1" s="552">
        <f>IFERROR(IF(FIND(DK$1,$W41)&gt;0,IF(INDEX(Product_Pricing_Table[],MATCH(DK$1,Products,0),2)="Cores",IF(HostBuild[Use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1" s="552">
        <f>IFERROR(IF(FIND(DL$1,$W41)&gt;0,IF(INDEX(Product_Pricing_Table[],MATCH(DL$1,Products,0),2)="Cores",IF(HostBuild[Use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1" s="552">
        <f>IFERROR(IF(FIND(DM$1,$W41)&gt;0,IF(INDEX(Product_Pricing_Table[],MATCH(DM$1,Products,0),2)="Cores",IF(HostBuild[Use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1" s="552">
        <f>IFERROR(IF(FIND(DN$1,$W41)&gt;0,IF(INDEX(Product_Pricing_Table[],MATCH(DN$1,Products,0),2)="Cores",IF(HostBuild[Use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1" s="552">
        <f>IFERROR(IF(FIND(DO$1,$W41)&gt;0,IF(INDEX(Product_Pricing_Table[],MATCH(DO$1,Products,0),2)="Cores",IF(HostBuild[Use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1" s="552">
        <f>IFERROR(IF(FIND(DP$1,$W41)&gt;0,IF(INDEX(Product_Pricing_Table[],MATCH(DP$1,Products,0),2)="Cores",IF(HostBuild[Use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1" s="552">
        <f>IFERROR(IF(FIND(DQ$1,$W41)&gt;0,IF(INDEX(Product_Pricing_Table[],MATCH(DQ$1,Products,0),2)="Cores",IF(HostBuild[Use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1" s="552">
        <f>IFERROR(IF(FIND(DR$1,$W41)&gt;0,IF(INDEX(Product_Pricing_Table[],MATCH(DR$1,Products,0),2)="Cores",IF(HostBuild[Use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1" s="552">
        <f>IFERROR(IF(FIND(DS$1,$W41)&gt;0,IF(INDEX(Product_Pricing_Table[],MATCH(DS$1,Products,0),2)="Cores",IF(HostBuild[Use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1" s="552">
        <f>IFERROR(IF(FIND(DT$1,$W41)&gt;0,IF(INDEX(Product_Pricing_Table[],MATCH(DT$1,Products,0),2)="Cores",IF(HostBuild[Use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1" s="552">
        <f>IFERROR(IF(FIND(DU$1,$W41)&gt;0,IF(INDEX(Product_Pricing_Table[],MATCH(DU$1,Products,0),2)="Cores",IF(HostBuild[Use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1" s="552">
        <f>IFERROR(IF(FIND(DV$1,$W41)&gt;0,IF(INDEX(Product_Pricing_Table[],MATCH(DV$1,Products,0),2)="Cores",IF(HostBuild[Use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1" s="552">
        <f>IFERROR(IF(FIND(DW$1,$W41)&gt;0,IF(INDEX(Product_Pricing_Table[],MATCH(DW$1,Products,0),2)="Cores",IF(HostBuild[Use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1" s="552">
        <f>IFERROR(IF(FIND(DX$1,$W41)&gt;0,IF(INDEX(Product_Pricing_Table[],MATCH(DX$1,Products,0),2)="Cores",IF(HostBuild[Use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1" s="552">
        <f>IFERROR(IF(FIND(DY$1,$W41)&gt;0,IF(INDEX(Product_Pricing_Table[],MATCH(DY$1,Products,0),2)="Cores",IF(HostBuild[Use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1" s="552">
        <f>IFERROR(IF(FIND(DZ$1,$W41)&gt;0,IF(INDEX(Product_Pricing_Table[],MATCH(DZ$1,Products,0),2)="Cores",IF(HostBuild[Use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1" s="552">
        <f>IFERROR(IF(FIND(EA$1,$W41)&gt;0,IF(INDEX(Product_Pricing_Table[],MATCH(EA$1,Products,0),2)="Cores",IF(HostBuild[Use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1" s="552">
        <f>IFERROR(IF(FIND(EB$1,$W41)&gt;0,IF(INDEX(Product_Pricing_Table[],MATCH(EB$1,Products,0),2)="Cores",IF(HostBuild[Use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1" s="553">
        <f>IFERROR(IF(FIND(EC$1,$W41)&gt;0,IF(INDEX(Product_Pricing_Table[],MATCH(EC$1,Products,0),2)="Cores",IF(HostBuild[Use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1" s="552">
        <f>IFERROR(IF(FIND(ED$1,$W41)&gt;0,IF(INDEX(Product_Pricing_Table[],MATCH(ED$1,Products,0),2)="Cores",IF(HostBuild[Use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1" s="552">
        <f>IFERROR(IF(FIND(EE$1,$W41)&gt;0,IF(INDEX(Product_Pricing_Table[],MATCH(EE$1,Products,0),2)="Cores",IF(HostBuild[Use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1" s="552">
        <f>IFERROR(IF(FIND(EF$1,$W41)&gt;0,IF(INDEX(Product_Pricing_Table[],MATCH(EF$1,Products,0),2)="Cores",IF(HostBuild[Use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1" s="552">
        <f>IFERROR(IF(FIND(EG$1,$W41)&gt;0,IF(INDEX(Product_Pricing_Table[],MATCH(EG$1,Products,0),2)="Cores",IF(HostBuild[Use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1" s="552">
        <f>IFERROR(IF(FIND(EH$1,$W41)&gt;0,IF(INDEX(Product_Pricing_Table[],MATCH(EH$1,Products,0),2)="Cores",IF(HostBuild[Use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1" s="552">
        <f>IFERROR(IF(FIND(EI$1,$W41)&gt;0,IF(INDEX(Product_Pricing_Table[],MATCH(EI$1,Products,0),2)="Cores",IF(HostBuild[Use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1" s="552">
        <f>IFERROR(IF(FIND(EJ$1,$W41)&gt;0,IF(INDEX(Product_Pricing_Table[],MATCH(EJ$1,Products,0),2)="Cores",IF(HostBuild[Use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1" s="553">
        <f>IFERROR(IF(FIND(EK$1,$W41)&gt;0,IF(INDEX(Product_Pricing_Table[],MATCH(EK$1,Products,0),2)="Cores",IF(HostBuild[Use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1" s="554"/>
      <c r="EM41" s="555"/>
      <c r="EN41" s="556"/>
      <c r="EO41"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1" s="558">
        <f>(HostBuild[Archive
Full (GB)]+HostBuild[Archive
Incr (GB)])*Storage_DC_Dist_Tape_2014</f>
        <v>0</v>
      </c>
      <c r="ER41" s="558">
        <f>IF(ISNUMBER(HostBuild[Server HW Costs
(Monthly)]),SUM(HostBuild[[#This Row],[Server HW Costs
(Monthly)]:[Tape Costs
(Monthly)]]),0)</f>
        <v>0</v>
      </c>
      <c r="ES41" s="559">
        <f>HostBuild[Software Costs
'[Year 1']
(Monthly)]+HostBuild[Total Hardware Costs
(Monthly)]</f>
        <v>0</v>
      </c>
      <c r="ET41" s="559">
        <f>IFERROR(IF(FIND("Safenet",HostBuild[Server Model]),Safenet_PSE_PL600_Maint,0),0)+IFERROR(IF(FIND("XI52",HostBuild[Server Model]),IBM_DIA_XI52_Maint,0),0)+HostBuild[Software Costs
'[After Year 1']
(Monthly)]+HostBuild[Total Hardware Costs
(Monthly)]</f>
        <v>0</v>
      </c>
      <c r="EU41" s="560">
        <f>SUM(HostBuild[[#This Row],[Server Cost Breakdown]:[Network Cost]])</f>
        <v>0</v>
      </c>
      <c r="EV41" s="561">
        <f>IF(HostBuild[Existing Server?]="Yes - Inside this BoM",0,SUMIF(HostBuild[Alias],HostBuild[Alias],HostBuild[CPU])+SUMIF(HostBuild[Alias],HostBuild[Alias],HostBuild[Existing CPUs]))</f>
        <v>0</v>
      </c>
      <c r="EW41" s="561">
        <f>IF(HostBuild[Existing Server?]="Yes - Inside this BoM",0,SUMIF(HostBuild[Alias],HostBuild[Alias],HostBuild[Cores 
(Licensed Units)])+SUMIF(HostBuild[Alias],HostBuild[Alias],HostBuild[Existing Cores]))</f>
        <v>0</v>
      </c>
      <c r="EX41" s="561">
        <f>IF(HostBuild[Existing Server?]="Yes - Inside this BoM",0,SUMIF(HostBuild[Alias],HostBuild[Alias],HostBuild[RAM 
(GB)])+SUMIF(HostBuild[Alias],HostBuild[Alias],HostBuild[Existing RAM (GB)]))</f>
        <v>0</v>
      </c>
      <c r="EY4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1" s="560">
        <f>IF(ISBLANK(HostBuild[Server Model]),0,IF(HostBuild[Server Tier]="VMware",0,VLOOKUP(HostBuild[Server Tier],ServerTierRates[#Data],2,0))*HostBuild[CPU]*IF(AND(HostBuild[Server Type]="pSeries",HostBuild[Virtual Platform Storage Type]="Cloud-SAN"),0.25,1))</f>
        <v>0</v>
      </c>
      <c r="FD41" s="560">
        <f>0</f>
        <v>0</v>
      </c>
      <c r="FE41" s="560">
        <f>IF(HostBuild[Server Type]="VMware",HostBuild[RAM 
(GB)]*IF(ISERROR(FIND("DevCloud", HostBuild[Server Model])&gt;0),vRAM_per_vCPU_2014_Monthly,vRAM_per_vCPU_2014_Daily*30),0)</f>
        <v>0</v>
      </c>
      <c r="FF4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1" s="563">
        <f>IF(HostBuild[Server Tier]="VMware",0,IF(LEFT(HostBuild[Existing Server?],3)="Yes",0,IF(OR(HostBuild[Server Type]="Sun",HostBuild[Server Type]="pSeries"),Support_Direct_Server_Sun_per_OS_2014,IF(HostBuild[Server Type]="x86",Support_Direct_Server_x86_Wintel_per_OS_2014,0))))</f>
        <v>0</v>
      </c>
      <c r="FI4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2" spans="1:165" s="262" customFormat="1" ht="15.75" customHeight="1">
      <c r="A42" s="360" t="s">
        <v>3942</v>
      </c>
      <c r="B42" s="521"/>
      <c r="C42" s="521"/>
      <c r="D42" s="521"/>
      <c r="E42" s="522"/>
      <c r="F42" s="522"/>
      <c r="G42" s="597"/>
      <c r="H42" s="597"/>
      <c r="I42" s="523"/>
      <c r="J42" s="522"/>
      <c r="K42" s="522"/>
      <c r="L42" s="522"/>
      <c r="M42" s="597" t="e">
        <f ca="1">IF(rngIsDate(HostBuild[CTO Acceptance]),"Y","N")</f>
        <v>#NAME?</v>
      </c>
      <c r="N42" s="361" t="s">
        <v>3938</v>
      </c>
      <c r="O42" s="525"/>
      <c r="P42" s="525"/>
      <c r="Q42" s="361" t="s">
        <v>211</v>
      </c>
      <c r="R42" s="526" t="str">
        <f>IF(NOT(ISBLANK(HostBuild[Env Label])),IFERROR(VLOOKUP(HostBuild[Env Label],tEnv[],3,FALSE),""),"")</f>
        <v>COB</v>
      </c>
      <c r="S42" s="598"/>
      <c r="T42" s="527"/>
      <c r="U42" s="599"/>
      <c r="V42" s="524" t="s">
        <v>206</v>
      </c>
      <c r="W42" s="524" t="s">
        <v>3999</v>
      </c>
      <c r="X42" s="524" t="s">
        <v>35</v>
      </c>
      <c r="Y42" s="361" t="s">
        <v>481</v>
      </c>
      <c r="Z42" s="526" t="str">
        <f>IF(NOT(ISBLANK(HostBuild[[#This Row],[Product 
(Acronym)]])),CONCATENATE(HostBuild[[#This Row],[Type]],"-",HostBuild[[#This Row],[Product 
(Acronym)]]),"")</f>
        <v>AP-ESB</v>
      </c>
      <c r="AA42" s="600"/>
      <c r="AB42" s="600" t="s">
        <v>3985</v>
      </c>
      <c r="AC42" s="528"/>
      <c r="AD42" s="529"/>
      <c r="AE42" s="529"/>
      <c r="AF42" s="530" t="s">
        <v>3986</v>
      </c>
      <c r="AG42" s="531"/>
      <c r="AH42" s="601"/>
      <c r="AI42" s="362" t="s">
        <v>4134</v>
      </c>
      <c r="AJ42" s="617">
        <f>IF(COUNTIF(HostBuild[Alias],HostBuild[Alias]),1/COUNTIF(HostBuild[Alias],HostBuild[Alias]),0)</f>
        <v>1</v>
      </c>
      <c r="AK42" s="531"/>
      <c r="AL42" s="531"/>
      <c r="AM42" s="532" t="s">
        <v>2173</v>
      </c>
      <c r="AN42" s="533" t="str">
        <f>IF(NOT(ISBLANK(HostBuild[Server Model])),VLOOKUP(HostBuild[Server Model],ServerModelsTier[],2,FALSE),"")</f>
        <v>x86 Tier 3</v>
      </c>
      <c r="AO42" s="533" t="str">
        <f>IF(NOT(ISBLANK(HostBuild[Server Model])),VLOOKUP(HostBuild[Server Model],ServerModelsTier[],5,FALSE),"")</f>
        <v>x86</v>
      </c>
      <c r="AP42" s="532"/>
      <c r="AQ42" s="532" t="s">
        <v>2337</v>
      </c>
      <c r="AR42" s="534"/>
      <c r="AS42" s="602"/>
      <c r="AT42" s="535"/>
      <c r="AU42" s="603" t="str">
        <f>IF(IFERROR(FIND("P-Series",HostBuild[Server Tier]),0),CEILING((HostBuild[Existing CPUs]+HostBuild[CPU])*16,8),"")</f>
        <v/>
      </c>
      <c r="AV42" s="536"/>
      <c r="AW42" s="531"/>
      <c r="AX42" s="531"/>
      <c r="AY42" s="531"/>
      <c r="AZ42" s="537"/>
      <c r="BA42" s="531"/>
      <c r="BB42" s="531"/>
      <c r="BC42" s="529"/>
      <c r="BD42" s="531"/>
      <c r="BE42" s="531"/>
      <c r="BF42" s="531"/>
      <c r="BG42" s="531"/>
      <c r="BH42" s="531"/>
      <c r="BI42" s="531"/>
      <c r="BJ42" s="531"/>
      <c r="BK42"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42" s="538"/>
      <c r="BM42" s="540">
        <f>IF(ISNUMBER(HostBuild[Recommended SAN (GB)]),HostBuild[Recommended SAN (GB)])+IF(HostBuild[Additional SAN (GB)]&gt;0,CEILING(HostBuild[Additional SAN (GB)],LUN),-(CEILING(-HostBuild[Additional SAN (GB)],LUN)))</f>
        <v>0</v>
      </c>
      <c r="BN42" s="539"/>
      <c r="BO42" s="540">
        <f>HostBuild[SAN (GB)
NEEDED TODAY]+CEILING(HostBuild[SAN (GB)
RESERVED
DO NOT USE TO BUILD], LUN)</f>
        <v>0</v>
      </c>
      <c r="BP42" s="541"/>
      <c r="BQ42" s="542"/>
      <c r="BR42" s="432" t="s">
        <v>106</v>
      </c>
      <c r="BS42" s="605">
        <f>IF(HostBuild[Existing Server?]&lt;&gt;"Yes - Inside this BoM",IF(ISNUMBER(HostBuild[RAM 
(GB)]),IF(HostBuild[Existing RAM (GB)]+HostBuild[RAM 
(GB)]&gt;0,IF(HostBuild[Virtual Platform Storage Type]="NAS",110+HostBuild[Existing RAM (GB)]+HostBuild[RAM 
(GB)]*1.75,0),0),0),0)</f>
        <v>0</v>
      </c>
      <c r="BT42" s="606"/>
      <c r="BU42" s="607">
        <f>IF(ISNUMBER(HostBuild[Recommended NAS (GB)]),HostBuild[Recommended NAS (GB)])+HostBuild[Additional NAS (GB)]</f>
        <v>0</v>
      </c>
      <c r="BV42" s="543"/>
      <c r="BW42" s="543"/>
      <c r="BX42" s="604">
        <f>IFERROR((HostBuild[SAN (GB)
End-State
DO NOT USE TO BUILD]+HostBuild[SAN (GB) Shared])*25%,"")</f>
        <v>0</v>
      </c>
      <c r="BY42" s="608">
        <f>IFERROR(HostBuild[Archive
Full (GB)]*15%,"")</f>
        <v>0</v>
      </c>
      <c r="BZ42" s="544"/>
      <c r="CA42" s="544"/>
      <c r="CB42" s="545"/>
      <c r="CC42" s="546"/>
      <c r="CD42" s="545"/>
      <c r="CE42" s="547"/>
      <c r="CF42" s="539"/>
      <c r="CG42" s="609"/>
      <c r="CH42" s="548"/>
      <c r="CI42" s="549"/>
      <c r="CJ42" s="550" t="s">
        <v>4127</v>
      </c>
      <c r="CK42" s="551"/>
      <c r="CL42" s="552">
        <f>IFERROR(IF(FIND(CL$1,$W42)&gt;0,IF(INDEX(Product_Pricing_Table[],MATCH(CL$1,Products,0),2)="Cores",IF(HostBuild[Use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2" s="552">
        <f>IFERROR(IF(FIND(CM$1,$W42)&gt;0,IF(INDEX(Product_Pricing_Table[],MATCH(CM$1,Products,0),2)="Cores",IF(HostBuild[Use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2" s="552">
        <f>IFERROR(IF(FIND(CN$1,$W42)&gt;0,IF(INDEX(Product_Pricing_Table[],MATCH(CN$1,Products,0),2)="Cores",IF(HostBuild[Use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2" s="552">
        <f>IFERROR(IF(FIND(CO$1,$W42)&gt;0,IF(INDEX(Product_Pricing_Table[],MATCH(CO$1,Products,0),2)="Cores",IF(HostBuild[Use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2" s="552">
        <f>IFERROR(IF(FIND(CP$1,$W42)&gt;0,IF(INDEX(Product_Pricing_Table[],MATCH(CP$1,Products,0),2)="Cores",IF(HostBuild[Use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2" s="552">
        <f>IFERROR(IF(FIND(CQ$1,$W42)&gt;0,IF(INDEX(Product_Pricing_Table[],MATCH(CQ$1,Products,0),2)="Cores",IF(HostBuild[Use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2" s="552">
        <f>IFERROR(IF(FIND(CR$1,$W42)&gt;0,IF(INDEX(Product_Pricing_Table[],MATCH(CR$1,Products,0),2)="Cores",IF(HostBuild[Use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2" s="552">
        <f>IFERROR(IF(FIND(CS$1,$W42)&gt;0,IF(INDEX(Product_Pricing_Table[],MATCH(CS$1,Products,0),2)="Cores",IF(HostBuild[Use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2" s="552">
        <f>IFERROR(IF(FIND(CT$1,$W42)&gt;0,IF(INDEX(Product_Pricing_Table[],MATCH(CT$1,Products,0),2)="Cores",IF(HostBuild[Use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2" s="552">
        <f>IFERROR(IF(FIND(CU$1,$W42)&gt;0,IF(INDEX(Product_Pricing_Table[],MATCH(CU$1,Products,0),2)="Cores",IF(HostBuild[Use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2" s="552">
        <f>IFERROR(IF(FIND(CV$1,$W42)&gt;0,IF(INDEX(Product_Pricing_Table[],MATCH(CV$1,Products,0),2)="Cores",IF(HostBuild[Use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2" s="552">
        <f>IFERROR(IF(FIND(CW$1,$W42)&gt;0,IF(INDEX(Product_Pricing_Table[],MATCH(CW$1,Products,0),2)="Cores",IF(HostBuild[Use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2" s="552">
        <f>IFERROR(IF(FIND(CX$1,$W42)&gt;0,IF(INDEX(Product_Pricing_Table[],MATCH(CX$1,Products,0),2)="Cores",IF(HostBuild[Use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2" s="552">
        <f>IFERROR(IF(FIND(CY$1,$W42)&gt;0,IF(INDEX(Product_Pricing_Table[],MATCH(CY$1,Products,0),2)="Cores",IF(HostBuild[Use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2" s="552">
        <f>IFERROR(IF(FIND(CZ$1,$W42)&gt;0,IF(INDEX(Product_Pricing_Table[],MATCH(CZ$1,Products,0),2)="Cores",IF(HostBuild[Use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2" s="552">
        <f>IFERROR(IF(FIND(DA$1,$W42)&gt;0,IF(INDEX(Product_Pricing_Table[],MATCH(DA$1,Products,0),2)="Cores",IF(HostBuild[Use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2" s="552">
        <f>IFERROR(IF(FIND(DB$1,$W42)&gt;0,IF(INDEX(Product_Pricing_Table[],MATCH(DB$1,Products,0),2)="Cores",IF(HostBuild[Use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2" s="552">
        <f>IFERROR(IF(FIND(DC$1,$W42)&gt;0,IF(INDEX(Product_Pricing_Table[],MATCH(DC$1,Products,0),2)="Cores",IF(HostBuild[Use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2" s="552">
        <f>IFERROR(IF(FIND(DD$1,$W42)&gt;0,IF(INDEX(Product_Pricing_Table[],MATCH(DD$1,Products,0),2)="Cores",IF(HostBuild[Use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2" s="552">
        <f>IFERROR(IF(FIND(DE$1,$W42)&gt;0,IF(INDEX(Product_Pricing_Table[],MATCH(DE$1,Products,0),2)="Cores",IF(HostBuild[Use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2" s="553">
        <f>IFERROR(IF(FIND(DF$1,$W42)&gt;0,IF(INDEX(Product_Pricing_Table[],MATCH(DF$1,Products,0),2)="Cores",IF(HostBuild[Use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2" s="553">
        <f>IFERROR(IF(FIND(DG$1,$W42)&gt;0,IF(INDEX(Product_Pricing_Table[],MATCH(DG$1,Products,0),2)="Cores",IF(HostBuild[Use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2" s="552">
        <f>IFERROR(IF(FIND(DH$1,$W42)&gt;0,IF(INDEX(Product_Pricing_Table[],MATCH(DH$1,Products,0),2)="Cores",IF(HostBuild[Use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2" s="553">
        <f>IFERROR(IF(FIND(DI$1,$W42)&gt;0,IF(INDEX(Product_Pricing_Table[],MATCH(DI$1,Products,0),2)="Cores",IF(HostBuild[Use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2" s="552">
        <f>IFERROR(IF(FIND(DJ$1,$W42)&gt;0,IF(INDEX(Product_Pricing_Table[],MATCH(DJ$1,Products,0),2)="Cores",IF(HostBuild[Use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2" s="552">
        <f>IFERROR(IF(FIND(DK$1,$W42)&gt;0,IF(INDEX(Product_Pricing_Table[],MATCH(DK$1,Products,0),2)="Cores",IF(HostBuild[Use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2" s="552">
        <f>IFERROR(IF(FIND(DL$1,$W42)&gt;0,IF(INDEX(Product_Pricing_Table[],MATCH(DL$1,Products,0),2)="Cores",IF(HostBuild[Use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2" s="552">
        <f>IFERROR(IF(FIND(DM$1,$W42)&gt;0,IF(INDEX(Product_Pricing_Table[],MATCH(DM$1,Products,0),2)="Cores",IF(HostBuild[Use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2" s="552">
        <f>IFERROR(IF(FIND(DN$1,$W42)&gt;0,IF(INDEX(Product_Pricing_Table[],MATCH(DN$1,Products,0),2)="Cores",IF(HostBuild[Use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2" s="552">
        <f>IFERROR(IF(FIND(DO$1,$W42)&gt;0,IF(INDEX(Product_Pricing_Table[],MATCH(DO$1,Products,0),2)="Cores",IF(HostBuild[Use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2" s="552">
        <f>IFERROR(IF(FIND(DP$1,$W42)&gt;0,IF(INDEX(Product_Pricing_Table[],MATCH(DP$1,Products,0),2)="Cores",IF(HostBuild[Use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2" s="552">
        <f>IFERROR(IF(FIND(DQ$1,$W42)&gt;0,IF(INDEX(Product_Pricing_Table[],MATCH(DQ$1,Products,0),2)="Cores",IF(HostBuild[Use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2" s="552">
        <f>IFERROR(IF(FIND(DR$1,$W42)&gt;0,IF(INDEX(Product_Pricing_Table[],MATCH(DR$1,Products,0),2)="Cores",IF(HostBuild[Use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2" s="552">
        <f>IFERROR(IF(FIND(DS$1,$W42)&gt;0,IF(INDEX(Product_Pricing_Table[],MATCH(DS$1,Products,0),2)="Cores",IF(HostBuild[Use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2" s="552">
        <f>IFERROR(IF(FIND(DT$1,$W42)&gt;0,IF(INDEX(Product_Pricing_Table[],MATCH(DT$1,Products,0),2)="Cores",IF(HostBuild[Use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2" s="552">
        <f>IFERROR(IF(FIND(DU$1,$W42)&gt;0,IF(INDEX(Product_Pricing_Table[],MATCH(DU$1,Products,0),2)="Cores",IF(HostBuild[Use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2" s="552">
        <f>IFERROR(IF(FIND(DV$1,$W42)&gt;0,IF(INDEX(Product_Pricing_Table[],MATCH(DV$1,Products,0),2)="Cores",IF(HostBuild[Use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2" s="552">
        <f>IFERROR(IF(FIND(DW$1,$W42)&gt;0,IF(INDEX(Product_Pricing_Table[],MATCH(DW$1,Products,0),2)="Cores",IF(HostBuild[Use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2" s="552">
        <f>IFERROR(IF(FIND(DX$1,$W42)&gt;0,IF(INDEX(Product_Pricing_Table[],MATCH(DX$1,Products,0),2)="Cores",IF(HostBuild[Use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2" s="552">
        <f>IFERROR(IF(FIND(DY$1,$W42)&gt;0,IF(INDEX(Product_Pricing_Table[],MATCH(DY$1,Products,0),2)="Cores",IF(HostBuild[Use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2" s="552">
        <f>IFERROR(IF(FIND(DZ$1,$W42)&gt;0,IF(INDEX(Product_Pricing_Table[],MATCH(DZ$1,Products,0),2)="Cores",IF(HostBuild[Use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2" s="552">
        <f>IFERROR(IF(FIND(EA$1,$W42)&gt;0,IF(INDEX(Product_Pricing_Table[],MATCH(EA$1,Products,0),2)="Cores",IF(HostBuild[Use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2" s="552">
        <f>IFERROR(IF(FIND(EB$1,$W42)&gt;0,IF(INDEX(Product_Pricing_Table[],MATCH(EB$1,Products,0),2)="Cores",IF(HostBuild[Use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2" s="553">
        <f>IFERROR(IF(FIND(EC$1,$W42)&gt;0,IF(INDEX(Product_Pricing_Table[],MATCH(EC$1,Products,0),2)="Cores",IF(HostBuild[Use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2" s="552">
        <f>IFERROR(IF(FIND(ED$1,$W42)&gt;0,IF(INDEX(Product_Pricing_Table[],MATCH(ED$1,Products,0),2)="Cores",IF(HostBuild[Use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2" s="552">
        <f>IFERROR(IF(FIND(EE$1,$W42)&gt;0,IF(INDEX(Product_Pricing_Table[],MATCH(EE$1,Products,0),2)="Cores",IF(HostBuild[Use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2" s="552">
        <f>IFERROR(IF(FIND(EF$1,$W42)&gt;0,IF(INDEX(Product_Pricing_Table[],MATCH(EF$1,Products,0),2)="Cores",IF(HostBuild[Use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2" s="552">
        <f>IFERROR(IF(FIND(EG$1,$W42)&gt;0,IF(INDEX(Product_Pricing_Table[],MATCH(EG$1,Products,0),2)="Cores",IF(HostBuild[Use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2" s="552">
        <f>IFERROR(IF(FIND(EH$1,$W42)&gt;0,IF(INDEX(Product_Pricing_Table[],MATCH(EH$1,Products,0),2)="Cores",IF(HostBuild[Use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2" s="552">
        <f>IFERROR(IF(FIND(EI$1,$W42)&gt;0,IF(INDEX(Product_Pricing_Table[],MATCH(EI$1,Products,0),2)="Cores",IF(HostBuild[Use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2" s="552">
        <f>IFERROR(IF(FIND(EJ$1,$W42)&gt;0,IF(INDEX(Product_Pricing_Table[],MATCH(EJ$1,Products,0),2)="Cores",IF(HostBuild[Use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2" s="553">
        <f>IFERROR(IF(FIND(EK$1,$W42)&gt;0,IF(INDEX(Product_Pricing_Table[],MATCH(EK$1,Products,0),2)="Cores",IF(HostBuild[Use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2" s="554"/>
      <c r="EM42" s="555"/>
      <c r="EN42" s="556"/>
      <c r="EO4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2" s="558">
        <f>(HostBuild[Archive
Full (GB)]+HostBuild[Archive
Incr (GB)])*Storage_DC_Dist_Tape_2014</f>
        <v>0</v>
      </c>
      <c r="ER42" s="558">
        <f>IF(ISNUMBER(HostBuild[Server HW Costs
(Monthly)]),SUM(HostBuild[[#This Row],[Server HW Costs
(Monthly)]:[Tape Costs
(Monthly)]]),0)</f>
        <v>0</v>
      </c>
      <c r="ES42" s="559">
        <f>HostBuild[Software Costs
'[Year 1']
(Monthly)]+HostBuild[Total Hardware Costs
(Monthly)]</f>
        <v>0</v>
      </c>
      <c r="ET42" s="559">
        <f>IFERROR(IF(FIND("Safenet",HostBuild[Server Model]),Safenet_PSE_PL600_Maint,0),0)+IFERROR(IF(FIND("XI52",HostBuild[Server Model]),IBM_DIA_XI52_Maint,0),0)+HostBuild[Software Costs
'[After Year 1']
(Monthly)]+HostBuild[Total Hardware Costs
(Monthly)]</f>
        <v>0</v>
      </c>
      <c r="EU42" s="560">
        <f>SUM(HostBuild[[#This Row],[Server Cost Breakdown]:[Network Cost]])</f>
        <v>0</v>
      </c>
      <c r="EV42" s="561">
        <f>IF(HostBuild[Existing Server?]="Yes - Inside this BoM",0,SUMIF(HostBuild[Alias],HostBuild[Alias],HostBuild[CPU])+SUMIF(HostBuild[Alias],HostBuild[Alias],HostBuild[Existing CPUs]))</f>
        <v>0</v>
      </c>
      <c r="EW42" s="561">
        <f>IF(HostBuild[Existing Server?]="Yes - Inside this BoM",0,SUMIF(HostBuild[Alias],HostBuild[Alias],HostBuild[Cores 
(Licensed Units)])+SUMIF(HostBuild[Alias],HostBuild[Alias],HostBuild[Existing Cores]))</f>
        <v>0</v>
      </c>
      <c r="EX42" s="561">
        <f>IF(HostBuild[Existing Server?]="Yes - Inside this BoM",0,SUMIF(HostBuild[Alias],HostBuild[Alias],HostBuild[RAM 
(GB)])+SUMIF(HostBuild[Alias],HostBuild[Alias],HostBuild[Existing RAM (GB)]))</f>
        <v>0</v>
      </c>
      <c r="EY4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2" s="560">
        <f>IF(ISBLANK(HostBuild[Server Model]),0,IF(HostBuild[Server Tier]="VMware",0,VLOOKUP(HostBuild[Server Tier],ServerTierRates[#Data],2,0))*HostBuild[CPU]*IF(AND(HostBuild[Server Type]="pSeries",HostBuild[Virtual Platform Storage Type]="Cloud-SAN"),0.25,1))</f>
        <v>0</v>
      </c>
      <c r="FD42" s="560">
        <f>0</f>
        <v>0</v>
      </c>
      <c r="FE42" s="560">
        <f>IF(HostBuild[Server Type]="VMware",HostBuild[RAM 
(GB)]*IF(ISERROR(FIND("DevCloud", HostBuild[Server Model])&gt;0),vRAM_per_vCPU_2014_Monthly,vRAM_per_vCPU_2014_Daily*30),0)</f>
        <v>0</v>
      </c>
      <c r="FF4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2" s="563">
        <f>IF(HostBuild[Server Tier]="VMware",0,IF(LEFT(HostBuild[Existing Server?],3)="Yes",0,IF(OR(HostBuild[Server Type]="Sun",HostBuild[Server Type]="pSeries"),Support_Direct_Server_Sun_per_OS_2014,IF(HostBuild[Server Type]="x86",Support_Direct_Server_x86_Wintel_per_OS_2014,0))))</f>
        <v>0</v>
      </c>
      <c r="FI4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3" spans="1:165" s="262" customFormat="1" ht="15.75" customHeight="1">
      <c r="A43" s="360" t="s">
        <v>3942</v>
      </c>
      <c r="B43" s="521"/>
      <c r="C43" s="521"/>
      <c r="D43" s="521"/>
      <c r="E43" s="522"/>
      <c r="F43" s="522"/>
      <c r="G43" s="597"/>
      <c r="H43" s="597"/>
      <c r="I43" s="523"/>
      <c r="J43" s="522"/>
      <c r="K43" s="522"/>
      <c r="L43" s="522"/>
      <c r="M43" s="597" t="e">
        <f ca="1">IF(rngIsDate(HostBuild[CTO Acceptance]),"Y","N")</f>
        <v>#NAME?</v>
      </c>
      <c r="N43" s="361" t="s">
        <v>3938</v>
      </c>
      <c r="O43" s="525"/>
      <c r="P43" s="525"/>
      <c r="Q43" s="361" t="s">
        <v>211</v>
      </c>
      <c r="R43" s="526" t="str">
        <f>IF(NOT(ISBLANK(HostBuild[Env Label])),IFERROR(VLOOKUP(HostBuild[Env Label],tEnv[],3,FALSE),""),"")</f>
        <v>COB</v>
      </c>
      <c r="S43" s="598"/>
      <c r="T43" s="527"/>
      <c r="U43" s="599"/>
      <c r="V43" s="524" t="s">
        <v>4000</v>
      </c>
      <c r="W43" s="524" t="s">
        <v>3940</v>
      </c>
      <c r="X43" s="524" t="s">
        <v>35</v>
      </c>
      <c r="Y43" s="361" t="s">
        <v>481</v>
      </c>
      <c r="Z43" s="526" t="str">
        <f>IF(NOT(ISBLANK(HostBuild[[#This Row],[Product 
(Acronym)]])),CONCATENATE(HostBuild[[#This Row],[Type]],"-",HostBuild[[#This Row],[Product 
(Acronym)]]),"")</f>
        <v>AP-ESB</v>
      </c>
      <c r="AA43" s="600"/>
      <c r="AB43" s="600" t="s">
        <v>3985</v>
      </c>
      <c r="AC43" s="528"/>
      <c r="AD43" s="529"/>
      <c r="AE43" s="529"/>
      <c r="AF43" s="530" t="s">
        <v>3986</v>
      </c>
      <c r="AG43" s="531"/>
      <c r="AH43" s="601"/>
      <c r="AI43" s="362" t="s">
        <v>4135</v>
      </c>
      <c r="AJ43" s="617">
        <f>IF(COUNTIF(HostBuild[Alias],HostBuild[Alias]),1/COUNTIF(HostBuild[Alias],HostBuild[Alias]),0)</f>
        <v>1</v>
      </c>
      <c r="AK43" s="531"/>
      <c r="AL43" s="531"/>
      <c r="AM43" s="532" t="s">
        <v>2173</v>
      </c>
      <c r="AN43" s="533" t="str">
        <f>IF(NOT(ISBLANK(HostBuild[Server Model])),VLOOKUP(HostBuild[Server Model],ServerModelsTier[],2,FALSE),"")</f>
        <v>x86 Tier 3</v>
      </c>
      <c r="AO43" s="533" t="str">
        <f>IF(NOT(ISBLANK(HostBuild[Server Model])),VLOOKUP(HostBuild[Server Model],ServerModelsTier[],5,FALSE),"")</f>
        <v>x86</v>
      </c>
      <c r="AP43" s="532"/>
      <c r="AQ43" s="532" t="s">
        <v>2337</v>
      </c>
      <c r="AR43" s="534"/>
      <c r="AS43" s="602"/>
      <c r="AT43" s="535"/>
      <c r="AU43" s="603" t="str">
        <f>IF(IFERROR(FIND("P-Series",HostBuild[Server Tier]),0),CEILING((HostBuild[Existing CPUs]+HostBuild[CPU])*16,8),"")</f>
        <v/>
      </c>
      <c r="AV43" s="536"/>
      <c r="AW43" s="531"/>
      <c r="AX43" s="531"/>
      <c r="AY43" s="531"/>
      <c r="AZ43" s="537"/>
      <c r="BA43" s="531"/>
      <c r="BB43" s="531"/>
      <c r="BC43" s="529"/>
      <c r="BD43" s="531"/>
      <c r="BE43" s="531"/>
      <c r="BF43" s="531"/>
      <c r="BG43" s="531"/>
      <c r="BH43" s="531"/>
      <c r="BI43" s="531"/>
      <c r="BJ43" s="531"/>
      <c r="BK43"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43" s="538"/>
      <c r="BM43" s="540">
        <f>IF(ISNUMBER(HostBuild[Recommended SAN (GB)]),HostBuild[Recommended SAN (GB)])+IF(HostBuild[Additional SAN (GB)]&gt;0,CEILING(HostBuild[Additional SAN (GB)],LUN),-(CEILING(-HostBuild[Additional SAN (GB)],LUN)))</f>
        <v>0</v>
      </c>
      <c r="BN43" s="539"/>
      <c r="BO43" s="540">
        <f>HostBuild[SAN (GB)
NEEDED TODAY]+CEILING(HostBuild[SAN (GB)
RESERVED
DO NOT USE TO BUILD], LUN)</f>
        <v>0</v>
      </c>
      <c r="BP43" s="541"/>
      <c r="BQ43" s="542"/>
      <c r="BR43" s="432" t="s">
        <v>106</v>
      </c>
      <c r="BS43" s="605">
        <f>IF(HostBuild[Existing Server?]&lt;&gt;"Yes - Inside this BoM",IF(ISNUMBER(HostBuild[RAM 
(GB)]),IF(HostBuild[Existing RAM (GB)]+HostBuild[RAM 
(GB)]&gt;0,IF(HostBuild[Virtual Platform Storage Type]="NAS",110+HostBuild[Existing RAM (GB)]+HostBuild[RAM 
(GB)]*1.75,0),0),0),0)</f>
        <v>0</v>
      </c>
      <c r="BT43" s="606"/>
      <c r="BU43" s="607">
        <f>IF(ISNUMBER(HostBuild[Recommended NAS (GB)]),HostBuild[Recommended NAS (GB)])+HostBuild[Additional NAS (GB)]</f>
        <v>0</v>
      </c>
      <c r="BV43" s="543"/>
      <c r="BW43" s="543"/>
      <c r="BX43" s="604">
        <f>IFERROR((HostBuild[SAN (GB)
End-State
DO NOT USE TO BUILD]+HostBuild[SAN (GB) Shared])*25%,"")</f>
        <v>0</v>
      </c>
      <c r="BY43" s="608">
        <f>IFERROR(HostBuild[Archive
Full (GB)]*15%,"")</f>
        <v>0</v>
      </c>
      <c r="BZ43" s="544"/>
      <c r="CA43" s="544"/>
      <c r="CB43" s="545"/>
      <c r="CC43" s="546"/>
      <c r="CD43" s="545"/>
      <c r="CE43" s="547"/>
      <c r="CF43" s="539"/>
      <c r="CG43" s="609"/>
      <c r="CH43" s="548"/>
      <c r="CI43" s="549"/>
      <c r="CJ43" s="550" t="s">
        <v>4127</v>
      </c>
      <c r="CK43" s="551"/>
      <c r="CL43" s="552">
        <f>IFERROR(IF(FIND(CL$1,$W43)&gt;0,IF(INDEX(Product_Pricing_Table[],MATCH(CL$1,Products,0),2)="Cores",IF(HostBuild[Use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3" s="552">
        <f>IFERROR(IF(FIND(CM$1,$W43)&gt;0,IF(INDEX(Product_Pricing_Table[],MATCH(CM$1,Products,0),2)="Cores",IF(HostBuild[Use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3" s="552">
        <f>IFERROR(IF(FIND(CN$1,$W43)&gt;0,IF(INDEX(Product_Pricing_Table[],MATCH(CN$1,Products,0),2)="Cores",IF(HostBuild[Use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3" s="552">
        <f>IFERROR(IF(FIND(CO$1,$W43)&gt;0,IF(INDEX(Product_Pricing_Table[],MATCH(CO$1,Products,0),2)="Cores",IF(HostBuild[Use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3" s="552">
        <f>IFERROR(IF(FIND(CP$1,$W43)&gt;0,IF(INDEX(Product_Pricing_Table[],MATCH(CP$1,Products,0),2)="Cores",IF(HostBuild[Use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3" s="552">
        <f>IFERROR(IF(FIND(CQ$1,$W43)&gt;0,IF(INDEX(Product_Pricing_Table[],MATCH(CQ$1,Products,0),2)="Cores",IF(HostBuild[Use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3" s="552">
        <f>IFERROR(IF(FIND(CR$1,$W43)&gt;0,IF(INDEX(Product_Pricing_Table[],MATCH(CR$1,Products,0),2)="Cores",IF(HostBuild[Use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3" s="552">
        <f>IFERROR(IF(FIND(CS$1,$W43)&gt;0,IF(INDEX(Product_Pricing_Table[],MATCH(CS$1,Products,0),2)="Cores",IF(HostBuild[Use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3" s="552">
        <f>IFERROR(IF(FIND(CT$1,$W43)&gt;0,IF(INDEX(Product_Pricing_Table[],MATCH(CT$1,Products,0),2)="Cores",IF(HostBuild[Use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3" s="552">
        <f>IFERROR(IF(FIND(CU$1,$W43)&gt;0,IF(INDEX(Product_Pricing_Table[],MATCH(CU$1,Products,0),2)="Cores",IF(HostBuild[Use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3" s="552">
        <f>IFERROR(IF(FIND(CV$1,$W43)&gt;0,IF(INDEX(Product_Pricing_Table[],MATCH(CV$1,Products,0),2)="Cores",IF(HostBuild[Use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3" s="552">
        <f>IFERROR(IF(FIND(CW$1,$W43)&gt;0,IF(INDEX(Product_Pricing_Table[],MATCH(CW$1,Products,0),2)="Cores",IF(HostBuild[Use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3" s="552">
        <f>IFERROR(IF(FIND(CX$1,$W43)&gt;0,IF(INDEX(Product_Pricing_Table[],MATCH(CX$1,Products,0),2)="Cores",IF(HostBuild[Use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3" s="552">
        <f>IFERROR(IF(FIND(CY$1,$W43)&gt;0,IF(INDEX(Product_Pricing_Table[],MATCH(CY$1,Products,0),2)="Cores",IF(HostBuild[Use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3" s="552">
        <f>IFERROR(IF(FIND(CZ$1,$W43)&gt;0,IF(INDEX(Product_Pricing_Table[],MATCH(CZ$1,Products,0),2)="Cores",IF(HostBuild[Use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3" s="552">
        <f>IFERROR(IF(FIND(DA$1,$W43)&gt;0,IF(INDEX(Product_Pricing_Table[],MATCH(DA$1,Products,0),2)="Cores",IF(HostBuild[Use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3" s="552">
        <f>IFERROR(IF(FIND(DB$1,$W43)&gt;0,IF(INDEX(Product_Pricing_Table[],MATCH(DB$1,Products,0),2)="Cores",IF(HostBuild[Use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3" s="552">
        <f>IFERROR(IF(FIND(DC$1,$W43)&gt;0,IF(INDEX(Product_Pricing_Table[],MATCH(DC$1,Products,0),2)="Cores",IF(HostBuild[Use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3" s="552">
        <f>IFERROR(IF(FIND(DD$1,$W43)&gt;0,IF(INDEX(Product_Pricing_Table[],MATCH(DD$1,Products,0),2)="Cores",IF(HostBuild[Use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3" s="552">
        <f>IFERROR(IF(FIND(DE$1,$W43)&gt;0,IF(INDEX(Product_Pricing_Table[],MATCH(DE$1,Products,0),2)="Cores",IF(HostBuild[Use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3" s="553">
        <f>IFERROR(IF(FIND(DF$1,$W43)&gt;0,IF(INDEX(Product_Pricing_Table[],MATCH(DF$1,Products,0),2)="Cores",IF(HostBuild[Use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3" s="553">
        <f>IFERROR(IF(FIND(DG$1,$W43)&gt;0,IF(INDEX(Product_Pricing_Table[],MATCH(DG$1,Products,0),2)="Cores",IF(HostBuild[Use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3" s="552">
        <f>IFERROR(IF(FIND(DH$1,$W43)&gt;0,IF(INDEX(Product_Pricing_Table[],MATCH(DH$1,Products,0),2)="Cores",IF(HostBuild[Use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3" s="553">
        <f>IFERROR(IF(FIND(DI$1,$W43)&gt;0,IF(INDEX(Product_Pricing_Table[],MATCH(DI$1,Products,0),2)="Cores",IF(HostBuild[Use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3" s="552">
        <f>IFERROR(IF(FIND(DJ$1,$W43)&gt;0,IF(INDEX(Product_Pricing_Table[],MATCH(DJ$1,Products,0),2)="Cores",IF(HostBuild[Use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3" s="552">
        <f>IFERROR(IF(FIND(DK$1,$W43)&gt;0,IF(INDEX(Product_Pricing_Table[],MATCH(DK$1,Products,0),2)="Cores",IF(HostBuild[Use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3" s="552">
        <f>IFERROR(IF(FIND(DL$1,$W43)&gt;0,IF(INDEX(Product_Pricing_Table[],MATCH(DL$1,Products,0),2)="Cores",IF(HostBuild[Use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3" s="552">
        <f>IFERROR(IF(FIND(DM$1,$W43)&gt;0,IF(INDEX(Product_Pricing_Table[],MATCH(DM$1,Products,0),2)="Cores",IF(HostBuild[Use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3" s="552">
        <f>IFERROR(IF(FIND(DN$1,$W43)&gt;0,IF(INDEX(Product_Pricing_Table[],MATCH(DN$1,Products,0),2)="Cores",IF(HostBuild[Use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3" s="552">
        <f>IFERROR(IF(FIND(DO$1,$W43)&gt;0,IF(INDEX(Product_Pricing_Table[],MATCH(DO$1,Products,0),2)="Cores",IF(HostBuild[Use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3" s="552">
        <f>IFERROR(IF(FIND(DP$1,$W43)&gt;0,IF(INDEX(Product_Pricing_Table[],MATCH(DP$1,Products,0),2)="Cores",IF(HostBuild[Use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3" s="552">
        <f>IFERROR(IF(FIND(DQ$1,$W43)&gt;0,IF(INDEX(Product_Pricing_Table[],MATCH(DQ$1,Products,0),2)="Cores",IF(HostBuild[Use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3" s="552">
        <f>IFERROR(IF(FIND(DR$1,$W43)&gt;0,IF(INDEX(Product_Pricing_Table[],MATCH(DR$1,Products,0),2)="Cores",IF(HostBuild[Use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3" s="552">
        <f>IFERROR(IF(FIND(DS$1,$W43)&gt;0,IF(INDEX(Product_Pricing_Table[],MATCH(DS$1,Products,0),2)="Cores",IF(HostBuild[Use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3" s="552">
        <f>IFERROR(IF(FIND(DT$1,$W43)&gt;0,IF(INDEX(Product_Pricing_Table[],MATCH(DT$1,Products,0),2)="Cores",IF(HostBuild[Use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3" s="552">
        <f>IFERROR(IF(FIND(DU$1,$W43)&gt;0,IF(INDEX(Product_Pricing_Table[],MATCH(DU$1,Products,0),2)="Cores",IF(HostBuild[Use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3" s="552">
        <f>IFERROR(IF(FIND(DV$1,$W43)&gt;0,IF(INDEX(Product_Pricing_Table[],MATCH(DV$1,Products,0),2)="Cores",IF(HostBuild[Use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3" s="552">
        <f>IFERROR(IF(FIND(DW$1,$W43)&gt;0,IF(INDEX(Product_Pricing_Table[],MATCH(DW$1,Products,0),2)="Cores",IF(HostBuild[Use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3" s="552">
        <f>IFERROR(IF(FIND(DX$1,$W43)&gt;0,IF(INDEX(Product_Pricing_Table[],MATCH(DX$1,Products,0),2)="Cores",IF(HostBuild[Use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3" s="552">
        <f>IFERROR(IF(FIND(DY$1,$W43)&gt;0,IF(INDEX(Product_Pricing_Table[],MATCH(DY$1,Products,0),2)="Cores",IF(HostBuild[Use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3" s="552">
        <f>IFERROR(IF(FIND(DZ$1,$W43)&gt;0,IF(INDEX(Product_Pricing_Table[],MATCH(DZ$1,Products,0),2)="Cores",IF(HostBuild[Use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3" s="552">
        <f>IFERROR(IF(FIND(EA$1,$W43)&gt;0,IF(INDEX(Product_Pricing_Table[],MATCH(EA$1,Products,0),2)="Cores",IF(HostBuild[Use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3" s="552">
        <f>IFERROR(IF(FIND(EB$1,$W43)&gt;0,IF(INDEX(Product_Pricing_Table[],MATCH(EB$1,Products,0),2)="Cores",IF(HostBuild[Use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3" s="553">
        <f>IFERROR(IF(FIND(EC$1,$W43)&gt;0,IF(INDEX(Product_Pricing_Table[],MATCH(EC$1,Products,0),2)="Cores",IF(HostBuild[Use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3" s="552">
        <f>IFERROR(IF(FIND(ED$1,$W43)&gt;0,IF(INDEX(Product_Pricing_Table[],MATCH(ED$1,Products,0),2)="Cores",IF(HostBuild[Use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3" s="552">
        <f>IFERROR(IF(FIND(EE$1,$W43)&gt;0,IF(INDEX(Product_Pricing_Table[],MATCH(EE$1,Products,0),2)="Cores",IF(HostBuild[Use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3" s="552">
        <f>IFERROR(IF(FIND(EF$1,$W43)&gt;0,IF(INDEX(Product_Pricing_Table[],MATCH(EF$1,Products,0),2)="Cores",IF(HostBuild[Use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3" s="552">
        <f>IFERROR(IF(FIND(EG$1,$W43)&gt;0,IF(INDEX(Product_Pricing_Table[],MATCH(EG$1,Products,0),2)="Cores",IF(HostBuild[Use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3" s="552">
        <f>IFERROR(IF(FIND(EH$1,$W43)&gt;0,IF(INDEX(Product_Pricing_Table[],MATCH(EH$1,Products,0),2)="Cores",IF(HostBuild[Use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3" s="552">
        <f>IFERROR(IF(FIND(EI$1,$W43)&gt;0,IF(INDEX(Product_Pricing_Table[],MATCH(EI$1,Products,0),2)="Cores",IF(HostBuild[Use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3" s="552">
        <f>IFERROR(IF(FIND(EJ$1,$W43)&gt;0,IF(INDEX(Product_Pricing_Table[],MATCH(EJ$1,Products,0),2)="Cores",IF(HostBuild[Use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3" s="553">
        <f>IFERROR(IF(FIND(EK$1,$W43)&gt;0,IF(INDEX(Product_Pricing_Table[],MATCH(EK$1,Products,0),2)="Cores",IF(HostBuild[Use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3" s="554"/>
      <c r="EM43" s="555"/>
      <c r="EN43" s="556"/>
      <c r="EO4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3" s="558">
        <f>(HostBuild[Archive
Full (GB)]+HostBuild[Archive
Incr (GB)])*Storage_DC_Dist_Tape_2014</f>
        <v>0</v>
      </c>
      <c r="ER43" s="558">
        <f>IF(ISNUMBER(HostBuild[Server HW Costs
(Monthly)]),SUM(HostBuild[[#This Row],[Server HW Costs
(Monthly)]:[Tape Costs
(Monthly)]]),0)</f>
        <v>0</v>
      </c>
      <c r="ES43" s="559">
        <f>HostBuild[Software Costs
'[Year 1']
(Monthly)]+HostBuild[Total Hardware Costs
(Monthly)]</f>
        <v>0</v>
      </c>
      <c r="ET43" s="559">
        <f>IFERROR(IF(FIND("Safenet",HostBuild[Server Model]),Safenet_PSE_PL600_Maint,0),0)+IFERROR(IF(FIND("XI52",HostBuild[Server Model]),IBM_DIA_XI52_Maint,0),0)+HostBuild[Software Costs
'[After Year 1']
(Monthly)]+HostBuild[Total Hardware Costs
(Monthly)]</f>
        <v>0</v>
      </c>
      <c r="EU43" s="560">
        <f>SUM(HostBuild[[#This Row],[Server Cost Breakdown]:[Network Cost]])</f>
        <v>0</v>
      </c>
      <c r="EV43" s="561">
        <f>IF(HostBuild[Existing Server?]="Yes - Inside this BoM",0,SUMIF(HostBuild[Alias],HostBuild[Alias],HostBuild[CPU])+SUMIF(HostBuild[Alias],HostBuild[Alias],HostBuild[Existing CPUs]))</f>
        <v>0</v>
      </c>
      <c r="EW43" s="561">
        <f>IF(HostBuild[Existing Server?]="Yes - Inside this BoM",0,SUMIF(HostBuild[Alias],HostBuild[Alias],HostBuild[Cores 
(Licensed Units)])+SUMIF(HostBuild[Alias],HostBuild[Alias],HostBuild[Existing Cores]))</f>
        <v>0</v>
      </c>
      <c r="EX43" s="561">
        <f>IF(HostBuild[Existing Server?]="Yes - Inside this BoM",0,SUMIF(HostBuild[Alias],HostBuild[Alias],HostBuild[RAM 
(GB)])+SUMIF(HostBuild[Alias],HostBuild[Alias],HostBuild[Existing RAM (GB)]))</f>
        <v>0</v>
      </c>
      <c r="EY4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3" s="560">
        <f>IF(ISBLANK(HostBuild[Server Model]),0,IF(HostBuild[Server Tier]="VMware",0,VLOOKUP(HostBuild[Server Tier],ServerTierRates[#Data],2,0))*HostBuild[CPU]*IF(AND(HostBuild[Server Type]="pSeries",HostBuild[Virtual Platform Storage Type]="Cloud-SAN"),0.25,1))</f>
        <v>0</v>
      </c>
      <c r="FD43" s="560">
        <f>0</f>
        <v>0</v>
      </c>
      <c r="FE43" s="560">
        <f>IF(HostBuild[Server Type]="VMware",HostBuild[RAM 
(GB)]*IF(ISERROR(FIND("DevCloud", HostBuild[Server Model])&gt;0),vRAM_per_vCPU_2014_Monthly,vRAM_per_vCPU_2014_Daily*30),0)</f>
        <v>0</v>
      </c>
      <c r="FF4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3" s="563">
        <f>IF(HostBuild[Server Tier]="VMware",0,IF(LEFT(HostBuild[Existing Server?],3)="Yes",0,IF(OR(HostBuild[Server Type]="Sun",HostBuild[Server Type]="pSeries"),Support_Direct_Server_Sun_per_OS_2014,IF(HostBuild[Server Type]="x86",Support_Direct_Server_x86_Wintel_per_OS_2014,0))))</f>
        <v>0</v>
      </c>
      <c r="FI4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4" spans="1:165" s="262" customFormat="1" ht="15.75" customHeight="1">
      <c r="A44" s="360" t="s">
        <v>3942</v>
      </c>
      <c r="B44" s="521"/>
      <c r="C44" s="521"/>
      <c r="D44" s="521"/>
      <c r="E44" s="522"/>
      <c r="F44" s="522"/>
      <c r="G44" s="597"/>
      <c r="H44" s="597"/>
      <c r="I44" s="523"/>
      <c r="J44" s="522"/>
      <c r="K44" s="522"/>
      <c r="L44" s="522"/>
      <c r="M44" s="597" t="e">
        <f ca="1">IF(rngIsDate(HostBuild[CTO Acceptance]),"Y","N")</f>
        <v>#NAME?</v>
      </c>
      <c r="N44" s="361" t="s">
        <v>3938</v>
      </c>
      <c r="O44" s="525"/>
      <c r="P44" s="525"/>
      <c r="Q44" s="361" t="s">
        <v>211</v>
      </c>
      <c r="R44" s="526" t="str">
        <f>IF(NOT(ISBLANK(HostBuild[Env Label])),IFERROR(VLOOKUP(HostBuild[Env Label],tEnv[],3,FALSE),""),"")</f>
        <v>COB</v>
      </c>
      <c r="S44" s="598"/>
      <c r="T44" s="527"/>
      <c r="U44" s="599"/>
      <c r="V44" s="524" t="s">
        <v>4000</v>
      </c>
      <c r="W44" s="524" t="s">
        <v>3940</v>
      </c>
      <c r="X44" s="524" t="s">
        <v>35</v>
      </c>
      <c r="Y44" s="361" t="s">
        <v>481</v>
      </c>
      <c r="Z44" s="526" t="str">
        <f>IF(NOT(ISBLANK(HostBuild[[#This Row],[Product 
(Acronym)]])),CONCATENATE(HostBuild[[#This Row],[Type]],"-",HostBuild[[#This Row],[Product 
(Acronym)]]),"")</f>
        <v>AP-ESB</v>
      </c>
      <c r="AA44" s="600"/>
      <c r="AB44" s="600" t="s">
        <v>3985</v>
      </c>
      <c r="AC44" s="528"/>
      <c r="AD44" s="529"/>
      <c r="AE44" s="529"/>
      <c r="AF44" s="530" t="s">
        <v>3986</v>
      </c>
      <c r="AG44" s="531"/>
      <c r="AH44" s="601"/>
      <c r="AI44" s="362" t="s">
        <v>4136</v>
      </c>
      <c r="AJ44" s="617">
        <f>IF(COUNTIF(HostBuild[Alias],HostBuild[Alias]),1/COUNTIF(HostBuild[Alias],HostBuild[Alias]),0)</f>
        <v>1</v>
      </c>
      <c r="AK44" s="531"/>
      <c r="AL44" s="531"/>
      <c r="AM44" s="532" t="s">
        <v>2173</v>
      </c>
      <c r="AN44" s="533" t="str">
        <f>IF(NOT(ISBLANK(HostBuild[Server Model])),VLOOKUP(HostBuild[Server Model],ServerModelsTier[],2,FALSE),"")</f>
        <v>x86 Tier 3</v>
      </c>
      <c r="AO44" s="533" t="str">
        <f>IF(NOT(ISBLANK(HostBuild[Server Model])),VLOOKUP(HostBuild[Server Model],ServerModelsTier[],5,FALSE),"")</f>
        <v>x86</v>
      </c>
      <c r="AP44" s="532"/>
      <c r="AQ44" s="532" t="s">
        <v>2337</v>
      </c>
      <c r="AR44" s="534"/>
      <c r="AS44" s="602"/>
      <c r="AT44" s="535"/>
      <c r="AU44" s="603" t="str">
        <f>IF(IFERROR(FIND("P-Series",HostBuild[Server Tier]),0),CEILING((HostBuild[Existing CPUs]+HostBuild[CPU])*16,8),"")</f>
        <v/>
      </c>
      <c r="AV44" s="536"/>
      <c r="AW44" s="531"/>
      <c r="AX44" s="531"/>
      <c r="AY44" s="531"/>
      <c r="AZ44" s="537"/>
      <c r="BA44" s="531"/>
      <c r="BB44" s="531"/>
      <c r="BC44" s="529"/>
      <c r="BD44" s="531"/>
      <c r="BE44" s="531"/>
      <c r="BF44" s="531"/>
      <c r="BG44" s="531"/>
      <c r="BH44" s="531"/>
      <c r="BI44" s="531"/>
      <c r="BJ44" s="531"/>
      <c r="BK44"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44" s="538"/>
      <c r="BM44" s="540">
        <f>IF(ISNUMBER(HostBuild[Recommended SAN (GB)]),HostBuild[Recommended SAN (GB)])+IF(HostBuild[Additional SAN (GB)]&gt;0,CEILING(HostBuild[Additional SAN (GB)],LUN),-(CEILING(-HostBuild[Additional SAN (GB)],LUN)))</f>
        <v>0</v>
      </c>
      <c r="BN44" s="539"/>
      <c r="BO44" s="540">
        <f>HostBuild[SAN (GB)
NEEDED TODAY]+CEILING(HostBuild[SAN (GB)
RESERVED
DO NOT USE TO BUILD], LUN)</f>
        <v>0</v>
      </c>
      <c r="BP44" s="541"/>
      <c r="BQ44" s="542"/>
      <c r="BR44" s="432" t="s">
        <v>106</v>
      </c>
      <c r="BS44" s="605">
        <f>IF(HostBuild[Existing Server?]&lt;&gt;"Yes - Inside this BoM",IF(ISNUMBER(HostBuild[RAM 
(GB)]),IF(HostBuild[Existing RAM (GB)]+HostBuild[RAM 
(GB)]&gt;0,IF(HostBuild[Virtual Platform Storage Type]="NAS",110+HostBuild[Existing RAM (GB)]+HostBuild[RAM 
(GB)]*1.75,0),0),0),0)</f>
        <v>0</v>
      </c>
      <c r="BT44" s="606"/>
      <c r="BU44" s="607">
        <f>IF(ISNUMBER(HostBuild[Recommended NAS (GB)]),HostBuild[Recommended NAS (GB)])+HostBuild[Additional NAS (GB)]</f>
        <v>0</v>
      </c>
      <c r="BV44" s="543"/>
      <c r="BW44" s="543"/>
      <c r="BX44" s="604">
        <f>IFERROR((HostBuild[SAN (GB)
End-State
DO NOT USE TO BUILD]+HostBuild[SAN (GB) Shared])*25%,"")</f>
        <v>0</v>
      </c>
      <c r="BY44" s="608">
        <f>IFERROR(HostBuild[Archive
Full (GB)]*15%,"")</f>
        <v>0</v>
      </c>
      <c r="BZ44" s="544"/>
      <c r="CA44" s="544"/>
      <c r="CB44" s="545"/>
      <c r="CC44" s="546"/>
      <c r="CD44" s="545"/>
      <c r="CE44" s="547"/>
      <c r="CF44" s="539"/>
      <c r="CG44" s="609"/>
      <c r="CH44" s="548"/>
      <c r="CI44" s="549"/>
      <c r="CJ44" s="550" t="s">
        <v>4127</v>
      </c>
      <c r="CK44" s="551"/>
      <c r="CL44" s="552">
        <f>IFERROR(IF(FIND(CL$1,$W44)&gt;0,IF(INDEX(Product_Pricing_Table[],MATCH(CL$1,Products,0),2)="Cores",IF(HostBuild[Use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4" s="552">
        <f>IFERROR(IF(FIND(CM$1,$W44)&gt;0,IF(INDEX(Product_Pricing_Table[],MATCH(CM$1,Products,0),2)="Cores",IF(HostBuild[Use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4" s="552">
        <f>IFERROR(IF(FIND(CN$1,$W44)&gt;0,IF(INDEX(Product_Pricing_Table[],MATCH(CN$1,Products,0),2)="Cores",IF(HostBuild[Use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4" s="552">
        <f>IFERROR(IF(FIND(CO$1,$W44)&gt;0,IF(INDEX(Product_Pricing_Table[],MATCH(CO$1,Products,0),2)="Cores",IF(HostBuild[Use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4" s="552">
        <f>IFERROR(IF(FIND(CP$1,$W44)&gt;0,IF(INDEX(Product_Pricing_Table[],MATCH(CP$1,Products,0),2)="Cores",IF(HostBuild[Use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4" s="552">
        <f>IFERROR(IF(FIND(CQ$1,$W44)&gt;0,IF(INDEX(Product_Pricing_Table[],MATCH(CQ$1,Products,0),2)="Cores",IF(HostBuild[Use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4" s="552">
        <f>IFERROR(IF(FIND(CR$1,$W44)&gt;0,IF(INDEX(Product_Pricing_Table[],MATCH(CR$1,Products,0),2)="Cores",IF(HostBuild[Use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4" s="552">
        <f>IFERROR(IF(FIND(CS$1,$W44)&gt;0,IF(INDEX(Product_Pricing_Table[],MATCH(CS$1,Products,0),2)="Cores",IF(HostBuild[Use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4" s="552">
        <f>IFERROR(IF(FIND(CT$1,$W44)&gt;0,IF(INDEX(Product_Pricing_Table[],MATCH(CT$1,Products,0),2)="Cores",IF(HostBuild[Use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4" s="552">
        <f>IFERROR(IF(FIND(CU$1,$W44)&gt;0,IF(INDEX(Product_Pricing_Table[],MATCH(CU$1,Products,0),2)="Cores",IF(HostBuild[Use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4" s="552">
        <f>IFERROR(IF(FIND(CV$1,$W44)&gt;0,IF(INDEX(Product_Pricing_Table[],MATCH(CV$1,Products,0),2)="Cores",IF(HostBuild[Use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4" s="552">
        <f>IFERROR(IF(FIND(CW$1,$W44)&gt;0,IF(INDEX(Product_Pricing_Table[],MATCH(CW$1,Products,0),2)="Cores",IF(HostBuild[Use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4" s="552">
        <f>IFERROR(IF(FIND(CX$1,$W44)&gt;0,IF(INDEX(Product_Pricing_Table[],MATCH(CX$1,Products,0),2)="Cores",IF(HostBuild[Use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4" s="552">
        <f>IFERROR(IF(FIND(CY$1,$W44)&gt;0,IF(INDEX(Product_Pricing_Table[],MATCH(CY$1,Products,0),2)="Cores",IF(HostBuild[Use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4" s="552">
        <f>IFERROR(IF(FIND(CZ$1,$W44)&gt;0,IF(INDEX(Product_Pricing_Table[],MATCH(CZ$1,Products,0),2)="Cores",IF(HostBuild[Use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4" s="552">
        <f>IFERROR(IF(FIND(DA$1,$W44)&gt;0,IF(INDEX(Product_Pricing_Table[],MATCH(DA$1,Products,0),2)="Cores",IF(HostBuild[Use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4" s="552">
        <f>IFERROR(IF(FIND(DB$1,$W44)&gt;0,IF(INDEX(Product_Pricing_Table[],MATCH(DB$1,Products,0),2)="Cores",IF(HostBuild[Use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4" s="552">
        <f>IFERROR(IF(FIND(DC$1,$W44)&gt;0,IF(INDEX(Product_Pricing_Table[],MATCH(DC$1,Products,0),2)="Cores",IF(HostBuild[Use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4" s="552">
        <f>IFERROR(IF(FIND(DD$1,$W44)&gt;0,IF(INDEX(Product_Pricing_Table[],MATCH(DD$1,Products,0),2)="Cores",IF(HostBuild[Use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4" s="552">
        <f>IFERROR(IF(FIND(DE$1,$W44)&gt;0,IF(INDEX(Product_Pricing_Table[],MATCH(DE$1,Products,0),2)="Cores",IF(HostBuild[Use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4" s="553">
        <f>IFERROR(IF(FIND(DF$1,$W44)&gt;0,IF(INDEX(Product_Pricing_Table[],MATCH(DF$1,Products,0),2)="Cores",IF(HostBuild[Use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4" s="553">
        <f>IFERROR(IF(FIND(DG$1,$W44)&gt;0,IF(INDEX(Product_Pricing_Table[],MATCH(DG$1,Products,0),2)="Cores",IF(HostBuild[Use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4" s="552">
        <f>IFERROR(IF(FIND(DH$1,$W44)&gt;0,IF(INDEX(Product_Pricing_Table[],MATCH(DH$1,Products,0),2)="Cores",IF(HostBuild[Use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4" s="553">
        <f>IFERROR(IF(FIND(DI$1,$W44)&gt;0,IF(INDEX(Product_Pricing_Table[],MATCH(DI$1,Products,0),2)="Cores",IF(HostBuild[Use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4" s="552">
        <f>IFERROR(IF(FIND(DJ$1,$W44)&gt;0,IF(INDEX(Product_Pricing_Table[],MATCH(DJ$1,Products,0),2)="Cores",IF(HostBuild[Use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4" s="552">
        <f>IFERROR(IF(FIND(DK$1,$W44)&gt;0,IF(INDEX(Product_Pricing_Table[],MATCH(DK$1,Products,0),2)="Cores",IF(HostBuild[Use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4" s="552">
        <f>IFERROR(IF(FIND(DL$1,$W44)&gt;0,IF(INDEX(Product_Pricing_Table[],MATCH(DL$1,Products,0),2)="Cores",IF(HostBuild[Use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4" s="552">
        <f>IFERROR(IF(FIND(DM$1,$W44)&gt;0,IF(INDEX(Product_Pricing_Table[],MATCH(DM$1,Products,0),2)="Cores",IF(HostBuild[Use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4" s="552">
        <f>IFERROR(IF(FIND(DN$1,$W44)&gt;0,IF(INDEX(Product_Pricing_Table[],MATCH(DN$1,Products,0),2)="Cores",IF(HostBuild[Use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4" s="552">
        <f>IFERROR(IF(FIND(DO$1,$W44)&gt;0,IF(INDEX(Product_Pricing_Table[],MATCH(DO$1,Products,0),2)="Cores",IF(HostBuild[Use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4" s="552">
        <f>IFERROR(IF(FIND(DP$1,$W44)&gt;0,IF(INDEX(Product_Pricing_Table[],MATCH(DP$1,Products,0),2)="Cores",IF(HostBuild[Use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4" s="552">
        <f>IFERROR(IF(FIND(DQ$1,$W44)&gt;0,IF(INDEX(Product_Pricing_Table[],MATCH(DQ$1,Products,0),2)="Cores",IF(HostBuild[Use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4" s="552">
        <f>IFERROR(IF(FIND(DR$1,$W44)&gt;0,IF(INDEX(Product_Pricing_Table[],MATCH(DR$1,Products,0),2)="Cores",IF(HostBuild[Use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4" s="552">
        <f>IFERROR(IF(FIND(DS$1,$W44)&gt;0,IF(INDEX(Product_Pricing_Table[],MATCH(DS$1,Products,0),2)="Cores",IF(HostBuild[Use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4" s="552">
        <f>IFERROR(IF(FIND(DT$1,$W44)&gt;0,IF(INDEX(Product_Pricing_Table[],MATCH(DT$1,Products,0),2)="Cores",IF(HostBuild[Use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4" s="552">
        <f>IFERROR(IF(FIND(DU$1,$W44)&gt;0,IF(INDEX(Product_Pricing_Table[],MATCH(DU$1,Products,0),2)="Cores",IF(HostBuild[Use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4" s="552">
        <f>IFERROR(IF(FIND(DV$1,$W44)&gt;0,IF(INDEX(Product_Pricing_Table[],MATCH(DV$1,Products,0),2)="Cores",IF(HostBuild[Use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4" s="552">
        <f>IFERROR(IF(FIND(DW$1,$W44)&gt;0,IF(INDEX(Product_Pricing_Table[],MATCH(DW$1,Products,0),2)="Cores",IF(HostBuild[Use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4" s="552">
        <f>IFERROR(IF(FIND(DX$1,$W44)&gt;0,IF(INDEX(Product_Pricing_Table[],MATCH(DX$1,Products,0),2)="Cores",IF(HostBuild[Use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4" s="552">
        <f>IFERROR(IF(FIND(DY$1,$W44)&gt;0,IF(INDEX(Product_Pricing_Table[],MATCH(DY$1,Products,0),2)="Cores",IF(HostBuild[Use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4" s="552">
        <f>IFERROR(IF(FIND(DZ$1,$W44)&gt;0,IF(INDEX(Product_Pricing_Table[],MATCH(DZ$1,Products,0),2)="Cores",IF(HostBuild[Use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4" s="552">
        <f>IFERROR(IF(FIND(EA$1,$W44)&gt;0,IF(INDEX(Product_Pricing_Table[],MATCH(EA$1,Products,0),2)="Cores",IF(HostBuild[Use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4" s="552">
        <f>IFERROR(IF(FIND(EB$1,$W44)&gt;0,IF(INDEX(Product_Pricing_Table[],MATCH(EB$1,Products,0),2)="Cores",IF(HostBuild[Use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4" s="553">
        <f>IFERROR(IF(FIND(EC$1,$W44)&gt;0,IF(INDEX(Product_Pricing_Table[],MATCH(EC$1,Products,0),2)="Cores",IF(HostBuild[Use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4" s="552">
        <f>IFERROR(IF(FIND(ED$1,$W44)&gt;0,IF(INDEX(Product_Pricing_Table[],MATCH(ED$1,Products,0),2)="Cores",IF(HostBuild[Use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4" s="552">
        <f>IFERROR(IF(FIND(EE$1,$W44)&gt;0,IF(INDEX(Product_Pricing_Table[],MATCH(EE$1,Products,0),2)="Cores",IF(HostBuild[Use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4" s="552">
        <f>IFERROR(IF(FIND(EF$1,$W44)&gt;0,IF(INDEX(Product_Pricing_Table[],MATCH(EF$1,Products,0),2)="Cores",IF(HostBuild[Use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4" s="552">
        <f>IFERROR(IF(FIND(EG$1,$W44)&gt;0,IF(INDEX(Product_Pricing_Table[],MATCH(EG$1,Products,0),2)="Cores",IF(HostBuild[Use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4" s="552">
        <f>IFERROR(IF(FIND(EH$1,$W44)&gt;0,IF(INDEX(Product_Pricing_Table[],MATCH(EH$1,Products,0),2)="Cores",IF(HostBuild[Use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4" s="552">
        <f>IFERROR(IF(FIND(EI$1,$W44)&gt;0,IF(INDEX(Product_Pricing_Table[],MATCH(EI$1,Products,0),2)="Cores",IF(HostBuild[Use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4" s="552">
        <f>IFERROR(IF(FIND(EJ$1,$W44)&gt;0,IF(INDEX(Product_Pricing_Table[],MATCH(EJ$1,Products,0),2)="Cores",IF(HostBuild[Use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4" s="553">
        <f>IFERROR(IF(FIND(EK$1,$W44)&gt;0,IF(INDEX(Product_Pricing_Table[],MATCH(EK$1,Products,0),2)="Cores",IF(HostBuild[Use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4" s="554"/>
      <c r="EM44" s="555"/>
      <c r="EN44" s="556"/>
      <c r="EO4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4" s="558">
        <f>(HostBuild[Archive
Full (GB)]+HostBuild[Archive
Incr (GB)])*Storage_DC_Dist_Tape_2014</f>
        <v>0</v>
      </c>
      <c r="ER44" s="558">
        <f>IF(ISNUMBER(HostBuild[Server HW Costs
(Monthly)]),SUM(HostBuild[[#This Row],[Server HW Costs
(Monthly)]:[Tape Costs
(Monthly)]]),0)</f>
        <v>0</v>
      </c>
      <c r="ES44" s="559">
        <f>HostBuild[Software Costs
'[Year 1']
(Monthly)]+HostBuild[Total Hardware Costs
(Monthly)]</f>
        <v>0</v>
      </c>
      <c r="ET44" s="559">
        <f>IFERROR(IF(FIND("Safenet",HostBuild[Server Model]),Safenet_PSE_PL600_Maint,0),0)+IFERROR(IF(FIND("XI52",HostBuild[Server Model]),IBM_DIA_XI52_Maint,0),0)+HostBuild[Software Costs
'[After Year 1']
(Monthly)]+HostBuild[Total Hardware Costs
(Monthly)]</f>
        <v>0</v>
      </c>
      <c r="EU44" s="560">
        <f>SUM(HostBuild[[#This Row],[Server Cost Breakdown]:[Network Cost]])</f>
        <v>0</v>
      </c>
      <c r="EV44" s="561">
        <f>IF(HostBuild[Existing Server?]="Yes - Inside this BoM",0,SUMIF(HostBuild[Alias],HostBuild[Alias],HostBuild[CPU])+SUMIF(HostBuild[Alias],HostBuild[Alias],HostBuild[Existing CPUs]))</f>
        <v>0</v>
      </c>
      <c r="EW44" s="561">
        <f>IF(HostBuild[Existing Server?]="Yes - Inside this BoM",0,SUMIF(HostBuild[Alias],HostBuild[Alias],HostBuild[Cores 
(Licensed Units)])+SUMIF(HostBuild[Alias],HostBuild[Alias],HostBuild[Existing Cores]))</f>
        <v>0</v>
      </c>
      <c r="EX44" s="561">
        <f>IF(HostBuild[Existing Server?]="Yes - Inside this BoM",0,SUMIF(HostBuild[Alias],HostBuild[Alias],HostBuild[RAM 
(GB)])+SUMIF(HostBuild[Alias],HostBuild[Alias],HostBuild[Existing RAM (GB)]))</f>
        <v>0</v>
      </c>
      <c r="EY4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4" s="560">
        <f>IF(ISBLANK(HostBuild[Server Model]),0,IF(HostBuild[Server Tier]="VMware",0,VLOOKUP(HostBuild[Server Tier],ServerTierRates[#Data],2,0))*HostBuild[CPU]*IF(AND(HostBuild[Server Type]="pSeries",HostBuild[Virtual Platform Storage Type]="Cloud-SAN"),0.25,1))</f>
        <v>0</v>
      </c>
      <c r="FD44" s="560">
        <f>0</f>
        <v>0</v>
      </c>
      <c r="FE44" s="560">
        <f>IF(HostBuild[Server Type]="VMware",HostBuild[RAM 
(GB)]*IF(ISERROR(FIND("DevCloud", HostBuild[Server Model])&gt;0),vRAM_per_vCPU_2014_Monthly,vRAM_per_vCPU_2014_Daily*30),0)</f>
        <v>0</v>
      </c>
      <c r="FF4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4" s="563">
        <f>IF(HostBuild[Server Tier]="VMware",0,IF(LEFT(HostBuild[Existing Server?],3)="Yes",0,IF(OR(HostBuild[Server Type]="Sun",HostBuild[Server Type]="pSeries"),Support_Direct_Server_Sun_per_OS_2014,IF(HostBuild[Server Type]="x86",Support_Direct_Server_x86_Wintel_per_OS_2014,0))))</f>
        <v>0</v>
      </c>
      <c r="FI4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5" spans="1:165" s="262" customFormat="1" ht="15.75" customHeight="1">
      <c r="A45" s="360" t="s">
        <v>3942</v>
      </c>
      <c r="B45" s="521"/>
      <c r="C45" s="521"/>
      <c r="D45" s="521"/>
      <c r="E45" s="522"/>
      <c r="F45" s="522"/>
      <c r="G45" s="597"/>
      <c r="H45" s="597"/>
      <c r="I45" s="523"/>
      <c r="J45" s="522"/>
      <c r="K45" s="522"/>
      <c r="L45" s="522"/>
      <c r="M45" s="597" t="e">
        <f ca="1">IF(rngIsDate(HostBuild[CTO Acceptance]),"Y","N")</f>
        <v>#NAME?</v>
      </c>
      <c r="N45" s="361" t="s">
        <v>3938</v>
      </c>
      <c r="O45" s="525"/>
      <c r="P45" s="525"/>
      <c r="Q45" s="361" t="s">
        <v>211</v>
      </c>
      <c r="R45" s="526" t="str">
        <f>IF(NOT(ISBLANK(HostBuild[Env Label])),IFERROR(VLOOKUP(HostBuild[Env Label],tEnv[],3,FALSE),""),"")</f>
        <v>COB</v>
      </c>
      <c r="S45" s="598"/>
      <c r="T45" s="527"/>
      <c r="U45" s="599"/>
      <c r="V45" s="524" t="s">
        <v>4000</v>
      </c>
      <c r="W45" s="524" t="s">
        <v>3940</v>
      </c>
      <c r="X45" s="524" t="s">
        <v>35</v>
      </c>
      <c r="Y45" s="361" t="s">
        <v>481</v>
      </c>
      <c r="Z45" s="526" t="str">
        <f>IF(NOT(ISBLANK(HostBuild[[#This Row],[Product 
(Acronym)]])),CONCATENATE(HostBuild[[#This Row],[Type]],"-",HostBuild[[#This Row],[Product 
(Acronym)]]),"")</f>
        <v>AP-ESB</v>
      </c>
      <c r="AA45" s="600"/>
      <c r="AB45" s="600" t="s">
        <v>3985</v>
      </c>
      <c r="AC45" s="528"/>
      <c r="AD45" s="529"/>
      <c r="AE45" s="529"/>
      <c r="AF45" s="530" t="s">
        <v>3986</v>
      </c>
      <c r="AG45" s="531"/>
      <c r="AH45" s="601"/>
      <c r="AI45" s="362" t="s">
        <v>4137</v>
      </c>
      <c r="AJ45" s="617">
        <f>IF(COUNTIF(HostBuild[Alias],HostBuild[Alias]),1/COUNTIF(HostBuild[Alias],HostBuild[Alias]),0)</f>
        <v>1</v>
      </c>
      <c r="AK45" s="531"/>
      <c r="AL45" s="531"/>
      <c r="AM45" s="532" t="s">
        <v>2173</v>
      </c>
      <c r="AN45" s="533" t="str">
        <f>IF(NOT(ISBLANK(HostBuild[Server Model])),VLOOKUP(HostBuild[Server Model],ServerModelsTier[],2,FALSE),"")</f>
        <v>x86 Tier 3</v>
      </c>
      <c r="AO45" s="533" t="str">
        <f>IF(NOT(ISBLANK(HostBuild[Server Model])),VLOOKUP(HostBuild[Server Model],ServerModelsTier[],5,FALSE),"")</f>
        <v>x86</v>
      </c>
      <c r="AP45" s="532"/>
      <c r="AQ45" s="532" t="s">
        <v>2337</v>
      </c>
      <c r="AR45" s="534"/>
      <c r="AS45" s="602"/>
      <c r="AT45" s="535"/>
      <c r="AU45" s="603" t="str">
        <f>IF(IFERROR(FIND("P-Series",HostBuild[Server Tier]),0),CEILING((HostBuild[Existing CPUs]+HostBuild[CPU])*16,8),"")</f>
        <v/>
      </c>
      <c r="AV45" s="536"/>
      <c r="AW45" s="531"/>
      <c r="AX45" s="531"/>
      <c r="AY45" s="531"/>
      <c r="AZ45" s="537"/>
      <c r="BA45" s="531"/>
      <c r="BB45" s="531"/>
      <c r="BC45" s="529"/>
      <c r="BD45" s="531"/>
      <c r="BE45" s="531"/>
      <c r="BF45" s="531"/>
      <c r="BG45" s="531"/>
      <c r="BH45" s="531"/>
      <c r="BI45" s="531"/>
      <c r="BJ45" s="531"/>
      <c r="BK45"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45" s="538"/>
      <c r="BM45" s="540">
        <f>IF(ISNUMBER(HostBuild[Recommended SAN (GB)]),HostBuild[Recommended SAN (GB)])+IF(HostBuild[Additional SAN (GB)]&gt;0,CEILING(HostBuild[Additional SAN (GB)],LUN),-(CEILING(-HostBuild[Additional SAN (GB)],LUN)))</f>
        <v>0</v>
      </c>
      <c r="BN45" s="539"/>
      <c r="BO45" s="540">
        <f>HostBuild[SAN (GB)
NEEDED TODAY]+CEILING(HostBuild[SAN (GB)
RESERVED
DO NOT USE TO BUILD], LUN)</f>
        <v>0</v>
      </c>
      <c r="BP45" s="541"/>
      <c r="BQ45" s="542"/>
      <c r="BR45" s="432" t="s">
        <v>106</v>
      </c>
      <c r="BS45" s="605">
        <f>IF(HostBuild[Existing Server?]&lt;&gt;"Yes - Inside this BoM",IF(ISNUMBER(HostBuild[RAM 
(GB)]),IF(HostBuild[Existing RAM (GB)]+HostBuild[RAM 
(GB)]&gt;0,IF(HostBuild[Virtual Platform Storage Type]="NAS",110+HostBuild[Existing RAM (GB)]+HostBuild[RAM 
(GB)]*1.75,0),0),0),0)</f>
        <v>0</v>
      </c>
      <c r="BT45" s="606"/>
      <c r="BU45" s="607">
        <f>IF(ISNUMBER(HostBuild[Recommended NAS (GB)]),HostBuild[Recommended NAS (GB)])+HostBuild[Additional NAS (GB)]</f>
        <v>0</v>
      </c>
      <c r="BV45" s="543"/>
      <c r="BW45" s="543"/>
      <c r="BX45" s="604">
        <f>IFERROR((HostBuild[SAN (GB)
End-State
DO NOT USE TO BUILD]+HostBuild[SAN (GB) Shared])*25%,"")</f>
        <v>0</v>
      </c>
      <c r="BY45" s="608">
        <f>IFERROR(HostBuild[Archive
Full (GB)]*15%,"")</f>
        <v>0</v>
      </c>
      <c r="BZ45" s="544"/>
      <c r="CA45" s="544"/>
      <c r="CB45" s="545"/>
      <c r="CC45" s="546"/>
      <c r="CD45" s="545"/>
      <c r="CE45" s="547"/>
      <c r="CF45" s="539"/>
      <c r="CG45" s="609"/>
      <c r="CH45" s="548"/>
      <c r="CI45" s="549"/>
      <c r="CJ45" s="550" t="s">
        <v>4127</v>
      </c>
      <c r="CK45" s="551"/>
      <c r="CL45" s="552">
        <f>IFERROR(IF(FIND(CL$1,$W45)&gt;0,IF(INDEX(Product_Pricing_Table[],MATCH(CL$1,Products,0),2)="Cores",IF(HostBuild[Use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5" s="552">
        <f>IFERROR(IF(FIND(CM$1,$W45)&gt;0,IF(INDEX(Product_Pricing_Table[],MATCH(CM$1,Products,0),2)="Cores",IF(HostBuild[Use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5" s="552">
        <f>IFERROR(IF(FIND(CN$1,$W45)&gt;0,IF(INDEX(Product_Pricing_Table[],MATCH(CN$1,Products,0),2)="Cores",IF(HostBuild[Use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5" s="552">
        <f>IFERROR(IF(FIND(CO$1,$W45)&gt;0,IF(INDEX(Product_Pricing_Table[],MATCH(CO$1,Products,0),2)="Cores",IF(HostBuild[Use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5" s="552">
        <f>IFERROR(IF(FIND(CP$1,$W45)&gt;0,IF(INDEX(Product_Pricing_Table[],MATCH(CP$1,Products,0),2)="Cores",IF(HostBuild[Use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5" s="552">
        <f>IFERROR(IF(FIND(CQ$1,$W45)&gt;0,IF(INDEX(Product_Pricing_Table[],MATCH(CQ$1,Products,0),2)="Cores",IF(HostBuild[Use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5" s="552">
        <f>IFERROR(IF(FIND(CR$1,$W45)&gt;0,IF(INDEX(Product_Pricing_Table[],MATCH(CR$1,Products,0),2)="Cores",IF(HostBuild[Use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5" s="552">
        <f>IFERROR(IF(FIND(CS$1,$W45)&gt;0,IF(INDEX(Product_Pricing_Table[],MATCH(CS$1,Products,0),2)="Cores",IF(HostBuild[Use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5" s="552">
        <f>IFERROR(IF(FIND(CT$1,$W45)&gt;0,IF(INDEX(Product_Pricing_Table[],MATCH(CT$1,Products,0),2)="Cores",IF(HostBuild[Use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5" s="552">
        <f>IFERROR(IF(FIND(CU$1,$W45)&gt;0,IF(INDEX(Product_Pricing_Table[],MATCH(CU$1,Products,0),2)="Cores",IF(HostBuild[Use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5" s="552">
        <f>IFERROR(IF(FIND(CV$1,$W45)&gt;0,IF(INDEX(Product_Pricing_Table[],MATCH(CV$1,Products,0),2)="Cores",IF(HostBuild[Use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5" s="552">
        <f>IFERROR(IF(FIND(CW$1,$W45)&gt;0,IF(INDEX(Product_Pricing_Table[],MATCH(CW$1,Products,0),2)="Cores",IF(HostBuild[Use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5" s="552">
        <f>IFERROR(IF(FIND(CX$1,$W45)&gt;0,IF(INDEX(Product_Pricing_Table[],MATCH(CX$1,Products,0),2)="Cores",IF(HostBuild[Use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5" s="552">
        <f>IFERROR(IF(FIND(CY$1,$W45)&gt;0,IF(INDEX(Product_Pricing_Table[],MATCH(CY$1,Products,0),2)="Cores",IF(HostBuild[Use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5" s="552">
        <f>IFERROR(IF(FIND(CZ$1,$W45)&gt;0,IF(INDEX(Product_Pricing_Table[],MATCH(CZ$1,Products,0),2)="Cores",IF(HostBuild[Use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5" s="552">
        <f>IFERROR(IF(FIND(DA$1,$W45)&gt;0,IF(INDEX(Product_Pricing_Table[],MATCH(DA$1,Products,0),2)="Cores",IF(HostBuild[Use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5" s="552">
        <f>IFERROR(IF(FIND(DB$1,$W45)&gt;0,IF(INDEX(Product_Pricing_Table[],MATCH(DB$1,Products,0),2)="Cores",IF(HostBuild[Use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5" s="552">
        <f>IFERROR(IF(FIND(DC$1,$W45)&gt;0,IF(INDEX(Product_Pricing_Table[],MATCH(DC$1,Products,0),2)="Cores",IF(HostBuild[Use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5" s="552">
        <f>IFERROR(IF(FIND(DD$1,$W45)&gt;0,IF(INDEX(Product_Pricing_Table[],MATCH(DD$1,Products,0),2)="Cores",IF(HostBuild[Use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5" s="552">
        <f>IFERROR(IF(FIND(DE$1,$W45)&gt;0,IF(INDEX(Product_Pricing_Table[],MATCH(DE$1,Products,0),2)="Cores",IF(HostBuild[Use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5" s="553">
        <f>IFERROR(IF(FIND(DF$1,$W45)&gt;0,IF(INDEX(Product_Pricing_Table[],MATCH(DF$1,Products,0),2)="Cores",IF(HostBuild[Use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5" s="553">
        <f>IFERROR(IF(FIND(DG$1,$W45)&gt;0,IF(INDEX(Product_Pricing_Table[],MATCH(DG$1,Products,0),2)="Cores",IF(HostBuild[Use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5" s="552">
        <f>IFERROR(IF(FIND(DH$1,$W45)&gt;0,IF(INDEX(Product_Pricing_Table[],MATCH(DH$1,Products,0),2)="Cores",IF(HostBuild[Use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5" s="553">
        <f>IFERROR(IF(FIND(DI$1,$W45)&gt;0,IF(INDEX(Product_Pricing_Table[],MATCH(DI$1,Products,0),2)="Cores",IF(HostBuild[Use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5" s="552">
        <f>IFERROR(IF(FIND(DJ$1,$W45)&gt;0,IF(INDEX(Product_Pricing_Table[],MATCH(DJ$1,Products,0),2)="Cores",IF(HostBuild[Use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5" s="552">
        <f>IFERROR(IF(FIND(DK$1,$W45)&gt;0,IF(INDEX(Product_Pricing_Table[],MATCH(DK$1,Products,0),2)="Cores",IF(HostBuild[Use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5" s="552">
        <f>IFERROR(IF(FIND(DL$1,$W45)&gt;0,IF(INDEX(Product_Pricing_Table[],MATCH(DL$1,Products,0),2)="Cores",IF(HostBuild[Use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5" s="552">
        <f>IFERROR(IF(FIND(DM$1,$W45)&gt;0,IF(INDEX(Product_Pricing_Table[],MATCH(DM$1,Products,0),2)="Cores",IF(HostBuild[Use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5" s="552">
        <f>IFERROR(IF(FIND(DN$1,$W45)&gt;0,IF(INDEX(Product_Pricing_Table[],MATCH(DN$1,Products,0),2)="Cores",IF(HostBuild[Use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5" s="552">
        <f>IFERROR(IF(FIND(DO$1,$W45)&gt;0,IF(INDEX(Product_Pricing_Table[],MATCH(DO$1,Products,0),2)="Cores",IF(HostBuild[Use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5" s="552">
        <f>IFERROR(IF(FIND(DP$1,$W45)&gt;0,IF(INDEX(Product_Pricing_Table[],MATCH(DP$1,Products,0),2)="Cores",IF(HostBuild[Use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5" s="552">
        <f>IFERROR(IF(FIND(DQ$1,$W45)&gt;0,IF(INDEX(Product_Pricing_Table[],MATCH(DQ$1,Products,0),2)="Cores",IF(HostBuild[Use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5" s="552">
        <f>IFERROR(IF(FIND(DR$1,$W45)&gt;0,IF(INDEX(Product_Pricing_Table[],MATCH(DR$1,Products,0),2)="Cores",IF(HostBuild[Use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5" s="552">
        <f>IFERROR(IF(FIND(DS$1,$W45)&gt;0,IF(INDEX(Product_Pricing_Table[],MATCH(DS$1,Products,0),2)="Cores",IF(HostBuild[Use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5" s="552">
        <f>IFERROR(IF(FIND(DT$1,$W45)&gt;0,IF(INDEX(Product_Pricing_Table[],MATCH(DT$1,Products,0),2)="Cores",IF(HostBuild[Use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5" s="552">
        <f>IFERROR(IF(FIND(DU$1,$W45)&gt;0,IF(INDEX(Product_Pricing_Table[],MATCH(DU$1,Products,0),2)="Cores",IF(HostBuild[Use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5" s="552">
        <f>IFERROR(IF(FIND(DV$1,$W45)&gt;0,IF(INDEX(Product_Pricing_Table[],MATCH(DV$1,Products,0),2)="Cores",IF(HostBuild[Use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5" s="552">
        <f>IFERROR(IF(FIND(DW$1,$W45)&gt;0,IF(INDEX(Product_Pricing_Table[],MATCH(DW$1,Products,0),2)="Cores",IF(HostBuild[Use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5" s="552">
        <f>IFERROR(IF(FIND(DX$1,$W45)&gt;0,IF(INDEX(Product_Pricing_Table[],MATCH(DX$1,Products,0),2)="Cores",IF(HostBuild[Use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5" s="552">
        <f>IFERROR(IF(FIND(DY$1,$W45)&gt;0,IF(INDEX(Product_Pricing_Table[],MATCH(DY$1,Products,0),2)="Cores",IF(HostBuild[Use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5" s="552">
        <f>IFERROR(IF(FIND(DZ$1,$W45)&gt;0,IF(INDEX(Product_Pricing_Table[],MATCH(DZ$1,Products,0),2)="Cores",IF(HostBuild[Use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5" s="552">
        <f>IFERROR(IF(FIND(EA$1,$W45)&gt;0,IF(INDEX(Product_Pricing_Table[],MATCH(EA$1,Products,0),2)="Cores",IF(HostBuild[Use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5" s="552">
        <f>IFERROR(IF(FIND(EB$1,$W45)&gt;0,IF(INDEX(Product_Pricing_Table[],MATCH(EB$1,Products,0),2)="Cores",IF(HostBuild[Use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5" s="553">
        <f>IFERROR(IF(FIND(EC$1,$W45)&gt;0,IF(INDEX(Product_Pricing_Table[],MATCH(EC$1,Products,0),2)="Cores",IF(HostBuild[Use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5" s="552">
        <f>IFERROR(IF(FIND(ED$1,$W45)&gt;0,IF(INDEX(Product_Pricing_Table[],MATCH(ED$1,Products,0),2)="Cores",IF(HostBuild[Use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5" s="552">
        <f>IFERROR(IF(FIND(EE$1,$W45)&gt;0,IF(INDEX(Product_Pricing_Table[],MATCH(EE$1,Products,0),2)="Cores",IF(HostBuild[Use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5" s="552">
        <f>IFERROR(IF(FIND(EF$1,$W45)&gt;0,IF(INDEX(Product_Pricing_Table[],MATCH(EF$1,Products,0),2)="Cores",IF(HostBuild[Use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5" s="552">
        <f>IFERROR(IF(FIND(EG$1,$W45)&gt;0,IF(INDEX(Product_Pricing_Table[],MATCH(EG$1,Products,0),2)="Cores",IF(HostBuild[Use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5" s="552">
        <f>IFERROR(IF(FIND(EH$1,$W45)&gt;0,IF(INDEX(Product_Pricing_Table[],MATCH(EH$1,Products,0),2)="Cores",IF(HostBuild[Use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5" s="552">
        <f>IFERROR(IF(FIND(EI$1,$W45)&gt;0,IF(INDEX(Product_Pricing_Table[],MATCH(EI$1,Products,0),2)="Cores",IF(HostBuild[Use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5" s="552">
        <f>IFERROR(IF(FIND(EJ$1,$W45)&gt;0,IF(INDEX(Product_Pricing_Table[],MATCH(EJ$1,Products,0),2)="Cores",IF(HostBuild[Use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5" s="553">
        <f>IFERROR(IF(FIND(EK$1,$W45)&gt;0,IF(INDEX(Product_Pricing_Table[],MATCH(EK$1,Products,0),2)="Cores",IF(HostBuild[Use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5" s="554"/>
      <c r="EM45" s="555"/>
      <c r="EN45" s="556"/>
      <c r="EO4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5" s="558">
        <f>(HostBuild[Archive
Full (GB)]+HostBuild[Archive
Incr (GB)])*Storage_DC_Dist_Tape_2014</f>
        <v>0</v>
      </c>
      <c r="ER45" s="558">
        <f>IF(ISNUMBER(HostBuild[Server HW Costs
(Monthly)]),SUM(HostBuild[[#This Row],[Server HW Costs
(Monthly)]:[Tape Costs
(Monthly)]]),0)</f>
        <v>0</v>
      </c>
      <c r="ES45" s="559">
        <f>HostBuild[Software Costs
'[Year 1']
(Monthly)]+HostBuild[Total Hardware Costs
(Monthly)]</f>
        <v>0</v>
      </c>
      <c r="ET45" s="559">
        <f>IFERROR(IF(FIND("Safenet",HostBuild[Server Model]),Safenet_PSE_PL600_Maint,0),0)+IFERROR(IF(FIND("XI52",HostBuild[Server Model]),IBM_DIA_XI52_Maint,0),0)+HostBuild[Software Costs
'[After Year 1']
(Monthly)]+HostBuild[Total Hardware Costs
(Monthly)]</f>
        <v>0</v>
      </c>
      <c r="EU45" s="560">
        <f>SUM(HostBuild[[#This Row],[Server Cost Breakdown]:[Network Cost]])</f>
        <v>0</v>
      </c>
      <c r="EV45" s="561">
        <f>IF(HostBuild[Existing Server?]="Yes - Inside this BoM",0,SUMIF(HostBuild[Alias],HostBuild[Alias],HostBuild[CPU])+SUMIF(HostBuild[Alias],HostBuild[Alias],HostBuild[Existing CPUs]))</f>
        <v>0</v>
      </c>
      <c r="EW45" s="561">
        <f>IF(HostBuild[Existing Server?]="Yes - Inside this BoM",0,SUMIF(HostBuild[Alias],HostBuild[Alias],HostBuild[Cores 
(Licensed Units)])+SUMIF(HostBuild[Alias],HostBuild[Alias],HostBuild[Existing Cores]))</f>
        <v>0</v>
      </c>
      <c r="EX45" s="561">
        <f>IF(HostBuild[Existing Server?]="Yes - Inside this BoM",0,SUMIF(HostBuild[Alias],HostBuild[Alias],HostBuild[RAM 
(GB)])+SUMIF(HostBuild[Alias],HostBuild[Alias],HostBuild[Existing RAM (GB)]))</f>
        <v>0</v>
      </c>
      <c r="EY4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5" s="560">
        <f>IF(ISBLANK(HostBuild[Server Model]),0,IF(HostBuild[Server Tier]="VMware",0,VLOOKUP(HostBuild[Server Tier],ServerTierRates[#Data],2,0))*HostBuild[CPU]*IF(AND(HostBuild[Server Type]="pSeries",HostBuild[Virtual Platform Storage Type]="Cloud-SAN"),0.25,1))</f>
        <v>0</v>
      </c>
      <c r="FD45" s="560">
        <f>0</f>
        <v>0</v>
      </c>
      <c r="FE45" s="560">
        <f>IF(HostBuild[Server Type]="VMware",HostBuild[RAM 
(GB)]*IF(ISERROR(FIND("DevCloud", HostBuild[Server Model])&gt;0),vRAM_per_vCPU_2014_Monthly,vRAM_per_vCPU_2014_Daily*30),0)</f>
        <v>0</v>
      </c>
      <c r="FF4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5" s="563">
        <f>IF(HostBuild[Server Tier]="VMware",0,IF(LEFT(HostBuild[Existing Server?],3)="Yes",0,IF(OR(HostBuild[Server Type]="Sun",HostBuild[Server Type]="pSeries"),Support_Direct_Server_Sun_per_OS_2014,IF(HostBuild[Server Type]="x86",Support_Direct_Server_x86_Wintel_per_OS_2014,0))))</f>
        <v>0</v>
      </c>
      <c r="FI4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6" spans="1:165" s="262" customFormat="1" ht="15.75" customHeight="1">
      <c r="A46" s="360" t="s">
        <v>3942</v>
      </c>
      <c r="B46" s="521"/>
      <c r="C46" s="521"/>
      <c r="D46" s="521"/>
      <c r="E46" s="522"/>
      <c r="F46" s="522"/>
      <c r="G46" s="597"/>
      <c r="H46" s="597"/>
      <c r="I46" s="523"/>
      <c r="J46" s="522"/>
      <c r="K46" s="522"/>
      <c r="L46" s="522"/>
      <c r="M46" s="597" t="e">
        <f ca="1">IF(rngIsDate(HostBuild[CTO Acceptance]),"Y","N")</f>
        <v>#NAME?</v>
      </c>
      <c r="N46" s="361" t="s">
        <v>3938</v>
      </c>
      <c r="O46" s="525"/>
      <c r="P46" s="525"/>
      <c r="Q46" s="361" t="s">
        <v>211</v>
      </c>
      <c r="R46" s="526" t="str">
        <f>IF(NOT(ISBLANK(HostBuild[Env Label])),IFERROR(VLOOKUP(HostBuild[Env Label],tEnv[],3,FALSE),""),"")</f>
        <v>COB</v>
      </c>
      <c r="S46" s="598"/>
      <c r="T46" s="527"/>
      <c r="U46" s="599"/>
      <c r="V46" s="524" t="s">
        <v>4000</v>
      </c>
      <c r="W46" s="524" t="s">
        <v>3940</v>
      </c>
      <c r="X46" s="524" t="s">
        <v>35</v>
      </c>
      <c r="Y46" s="361" t="s">
        <v>481</v>
      </c>
      <c r="Z46" s="526" t="str">
        <f>IF(NOT(ISBLANK(HostBuild[[#This Row],[Product 
(Acronym)]])),CONCATENATE(HostBuild[[#This Row],[Type]],"-",HostBuild[[#This Row],[Product 
(Acronym)]]),"")</f>
        <v>AP-ESB</v>
      </c>
      <c r="AA46" s="600"/>
      <c r="AB46" s="600" t="s">
        <v>3985</v>
      </c>
      <c r="AC46" s="528"/>
      <c r="AD46" s="529"/>
      <c r="AE46" s="529"/>
      <c r="AF46" s="530" t="s">
        <v>3986</v>
      </c>
      <c r="AG46" s="531"/>
      <c r="AH46" s="601"/>
      <c r="AI46" s="362" t="s">
        <v>4138</v>
      </c>
      <c r="AJ46" s="617">
        <f>IF(COUNTIF(HostBuild[Alias],HostBuild[Alias]),1/COUNTIF(HostBuild[Alias],HostBuild[Alias]),0)</f>
        <v>1</v>
      </c>
      <c r="AK46" s="531"/>
      <c r="AL46" s="531"/>
      <c r="AM46" s="532" t="s">
        <v>2173</v>
      </c>
      <c r="AN46" s="533" t="str">
        <f>IF(NOT(ISBLANK(HostBuild[Server Model])),VLOOKUP(HostBuild[Server Model],ServerModelsTier[],2,FALSE),"")</f>
        <v>x86 Tier 3</v>
      </c>
      <c r="AO46" s="533" t="str">
        <f>IF(NOT(ISBLANK(HostBuild[Server Model])),VLOOKUP(HostBuild[Server Model],ServerModelsTier[],5,FALSE),"")</f>
        <v>x86</v>
      </c>
      <c r="AP46" s="532"/>
      <c r="AQ46" s="532" t="s">
        <v>2337</v>
      </c>
      <c r="AR46" s="534"/>
      <c r="AS46" s="602"/>
      <c r="AT46" s="535"/>
      <c r="AU46" s="603" t="str">
        <f>IF(IFERROR(FIND("P-Series",HostBuild[Server Tier]),0),CEILING((HostBuild[Existing CPUs]+HostBuild[CPU])*16,8),"")</f>
        <v/>
      </c>
      <c r="AV46" s="536"/>
      <c r="AW46" s="531"/>
      <c r="AX46" s="531"/>
      <c r="AY46" s="531"/>
      <c r="AZ46" s="537"/>
      <c r="BA46" s="531"/>
      <c r="BB46" s="531"/>
      <c r="BC46" s="529"/>
      <c r="BD46" s="531"/>
      <c r="BE46" s="531"/>
      <c r="BF46" s="531"/>
      <c r="BG46" s="531"/>
      <c r="BH46" s="531"/>
      <c r="BI46" s="531"/>
      <c r="BJ46" s="531"/>
      <c r="BK46"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46" s="538"/>
      <c r="BM46" s="540">
        <f>IF(ISNUMBER(HostBuild[Recommended SAN (GB)]),HostBuild[Recommended SAN (GB)])+IF(HostBuild[Additional SAN (GB)]&gt;0,CEILING(HostBuild[Additional SAN (GB)],LUN),-(CEILING(-HostBuild[Additional SAN (GB)],LUN)))</f>
        <v>0</v>
      </c>
      <c r="BN46" s="539"/>
      <c r="BO46" s="540">
        <f>HostBuild[SAN (GB)
NEEDED TODAY]+CEILING(HostBuild[SAN (GB)
RESERVED
DO NOT USE TO BUILD], LUN)</f>
        <v>0</v>
      </c>
      <c r="BP46" s="541"/>
      <c r="BQ46" s="542"/>
      <c r="BR46" s="432" t="s">
        <v>106</v>
      </c>
      <c r="BS46" s="605">
        <f>IF(HostBuild[Existing Server?]&lt;&gt;"Yes - Inside this BoM",IF(ISNUMBER(HostBuild[RAM 
(GB)]),IF(HostBuild[Existing RAM (GB)]+HostBuild[RAM 
(GB)]&gt;0,IF(HostBuild[Virtual Platform Storage Type]="NAS",110+HostBuild[Existing RAM (GB)]+HostBuild[RAM 
(GB)]*1.75,0),0),0),0)</f>
        <v>0</v>
      </c>
      <c r="BT46" s="606"/>
      <c r="BU46" s="607">
        <f>IF(ISNUMBER(HostBuild[Recommended NAS (GB)]),HostBuild[Recommended NAS (GB)])+HostBuild[Additional NAS (GB)]</f>
        <v>0</v>
      </c>
      <c r="BV46" s="543"/>
      <c r="BW46" s="543"/>
      <c r="BX46" s="604">
        <f>IFERROR((HostBuild[SAN (GB)
End-State
DO NOT USE TO BUILD]+HostBuild[SAN (GB) Shared])*25%,"")</f>
        <v>0</v>
      </c>
      <c r="BY46" s="608">
        <f>IFERROR(HostBuild[Archive
Full (GB)]*15%,"")</f>
        <v>0</v>
      </c>
      <c r="BZ46" s="544"/>
      <c r="CA46" s="544"/>
      <c r="CB46" s="545"/>
      <c r="CC46" s="546"/>
      <c r="CD46" s="545"/>
      <c r="CE46" s="547"/>
      <c r="CF46" s="539"/>
      <c r="CG46" s="609"/>
      <c r="CH46" s="548"/>
      <c r="CI46" s="549"/>
      <c r="CJ46" s="550" t="s">
        <v>4127</v>
      </c>
      <c r="CK46" s="551"/>
      <c r="CL46" s="552">
        <f>IFERROR(IF(FIND(CL$1,$W46)&gt;0,IF(INDEX(Product_Pricing_Table[],MATCH(CL$1,Products,0),2)="Cores",IF(HostBuild[Use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6" s="552">
        <f>IFERROR(IF(FIND(CM$1,$W46)&gt;0,IF(INDEX(Product_Pricing_Table[],MATCH(CM$1,Products,0),2)="Cores",IF(HostBuild[Use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46" s="552">
        <f>IFERROR(IF(FIND(CN$1,$W46)&gt;0,IF(INDEX(Product_Pricing_Table[],MATCH(CN$1,Products,0),2)="Cores",IF(HostBuild[Use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6" s="552">
        <f>IFERROR(IF(FIND(CO$1,$W46)&gt;0,IF(INDEX(Product_Pricing_Table[],MATCH(CO$1,Products,0),2)="Cores",IF(HostBuild[Use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6" s="552">
        <f>IFERROR(IF(FIND(CP$1,$W46)&gt;0,IF(INDEX(Product_Pricing_Table[],MATCH(CP$1,Products,0),2)="Cores",IF(HostBuild[Use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6" s="552">
        <f>IFERROR(IF(FIND(CQ$1,$W46)&gt;0,IF(INDEX(Product_Pricing_Table[],MATCH(CQ$1,Products,0),2)="Cores",IF(HostBuild[Use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6" s="552">
        <f>IFERROR(IF(FIND(CR$1,$W46)&gt;0,IF(INDEX(Product_Pricing_Table[],MATCH(CR$1,Products,0),2)="Cores",IF(HostBuild[Use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6" s="552">
        <f>IFERROR(IF(FIND(CS$1,$W46)&gt;0,IF(INDEX(Product_Pricing_Table[],MATCH(CS$1,Products,0),2)="Cores",IF(HostBuild[Use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6" s="552">
        <f>IFERROR(IF(FIND(CT$1,$W46)&gt;0,IF(INDEX(Product_Pricing_Table[],MATCH(CT$1,Products,0),2)="Cores",IF(HostBuild[Use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6" s="552">
        <f>IFERROR(IF(FIND(CU$1,$W46)&gt;0,IF(INDEX(Product_Pricing_Table[],MATCH(CU$1,Products,0),2)="Cores",IF(HostBuild[Use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6" s="552">
        <f>IFERROR(IF(FIND(CV$1,$W46)&gt;0,IF(INDEX(Product_Pricing_Table[],MATCH(CV$1,Products,0),2)="Cores",IF(HostBuild[Use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6" s="552">
        <f>IFERROR(IF(FIND(CW$1,$W46)&gt;0,IF(INDEX(Product_Pricing_Table[],MATCH(CW$1,Products,0),2)="Cores",IF(HostBuild[Use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6" s="552">
        <f>IFERROR(IF(FIND(CX$1,$W46)&gt;0,IF(INDEX(Product_Pricing_Table[],MATCH(CX$1,Products,0),2)="Cores",IF(HostBuild[Use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6" s="552">
        <f>IFERROR(IF(FIND(CY$1,$W46)&gt;0,IF(INDEX(Product_Pricing_Table[],MATCH(CY$1,Products,0),2)="Cores",IF(HostBuild[Use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6" s="552">
        <f>IFERROR(IF(FIND(CZ$1,$W46)&gt;0,IF(INDEX(Product_Pricing_Table[],MATCH(CZ$1,Products,0),2)="Cores",IF(HostBuild[Use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6" s="552">
        <f>IFERROR(IF(FIND(DA$1,$W46)&gt;0,IF(INDEX(Product_Pricing_Table[],MATCH(DA$1,Products,0),2)="Cores",IF(HostBuild[Use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6" s="552">
        <f>IFERROR(IF(FIND(DB$1,$W46)&gt;0,IF(INDEX(Product_Pricing_Table[],MATCH(DB$1,Products,0),2)="Cores",IF(HostBuild[Use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6" s="552">
        <f>IFERROR(IF(FIND(DC$1,$W46)&gt;0,IF(INDEX(Product_Pricing_Table[],MATCH(DC$1,Products,0),2)="Cores",IF(HostBuild[Use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6" s="552">
        <f>IFERROR(IF(FIND(DD$1,$W46)&gt;0,IF(INDEX(Product_Pricing_Table[],MATCH(DD$1,Products,0),2)="Cores",IF(HostBuild[Use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6" s="552">
        <f>IFERROR(IF(FIND(DE$1,$W46)&gt;0,IF(INDEX(Product_Pricing_Table[],MATCH(DE$1,Products,0),2)="Cores",IF(HostBuild[Use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6" s="553">
        <f>IFERROR(IF(FIND(DF$1,$W46)&gt;0,IF(INDEX(Product_Pricing_Table[],MATCH(DF$1,Products,0),2)="Cores",IF(HostBuild[Use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6" s="553">
        <f>IFERROR(IF(FIND(DG$1,$W46)&gt;0,IF(INDEX(Product_Pricing_Table[],MATCH(DG$1,Products,0),2)="Cores",IF(HostBuild[Use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6" s="552">
        <f>IFERROR(IF(FIND(DH$1,$W46)&gt;0,IF(INDEX(Product_Pricing_Table[],MATCH(DH$1,Products,0),2)="Cores",IF(HostBuild[Use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6" s="553">
        <f>IFERROR(IF(FIND(DI$1,$W46)&gt;0,IF(INDEX(Product_Pricing_Table[],MATCH(DI$1,Products,0),2)="Cores",IF(HostBuild[Use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6" s="552">
        <f>IFERROR(IF(FIND(DJ$1,$W46)&gt;0,IF(INDEX(Product_Pricing_Table[],MATCH(DJ$1,Products,0),2)="Cores",IF(HostBuild[Use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6" s="552">
        <f>IFERROR(IF(FIND(DK$1,$W46)&gt;0,IF(INDEX(Product_Pricing_Table[],MATCH(DK$1,Products,0),2)="Cores",IF(HostBuild[Use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6" s="552">
        <f>IFERROR(IF(FIND(DL$1,$W46)&gt;0,IF(INDEX(Product_Pricing_Table[],MATCH(DL$1,Products,0),2)="Cores",IF(HostBuild[Use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6" s="552">
        <f>IFERROR(IF(FIND(DM$1,$W46)&gt;0,IF(INDEX(Product_Pricing_Table[],MATCH(DM$1,Products,0),2)="Cores",IF(HostBuild[Use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6" s="552">
        <f>IFERROR(IF(FIND(DN$1,$W46)&gt;0,IF(INDEX(Product_Pricing_Table[],MATCH(DN$1,Products,0),2)="Cores",IF(HostBuild[Use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6" s="552">
        <f>IFERROR(IF(FIND(DO$1,$W46)&gt;0,IF(INDEX(Product_Pricing_Table[],MATCH(DO$1,Products,0),2)="Cores",IF(HostBuild[Use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6" s="552">
        <f>IFERROR(IF(FIND(DP$1,$W46)&gt;0,IF(INDEX(Product_Pricing_Table[],MATCH(DP$1,Products,0),2)="Cores",IF(HostBuild[Use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6" s="552">
        <f>IFERROR(IF(FIND(DQ$1,$W46)&gt;0,IF(INDEX(Product_Pricing_Table[],MATCH(DQ$1,Products,0),2)="Cores",IF(HostBuild[Use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6" s="552">
        <f>IFERROR(IF(FIND(DR$1,$W46)&gt;0,IF(INDEX(Product_Pricing_Table[],MATCH(DR$1,Products,0),2)="Cores",IF(HostBuild[Use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6" s="552">
        <f>IFERROR(IF(FIND(DS$1,$W46)&gt;0,IF(INDEX(Product_Pricing_Table[],MATCH(DS$1,Products,0),2)="Cores",IF(HostBuild[Use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6" s="552">
        <f>IFERROR(IF(FIND(DT$1,$W46)&gt;0,IF(INDEX(Product_Pricing_Table[],MATCH(DT$1,Products,0),2)="Cores",IF(HostBuild[Use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6" s="552">
        <f>IFERROR(IF(FIND(DU$1,$W46)&gt;0,IF(INDEX(Product_Pricing_Table[],MATCH(DU$1,Products,0),2)="Cores",IF(HostBuild[Use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6" s="552">
        <f>IFERROR(IF(FIND(DV$1,$W46)&gt;0,IF(INDEX(Product_Pricing_Table[],MATCH(DV$1,Products,0),2)="Cores",IF(HostBuild[Use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6" s="552">
        <f>IFERROR(IF(FIND(DW$1,$W46)&gt;0,IF(INDEX(Product_Pricing_Table[],MATCH(DW$1,Products,0),2)="Cores",IF(HostBuild[Use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6" s="552">
        <f>IFERROR(IF(FIND(DX$1,$W46)&gt;0,IF(INDEX(Product_Pricing_Table[],MATCH(DX$1,Products,0),2)="Cores",IF(HostBuild[Use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6" s="552">
        <f>IFERROR(IF(FIND(DY$1,$W46)&gt;0,IF(INDEX(Product_Pricing_Table[],MATCH(DY$1,Products,0),2)="Cores",IF(HostBuild[Use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6" s="552">
        <f>IFERROR(IF(FIND(DZ$1,$W46)&gt;0,IF(INDEX(Product_Pricing_Table[],MATCH(DZ$1,Products,0),2)="Cores",IF(HostBuild[Use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6" s="552">
        <f>IFERROR(IF(FIND(EA$1,$W46)&gt;0,IF(INDEX(Product_Pricing_Table[],MATCH(EA$1,Products,0),2)="Cores",IF(HostBuild[Use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6" s="552">
        <f>IFERROR(IF(FIND(EB$1,$W46)&gt;0,IF(INDEX(Product_Pricing_Table[],MATCH(EB$1,Products,0),2)="Cores",IF(HostBuild[Use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6" s="553">
        <f>IFERROR(IF(FIND(EC$1,$W46)&gt;0,IF(INDEX(Product_Pricing_Table[],MATCH(EC$1,Products,0),2)="Cores",IF(HostBuild[Use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6" s="552">
        <f>IFERROR(IF(FIND(ED$1,$W46)&gt;0,IF(INDEX(Product_Pricing_Table[],MATCH(ED$1,Products,0),2)="Cores",IF(HostBuild[Use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6" s="552">
        <f>IFERROR(IF(FIND(EE$1,$W46)&gt;0,IF(INDEX(Product_Pricing_Table[],MATCH(EE$1,Products,0),2)="Cores",IF(HostBuild[Use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6" s="552">
        <f>IFERROR(IF(FIND(EF$1,$W46)&gt;0,IF(INDEX(Product_Pricing_Table[],MATCH(EF$1,Products,0),2)="Cores",IF(HostBuild[Use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6" s="552">
        <f>IFERROR(IF(FIND(EG$1,$W46)&gt;0,IF(INDEX(Product_Pricing_Table[],MATCH(EG$1,Products,0),2)="Cores",IF(HostBuild[Use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6" s="552">
        <f>IFERROR(IF(FIND(EH$1,$W46)&gt;0,IF(INDEX(Product_Pricing_Table[],MATCH(EH$1,Products,0),2)="Cores",IF(HostBuild[Use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6" s="552">
        <f>IFERROR(IF(FIND(EI$1,$W46)&gt;0,IF(INDEX(Product_Pricing_Table[],MATCH(EI$1,Products,0),2)="Cores",IF(HostBuild[Use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6" s="552">
        <f>IFERROR(IF(FIND(EJ$1,$W46)&gt;0,IF(INDEX(Product_Pricing_Table[],MATCH(EJ$1,Products,0),2)="Cores",IF(HostBuild[Use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6" s="553">
        <f>IFERROR(IF(FIND(EK$1,$W46)&gt;0,IF(INDEX(Product_Pricing_Table[],MATCH(EK$1,Products,0),2)="Cores",IF(HostBuild[Use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46" s="554"/>
      <c r="EM46" s="555"/>
      <c r="EN46" s="556"/>
      <c r="EO4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4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6" s="558">
        <f>(HostBuild[Archive
Full (GB)]+HostBuild[Archive
Incr (GB)])*Storage_DC_Dist_Tape_2014</f>
        <v>0</v>
      </c>
      <c r="ER46" s="558">
        <f>IF(ISNUMBER(HostBuild[Server HW Costs
(Monthly)]),SUM(HostBuild[[#This Row],[Server HW Costs
(Monthly)]:[Tape Costs
(Monthly)]]),0)</f>
        <v>0</v>
      </c>
      <c r="ES46" s="559">
        <f>HostBuild[Software Costs
'[Year 1']
(Monthly)]+HostBuild[Total Hardware Costs
(Monthly)]</f>
        <v>0</v>
      </c>
      <c r="ET46" s="559">
        <f>IFERROR(IF(FIND("Safenet",HostBuild[Server Model]),Safenet_PSE_PL600_Maint,0),0)+IFERROR(IF(FIND("XI52",HostBuild[Server Model]),IBM_DIA_XI52_Maint,0),0)+HostBuild[Software Costs
'[After Year 1']
(Monthly)]+HostBuild[Total Hardware Costs
(Monthly)]</f>
        <v>0</v>
      </c>
      <c r="EU46" s="560">
        <f>SUM(HostBuild[[#This Row],[Server Cost Breakdown]:[Network Cost]])</f>
        <v>0</v>
      </c>
      <c r="EV46" s="561">
        <f>IF(HostBuild[Existing Server?]="Yes - Inside this BoM",0,SUMIF(HostBuild[Alias],HostBuild[Alias],HostBuild[CPU])+SUMIF(HostBuild[Alias],HostBuild[Alias],HostBuild[Existing CPUs]))</f>
        <v>0</v>
      </c>
      <c r="EW46" s="561">
        <f>IF(HostBuild[Existing Server?]="Yes - Inside this BoM",0,SUMIF(HostBuild[Alias],HostBuild[Alias],HostBuild[Cores 
(Licensed Units)])+SUMIF(HostBuild[Alias],HostBuild[Alias],HostBuild[Existing Cores]))</f>
        <v>0</v>
      </c>
      <c r="EX46" s="561">
        <f>IF(HostBuild[Existing Server?]="Yes - Inside this BoM",0,SUMIF(HostBuild[Alias],HostBuild[Alias],HostBuild[RAM 
(GB)])+SUMIF(HostBuild[Alias],HostBuild[Alias],HostBuild[Existing RAM (GB)]))</f>
        <v>0</v>
      </c>
      <c r="EY4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6" s="560">
        <f>IF(ISBLANK(HostBuild[Server Model]),0,IF(HostBuild[Server Tier]="VMware",0,VLOOKUP(HostBuild[Server Tier],ServerTierRates[#Data],2,0))*HostBuild[CPU]*IF(AND(HostBuild[Server Type]="pSeries",HostBuild[Virtual Platform Storage Type]="Cloud-SAN"),0.25,1))</f>
        <v>0</v>
      </c>
      <c r="FD46" s="560">
        <f>0</f>
        <v>0</v>
      </c>
      <c r="FE46" s="560">
        <f>IF(HostBuild[Server Type]="VMware",HostBuild[RAM 
(GB)]*IF(ISERROR(FIND("DevCloud", HostBuild[Server Model])&gt;0),vRAM_per_vCPU_2014_Monthly,vRAM_per_vCPU_2014_Daily*30),0)</f>
        <v>0</v>
      </c>
      <c r="FF4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4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6" s="563">
        <f>IF(HostBuild[Server Tier]="VMware",0,IF(LEFT(HostBuild[Existing Server?],3)="Yes",0,IF(OR(HostBuild[Server Type]="Sun",HostBuild[Server Type]="pSeries"),Support_Direct_Server_Sun_per_OS_2014,IF(HostBuild[Server Type]="x86",Support_Direct_Server_x86_Wintel_per_OS_2014,0))))</f>
        <v>0</v>
      </c>
      <c r="FI4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7" spans="1:165" s="139" customFormat="1">
      <c r="A47" s="360" t="s">
        <v>3942</v>
      </c>
      <c r="B47" s="521"/>
      <c r="C47" s="521"/>
      <c r="D47" s="521"/>
      <c r="E47" s="522"/>
      <c r="F47" s="522"/>
      <c r="G47" s="597"/>
      <c r="H47" s="597"/>
      <c r="I47" s="523"/>
      <c r="J47" s="522"/>
      <c r="K47" s="522"/>
      <c r="L47" s="522"/>
      <c r="M47" s="597" t="e">
        <f ca="1">IF(rngIsDate(HostBuild[CTO Acceptance]),"Y","N")</f>
        <v>#NAME?</v>
      </c>
      <c r="N47" s="361" t="s">
        <v>3939</v>
      </c>
      <c r="O47" s="525"/>
      <c r="P47" s="525"/>
      <c r="Q47" s="361" t="s">
        <v>211</v>
      </c>
      <c r="R47" s="526" t="str">
        <f>IF(NOT(ISBLANK(HostBuild[Env Label])),IFERROR(VLOOKUP(HostBuild[Env Label],tEnv[],3,FALSE),""),"")</f>
        <v>COB</v>
      </c>
      <c r="S47" s="598"/>
      <c r="T47" s="527"/>
      <c r="U47" s="599"/>
      <c r="V47" s="524" t="s">
        <v>3937</v>
      </c>
      <c r="W47" s="524" t="s">
        <v>3940</v>
      </c>
      <c r="X47" s="524" t="s">
        <v>35</v>
      </c>
      <c r="Y47" s="361" t="s">
        <v>481</v>
      </c>
      <c r="Z47" s="526" t="str">
        <f>IF(NOT(ISBLANK(HostBuild[[#This Row],[Product 
(Acronym)]])),CONCATENATE(HostBuild[[#This Row],[Type]],"-",HostBuild[[#This Row],[Product 
(Acronym)]]),"")</f>
        <v>AP-ESB</v>
      </c>
      <c r="AA47" s="600"/>
      <c r="AB47" s="600" t="s">
        <v>105</v>
      </c>
      <c r="AC47" s="528"/>
      <c r="AD47" s="529"/>
      <c r="AE47" s="529"/>
      <c r="AF47" s="530"/>
      <c r="AG47" s="531"/>
      <c r="AH47" s="601"/>
      <c r="AI47" s="362" t="s">
        <v>3959</v>
      </c>
      <c r="AJ47" s="524">
        <f>IF(COUNTIF(HostBuild[Alias],HostBuild[Alias]),1/COUNTIF(HostBuild[Alias],HostBuild[Alias]),0)</f>
        <v>1</v>
      </c>
      <c r="AK47" s="531"/>
      <c r="AL47" s="531"/>
      <c r="AM47" s="532" t="s">
        <v>2173</v>
      </c>
      <c r="AN47" s="533" t="str">
        <f>IF(NOT(ISBLANK(HostBuild[Server Model])),VLOOKUP(HostBuild[Server Model],ServerModelsTier[],2,FALSE),"")</f>
        <v>x86 Tier 3</v>
      </c>
      <c r="AO47" s="533" t="str">
        <f>IF(NOT(ISBLANK(HostBuild[Server Model])),VLOOKUP(HostBuild[Server Model],ServerModelsTier[],5,FALSE),"")</f>
        <v>x86</v>
      </c>
      <c r="AP47" s="532"/>
      <c r="AQ47" s="532" t="s">
        <v>2337</v>
      </c>
      <c r="AR47" s="534">
        <v>2</v>
      </c>
      <c r="AS47" s="602"/>
      <c r="AT47" s="535"/>
      <c r="AU47" s="603" t="str">
        <f>IF(IFERROR(FIND("P-Series",HostBuild[Server Tier]),0),CEILING((HostBuild[Existing CPUs]+HostBuild[CPU])*16,8),"")</f>
        <v/>
      </c>
      <c r="AV47" s="536">
        <v>256</v>
      </c>
      <c r="AW47" s="531"/>
      <c r="AX47" s="531"/>
      <c r="AY47" s="531"/>
      <c r="AZ47" s="537"/>
      <c r="BA47" s="531"/>
      <c r="BB47" s="531"/>
      <c r="BC47" s="529"/>
      <c r="BD47" s="531"/>
      <c r="BE47" s="531"/>
      <c r="BF47" s="531"/>
      <c r="BG47" s="531"/>
      <c r="BH47" s="531"/>
      <c r="BI47" s="531"/>
      <c r="BJ47" s="531"/>
      <c r="BK47" s="604"/>
      <c r="BL47" s="538"/>
      <c r="BM47" s="540">
        <f>IF(ISNUMBER(HostBuild[Recommended SAN (GB)]),HostBuild[Recommended SAN (GB)])+IF(HostBuild[Additional SAN (GB)]&gt;0,CEILING(HostBuild[Additional SAN (GB)],LUN),-(CEILING(-HostBuild[Additional SAN (GB)],LUN)))</f>
        <v>0</v>
      </c>
      <c r="BN47" s="539"/>
      <c r="BO47" s="540">
        <f>HostBuild[SAN (GB)
NEEDED TODAY]+CEILING(HostBuild[SAN (GB)
RESERVED
DO NOT USE TO BUILD], LUN)</f>
        <v>0</v>
      </c>
      <c r="BP47" s="541"/>
      <c r="BQ47" s="542"/>
      <c r="BR47" s="432" t="s">
        <v>106</v>
      </c>
      <c r="BS47" s="605">
        <f>IF(HostBuild[Existing Server?]&lt;&gt;"Yes - Inside this BoM",IF(ISNUMBER(HostBuild[RAM 
(GB)]),IF(HostBuild[Existing RAM (GB)]+HostBuild[RAM 
(GB)]&gt;0,IF(HostBuild[Virtual Platform Storage Type]="NAS",110+HostBuild[Existing RAM (GB)]+HostBuild[RAM 
(GB)]*1.75,0),0),0),0)</f>
        <v>0</v>
      </c>
      <c r="BT47" s="606"/>
      <c r="BU47" s="607">
        <f>IF(ISNUMBER(HostBuild[Recommended NAS (GB)]),HostBuild[Recommended NAS (GB)])+HostBuild[Additional NAS (GB)]</f>
        <v>0</v>
      </c>
      <c r="BV47" s="543"/>
      <c r="BW47" s="543"/>
      <c r="BX47" s="604">
        <f>IFERROR((HostBuild[SAN (GB)
End-State
DO NOT USE TO BUILD]+HostBuild[SAN (GB) Shared])*25%,"")</f>
        <v>0</v>
      </c>
      <c r="BY47" s="608">
        <f>IFERROR(HostBuild[Archive
Full (GB)]*15%,"")</f>
        <v>0</v>
      </c>
      <c r="BZ47" s="544"/>
      <c r="CA47" s="544"/>
      <c r="CB47" s="545"/>
      <c r="CC47" s="546"/>
      <c r="CD47" s="545"/>
      <c r="CE47" s="547"/>
      <c r="CF47" s="539"/>
      <c r="CG47" s="609"/>
      <c r="CH47" s="548"/>
      <c r="CI47" s="549"/>
      <c r="CJ47" s="550" t="s">
        <v>4126</v>
      </c>
      <c r="CK47" s="551"/>
      <c r="CL47" s="552">
        <f>IFERROR(IF(FIND(CL$1,$W47)&gt;0,IF(INDEX(Product_Pricing_Table[],MATCH(CL$1,Products,0),2)="Cores",IF(HostBuild[Use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7" s="552">
        <f>IFERROR(IF(FIND(CM$1,$W47)&gt;0,IF(INDEX(Product_Pricing_Table[],MATCH(CM$1,Products,0),2)="Cores",IF(HostBuild[Use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47" s="552">
        <f>IFERROR(IF(FIND(CN$1,$W47)&gt;0,IF(INDEX(Product_Pricing_Table[],MATCH(CN$1,Products,0),2)="Cores",IF(HostBuild[Use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7" s="552">
        <f>IFERROR(IF(FIND(CO$1,$W47)&gt;0,IF(INDEX(Product_Pricing_Table[],MATCH(CO$1,Products,0),2)="Cores",IF(HostBuild[Use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7" s="552">
        <f>IFERROR(IF(FIND(CP$1,$W47)&gt;0,IF(INDEX(Product_Pricing_Table[],MATCH(CP$1,Products,0),2)="Cores",IF(HostBuild[Use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7" s="552">
        <f>IFERROR(IF(FIND(CQ$1,$W47)&gt;0,IF(INDEX(Product_Pricing_Table[],MATCH(CQ$1,Products,0),2)="Cores",IF(HostBuild[Use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7" s="552">
        <f>IFERROR(IF(FIND(CR$1,$W47)&gt;0,IF(INDEX(Product_Pricing_Table[],MATCH(CR$1,Products,0),2)="Cores",IF(HostBuild[Use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7" s="552">
        <f>IFERROR(IF(FIND(CS$1,$W47)&gt;0,IF(INDEX(Product_Pricing_Table[],MATCH(CS$1,Products,0),2)="Cores",IF(HostBuild[Use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7" s="552">
        <f>IFERROR(IF(FIND(CT$1,$W47)&gt;0,IF(INDEX(Product_Pricing_Table[],MATCH(CT$1,Products,0),2)="Cores",IF(HostBuild[Use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7" s="552">
        <f>IFERROR(IF(FIND(CU$1,$W47)&gt;0,IF(INDEX(Product_Pricing_Table[],MATCH(CU$1,Products,0),2)="Cores",IF(HostBuild[Use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7" s="552">
        <f>IFERROR(IF(FIND(CV$1,$W47)&gt;0,IF(INDEX(Product_Pricing_Table[],MATCH(CV$1,Products,0),2)="Cores",IF(HostBuild[Use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7" s="552">
        <f>IFERROR(IF(FIND(CW$1,$W47)&gt;0,IF(INDEX(Product_Pricing_Table[],MATCH(CW$1,Products,0),2)="Cores",IF(HostBuild[Use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7" s="552">
        <f>IFERROR(IF(FIND(CX$1,$W47)&gt;0,IF(INDEX(Product_Pricing_Table[],MATCH(CX$1,Products,0),2)="Cores",IF(HostBuild[Use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7" s="552">
        <f>IFERROR(IF(FIND(CY$1,$W47)&gt;0,IF(INDEX(Product_Pricing_Table[],MATCH(CY$1,Products,0),2)="Cores",IF(HostBuild[Use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7" s="552">
        <f>IFERROR(IF(FIND(CZ$1,$W47)&gt;0,IF(INDEX(Product_Pricing_Table[],MATCH(CZ$1,Products,0),2)="Cores",IF(HostBuild[Use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7" s="552">
        <f>IFERROR(IF(FIND(DA$1,$W47)&gt;0,IF(INDEX(Product_Pricing_Table[],MATCH(DA$1,Products,0),2)="Cores",IF(HostBuild[Use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7" s="552">
        <f>IFERROR(IF(FIND(DB$1,$W47)&gt;0,IF(INDEX(Product_Pricing_Table[],MATCH(DB$1,Products,0),2)="Cores",IF(HostBuild[Use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7" s="552">
        <f>IFERROR(IF(FIND(DC$1,$W47)&gt;0,IF(INDEX(Product_Pricing_Table[],MATCH(DC$1,Products,0),2)="Cores",IF(HostBuild[Use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7" s="552">
        <f>IFERROR(IF(FIND(DD$1,$W47)&gt;0,IF(INDEX(Product_Pricing_Table[],MATCH(DD$1,Products,0),2)="Cores",IF(HostBuild[Use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7" s="552">
        <f>IFERROR(IF(FIND(DE$1,$W47)&gt;0,IF(INDEX(Product_Pricing_Table[],MATCH(DE$1,Products,0),2)="Cores",IF(HostBuild[Use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7" s="553">
        <f>IFERROR(IF(FIND(DF$1,$W47)&gt;0,IF(INDEX(Product_Pricing_Table[],MATCH(DF$1,Products,0),2)="Cores",IF(HostBuild[Use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7" s="553">
        <f>IFERROR(IF(FIND(DG$1,$W47)&gt;0,IF(INDEX(Product_Pricing_Table[],MATCH(DG$1,Products,0),2)="Cores",IF(HostBuild[Use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7" s="552">
        <f>IFERROR(IF(FIND(DH$1,$W47)&gt;0,IF(INDEX(Product_Pricing_Table[],MATCH(DH$1,Products,0),2)="Cores",IF(HostBuild[Use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7" s="553">
        <f>IFERROR(IF(FIND(DI$1,$W47)&gt;0,IF(INDEX(Product_Pricing_Table[],MATCH(DI$1,Products,0),2)="Cores",IF(HostBuild[Use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7" s="552">
        <f>IFERROR(IF(FIND(DJ$1,$W47)&gt;0,IF(INDEX(Product_Pricing_Table[],MATCH(DJ$1,Products,0),2)="Cores",IF(HostBuild[Use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7" s="552">
        <f>IFERROR(IF(FIND(DK$1,$W47)&gt;0,IF(INDEX(Product_Pricing_Table[],MATCH(DK$1,Products,0),2)="Cores",IF(HostBuild[Use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7" s="552">
        <f>IFERROR(IF(FIND(DL$1,$W47)&gt;0,IF(INDEX(Product_Pricing_Table[],MATCH(DL$1,Products,0),2)="Cores",IF(HostBuild[Use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7" s="552">
        <f>IFERROR(IF(FIND(DM$1,$W47)&gt;0,IF(INDEX(Product_Pricing_Table[],MATCH(DM$1,Products,0),2)="Cores",IF(HostBuild[Use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7" s="552">
        <f>IFERROR(IF(FIND(DN$1,$W47)&gt;0,IF(INDEX(Product_Pricing_Table[],MATCH(DN$1,Products,0),2)="Cores",IF(HostBuild[Use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7" s="552">
        <f>IFERROR(IF(FIND(DO$1,$W47)&gt;0,IF(INDEX(Product_Pricing_Table[],MATCH(DO$1,Products,0),2)="Cores",IF(HostBuild[Use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7" s="552">
        <f>IFERROR(IF(FIND(DP$1,$W47)&gt;0,IF(INDEX(Product_Pricing_Table[],MATCH(DP$1,Products,0),2)="Cores",IF(HostBuild[Use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7" s="552">
        <f>IFERROR(IF(FIND(DQ$1,$W47)&gt;0,IF(INDEX(Product_Pricing_Table[],MATCH(DQ$1,Products,0),2)="Cores",IF(HostBuild[Use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7" s="552">
        <f>IFERROR(IF(FIND(DR$1,$W47)&gt;0,IF(INDEX(Product_Pricing_Table[],MATCH(DR$1,Products,0),2)="Cores",IF(HostBuild[Use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7" s="552">
        <f>IFERROR(IF(FIND(DS$1,$W47)&gt;0,IF(INDEX(Product_Pricing_Table[],MATCH(DS$1,Products,0),2)="Cores",IF(HostBuild[Use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7" s="552">
        <f>IFERROR(IF(FIND(DT$1,$W47)&gt;0,IF(INDEX(Product_Pricing_Table[],MATCH(DT$1,Products,0),2)="Cores",IF(HostBuild[Use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7" s="552">
        <f>IFERROR(IF(FIND(DU$1,$W47)&gt;0,IF(INDEX(Product_Pricing_Table[],MATCH(DU$1,Products,0),2)="Cores",IF(HostBuild[Use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7" s="552">
        <f>IFERROR(IF(FIND(DV$1,$W47)&gt;0,IF(INDEX(Product_Pricing_Table[],MATCH(DV$1,Products,0),2)="Cores",IF(HostBuild[Use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7" s="552">
        <f>IFERROR(IF(FIND(DW$1,$W47)&gt;0,IF(INDEX(Product_Pricing_Table[],MATCH(DW$1,Products,0),2)="Cores",IF(HostBuild[Use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7" s="552">
        <f>IFERROR(IF(FIND(DX$1,$W47)&gt;0,IF(INDEX(Product_Pricing_Table[],MATCH(DX$1,Products,0),2)="Cores",IF(HostBuild[Use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7" s="552">
        <f>IFERROR(IF(FIND(DY$1,$W47)&gt;0,IF(INDEX(Product_Pricing_Table[],MATCH(DY$1,Products,0),2)="Cores",IF(HostBuild[Use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7" s="552">
        <f>IFERROR(IF(FIND(DZ$1,$W47)&gt;0,IF(INDEX(Product_Pricing_Table[],MATCH(DZ$1,Products,0),2)="Cores",IF(HostBuild[Use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7" s="552">
        <f>IFERROR(IF(FIND(EA$1,$W47)&gt;0,IF(INDEX(Product_Pricing_Table[],MATCH(EA$1,Products,0),2)="Cores",IF(HostBuild[Use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7" s="552">
        <f>IFERROR(IF(FIND(EB$1,$W47)&gt;0,IF(INDEX(Product_Pricing_Table[],MATCH(EB$1,Products,0),2)="Cores",IF(HostBuild[Use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7" s="553">
        <f>IFERROR(IF(FIND(EC$1,$W47)&gt;0,IF(INDEX(Product_Pricing_Table[],MATCH(EC$1,Products,0),2)="Cores",IF(HostBuild[Use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7" s="552">
        <f>IFERROR(IF(FIND(ED$1,$W47)&gt;0,IF(INDEX(Product_Pricing_Table[],MATCH(ED$1,Products,0),2)="Cores",IF(HostBuild[Use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7" s="552">
        <f>IFERROR(IF(FIND(EE$1,$W47)&gt;0,IF(INDEX(Product_Pricing_Table[],MATCH(EE$1,Products,0),2)="Cores",IF(HostBuild[Use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7" s="552">
        <f>IFERROR(IF(FIND(EF$1,$W47)&gt;0,IF(INDEX(Product_Pricing_Table[],MATCH(EF$1,Products,0),2)="Cores",IF(HostBuild[Use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7" s="552">
        <f>IFERROR(IF(FIND(EG$1,$W47)&gt;0,IF(INDEX(Product_Pricing_Table[],MATCH(EG$1,Products,0),2)="Cores",IF(HostBuild[Use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7" s="552">
        <f>IFERROR(IF(FIND(EH$1,$W47)&gt;0,IF(INDEX(Product_Pricing_Table[],MATCH(EH$1,Products,0),2)="Cores",IF(HostBuild[Use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7" s="552">
        <f>IFERROR(IF(FIND(EI$1,$W47)&gt;0,IF(INDEX(Product_Pricing_Table[],MATCH(EI$1,Products,0),2)="Cores",IF(HostBuild[Use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7" s="552">
        <f>IFERROR(IF(FIND(EJ$1,$W47)&gt;0,IF(INDEX(Product_Pricing_Table[],MATCH(EJ$1,Products,0),2)="Cores",IF(HostBuild[Use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7" s="553">
        <f>IFERROR(IF(FIND(EK$1,$W47)&gt;0,IF(INDEX(Product_Pricing_Table[],MATCH(EK$1,Products,0),2)="Cores",IF(HostBuild[Use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47" s="554"/>
      <c r="EM47" s="555">
        <v>6359.75</v>
      </c>
      <c r="EN47" s="556">
        <v>899.755</v>
      </c>
      <c r="EO47"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4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7" s="558">
        <f>(HostBuild[Archive
Full (GB)]+HostBuild[Archive
Incr (GB)])*Storage_DC_Dist_Tape_2014</f>
        <v>0</v>
      </c>
      <c r="ER47" s="558">
        <f>IF(ISNUMBER(HostBuild[Server HW Costs
(Monthly)]),SUM(HostBuild[[#This Row],[Server HW Costs
(Monthly)]:[Tape Costs
(Monthly)]]),0)</f>
        <v>1003.9</v>
      </c>
      <c r="ES47" s="559">
        <f>HostBuild[Software Costs
'[Year 1']
(Monthly)]+HostBuild[Total Hardware Costs
(Monthly)]</f>
        <v>7363.65</v>
      </c>
      <c r="ET47" s="559">
        <f>IFERROR(IF(FIND("Safenet",HostBuild[Server Model]),Safenet_PSE_PL600_Maint,0),0)+IFERROR(IF(FIND("XI52",HostBuild[Server Model]),IBM_DIA_XI52_Maint,0),0)+HostBuild[Software Costs
'[After Year 1']
(Monthly)]+HostBuild[Total Hardware Costs
(Monthly)]</f>
        <v>1903.655</v>
      </c>
      <c r="EU47" s="560">
        <f>SUM(HostBuild[[#This Row],[Server Cost Breakdown]:[Network Cost]])</f>
        <v>1003.9</v>
      </c>
      <c r="EV47" s="561">
        <f>IF(HostBuild[Existing Server?]="Yes - Inside this BoM",0,SUMIF(HostBuild[Alias],HostBuild[Alias],HostBuild[CPU])+SUMIF(HostBuild[Alias],HostBuild[Alias],HostBuild[Existing CPUs]))</f>
        <v>2</v>
      </c>
      <c r="EW47" s="561">
        <f>IF(HostBuild[Existing Server?]="Yes - Inside this BoM",0,SUMIF(HostBuild[Alias],HostBuild[Alias],HostBuild[Cores 
(Licensed Units)])+SUMIF(HostBuild[Alias],HostBuild[Alias],HostBuild[Existing Cores]))</f>
        <v>0</v>
      </c>
      <c r="EX47" s="561">
        <f>IF(HostBuild[Existing Server?]="Yes - Inside this BoM",0,SUMIF(HostBuild[Alias],HostBuild[Alias],HostBuild[RAM 
(GB)])+SUMIF(HostBuild[Alias],HostBuild[Alias],HostBuild[Existing RAM (GB)]))</f>
        <v>256</v>
      </c>
      <c r="EY4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7" s="560">
        <f>IF(ISBLANK(HostBuild[Server Model]),0,IF(HostBuild[Server Tier]="VMware",0,VLOOKUP(HostBuild[Server Tier],ServerTierRates[#Data],2,0))*HostBuild[CPU]*IF(AND(HostBuild[Server Type]="pSeries",HostBuild[Virtual Platform Storage Type]="Cloud-SAN"),0.25,1))</f>
        <v>608</v>
      </c>
      <c r="FD47" s="560">
        <f>0</f>
        <v>0</v>
      </c>
      <c r="FE47" s="560">
        <f>IF(HostBuild[Server Type]="VMware",HostBuild[RAM 
(GB)]*IF(ISERROR(FIND("DevCloud", HostBuild[Server Model])&gt;0),vRAM_per_vCPU_2014_Monthly,vRAM_per_vCPU_2014_Daily*30),0)</f>
        <v>0</v>
      </c>
      <c r="FF4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4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7" s="563">
        <f>IF(HostBuild[Server Tier]="VMware",0,IF(LEFT(HostBuild[Existing Server?],3)="Yes",0,IF(OR(HostBuild[Server Type]="Sun",HostBuild[Server Type]="pSeries"),Support_Direct_Server_Sun_per_OS_2014,IF(HostBuild[Server Type]="x86",Support_Direct_Server_x86_Wintel_per_OS_2014,0))))</f>
        <v>187.1</v>
      </c>
      <c r="FI4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8" spans="1:165" s="139" customFormat="1">
      <c r="A48" s="360" t="s">
        <v>3942</v>
      </c>
      <c r="B48" s="521"/>
      <c r="C48" s="521"/>
      <c r="D48" s="521"/>
      <c r="E48" s="522"/>
      <c r="F48" s="522"/>
      <c r="G48" s="597"/>
      <c r="H48" s="597"/>
      <c r="I48" s="523"/>
      <c r="J48" s="522"/>
      <c r="K48" s="522"/>
      <c r="L48" s="522"/>
      <c r="M48" s="597" t="e">
        <f ca="1">IF(rngIsDate(HostBuild[CTO Acceptance]),"Y","N")</f>
        <v>#NAME?</v>
      </c>
      <c r="N48" s="361" t="s">
        <v>3939</v>
      </c>
      <c r="O48" s="525"/>
      <c r="P48" s="525"/>
      <c r="Q48" s="361" t="s">
        <v>211</v>
      </c>
      <c r="R48" s="526" t="str">
        <f>IF(NOT(ISBLANK(HostBuild[Env Label])),IFERROR(VLOOKUP(HostBuild[Env Label],tEnv[],3,FALSE),""),"")</f>
        <v>COB</v>
      </c>
      <c r="S48" s="598"/>
      <c r="T48" s="527"/>
      <c r="U48" s="599"/>
      <c r="V48" s="524" t="s">
        <v>3937</v>
      </c>
      <c r="W48" s="524" t="s">
        <v>3940</v>
      </c>
      <c r="X48" s="524" t="s">
        <v>35</v>
      </c>
      <c r="Y48" s="361" t="s">
        <v>481</v>
      </c>
      <c r="Z48" s="526" t="str">
        <f>IF(NOT(ISBLANK(HostBuild[[#This Row],[Product 
(Acronym)]])),CONCATENATE(HostBuild[[#This Row],[Type]],"-",HostBuild[[#This Row],[Product 
(Acronym)]]),"")</f>
        <v>AP-ESB</v>
      </c>
      <c r="AA48" s="600"/>
      <c r="AB48" s="600" t="s">
        <v>105</v>
      </c>
      <c r="AC48" s="528"/>
      <c r="AD48" s="529"/>
      <c r="AE48" s="529"/>
      <c r="AF48" s="530"/>
      <c r="AG48" s="531"/>
      <c r="AH48" s="601"/>
      <c r="AI48" s="362" t="s">
        <v>3960</v>
      </c>
      <c r="AJ48" s="524">
        <f>IF(COUNTIF(HostBuild[Alias],HostBuild[Alias]),1/COUNTIF(HostBuild[Alias],HostBuild[Alias]),0)</f>
        <v>1</v>
      </c>
      <c r="AK48" s="531"/>
      <c r="AL48" s="531"/>
      <c r="AM48" s="532" t="s">
        <v>2173</v>
      </c>
      <c r="AN48" s="533" t="str">
        <f>IF(NOT(ISBLANK(HostBuild[Server Model])),VLOOKUP(HostBuild[Server Model],ServerModelsTier[],2,FALSE),"")</f>
        <v>x86 Tier 3</v>
      </c>
      <c r="AO48" s="533" t="str">
        <f>IF(NOT(ISBLANK(HostBuild[Server Model])),VLOOKUP(HostBuild[Server Model],ServerModelsTier[],5,FALSE),"")</f>
        <v>x86</v>
      </c>
      <c r="AP48" s="532"/>
      <c r="AQ48" s="532" t="s">
        <v>2337</v>
      </c>
      <c r="AR48" s="534">
        <v>2</v>
      </c>
      <c r="AS48" s="602"/>
      <c r="AT48" s="535"/>
      <c r="AU48" s="603" t="str">
        <f>IF(IFERROR(FIND("P-Series",HostBuild[Server Tier]),0),CEILING((HostBuild[Existing CPUs]+HostBuild[CPU])*16,8),"")</f>
        <v/>
      </c>
      <c r="AV48" s="536">
        <v>256</v>
      </c>
      <c r="AW48" s="531"/>
      <c r="AX48" s="531"/>
      <c r="AY48" s="531"/>
      <c r="AZ48" s="537"/>
      <c r="BA48" s="531"/>
      <c r="BB48" s="531"/>
      <c r="BC48" s="529"/>
      <c r="BD48" s="531"/>
      <c r="BE48" s="531"/>
      <c r="BF48" s="531"/>
      <c r="BG48" s="531"/>
      <c r="BH48" s="531"/>
      <c r="BI48" s="531"/>
      <c r="BJ48" s="531"/>
      <c r="BK48" s="604"/>
      <c r="BL48" s="538"/>
      <c r="BM48" s="540">
        <f>IF(ISNUMBER(HostBuild[Recommended SAN (GB)]),HostBuild[Recommended SAN (GB)])+IF(HostBuild[Additional SAN (GB)]&gt;0,CEILING(HostBuild[Additional SAN (GB)],LUN),-(CEILING(-HostBuild[Additional SAN (GB)],LUN)))</f>
        <v>0</v>
      </c>
      <c r="BN48" s="539"/>
      <c r="BO48" s="540">
        <f>HostBuild[SAN (GB)
NEEDED TODAY]+CEILING(HostBuild[SAN (GB)
RESERVED
DO NOT USE TO BUILD], LUN)</f>
        <v>0</v>
      </c>
      <c r="BP48" s="541"/>
      <c r="BQ48" s="542"/>
      <c r="BR48" s="432" t="s">
        <v>106</v>
      </c>
      <c r="BS48" s="605">
        <f>IF(HostBuild[Existing Server?]&lt;&gt;"Yes - Inside this BoM",IF(ISNUMBER(HostBuild[RAM 
(GB)]),IF(HostBuild[Existing RAM (GB)]+HostBuild[RAM 
(GB)]&gt;0,IF(HostBuild[Virtual Platform Storage Type]="NAS",110+HostBuild[Existing RAM (GB)]+HostBuild[RAM 
(GB)]*1.75,0),0),0),0)</f>
        <v>0</v>
      </c>
      <c r="BT48" s="606"/>
      <c r="BU48" s="607">
        <f>IF(ISNUMBER(HostBuild[Recommended NAS (GB)]),HostBuild[Recommended NAS (GB)])+HostBuild[Additional NAS (GB)]</f>
        <v>0</v>
      </c>
      <c r="BV48" s="543"/>
      <c r="BW48" s="543"/>
      <c r="BX48" s="604">
        <f>IFERROR((HostBuild[SAN (GB)
End-State
DO NOT USE TO BUILD]+HostBuild[SAN (GB) Shared])*25%,"")</f>
        <v>0</v>
      </c>
      <c r="BY48" s="608">
        <f>IFERROR(HostBuild[Archive
Full (GB)]*15%,"")</f>
        <v>0</v>
      </c>
      <c r="BZ48" s="544"/>
      <c r="CA48" s="544"/>
      <c r="CB48" s="545"/>
      <c r="CC48" s="546"/>
      <c r="CD48" s="545"/>
      <c r="CE48" s="547"/>
      <c r="CF48" s="539"/>
      <c r="CG48" s="609"/>
      <c r="CH48" s="548"/>
      <c r="CI48" s="549"/>
      <c r="CJ48" s="550" t="s">
        <v>4126</v>
      </c>
      <c r="CK48" s="551"/>
      <c r="CL48" s="552">
        <f>IFERROR(IF(FIND(CL$1,$W48)&gt;0,IF(INDEX(Product_Pricing_Table[],MATCH(CL$1,Products,0),2)="Cores",IF(HostBuild[Use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8" s="552">
        <f>IFERROR(IF(FIND(CM$1,$W48)&gt;0,IF(INDEX(Product_Pricing_Table[],MATCH(CM$1,Products,0),2)="Cores",IF(HostBuild[Use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48" s="552">
        <f>IFERROR(IF(FIND(CN$1,$W48)&gt;0,IF(INDEX(Product_Pricing_Table[],MATCH(CN$1,Products,0),2)="Cores",IF(HostBuild[Use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8" s="552">
        <f>IFERROR(IF(FIND(CO$1,$W48)&gt;0,IF(INDEX(Product_Pricing_Table[],MATCH(CO$1,Products,0),2)="Cores",IF(HostBuild[Use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8" s="552">
        <f>IFERROR(IF(FIND(CP$1,$W48)&gt;0,IF(INDEX(Product_Pricing_Table[],MATCH(CP$1,Products,0),2)="Cores",IF(HostBuild[Use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8" s="552">
        <f>IFERROR(IF(FIND(CQ$1,$W48)&gt;0,IF(INDEX(Product_Pricing_Table[],MATCH(CQ$1,Products,0),2)="Cores",IF(HostBuild[Use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8" s="552">
        <f>IFERROR(IF(FIND(CR$1,$W48)&gt;0,IF(INDEX(Product_Pricing_Table[],MATCH(CR$1,Products,0),2)="Cores",IF(HostBuild[Use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8" s="552">
        <f>IFERROR(IF(FIND(CS$1,$W48)&gt;0,IF(INDEX(Product_Pricing_Table[],MATCH(CS$1,Products,0),2)="Cores",IF(HostBuild[Use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8" s="552">
        <f>IFERROR(IF(FIND(CT$1,$W48)&gt;0,IF(INDEX(Product_Pricing_Table[],MATCH(CT$1,Products,0),2)="Cores",IF(HostBuild[Use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8" s="552">
        <f>IFERROR(IF(FIND(CU$1,$W48)&gt;0,IF(INDEX(Product_Pricing_Table[],MATCH(CU$1,Products,0),2)="Cores",IF(HostBuild[Use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8" s="552">
        <f>IFERROR(IF(FIND(CV$1,$W48)&gt;0,IF(INDEX(Product_Pricing_Table[],MATCH(CV$1,Products,0),2)="Cores",IF(HostBuild[Use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8" s="552">
        <f>IFERROR(IF(FIND(CW$1,$W48)&gt;0,IF(INDEX(Product_Pricing_Table[],MATCH(CW$1,Products,0),2)="Cores",IF(HostBuild[Use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8" s="552">
        <f>IFERROR(IF(FIND(CX$1,$W48)&gt;0,IF(INDEX(Product_Pricing_Table[],MATCH(CX$1,Products,0),2)="Cores",IF(HostBuild[Use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8" s="552">
        <f>IFERROR(IF(FIND(CY$1,$W48)&gt;0,IF(INDEX(Product_Pricing_Table[],MATCH(CY$1,Products,0),2)="Cores",IF(HostBuild[Use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8" s="552">
        <f>IFERROR(IF(FIND(CZ$1,$W48)&gt;0,IF(INDEX(Product_Pricing_Table[],MATCH(CZ$1,Products,0),2)="Cores",IF(HostBuild[Use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8" s="552">
        <f>IFERROR(IF(FIND(DA$1,$W48)&gt;0,IF(INDEX(Product_Pricing_Table[],MATCH(DA$1,Products,0),2)="Cores",IF(HostBuild[Use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8" s="552">
        <f>IFERROR(IF(FIND(DB$1,$W48)&gt;0,IF(INDEX(Product_Pricing_Table[],MATCH(DB$1,Products,0),2)="Cores",IF(HostBuild[Use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8" s="552">
        <f>IFERROR(IF(FIND(DC$1,$W48)&gt;0,IF(INDEX(Product_Pricing_Table[],MATCH(DC$1,Products,0),2)="Cores",IF(HostBuild[Use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8" s="552">
        <f>IFERROR(IF(FIND(DD$1,$W48)&gt;0,IF(INDEX(Product_Pricing_Table[],MATCH(DD$1,Products,0),2)="Cores",IF(HostBuild[Use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8" s="552">
        <f>IFERROR(IF(FIND(DE$1,$W48)&gt;0,IF(INDEX(Product_Pricing_Table[],MATCH(DE$1,Products,0),2)="Cores",IF(HostBuild[Use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8" s="553">
        <f>IFERROR(IF(FIND(DF$1,$W48)&gt;0,IF(INDEX(Product_Pricing_Table[],MATCH(DF$1,Products,0),2)="Cores",IF(HostBuild[Use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8" s="553">
        <f>IFERROR(IF(FIND(DG$1,$W48)&gt;0,IF(INDEX(Product_Pricing_Table[],MATCH(DG$1,Products,0),2)="Cores",IF(HostBuild[Use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8" s="552">
        <f>IFERROR(IF(FIND(DH$1,$W48)&gt;0,IF(INDEX(Product_Pricing_Table[],MATCH(DH$1,Products,0),2)="Cores",IF(HostBuild[Use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8" s="553">
        <f>IFERROR(IF(FIND(DI$1,$W48)&gt;0,IF(INDEX(Product_Pricing_Table[],MATCH(DI$1,Products,0),2)="Cores",IF(HostBuild[Use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8" s="552">
        <f>IFERROR(IF(FIND(DJ$1,$W48)&gt;0,IF(INDEX(Product_Pricing_Table[],MATCH(DJ$1,Products,0),2)="Cores",IF(HostBuild[Use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8" s="552">
        <f>IFERROR(IF(FIND(DK$1,$W48)&gt;0,IF(INDEX(Product_Pricing_Table[],MATCH(DK$1,Products,0),2)="Cores",IF(HostBuild[Use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8" s="552">
        <f>IFERROR(IF(FIND(DL$1,$W48)&gt;0,IF(INDEX(Product_Pricing_Table[],MATCH(DL$1,Products,0),2)="Cores",IF(HostBuild[Use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8" s="552">
        <f>IFERROR(IF(FIND(DM$1,$W48)&gt;0,IF(INDEX(Product_Pricing_Table[],MATCH(DM$1,Products,0),2)="Cores",IF(HostBuild[Use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8" s="552">
        <f>IFERROR(IF(FIND(DN$1,$W48)&gt;0,IF(INDEX(Product_Pricing_Table[],MATCH(DN$1,Products,0),2)="Cores",IF(HostBuild[Use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8" s="552">
        <f>IFERROR(IF(FIND(DO$1,$W48)&gt;0,IF(INDEX(Product_Pricing_Table[],MATCH(DO$1,Products,0),2)="Cores",IF(HostBuild[Use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8" s="552">
        <f>IFERROR(IF(FIND(DP$1,$W48)&gt;0,IF(INDEX(Product_Pricing_Table[],MATCH(DP$1,Products,0),2)="Cores",IF(HostBuild[Use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8" s="552">
        <f>IFERROR(IF(FIND(DQ$1,$W48)&gt;0,IF(INDEX(Product_Pricing_Table[],MATCH(DQ$1,Products,0),2)="Cores",IF(HostBuild[Use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8" s="552">
        <f>IFERROR(IF(FIND(DR$1,$W48)&gt;0,IF(INDEX(Product_Pricing_Table[],MATCH(DR$1,Products,0),2)="Cores",IF(HostBuild[Use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8" s="552">
        <f>IFERROR(IF(FIND(DS$1,$W48)&gt;0,IF(INDEX(Product_Pricing_Table[],MATCH(DS$1,Products,0),2)="Cores",IF(HostBuild[Use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8" s="552">
        <f>IFERROR(IF(FIND(DT$1,$W48)&gt;0,IF(INDEX(Product_Pricing_Table[],MATCH(DT$1,Products,0),2)="Cores",IF(HostBuild[Use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8" s="552">
        <f>IFERROR(IF(FIND(DU$1,$W48)&gt;0,IF(INDEX(Product_Pricing_Table[],MATCH(DU$1,Products,0),2)="Cores",IF(HostBuild[Use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8" s="552">
        <f>IFERROR(IF(FIND(DV$1,$W48)&gt;0,IF(INDEX(Product_Pricing_Table[],MATCH(DV$1,Products,0),2)="Cores",IF(HostBuild[Use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8" s="552">
        <f>IFERROR(IF(FIND(DW$1,$W48)&gt;0,IF(INDEX(Product_Pricing_Table[],MATCH(DW$1,Products,0),2)="Cores",IF(HostBuild[Use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8" s="552">
        <f>IFERROR(IF(FIND(DX$1,$W48)&gt;0,IF(INDEX(Product_Pricing_Table[],MATCH(DX$1,Products,0),2)="Cores",IF(HostBuild[Use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8" s="552">
        <f>IFERROR(IF(FIND(DY$1,$W48)&gt;0,IF(INDEX(Product_Pricing_Table[],MATCH(DY$1,Products,0),2)="Cores",IF(HostBuild[Use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8" s="552">
        <f>IFERROR(IF(FIND(DZ$1,$W48)&gt;0,IF(INDEX(Product_Pricing_Table[],MATCH(DZ$1,Products,0),2)="Cores",IF(HostBuild[Use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8" s="552">
        <f>IFERROR(IF(FIND(EA$1,$W48)&gt;0,IF(INDEX(Product_Pricing_Table[],MATCH(EA$1,Products,0),2)="Cores",IF(HostBuild[Use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8" s="552">
        <f>IFERROR(IF(FIND(EB$1,$W48)&gt;0,IF(INDEX(Product_Pricing_Table[],MATCH(EB$1,Products,0),2)="Cores",IF(HostBuild[Use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8" s="553">
        <f>IFERROR(IF(FIND(EC$1,$W48)&gt;0,IF(INDEX(Product_Pricing_Table[],MATCH(EC$1,Products,0),2)="Cores",IF(HostBuild[Use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8" s="552">
        <f>IFERROR(IF(FIND(ED$1,$W48)&gt;0,IF(INDEX(Product_Pricing_Table[],MATCH(ED$1,Products,0),2)="Cores",IF(HostBuild[Use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8" s="552">
        <f>IFERROR(IF(FIND(EE$1,$W48)&gt;0,IF(INDEX(Product_Pricing_Table[],MATCH(EE$1,Products,0),2)="Cores",IF(HostBuild[Use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8" s="552">
        <f>IFERROR(IF(FIND(EF$1,$W48)&gt;0,IF(INDEX(Product_Pricing_Table[],MATCH(EF$1,Products,0),2)="Cores",IF(HostBuild[Use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8" s="552">
        <f>IFERROR(IF(FIND(EG$1,$W48)&gt;0,IF(INDEX(Product_Pricing_Table[],MATCH(EG$1,Products,0),2)="Cores",IF(HostBuild[Use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8" s="552">
        <f>IFERROR(IF(FIND(EH$1,$W48)&gt;0,IF(INDEX(Product_Pricing_Table[],MATCH(EH$1,Products,0),2)="Cores",IF(HostBuild[Use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8" s="552">
        <f>IFERROR(IF(FIND(EI$1,$W48)&gt;0,IF(INDEX(Product_Pricing_Table[],MATCH(EI$1,Products,0),2)="Cores",IF(HostBuild[Use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8" s="552">
        <f>IFERROR(IF(FIND(EJ$1,$W48)&gt;0,IF(INDEX(Product_Pricing_Table[],MATCH(EJ$1,Products,0),2)="Cores",IF(HostBuild[Use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8" s="553">
        <f>IFERROR(IF(FIND(EK$1,$W48)&gt;0,IF(INDEX(Product_Pricing_Table[],MATCH(EK$1,Products,0),2)="Cores",IF(HostBuild[Use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48" s="554"/>
      <c r="EM48" s="555"/>
      <c r="EN48" s="556"/>
      <c r="EO48"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4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8" s="558">
        <f>(HostBuild[Archive
Full (GB)]+HostBuild[Archive
Incr (GB)])*Storage_DC_Dist_Tape_2014</f>
        <v>0</v>
      </c>
      <c r="ER48" s="558">
        <f>IF(ISNUMBER(HostBuild[Server HW Costs
(Monthly)]),SUM(HostBuild[[#This Row],[Server HW Costs
(Monthly)]:[Tape Costs
(Monthly)]]),0)</f>
        <v>1003.9</v>
      </c>
      <c r="ES48" s="559">
        <f>HostBuild[Software Costs
'[Year 1']
(Monthly)]+HostBuild[Total Hardware Costs
(Monthly)]</f>
        <v>1003.9</v>
      </c>
      <c r="ET48" s="559">
        <f>IFERROR(IF(FIND("Safenet",HostBuild[Server Model]),Safenet_PSE_PL600_Maint,0),0)+IFERROR(IF(FIND("XI52",HostBuild[Server Model]),IBM_DIA_XI52_Maint,0),0)+HostBuild[Software Costs
'[After Year 1']
(Monthly)]+HostBuild[Total Hardware Costs
(Monthly)]</f>
        <v>1003.9</v>
      </c>
      <c r="EU48" s="560">
        <f>SUM(HostBuild[[#This Row],[Server Cost Breakdown]:[Network Cost]])</f>
        <v>1003.9</v>
      </c>
      <c r="EV48" s="561">
        <f>IF(HostBuild[Existing Server?]="Yes - Inside this BoM",0,SUMIF(HostBuild[Alias],HostBuild[Alias],HostBuild[CPU])+SUMIF(HostBuild[Alias],HostBuild[Alias],HostBuild[Existing CPUs]))</f>
        <v>2</v>
      </c>
      <c r="EW48" s="561">
        <f>IF(HostBuild[Existing Server?]="Yes - Inside this BoM",0,SUMIF(HostBuild[Alias],HostBuild[Alias],HostBuild[Cores 
(Licensed Units)])+SUMIF(HostBuild[Alias],HostBuild[Alias],HostBuild[Existing Cores]))</f>
        <v>0</v>
      </c>
      <c r="EX48" s="561">
        <f>IF(HostBuild[Existing Server?]="Yes - Inside this BoM",0,SUMIF(HostBuild[Alias],HostBuild[Alias],HostBuild[RAM 
(GB)])+SUMIF(HostBuild[Alias],HostBuild[Alias],HostBuild[Existing RAM (GB)]))</f>
        <v>256</v>
      </c>
      <c r="EY4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8" s="560">
        <f>IF(ISBLANK(HostBuild[Server Model]),0,IF(HostBuild[Server Tier]="VMware",0,VLOOKUP(HostBuild[Server Tier],ServerTierRates[#Data],2,0))*HostBuild[CPU]*IF(AND(HostBuild[Server Type]="pSeries",HostBuild[Virtual Platform Storage Type]="Cloud-SAN"),0.25,1))</f>
        <v>608</v>
      </c>
      <c r="FD48" s="560">
        <f>0</f>
        <v>0</v>
      </c>
      <c r="FE48" s="560">
        <f>IF(HostBuild[Server Type]="VMware",HostBuild[RAM 
(GB)]*IF(ISERROR(FIND("DevCloud", HostBuild[Server Model])&gt;0),vRAM_per_vCPU_2014_Monthly,vRAM_per_vCPU_2014_Daily*30),0)</f>
        <v>0</v>
      </c>
      <c r="FF4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4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8" s="563">
        <f>IF(HostBuild[Server Tier]="VMware",0,IF(LEFT(HostBuild[Existing Server?],3)="Yes",0,IF(OR(HostBuild[Server Type]="Sun",HostBuild[Server Type]="pSeries"),Support_Direct_Server_Sun_per_OS_2014,IF(HostBuild[Server Type]="x86",Support_Direct_Server_x86_Wintel_per_OS_2014,0))))</f>
        <v>187.1</v>
      </c>
      <c r="FI4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49" spans="1:165" s="139" customFormat="1" ht="15" customHeight="1">
      <c r="A49" s="360" t="s">
        <v>3942</v>
      </c>
      <c r="B49" s="521"/>
      <c r="C49" s="521"/>
      <c r="D49" s="521"/>
      <c r="E49" s="522"/>
      <c r="F49" s="522"/>
      <c r="G49" s="597"/>
      <c r="H49" s="597"/>
      <c r="I49" s="523"/>
      <c r="J49" s="522"/>
      <c r="K49" s="522"/>
      <c r="L49" s="522"/>
      <c r="M49" s="597" t="e">
        <f ca="1">IF(rngIsDate(HostBuild[CTO Acceptance]),"Y","N")</f>
        <v>#NAME?</v>
      </c>
      <c r="N49" s="361" t="s">
        <v>3939</v>
      </c>
      <c r="O49" s="525"/>
      <c r="P49" s="525"/>
      <c r="Q49" s="361" t="s">
        <v>211</v>
      </c>
      <c r="R49" s="526" t="str">
        <f>IF(NOT(ISBLANK(HostBuild[Env Label])),IFERROR(VLOOKUP(HostBuild[Env Label],tEnv[],3,FALSE),""),"")</f>
        <v>COB</v>
      </c>
      <c r="S49" s="598"/>
      <c r="T49" s="527"/>
      <c r="U49" s="599"/>
      <c r="V49" s="524" t="s">
        <v>3937</v>
      </c>
      <c r="W49" s="524" t="s">
        <v>3940</v>
      </c>
      <c r="X49" s="524" t="s">
        <v>35</v>
      </c>
      <c r="Y49" s="361" t="s">
        <v>481</v>
      </c>
      <c r="Z49" s="526" t="str">
        <f>IF(NOT(ISBLANK(HostBuild[[#This Row],[Product 
(Acronym)]])),CONCATENATE(HostBuild[[#This Row],[Type]],"-",HostBuild[[#This Row],[Product 
(Acronym)]]),"")</f>
        <v>AP-ESB</v>
      </c>
      <c r="AA49" s="600"/>
      <c r="AB49" s="600" t="s">
        <v>105</v>
      </c>
      <c r="AC49" s="528"/>
      <c r="AD49" s="529"/>
      <c r="AE49" s="529"/>
      <c r="AF49" s="530"/>
      <c r="AG49" s="531"/>
      <c r="AH49" s="601"/>
      <c r="AI49" s="362" t="s">
        <v>3961</v>
      </c>
      <c r="AJ49" s="524">
        <f>IF(COUNTIF(HostBuild[Alias],HostBuild[Alias]),1/COUNTIF(HostBuild[Alias],HostBuild[Alias]),0)</f>
        <v>1</v>
      </c>
      <c r="AK49" s="531"/>
      <c r="AL49" s="531"/>
      <c r="AM49" s="532" t="s">
        <v>2173</v>
      </c>
      <c r="AN49" s="533" t="str">
        <f>IF(NOT(ISBLANK(HostBuild[Server Model])),VLOOKUP(HostBuild[Server Model],ServerModelsTier[],2,FALSE),"")</f>
        <v>x86 Tier 3</v>
      </c>
      <c r="AO49" s="533" t="str">
        <f>IF(NOT(ISBLANK(HostBuild[Server Model])),VLOOKUP(HostBuild[Server Model],ServerModelsTier[],5,FALSE),"")</f>
        <v>x86</v>
      </c>
      <c r="AP49" s="532"/>
      <c r="AQ49" s="532" t="s">
        <v>2337</v>
      </c>
      <c r="AR49" s="534">
        <v>2</v>
      </c>
      <c r="AS49" s="602"/>
      <c r="AT49" s="535"/>
      <c r="AU49" s="603" t="str">
        <f>IF(IFERROR(FIND("P-Series",HostBuild[Server Tier]),0),CEILING((HostBuild[Existing CPUs]+HostBuild[CPU])*16,8),"")</f>
        <v/>
      </c>
      <c r="AV49" s="536">
        <v>256</v>
      </c>
      <c r="AW49" s="531"/>
      <c r="AX49" s="531"/>
      <c r="AY49" s="531"/>
      <c r="AZ49" s="537"/>
      <c r="BA49" s="531"/>
      <c r="BB49" s="531"/>
      <c r="BC49" s="529"/>
      <c r="BD49" s="531"/>
      <c r="BE49" s="531"/>
      <c r="BF49" s="531"/>
      <c r="BG49" s="531"/>
      <c r="BH49" s="531"/>
      <c r="BI49" s="531"/>
      <c r="BJ49" s="531"/>
      <c r="BK49" s="604"/>
      <c r="BL49" s="538"/>
      <c r="BM49" s="540">
        <f>IF(ISNUMBER(HostBuild[Recommended SAN (GB)]),HostBuild[Recommended SAN (GB)])+IF(HostBuild[Additional SAN (GB)]&gt;0,CEILING(HostBuild[Additional SAN (GB)],LUN),-(CEILING(-HostBuild[Additional SAN (GB)],LUN)))</f>
        <v>0</v>
      </c>
      <c r="BN49" s="539"/>
      <c r="BO49" s="540">
        <f>HostBuild[SAN (GB)
NEEDED TODAY]+CEILING(HostBuild[SAN (GB)
RESERVED
DO NOT USE TO BUILD], LUN)</f>
        <v>0</v>
      </c>
      <c r="BP49" s="541"/>
      <c r="BQ49" s="542"/>
      <c r="BR49" s="432" t="s">
        <v>106</v>
      </c>
      <c r="BS49" s="605">
        <f>IF(HostBuild[Existing Server?]&lt;&gt;"Yes - Inside this BoM",IF(ISNUMBER(HostBuild[RAM 
(GB)]),IF(HostBuild[Existing RAM (GB)]+HostBuild[RAM 
(GB)]&gt;0,IF(HostBuild[Virtual Platform Storage Type]="NAS",110+HostBuild[Existing RAM (GB)]+HostBuild[RAM 
(GB)]*1.75,0),0),0),0)</f>
        <v>0</v>
      </c>
      <c r="BT49" s="606"/>
      <c r="BU49" s="607">
        <f>IF(ISNUMBER(HostBuild[Recommended NAS (GB)]),HostBuild[Recommended NAS (GB)])+HostBuild[Additional NAS (GB)]</f>
        <v>0</v>
      </c>
      <c r="BV49" s="543"/>
      <c r="BW49" s="543"/>
      <c r="BX49" s="604">
        <f>IFERROR((HostBuild[SAN (GB)
End-State
DO NOT USE TO BUILD]+HostBuild[SAN (GB) Shared])*25%,"")</f>
        <v>0</v>
      </c>
      <c r="BY49" s="608">
        <f>IFERROR(HostBuild[Archive
Full (GB)]*15%,"")</f>
        <v>0</v>
      </c>
      <c r="BZ49" s="544"/>
      <c r="CA49" s="544"/>
      <c r="CB49" s="545"/>
      <c r="CC49" s="546"/>
      <c r="CD49" s="545"/>
      <c r="CE49" s="547"/>
      <c r="CF49" s="539"/>
      <c r="CG49" s="609"/>
      <c r="CH49" s="548"/>
      <c r="CI49" s="549"/>
      <c r="CJ49" s="550" t="s">
        <v>4126</v>
      </c>
      <c r="CK49" s="551"/>
      <c r="CL49" s="552">
        <f>IFERROR(IF(FIND(CL$1,$W49)&gt;0,IF(INDEX(Product_Pricing_Table[],MATCH(CL$1,Products,0),2)="Cores",IF(HostBuild[Use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49" s="552">
        <f>IFERROR(IF(FIND(CM$1,$W49)&gt;0,IF(INDEX(Product_Pricing_Table[],MATCH(CM$1,Products,0),2)="Cores",IF(HostBuild[Use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49" s="552">
        <f>IFERROR(IF(FIND(CN$1,$W49)&gt;0,IF(INDEX(Product_Pricing_Table[],MATCH(CN$1,Products,0),2)="Cores",IF(HostBuild[Use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49" s="552">
        <f>IFERROR(IF(FIND(CO$1,$W49)&gt;0,IF(INDEX(Product_Pricing_Table[],MATCH(CO$1,Products,0),2)="Cores",IF(HostBuild[Use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49" s="552">
        <f>IFERROR(IF(FIND(CP$1,$W49)&gt;0,IF(INDEX(Product_Pricing_Table[],MATCH(CP$1,Products,0),2)="Cores",IF(HostBuild[Use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49" s="552">
        <f>IFERROR(IF(FIND(CQ$1,$W49)&gt;0,IF(INDEX(Product_Pricing_Table[],MATCH(CQ$1,Products,0),2)="Cores",IF(HostBuild[Use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49" s="552">
        <f>IFERROR(IF(FIND(CR$1,$W49)&gt;0,IF(INDEX(Product_Pricing_Table[],MATCH(CR$1,Products,0),2)="Cores",IF(HostBuild[Use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49" s="552">
        <f>IFERROR(IF(FIND(CS$1,$W49)&gt;0,IF(INDEX(Product_Pricing_Table[],MATCH(CS$1,Products,0),2)="Cores",IF(HostBuild[Use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49" s="552">
        <f>IFERROR(IF(FIND(CT$1,$W49)&gt;0,IF(INDEX(Product_Pricing_Table[],MATCH(CT$1,Products,0),2)="Cores",IF(HostBuild[Use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49" s="552">
        <f>IFERROR(IF(FIND(CU$1,$W49)&gt;0,IF(INDEX(Product_Pricing_Table[],MATCH(CU$1,Products,0),2)="Cores",IF(HostBuild[Use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49" s="552">
        <f>IFERROR(IF(FIND(CV$1,$W49)&gt;0,IF(INDEX(Product_Pricing_Table[],MATCH(CV$1,Products,0),2)="Cores",IF(HostBuild[Use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49" s="552">
        <f>IFERROR(IF(FIND(CW$1,$W49)&gt;0,IF(INDEX(Product_Pricing_Table[],MATCH(CW$1,Products,0),2)="Cores",IF(HostBuild[Use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49" s="552">
        <f>IFERROR(IF(FIND(CX$1,$W49)&gt;0,IF(INDEX(Product_Pricing_Table[],MATCH(CX$1,Products,0),2)="Cores",IF(HostBuild[Use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49" s="552">
        <f>IFERROR(IF(FIND(CY$1,$W49)&gt;0,IF(INDEX(Product_Pricing_Table[],MATCH(CY$1,Products,0),2)="Cores",IF(HostBuild[Use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49" s="552">
        <f>IFERROR(IF(FIND(CZ$1,$W49)&gt;0,IF(INDEX(Product_Pricing_Table[],MATCH(CZ$1,Products,0),2)="Cores",IF(HostBuild[Use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49" s="552">
        <f>IFERROR(IF(FIND(DA$1,$W49)&gt;0,IF(INDEX(Product_Pricing_Table[],MATCH(DA$1,Products,0),2)="Cores",IF(HostBuild[Use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49" s="552">
        <f>IFERROR(IF(FIND(DB$1,$W49)&gt;0,IF(INDEX(Product_Pricing_Table[],MATCH(DB$1,Products,0),2)="Cores",IF(HostBuild[Use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49" s="552">
        <f>IFERROR(IF(FIND(DC$1,$W49)&gt;0,IF(INDEX(Product_Pricing_Table[],MATCH(DC$1,Products,0),2)="Cores",IF(HostBuild[Use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49" s="552">
        <f>IFERROR(IF(FIND(DD$1,$W49)&gt;0,IF(INDEX(Product_Pricing_Table[],MATCH(DD$1,Products,0),2)="Cores",IF(HostBuild[Use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49" s="552">
        <f>IFERROR(IF(FIND(DE$1,$W49)&gt;0,IF(INDEX(Product_Pricing_Table[],MATCH(DE$1,Products,0),2)="Cores",IF(HostBuild[Use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49" s="553">
        <f>IFERROR(IF(FIND(DF$1,$W49)&gt;0,IF(INDEX(Product_Pricing_Table[],MATCH(DF$1,Products,0),2)="Cores",IF(HostBuild[Use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49" s="553">
        <f>IFERROR(IF(FIND(DG$1,$W49)&gt;0,IF(INDEX(Product_Pricing_Table[],MATCH(DG$1,Products,0),2)="Cores",IF(HostBuild[Use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49" s="552">
        <f>IFERROR(IF(FIND(DH$1,$W49)&gt;0,IF(INDEX(Product_Pricing_Table[],MATCH(DH$1,Products,0),2)="Cores",IF(HostBuild[Use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49" s="553">
        <f>IFERROR(IF(FIND(DI$1,$W49)&gt;0,IF(INDEX(Product_Pricing_Table[],MATCH(DI$1,Products,0),2)="Cores",IF(HostBuild[Use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49" s="552">
        <f>IFERROR(IF(FIND(DJ$1,$W49)&gt;0,IF(INDEX(Product_Pricing_Table[],MATCH(DJ$1,Products,0),2)="Cores",IF(HostBuild[Use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49" s="552">
        <f>IFERROR(IF(FIND(DK$1,$W49)&gt;0,IF(INDEX(Product_Pricing_Table[],MATCH(DK$1,Products,0),2)="Cores",IF(HostBuild[Use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49" s="552">
        <f>IFERROR(IF(FIND(DL$1,$W49)&gt;0,IF(INDEX(Product_Pricing_Table[],MATCH(DL$1,Products,0),2)="Cores",IF(HostBuild[Use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49" s="552">
        <f>IFERROR(IF(FIND(DM$1,$W49)&gt;0,IF(INDEX(Product_Pricing_Table[],MATCH(DM$1,Products,0),2)="Cores",IF(HostBuild[Use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49" s="552">
        <f>IFERROR(IF(FIND(DN$1,$W49)&gt;0,IF(INDEX(Product_Pricing_Table[],MATCH(DN$1,Products,0),2)="Cores",IF(HostBuild[Use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49" s="552">
        <f>IFERROR(IF(FIND(DO$1,$W49)&gt;0,IF(INDEX(Product_Pricing_Table[],MATCH(DO$1,Products,0),2)="Cores",IF(HostBuild[Use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49" s="552">
        <f>IFERROR(IF(FIND(DP$1,$W49)&gt;0,IF(INDEX(Product_Pricing_Table[],MATCH(DP$1,Products,0),2)="Cores",IF(HostBuild[Use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49" s="552">
        <f>IFERROR(IF(FIND(DQ$1,$W49)&gt;0,IF(INDEX(Product_Pricing_Table[],MATCH(DQ$1,Products,0),2)="Cores",IF(HostBuild[Use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49" s="552">
        <f>IFERROR(IF(FIND(DR$1,$W49)&gt;0,IF(INDEX(Product_Pricing_Table[],MATCH(DR$1,Products,0),2)="Cores",IF(HostBuild[Use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49" s="552">
        <f>IFERROR(IF(FIND(DS$1,$W49)&gt;0,IF(INDEX(Product_Pricing_Table[],MATCH(DS$1,Products,0),2)="Cores",IF(HostBuild[Use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49" s="552">
        <f>IFERROR(IF(FIND(DT$1,$W49)&gt;0,IF(INDEX(Product_Pricing_Table[],MATCH(DT$1,Products,0),2)="Cores",IF(HostBuild[Use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49" s="552">
        <f>IFERROR(IF(FIND(DU$1,$W49)&gt;0,IF(INDEX(Product_Pricing_Table[],MATCH(DU$1,Products,0),2)="Cores",IF(HostBuild[Use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49" s="552">
        <f>IFERROR(IF(FIND(DV$1,$W49)&gt;0,IF(INDEX(Product_Pricing_Table[],MATCH(DV$1,Products,0),2)="Cores",IF(HostBuild[Use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49" s="552">
        <f>IFERROR(IF(FIND(DW$1,$W49)&gt;0,IF(INDEX(Product_Pricing_Table[],MATCH(DW$1,Products,0),2)="Cores",IF(HostBuild[Use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49" s="552">
        <f>IFERROR(IF(FIND(DX$1,$W49)&gt;0,IF(INDEX(Product_Pricing_Table[],MATCH(DX$1,Products,0),2)="Cores",IF(HostBuild[Use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49" s="552">
        <f>IFERROR(IF(FIND(DY$1,$W49)&gt;0,IF(INDEX(Product_Pricing_Table[],MATCH(DY$1,Products,0),2)="Cores",IF(HostBuild[Use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49" s="552">
        <f>IFERROR(IF(FIND(DZ$1,$W49)&gt;0,IF(INDEX(Product_Pricing_Table[],MATCH(DZ$1,Products,0),2)="Cores",IF(HostBuild[Use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49" s="552">
        <f>IFERROR(IF(FIND(EA$1,$W49)&gt;0,IF(INDEX(Product_Pricing_Table[],MATCH(EA$1,Products,0),2)="Cores",IF(HostBuild[Use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49" s="552">
        <f>IFERROR(IF(FIND(EB$1,$W49)&gt;0,IF(INDEX(Product_Pricing_Table[],MATCH(EB$1,Products,0),2)="Cores",IF(HostBuild[Use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49" s="553">
        <f>IFERROR(IF(FIND(EC$1,$W49)&gt;0,IF(INDEX(Product_Pricing_Table[],MATCH(EC$1,Products,0),2)="Cores",IF(HostBuild[Use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49" s="552">
        <f>IFERROR(IF(FIND(ED$1,$W49)&gt;0,IF(INDEX(Product_Pricing_Table[],MATCH(ED$1,Products,0),2)="Cores",IF(HostBuild[Use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49" s="552">
        <f>IFERROR(IF(FIND(EE$1,$W49)&gt;0,IF(INDEX(Product_Pricing_Table[],MATCH(EE$1,Products,0),2)="Cores",IF(HostBuild[Use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49" s="552">
        <f>IFERROR(IF(FIND(EF$1,$W49)&gt;0,IF(INDEX(Product_Pricing_Table[],MATCH(EF$1,Products,0),2)="Cores",IF(HostBuild[Use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49" s="552">
        <f>IFERROR(IF(FIND(EG$1,$W49)&gt;0,IF(INDEX(Product_Pricing_Table[],MATCH(EG$1,Products,0),2)="Cores",IF(HostBuild[Use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49" s="552">
        <f>IFERROR(IF(FIND(EH$1,$W49)&gt;0,IF(INDEX(Product_Pricing_Table[],MATCH(EH$1,Products,0),2)="Cores",IF(HostBuild[Use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49" s="552">
        <f>IFERROR(IF(FIND(EI$1,$W49)&gt;0,IF(INDEX(Product_Pricing_Table[],MATCH(EI$1,Products,0),2)="Cores",IF(HostBuild[Use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49" s="552">
        <f>IFERROR(IF(FIND(EJ$1,$W49)&gt;0,IF(INDEX(Product_Pricing_Table[],MATCH(EJ$1,Products,0),2)="Cores",IF(HostBuild[Use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49" s="553">
        <f>IFERROR(IF(FIND(EK$1,$W49)&gt;0,IF(INDEX(Product_Pricing_Table[],MATCH(EK$1,Products,0),2)="Cores",IF(HostBuild[Use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49" s="554"/>
      <c r="EM49" s="555"/>
      <c r="EN49" s="556"/>
      <c r="EO49"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4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49" s="558">
        <f>(HostBuild[Archive
Full (GB)]+HostBuild[Archive
Incr (GB)])*Storage_DC_Dist_Tape_2014</f>
        <v>0</v>
      </c>
      <c r="ER49" s="558">
        <f>IF(ISNUMBER(HostBuild[Server HW Costs
(Monthly)]),SUM(HostBuild[[#This Row],[Server HW Costs
(Monthly)]:[Tape Costs
(Monthly)]]),0)</f>
        <v>1003.9</v>
      </c>
      <c r="ES49" s="559">
        <f>HostBuild[Software Costs
'[Year 1']
(Monthly)]+HostBuild[Total Hardware Costs
(Monthly)]</f>
        <v>1003.9</v>
      </c>
      <c r="ET49" s="559">
        <f>IFERROR(IF(FIND("Safenet",HostBuild[Server Model]),Safenet_PSE_PL600_Maint,0),0)+IFERROR(IF(FIND("XI52",HostBuild[Server Model]),IBM_DIA_XI52_Maint,0),0)+HostBuild[Software Costs
'[After Year 1']
(Monthly)]+HostBuild[Total Hardware Costs
(Monthly)]</f>
        <v>1003.9</v>
      </c>
      <c r="EU49" s="560">
        <f>SUM(HostBuild[[#This Row],[Server Cost Breakdown]:[Network Cost]])</f>
        <v>1003.9</v>
      </c>
      <c r="EV49" s="561">
        <f>IF(HostBuild[Existing Server?]="Yes - Inside this BoM",0,SUMIF(HostBuild[Alias],HostBuild[Alias],HostBuild[CPU])+SUMIF(HostBuild[Alias],HostBuild[Alias],HostBuild[Existing CPUs]))</f>
        <v>2</v>
      </c>
      <c r="EW49" s="561">
        <f>IF(HostBuild[Existing Server?]="Yes - Inside this BoM",0,SUMIF(HostBuild[Alias],HostBuild[Alias],HostBuild[Cores 
(Licensed Units)])+SUMIF(HostBuild[Alias],HostBuild[Alias],HostBuild[Existing Cores]))</f>
        <v>0</v>
      </c>
      <c r="EX49" s="561">
        <f>IF(HostBuild[Existing Server?]="Yes - Inside this BoM",0,SUMIF(HostBuild[Alias],HostBuild[Alias],HostBuild[RAM 
(GB)])+SUMIF(HostBuild[Alias],HostBuild[Alias],HostBuild[Existing RAM (GB)]))</f>
        <v>256</v>
      </c>
      <c r="EY4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4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4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4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49" s="560">
        <f>IF(ISBLANK(HostBuild[Server Model]),0,IF(HostBuild[Server Tier]="VMware",0,VLOOKUP(HostBuild[Server Tier],ServerTierRates[#Data],2,0))*HostBuild[CPU]*IF(AND(HostBuild[Server Type]="pSeries",HostBuild[Virtual Platform Storage Type]="Cloud-SAN"),0.25,1))</f>
        <v>608</v>
      </c>
      <c r="FD49" s="560">
        <f>0</f>
        <v>0</v>
      </c>
      <c r="FE49" s="560">
        <f>IF(HostBuild[Server Type]="VMware",HostBuild[RAM 
(GB)]*IF(ISERROR(FIND("DevCloud", HostBuild[Server Model])&gt;0),vRAM_per_vCPU_2014_Monthly,vRAM_per_vCPU_2014_Daily*30),0)</f>
        <v>0</v>
      </c>
      <c r="FF4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4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49" s="563">
        <f>IF(HostBuild[Server Tier]="VMware",0,IF(LEFT(HostBuild[Existing Server?],3)="Yes",0,IF(OR(HostBuild[Server Type]="Sun",HostBuild[Server Type]="pSeries"),Support_Direct_Server_Sun_per_OS_2014,IF(HostBuild[Server Type]="x86",Support_Direct_Server_x86_Wintel_per_OS_2014,0))))</f>
        <v>187.1</v>
      </c>
      <c r="FI4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0" spans="1:165" s="139" customFormat="1" ht="15" customHeight="1">
      <c r="A50" s="360" t="s">
        <v>3942</v>
      </c>
      <c r="B50" s="521"/>
      <c r="C50" s="521"/>
      <c r="D50" s="521"/>
      <c r="E50" s="522"/>
      <c r="F50" s="522"/>
      <c r="G50" s="597"/>
      <c r="H50" s="597"/>
      <c r="I50" s="523"/>
      <c r="J50" s="522"/>
      <c r="K50" s="522"/>
      <c r="L50" s="522"/>
      <c r="M50" s="597" t="e">
        <f ca="1">IF(rngIsDate(HostBuild[CTO Acceptance]),"Y","N")</f>
        <v>#NAME?</v>
      </c>
      <c r="N50" s="361" t="s">
        <v>3939</v>
      </c>
      <c r="O50" s="525"/>
      <c r="P50" s="525"/>
      <c r="Q50" s="361" t="s">
        <v>211</v>
      </c>
      <c r="R50" s="526" t="str">
        <f>IF(NOT(ISBLANK(HostBuild[Env Label])),IFERROR(VLOOKUP(HostBuild[Env Label],tEnv[],3,FALSE),""),"")</f>
        <v>COB</v>
      </c>
      <c r="S50" s="598"/>
      <c r="T50" s="527"/>
      <c r="U50" s="599"/>
      <c r="V50" s="524" t="s">
        <v>3937</v>
      </c>
      <c r="W50" s="524" t="s">
        <v>3940</v>
      </c>
      <c r="X50" s="524" t="s">
        <v>35</v>
      </c>
      <c r="Y50" s="361" t="s">
        <v>481</v>
      </c>
      <c r="Z50" s="526" t="str">
        <f>IF(NOT(ISBLANK(HostBuild[[#This Row],[Product 
(Acronym)]])),CONCATENATE(HostBuild[[#This Row],[Type]],"-",HostBuild[[#This Row],[Product 
(Acronym)]]),"")</f>
        <v>AP-ESB</v>
      </c>
      <c r="AA50" s="600"/>
      <c r="AB50" s="600" t="s">
        <v>105</v>
      </c>
      <c r="AC50" s="528"/>
      <c r="AD50" s="529"/>
      <c r="AE50" s="529"/>
      <c r="AF50" s="530"/>
      <c r="AG50" s="531"/>
      <c r="AH50" s="601"/>
      <c r="AI50" s="362" t="s">
        <v>3962</v>
      </c>
      <c r="AJ50" s="524">
        <f>IF(COUNTIF(HostBuild[Alias],HostBuild[Alias]),1/COUNTIF(HostBuild[Alias],HostBuild[Alias]),0)</f>
        <v>1</v>
      </c>
      <c r="AK50" s="531"/>
      <c r="AL50" s="531"/>
      <c r="AM50" s="532" t="s">
        <v>2173</v>
      </c>
      <c r="AN50" s="533" t="str">
        <f>IF(NOT(ISBLANK(HostBuild[Server Model])),VLOOKUP(HostBuild[Server Model],ServerModelsTier[],2,FALSE),"")</f>
        <v>x86 Tier 3</v>
      </c>
      <c r="AO50" s="533" t="str">
        <f>IF(NOT(ISBLANK(HostBuild[Server Model])),VLOOKUP(HostBuild[Server Model],ServerModelsTier[],5,FALSE),"")</f>
        <v>x86</v>
      </c>
      <c r="AP50" s="532"/>
      <c r="AQ50" s="532" t="s">
        <v>2337</v>
      </c>
      <c r="AR50" s="534">
        <v>2</v>
      </c>
      <c r="AS50" s="602"/>
      <c r="AT50" s="535"/>
      <c r="AU50" s="603" t="str">
        <f>IF(IFERROR(FIND("P-Series",HostBuild[Server Tier]),0),CEILING((HostBuild[Existing CPUs]+HostBuild[CPU])*16,8),"")</f>
        <v/>
      </c>
      <c r="AV50" s="536">
        <v>256</v>
      </c>
      <c r="AW50" s="531"/>
      <c r="AX50" s="531"/>
      <c r="AY50" s="531"/>
      <c r="AZ50" s="537"/>
      <c r="BA50" s="531"/>
      <c r="BB50" s="531"/>
      <c r="BC50" s="529"/>
      <c r="BD50" s="531"/>
      <c r="BE50" s="531"/>
      <c r="BF50" s="531"/>
      <c r="BG50" s="531"/>
      <c r="BH50" s="531"/>
      <c r="BI50" s="531"/>
      <c r="BJ50" s="531"/>
      <c r="BK50" s="604"/>
      <c r="BL50" s="538"/>
      <c r="BM50" s="540">
        <f>IF(ISNUMBER(HostBuild[Recommended SAN (GB)]),HostBuild[Recommended SAN (GB)])+IF(HostBuild[Additional SAN (GB)]&gt;0,CEILING(HostBuild[Additional SAN (GB)],LUN),-(CEILING(-HostBuild[Additional SAN (GB)],LUN)))</f>
        <v>0</v>
      </c>
      <c r="BN50" s="539"/>
      <c r="BO50" s="540">
        <f>HostBuild[SAN (GB)
NEEDED TODAY]+CEILING(HostBuild[SAN (GB)
RESERVED
DO NOT USE TO BUILD], LUN)</f>
        <v>0</v>
      </c>
      <c r="BP50" s="541"/>
      <c r="BQ50" s="542"/>
      <c r="BR50" s="432" t="s">
        <v>106</v>
      </c>
      <c r="BS50" s="605">
        <f>IF(HostBuild[Existing Server?]&lt;&gt;"Yes - Inside this BoM",IF(ISNUMBER(HostBuild[RAM 
(GB)]),IF(HostBuild[Existing RAM (GB)]+HostBuild[RAM 
(GB)]&gt;0,IF(HostBuild[Virtual Platform Storage Type]="NAS",110+HostBuild[Existing RAM (GB)]+HostBuild[RAM 
(GB)]*1.75,0),0),0),0)</f>
        <v>0</v>
      </c>
      <c r="BT50" s="606"/>
      <c r="BU50" s="607">
        <f>IF(ISNUMBER(HostBuild[Recommended NAS (GB)]),HostBuild[Recommended NAS (GB)])+HostBuild[Additional NAS (GB)]</f>
        <v>0</v>
      </c>
      <c r="BV50" s="543"/>
      <c r="BW50" s="543"/>
      <c r="BX50" s="604">
        <f>IFERROR((HostBuild[SAN (GB)
End-State
DO NOT USE TO BUILD]+HostBuild[SAN (GB) Shared])*25%,"")</f>
        <v>0</v>
      </c>
      <c r="BY50" s="608">
        <f>IFERROR(HostBuild[Archive
Full (GB)]*15%,"")</f>
        <v>0</v>
      </c>
      <c r="BZ50" s="544"/>
      <c r="CA50" s="544"/>
      <c r="CB50" s="545"/>
      <c r="CC50" s="546"/>
      <c r="CD50" s="545"/>
      <c r="CE50" s="547"/>
      <c r="CF50" s="539"/>
      <c r="CG50" s="609"/>
      <c r="CH50" s="548"/>
      <c r="CI50" s="549"/>
      <c r="CJ50" s="550" t="s">
        <v>4126</v>
      </c>
      <c r="CK50" s="551"/>
      <c r="CL50" s="552">
        <f>IFERROR(IF(FIND(CL$1,$W50)&gt;0,IF(INDEX(Product_Pricing_Table[],MATCH(CL$1,Products,0),2)="Cores",IF(HostBuild[Use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0" s="552">
        <f>IFERROR(IF(FIND(CM$1,$W50)&gt;0,IF(INDEX(Product_Pricing_Table[],MATCH(CM$1,Products,0),2)="Cores",IF(HostBuild[Use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0" s="552">
        <f>IFERROR(IF(FIND(CN$1,$W50)&gt;0,IF(INDEX(Product_Pricing_Table[],MATCH(CN$1,Products,0),2)="Cores",IF(HostBuild[Use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0" s="552">
        <f>IFERROR(IF(FIND(CO$1,$W50)&gt;0,IF(INDEX(Product_Pricing_Table[],MATCH(CO$1,Products,0),2)="Cores",IF(HostBuild[Use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0" s="552">
        <f>IFERROR(IF(FIND(CP$1,$W50)&gt;0,IF(INDEX(Product_Pricing_Table[],MATCH(CP$1,Products,0),2)="Cores",IF(HostBuild[Use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0" s="552">
        <f>IFERROR(IF(FIND(CQ$1,$W50)&gt;0,IF(INDEX(Product_Pricing_Table[],MATCH(CQ$1,Products,0),2)="Cores",IF(HostBuild[Use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0" s="552">
        <f>IFERROR(IF(FIND(CR$1,$W50)&gt;0,IF(INDEX(Product_Pricing_Table[],MATCH(CR$1,Products,0),2)="Cores",IF(HostBuild[Use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0" s="552">
        <f>IFERROR(IF(FIND(CS$1,$W50)&gt;0,IF(INDEX(Product_Pricing_Table[],MATCH(CS$1,Products,0),2)="Cores",IF(HostBuild[Use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0" s="552">
        <f>IFERROR(IF(FIND(CT$1,$W50)&gt;0,IF(INDEX(Product_Pricing_Table[],MATCH(CT$1,Products,0),2)="Cores",IF(HostBuild[Use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0" s="552">
        <f>IFERROR(IF(FIND(CU$1,$W50)&gt;0,IF(INDEX(Product_Pricing_Table[],MATCH(CU$1,Products,0),2)="Cores",IF(HostBuild[Use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0" s="552">
        <f>IFERROR(IF(FIND(CV$1,$W50)&gt;0,IF(INDEX(Product_Pricing_Table[],MATCH(CV$1,Products,0),2)="Cores",IF(HostBuild[Use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0" s="552">
        <f>IFERROR(IF(FIND(CW$1,$W50)&gt;0,IF(INDEX(Product_Pricing_Table[],MATCH(CW$1,Products,0),2)="Cores",IF(HostBuild[Use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0" s="552">
        <f>IFERROR(IF(FIND(CX$1,$W50)&gt;0,IF(INDEX(Product_Pricing_Table[],MATCH(CX$1,Products,0),2)="Cores",IF(HostBuild[Use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0" s="552">
        <f>IFERROR(IF(FIND(CY$1,$W50)&gt;0,IF(INDEX(Product_Pricing_Table[],MATCH(CY$1,Products,0),2)="Cores",IF(HostBuild[Use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0" s="552">
        <f>IFERROR(IF(FIND(CZ$1,$W50)&gt;0,IF(INDEX(Product_Pricing_Table[],MATCH(CZ$1,Products,0),2)="Cores",IF(HostBuild[Use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0" s="552">
        <f>IFERROR(IF(FIND(DA$1,$W50)&gt;0,IF(INDEX(Product_Pricing_Table[],MATCH(DA$1,Products,0),2)="Cores",IF(HostBuild[Use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0" s="552">
        <f>IFERROR(IF(FIND(DB$1,$W50)&gt;0,IF(INDEX(Product_Pricing_Table[],MATCH(DB$1,Products,0),2)="Cores",IF(HostBuild[Use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0" s="552">
        <f>IFERROR(IF(FIND(DC$1,$W50)&gt;0,IF(INDEX(Product_Pricing_Table[],MATCH(DC$1,Products,0),2)="Cores",IF(HostBuild[Use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0" s="552">
        <f>IFERROR(IF(FIND(DD$1,$W50)&gt;0,IF(INDEX(Product_Pricing_Table[],MATCH(DD$1,Products,0),2)="Cores",IF(HostBuild[Use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0" s="552">
        <f>IFERROR(IF(FIND(DE$1,$W50)&gt;0,IF(INDEX(Product_Pricing_Table[],MATCH(DE$1,Products,0),2)="Cores",IF(HostBuild[Use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0" s="553">
        <f>IFERROR(IF(FIND(DF$1,$W50)&gt;0,IF(INDEX(Product_Pricing_Table[],MATCH(DF$1,Products,0),2)="Cores",IF(HostBuild[Use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0" s="553">
        <f>IFERROR(IF(FIND(DG$1,$W50)&gt;0,IF(INDEX(Product_Pricing_Table[],MATCH(DG$1,Products,0),2)="Cores",IF(HostBuild[Use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0" s="552">
        <f>IFERROR(IF(FIND(DH$1,$W50)&gt;0,IF(INDEX(Product_Pricing_Table[],MATCH(DH$1,Products,0),2)="Cores",IF(HostBuild[Use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0" s="553">
        <f>IFERROR(IF(FIND(DI$1,$W50)&gt;0,IF(INDEX(Product_Pricing_Table[],MATCH(DI$1,Products,0),2)="Cores",IF(HostBuild[Use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0" s="552">
        <f>IFERROR(IF(FIND(DJ$1,$W50)&gt;0,IF(INDEX(Product_Pricing_Table[],MATCH(DJ$1,Products,0),2)="Cores",IF(HostBuild[Use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0" s="552">
        <f>IFERROR(IF(FIND(DK$1,$W50)&gt;0,IF(INDEX(Product_Pricing_Table[],MATCH(DK$1,Products,0),2)="Cores",IF(HostBuild[Use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0" s="552">
        <f>IFERROR(IF(FIND(DL$1,$W50)&gt;0,IF(INDEX(Product_Pricing_Table[],MATCH(DL$1,Products,0),2)="Cores",IF(HostBuild[Use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0" s="552">
        <f>IFERROR(IF(FIND(DM$1,$W50)&gt;0,IF(INDEX(Product_Pricing_Table[],MATCH(DM$1,Products,0),2)="Cores",IF(HostBuild[Use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0" s="552">
        <f>IFERROR(IF(FIND(DN$1,$W50)&gt;0,IF(INDEX(Product_Pricing_Table[],MATCH(DN$1,Products,0),2)="Cores",IF(HostBuild[Use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0" s="552">
        <f>IFERROR(IF(FIND(DO$1,$W50)&gt;0,IF(INDEX(Product_Pricing_Table[],MATCH(DO$1,Products,0),2)="Cores",IF(HostBuild[Use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0" s="552">
        <f>IFERROR(IF(FIND(DP$1,$W50)&gt;0,IF(INDEX(Product_Pricing_Table[],MATCH(DP$1,Products,0),2)="Cores",IF(HostBuild[Use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0" s="552">
        <f>IFERROR(IF(FIND(DQ$1,$W50)&gt;0,IF(INDEX(Product_Pricing_Table[],MATCH(DQ$1,Products,0),2)="Cores",IF(HostBuild[Use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0" s="552">
        <f>IFERROR(IF(FIND(DR$1,$W50)&gt;0,IF(INDEX(Product_Pricing_Table[],MATCH(DR$1,Products,0),2)="Cores",IF(HostBuild[Use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0" s="552">
        <f>IFERROR(IF(FIND(DS$1,$W50)&gt;0,IF(INDEX(Product_Pricing_Table[],MATCH(DS$1,Products,0),2)="Cores",IF(HostBuild[Use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0" s="552">
        <f>IFERROR(IF(FIND(DT$1,$W50)&gt;0,IF(INDEX(Product_Pricing_Table[],MATCH(DT$1,Products,0),2)="Cores",IF(HostBuild[Use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0" s="552">
        <f>IFERROR(IF(FIND(DU$1,$W50)&gt;0,IF(INDEX(Product_Pricing_Table[],MATCH(DU$1,Products,0),2)="Cores",IF(HostBuild[Use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0" s="552">
        <f>IFERROR(IF(FIND(DV$1,$W50)&gt;0,IF(INDEX(Product_Pricing_Table[],MATCH(DV$1,Products,0),2)="Cores",IF(HostBuild[Use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0" s="552">
        <f>IFERROR(IF(FIND(DW$1,$W50)&gt;0,IF(INDEX(Product_Pricing_Table[],MATCH(DW$1,Products,0),2)="Cores",IF(HostBuild[Use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0" s="552">
        <f>IFERROR(IF(FIND(DX$1,$W50)&gt;0,IF(INDEX(Product_Pricing_Table[],MATCH(DX$1,Products,0),2)="Cores",IF(HostBuild[Use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0" s="552">
        <f>IFERROR(IF(FIND(DY$1,$W50)&gt;0,IF(INDEX(Product_Pricing_Table[],MATCH(DY$1,Products,0),2)="Cores",IF(HostBuild[Use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0" s="552">
        <f>IFERROR(IF(FIND(DZ$1,$W50)&gt;0,IF(INDEX(Product_Pricing_Table[],MATCH(DZ$1,Products,0),2)="Cores",IF(HostBuild[Use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0" s="552">
        <f>IFERROR(IF(FIND(EA$1,$W50)&gt;0,IF(INDEX(Product_Pricing_Table[],MATCH(EA$1,Products,0),2)="Cores",IF(HostBuild[Use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0" s="552">
        <f>IFERROR(IF(FIND(EB$1,$W50)&gt;0,IF(INDEX(Product_Pricing_Table[],MATCH(EB$1,Products,0),2)="Cores",IF(HostBuild[Use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0" s="553">
        <f>IFERROR(IF(FIND(EC$1,$W50)&gt;0,IF(INDEX(Product_Pricing_Table[],MATCH(EC$1,Products,0),2)="Cores",IF(HostBuild[Use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0" s="552">
        <f>IFERROR(IF(FIND(ED$1,$W50)&gt;0,IF(INDEX(Product_Pricing_Table[],MATCH(ED$1,Products,0),2)="Cores",IF(HostBuild[Use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0" s="552">
        <f>IFERROR(IF(FIND(EE$1,$W50)&gt;0,IF(INDEX(Product_Pricing_Table[],MATCH(EE$1,Products,0),2)="Cores",IF(HostBuild[Use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0" s="552">
        <f>IFERROR(IF(FIND(EF$1,$W50)&gt;0,IF(INDEX(Product_Pricing_Table[],MATCH(EF$1,Products,0),2)="Cores",IF(HostBuild[Use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0" s="552">
        <f>IFERROR(IF(FIND(EG$1,$W50)&gt;0,IF(INDEX(Product_Pricing_Table[],MATCH(EG$1,Products,0),2)="Cores",IF(HostBuild[Use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0" s="552">
        <f>IFERROR(IF(FIND(EH$1,$W50)&gt;0,IF(INDEX(Product_Pricing_Table[],MATCH(EH$1,Products,0),2)="Cores",IF(HostBuild[Use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0" s="552">
        <f>IFERROR(IF(FIND(EI$1,$W50)&gt;0,IF(INDEX(Product_Pricing_Table[],MATCH(EI$1,Products,0),2)="Cores",IF(HostBuild[Use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0" s="552">
        <f>IFERROR(IF(FIND(EJ$1,$W50)&gt;0,IF(INDEX(Product_Pricing_Table[],MATCH(EJ$1,Products,0),2)="Cores",IF(HostBuild[Use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0" s="553">
        <f>IFERROR(IF(FIND(EK$1,$W50)&gt;0,IF(INDEX(Product_Pricing_Table[],MATCH(EK$1,Products,0),2)="Cores",IF(HostBuild[Use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2</v>
      </c>
      <c r="EL50" s="554"/>
      <c r="EM50" s="555"/>
      <c r="EN50" s="556"/>
      <c r="EO5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0" s="558">
        <f>(HostBuild[Archive
Full (GB)]+HostBuild[Archive
Incr (GB)])*Storage_DC_Dist_Tape_2014</f>
        <v>0</v>
      </c>
      <c r="ER50" s="558">
        <f>IF(ISNUMBER(HostBuild[Server HW Costs
(Monthly)]),SUM(HostBuild[[#This Row],[Server HW Costs
(Monthly)]:[Tape Costs
(Monthly)]]),0)</f>
        <v>1003.9</v>
      </c>
      <c r="ES50" s="559">
        <f>HostBuild[Software Costs
'[Year 1']
(Monthly)]+HostBuild[Total Hardware Costs
(Monthly)]</f>
        <v>1003.9</v>
      </c>
      <c r="ET50" s="559">
        <f>IFERROR(IF(FIND("Safenet",HostBuild[Server Model]),Safenet_PSE_PL600_Maint,0),0)+IFERROR(IF(FIND("XI52",HostBuild[Server Model]),IBM_DIA_XI52_Maint,0),0)+HostBuild[Software Costs
'[After Year 1']
(Monthly)]+HostBuild[Total Hardware Costs
(Monthly)]</f>
        <v>1003.9</v>
      </c>
      <c r="EU50" s="560">
        <f>SUM(HostBuild[[#This Row],[Server Cost Breakdown]:[Network Cost]])</f>
        <v>1003.9</v>
      </c>
      <c r="EV50" s="561">
        <f>IF(HostBuild[Existing Server?]="Yes - Inside this BoM",0,SUMIF(HostBuild[Alias],HostBuild[Alias],HostBuild[CPU])+SUMIF(HostBuild[Alias],HostBuild[Alias],HostBuild[Existing CPUs]))</f>
        <v>2</v>
      </c>
      <c r="EW50" s="561">
        <f>IF(HostBuild[Existing Server?]="Yes - Inside this BoM",0,SUMIF(HostBuild[Alias],HostBuild[Alias],HostBuild[Cores 
(Licensed Units)])+SUMIF(HostBuild[Alias],HostBuild[Alias],HostBuild[Existing Cores]))</f>
        <v>0</v>
      </c>
      <c r="EX50" s="561">
        <f>IF(HostBuild[Existing Server?]="Yes - Inside this BoM",0,SUMIF(HostBuild[Alias],HostBuild[Alias],HostBuild[RAM 
(GB)])+SUMIF(HostBuild[Alias],HostBuild[Alias],HostBuild[Existing RAM (GB)]))</f>
        <v>256</v>
      </c>
      <c r="EY5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0" s="560">
        <f>IF(ISBLANK(HostBuild[Server Model]),0,IF(HostBuild[Server Tier]="VMware",0,VLOOKUP(HostBuild[Server Tier],ServerTierRates[#Data],2,0))*HostBuild[CPU]*IF(AND(HostBuild[Server Type]="pSeries",HostBuild[Virtual Platform Storage Type]="Cloud-SAN"),0.25,1))</f>
        <v>608</v>
      </c>
      <c r="FD50" s="560">
        <f>0</f>
        <v>0</v>
      </c>
      <c r="FE50" s="560">
        <f>IF(HostBuild[Server Type]="VMware",HostBuild[RAM 
(GB)]*IF(ISERROR(FIND("DevCloud", HostBuild[Server Model])&gt;0),vRAM_per_vCPU_2014_Monthly,vRAM_per_vCPU_2014_Daily*30),0)</f>
        <v>0</v>
      </c>
      <c r="FF5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0" s="563">
        <f>IF(HostBuild[Server Tier]="VMware",0,IF(LEFT(HostBuild[Existing Server?],3)="Yes",0,IF(OR(HostBuild[Server Type]="Sun",HostBuild[Server Type]="pSeries"),Support_Direct_Server_Sun_per_OS_2014,IF(HostBuild[Server Type]="x86",Support_Direct_Server_x86_Wintel_per_OS_2014,0))))</f>
        <v>187.1</v>
      </c>
      <c r="FI5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1" spans="1:165" s="139" customFormat="1" ht="15" customHeight="1">
      <c r="A51" s="360" t="s">
        <v>3942</v>
      </c>
      <c r="B51" s="521"/>
      <c r="C51" s="521"/>
      <c r="D51" s="521"/>
      <c r="E51" s="522"/>
      <c r="F51" s="522"/>
      <c r="G51" s="597"/>
      <c r="H51" s="597"/>
      <c r="I51" s="523"/>
      <c r="J51" s="522"/>
      <c r="K51" s="522"/>
      <c r="L51" s="522"/>
      <c r="M51" s="597" t="e">
        <f ca="1">IF(rngIsDate(HostBuild[CTO Acceptance]),"Y","N")</f>
        <v>#NAME?</v>
      </c>
      <c r="N51" s="361" t="s">
        <v>3939</v>
      </c>
      <c r="O51" s="525"/>
      <c r="P51" s="525"/>
      <c r="Q51" s="361" t="s">
        <v>211</v>
      </c>
      <c r="R51" s="526" t="str">
        <f>IF(NOT(ISBLANK(HostBuild[Env Label])),IFERROR(VLOOKUP(HostBuild[Env Label],tEnv[],3,FALSE),""),"")</f>
        <v>COB</v>
      </c>
      <c r="S51" s="598"/>
      <c r="T51" s="527"/>
      <c r="U51" s="599"/>
      <c r="V51" s="524" t="s">
        <v>4006</v>
      </c>
      <c r="W51" s="524" t="s">
        <v>3941</v>
      </c>
      <c r="X51" s="524" t="s">
        <v>35</v>
      </c>
      <c r="Y51" s="361" t="s">
        <v>481</v>
      </c>
      <c r="Z51" s="526" t="str">
        <f>IF(NOT(ISBLANK(HostBuild[[#This Row],[Product 
(Acronym)]])),CONCATENATE(HostBuild[[#This Row],[Type]],"-",HostBuild[[#This Row],[Product 
(Acronym)]]),"")</f>
        <v>AP-ESB</v>
      </c>
      <c r="AA51" s="600"/>
      <c r="AB51" s="600" t="s">
        <v>105</v>
      </c>
      <c r="AC51" s="528"/>
      <c r="AD51" s="529"/>
      <c r="AE51" s="529"/>
      <c r="AF51" s="530"/>
      <c r="AG51" s="531"/>
      <c r="AH51" s="601"/>
      <c r="AI51" s="362" t="s">
        <v>3963</v>
      </c>
      <c r="AJ51" s="524">
        <f>IF(COUNTIF(HostBuild[Alias],HostBuild[Alias]),1/COUNTIF(HostBuild[Alias],HostBuild[Alias]),0)</f>
        <v>1</v>
      </c>
      <c r="AK51" s="531"/>
      <c r="AL51" s="531"/>
      <c r="AM51" s="532" t="s">
        <v>2173</v>
      </c>
      <c r="AN51" s="533" t="str">
        <f>IF(NOT(ISBLANK(HostBuild[Server Model])),VLOOKUP(HostBuild[Server Model],ServerModelsTier[],2,FALSE),"")</f>
        <v>x86 Tier 3</v>
      </c>
      <c r="AO51" s="533" t="str">
        <f>IF(NOT(ISBLANK(HostBuild[Server Model])),VLOOKUP(HostBuild[Server Model],ServerModelsTier[],5,FALSE),"")</f>
        <v>x86</v>
      </c>
      <c r="AP51" s="532"/>
      <c r="AQ51" s="532" t="s">
        <v>2337</v>
      </c>
      <c r="AR51" s="534">
        <v>2</v>
      </c>
      <c r="AS51" s="602"/>
      <c r="AT51" s="535"/>
      <c r="AU51" s="603" t="str">
        <f>IF(IFERROR(FIND("P-Series",HostBuild[Server Tier]),0),CEILING((HostBuild[Existing CPUs]+HostBuild[CPU])*16,8),"")</f>
        <v/>
      </c>
      <c r="AV51" s="536">
        <v>256</v>
      </c>
      <c r="AW51" s="531"/>
      <c r="AX51" s="531"/>
      <c r="AY51" s="531"/>
      <c r="AZ51" s="537"/>
      <c r="BA51" s="531"/>
      <c r="BB51" s="531"/>
      <c r="BC51" s="529"/>
      <c r="BD51" s="531"/>
      <c r="BE51" s="531"/>
      <c r="BF51" s="531"/>
      <c r="BG51" s="531"/>
      <c r="BH51" s="531"/>
      <c r="BI51" s="531"/>
      <c r="BJ51" s="531"/>
      <c r="BK51" s="604"/>
      <c r="BL51" s="538"/>
      <c r="BM51" s="540">
        <f>IF(ISNUMBER(HostBuild[Recommended SAN (GB)]),HostBuild[Recommended SAN (GB)])+IF(HostBuild[Additional SAN (GB)]&gt;0,CEILING(HostBuild[Additional SAN (GB)],LUN),-(CEILING(-HostBuild[Additional SAN (GB)],LUN)))</f>
        <v>0</v>
      </c>
      <c r="BN51" s="539"/>
      <c r="BO51" s="540">
        <f>HostBuild[SAN (GB)
NEEDED TODAY]+CEILING(HostBuild[SAN (GB)
RESERVED
DO NOT USE TO BUILD], LUN)</f>
        <v>0</v>
      </c>
      <c r="BP51" s="541"/>
      <c r="BQ51" s="542"/>
      <c r="BR51" s="432" t="s">
        <v>106</v>
      </c>
      <c r="BS51" s="605">
        <f>IF(HostBuild[Existing Server?]&lt;&gt;"Yes - Inside this BoM",IF(ISNUMBER(HostBuild[RAM 
(GB)]),IF(HostBuild[Existing RAM (GB)]+HostBuild[RAM 
(GB)]&gt;0,IF(HostBuild[Virtual Platform Storage Type]="NAS",110+HostBuild[Existing RAM (GB)]+HostBuild[RAM 
(GB)]*1.75,0),0),0),0)</f>
        <v>0</v>
      </c>
      <c r="BT51" s="606"/>
      <c r="BU51" s="607">
        <f>IF(ISNUMBER(HostBuild[Recommended NAS (GB)]),HostBuild[Recommended NAS (GB)])+HostBuild[Additional NAS (GB)]</f>
        <v>0</v>
      </c>
      <c r="BV51" s="543"/>
      <c r="BW51" s="543"/>
      <c r="BX51" s="604">
        <f>IFERROR((HostBuild[SAN (GB)
End-State
DO NOT USE TO BUILD]+HostBuild[SAN (GB) Shared])*25%,"")</f>
        <v>0</v>
      </c>
      <c r="BY51" s="608">
        <f>IFERROR(HostBuild[Archive
Full (GB)]*15%,"")</f>
        <v>0</v>
      </c>
      <c r="BZ51" s="544"/>
      <c r="CA51" s="544"/>
      <c r="CB51" s="545"/>
      <c r="CC51" s="546"/>
      <c r="CD51" s="545"/>
      <c r="CE51" s="547"/>
      <c r="CF51" s="539"/>
      <c r="CG51" s="609"/>
      <c r="CH51" s="548"/>
      <c r="CI51" s="549"/>
      <c r="CJ51" s="550" t="s">
        <v>4128</v>
      </c>
      <c r="CK51" s="551"/>
      <c r="CL51" s="552">
        <f>IFERROR(IF(FIND(CL$1,$W51)&gt;0,IF(INDEX(Product_Pricing_Table[],MATCH(CL$1,Products,0),2)="Cores",IF(HostBuild[Use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1" s="552">
        <f>IFERROR(IF(FIND(CM$1,$W51)&gt;0,IF(INDEX(Product_Pricing_Table[],MATCH(CM$1,Products,0),2)="Cores",IF(HostBuild[Use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1" s="552">
        <f>IFERROR(IF(FIND(CN$1,$W51)&gt;0,IF(INDEX(Product_Pricing_Table[],MATCH(CN$1,Products,0),2)="Cores",IF(HostBuild[Use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1" s="552">
        <f>IFERROR(IF(FIND(CO$1,$W51)&gt;0,IF(INDEX(Product_Pricing_Table[],MATCH(CO$1,Products,0),2)="Cores",IF(HostBuild[Use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1" s="552">
        <f>IFERROR(IF(FIND(CP$1,$W51)&gt;0,IF(INDEX(Product_Pricing_Table[],MATCH(CP$1,Products,0),2)="Cores",IF(HostBuild[Use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1" s="552">
        <f>IFERROR(IF(FIND(CQ$1,$W51)&gt;0,IF(INDEX(Product_Pricing_Table[],MATCH(CQ$1,Products,0),2)="Cores",IF(HostBuild[Use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1" s="552">
        <f>IFERROR(IF(FIND(CR$1,$W51)&gt;0,IF(INDEX(Product_Pricing_Table[],MATCH(CR$1,Products,0),2)="Cores",IF(HostBuild[Use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1" s="552">
        <f>IFERROR(IF(FIND(CS$1,$W51)&gt;0,IF(INDEX(Product_Pricing_Table[],MATCH(CS$1,Products,0),2)="Cores",IF(HostBuild[Use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1" s="552">
        <f>IFERROR(IF(FIND(CT$1,$W51)&gt;0,IF(INDEX(Product_Pricing_Table[],MATCH(CT$1,Products,0),2)="Cores",IF(HostBuild[Use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1" s="552">
        <f>IFERROR(IF(FIND(CU$1,$W51)&gt;0,IF(INDEX(Product_Pricing_Table[],MATCH(CU$1,Products,0),2)="Cores",IF(HostBuild[Use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1" s="552">
        <f>IFERROR(IF(FIND(CV$1,$W51)&gt;0,IF(INDEX(Product_Pricing_Table[],MATCH(CV$1,Products,0),2)="Cores",IF(HostBuild[Use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1" s="552">
        <f>IFERROR(IF(FIND(CW$1,$W51)&gt;0,IF(INDEX(Product_Pricing_Table[],MATCH(CW$1,Products,0),2)="Cores",IF(HostBuild[Use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1" s="552">
        <f>IFERROR(IF(FIND(CX$1,$W51)&gt;0,IF(INDEX(Product_Pricing_Table[],MATCH(CX$1,Products,0),2)="Cores",IF(HostBuild[Use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1" s="552">
        <f>IFERROR(IF(FIND(CY$1,$W51)&gt;0,IF(INDEX(Product_Pricing_Table[],MATCH(CY$1,Products,0),2)="Cores",IF(HostBuild[Use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1" s="552">
        <f>IFERROR(IF(FIND(CZ$1,$W51)&gt;0,IF(INDEX(Product_Pricing_Table[],MATCH(CZ$1,Products,0),2)="Cores",IF(HostBuild[Use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1" s="552">
        <f>IFERROR(IF(FIND(DA$1,$W51)&gt;0,IF(INDEX(Product_Pricing_Table[],MATCH(DA$1,Products,0),2)="Cores",IF(HostBuild[Use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1" s="552">
        <f>IFERROR(IF(FIND(DB$1,$W51)&gt;0,IF(INDEX(Product_Pricing_Table[],MATCH(DB$1,Products,0),2)="Cores",IF(HostBuild[Use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1" s="552">
        <f>IFERROR(IF(FIND(DC$1,$W51)&gt;0,IF(INDEX(Product_Pricing_Table[],MATCH(DC$1,Products,0),2)="Cores",IF(HostBuild[Use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1" s="552">
        <f>IFERROR(IF(FIND(DD$1,$W51)&gt;0,IF(INDEX(Product_Pricing_Table[],MATCH(DD$1,Products,0),2)="Cores",IF(HostBuild[Use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1" s="552">
        <f>IFERROR(IF(FIND(DE$1,$W51)&gt;0,IF(INDEX(Product_Pricing_Table[],MATCH(DE$1,Products,0),2)="Cores",IF(HostBuild[Use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1" s="553">
        <f>IFERROR(IF(FIND(DF$1,$W51)&gt;0,IF(INDEX(Product_Pricing_Table[],MATCH(DF$1,Products,0),2)="Cores",IF(HostBuild[Use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1" s="553">
        <f>IFERROR(IF(FIND(DG$1,$W51)&gt;0,IF(INDEX(Product_Pricing_Table[],MATCH(DG$1,Products,0),2)="Cores",IF(HostBuild[Use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1" s="552">
        <f>IFERROR(IF(FIND(DH$1,$W51)&gt;0,IF(INDEX(Product_Pricing_Table[],MATCH(DH$1,Products,0),2)="Cores",IF(HostBuild[Use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1" s="553">
        <f>IFERROR(IF(FIND(DI$1,$W51)&gt;0,IF(INDEX(Product_Pricing_Table[],MATCH(DI$1,Products,0),2)="Cores",IF(HostBuild[Use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1" s="552">
        <f>IFERROR(IF(FIND(DJ$1,$W51)&gt;0,IF(INDEX(Product_Pricing_Table[],MATCH(DJ$1,Products,0),2)="Cores",IF(HostBuild[Use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1" s="552">
        <f>IFERROR(IF(FIND(DK$1,$W51)&gt;0,IF(INDEX(Product_Pricing_Table[],MATCH(DK$1,Products,0),2)="Cores",IF(HostBuild[Use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1" s="552">
        <f>IFERROR(IF(FIND(DL$1,$W51)&gt;0,IF(INDEX(Product_Pricing_Table[],MATCH(DL$1,Products,0),2)="Cores",IF(HostBuild[Use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1" s="552">
        <f>IFERROR(IF(FIND(DM$1,$W51)&gt;0,IF(INDEX(Product_Pricing_Table[],MATCH(DM$1,Products,0),2)="Cores",IF(HostBuild[Use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1" s="552">
        <f>IFERROR(IF(FIND(DN$1,$W51)&gt;0,IF(INDEX(Product_Pricing_Table[],MATCH(DN$1,Products,0),2)="Cores",IF(HostBuild[Use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1" s="552">
        <f>IFERROR(IF(FIND(DO$1,$W51)&gt;0,IF(INDEX(Product_Pricing_Table[],MATCH(DO$1,Products,0),2)="Cores",IF(HostBuild[Use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1" s="552">
        <f>IFERROR(IF(FIND(DP$1,$W51)&gt;0,IF(INDEX(Product_Pricing_Table[],MATCH(DP$1,Products,0),2)="Cores",IF(HostBuild[Use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1" s="552">
        <f>IFERROR(IF(FIND(DQ$1,$W51)&gt;0,IF(INDEX(Product_Pricing_Table[],MATCH(DQ$1,Products,0),2)="Cores",IF(HostBuild[Use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1" s="552">
        <f>IFERROR(IF(FIND(DR$1,$W51)&gt;0,IF(INDEX(Product_Pricing_Table[],MATCH(DR$1,Products,0),2)="Cores",IF(HostBuild[Use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1" s="552">
        <f>IFERROR(IF(FIND(DS$1,$W51)&gt;0,IF(INDEX(Product_Pricing_Table[],MATCH(DS$1,Products,0),2)="Cores",IF(HostBuild[Use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1" s="552">
        <f>IFERROR(IF(FIND(DT$1,$W51)&gt;0,IF(INDEX(Product_Pricing_Table[],MATCH(DT$1,Products,0),2)="Cores",IF(HostBuild[Use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1" s="552">
        <f>IFERROR(IF(FIND(DU$1,$W51)&gt;0,IF(INDEX(Product_Pricing_Table[],MATCH(DU$1,Products,0),2)="Cores",IF(HostBuild[Use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1" s="552">
        <f>IFERROR(IF(FIND(DV$1,$W51)&gt;0,IF(INDEX(Product_Pricing_Table[],MATCH(DV$1,Products,0),2)="Cores",IF(HostBuild[Use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1" s="552">
        <f>IFERROR(IF(FIND(DW$1,$W51)&gt;0,IF(INDEX(Product_Pricing_Table[],MATCH(DW$1,Products,0),2)="Cores",IF(HostBuild[Use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1" s="552">
        <f>IFERROR(IF(FIND(DX$1,$W51)&gt;0,IF(INDEX(Product_Pricing_Table[],MATCH(DX$1,Products,0),2)="Cores",IF(HostBuild[Use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1" s="552">
        <f>IFERROR(IF(FIND(DY$1,$W51)&gt;0,IF(INDEX(Product_Pricing_Table[],MATCH(DY$1,Products,0),2)="Cores",IF(HostBuild[Use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1" s="552">
        <f>IFERROR(IF(FIND(DZ$1,$W51)&gt;0,IF(INDEX(Product_Pricing_Table[],MATCH(DZ$1,Products,0),2)="Cores",IF(HostBuild[Use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1" s="552">
        <f>IFERROR(IF(FIND(EA$1,$W51)&gt;0,IF(INDEX(Product_Pricing_Table[],MATCH(EA$1,Products,0),2)="Cores",IF(HostBuild[Use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1" s="552">
        <f>IFERROR(IF(FIND(EB$1,$W51)&gt;0,IF(INDEX(Product_Pricing_Table[],MATCH(EB$1,Products,0),2)="Cores",IF(HostBuild[Use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1" s="553">
        <f>IFERROR(IF(FIND(EC$1,$W51)&gt;0,IF(INDEX(Product_Pricing_Table[],MATCH(EC$1,Products,0),2)="Cores",IF(HostBuild[Use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1" s="552">
        <f>IFERROR(IF(FIND(ED$1,$W51)&gt;0,IF(INDEX(Product_Pricing_Table[],MATCH(ED$1,Products,0),2)="Cores",IF(HostBuild[Use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1" s="552">
        <f>IFERROR(IF(FIND(EE$1,$W51)&gt;0,IF(INDEX(Product_Pricing_Table[],MATCH(EE$1,Products,0),2)="Cores",IF(HostBuild[Use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1" s="552">
        <f>IFERROR(IF(FIND(EF$1,$W51)&gt;0,IF(INDEX(Product_Pricing_Table[],MATCH(EF$1,Products,0),2)="Cores",IF(HostBuild[Use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1" s="552">
        <f>IFERROR(IF(FIND(EG$1,$W51)&gt;0,IF(INDEX(Product_Pricing_Table[],MATCH(EG$1,Products,0),2)="Cores",IF(HostBuild[Use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1" s="552">
        <f>IFERROR(IF(FIND(EH$1,$W51)&gt;0,IF(INDEX(Product_Pricing_Table[],MATCH(EH$1,Products,0),2)="Cores",IF(HostBuild[Use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1" s="552">
        <f>IFERROR(IF(FIND(EI$1,$W51)&gt;0,IF(INDEX(Product_Pricing_Table[],MATCH(EI$1,Products,0),2)="Cores",IF(HostBuild[Use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1" s="552">
        <f>IFERROR(IF(FIND(EJ$1,$W51)&gt;0,IF(INDEX(Product_Pricing_Table[],MATCH(EJ$1,Products,0),2)="Cores",IF(HostBuild[Use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1" s="553">
        <f>IFERROR(IF(FIND(EK$1,$W51)&gt;0,IF(INDEX(Product_Pricing_Table[],MATCH(EK$1,Products,0),2)="Cores",IF(HostBuild[Use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1" s="554"/>
      <c r="EM51" s="555"/>
      <c r="EN51" s="556"/>
      <c r="EO5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1" s="558">
        <f>(HostBuild[Archive
Full (GB)]+HostBuild[Archive
Incr (GB)])*Storage_DC_Dist_Tape_2014</f>
        <v>0</v>
      </c>
      <c r="ER51" s="558">
        <f>IF(ISNUMBER(HostBuild[Server HW Costs
(Monthly)]),SUM(HostBuild[[#This Row],[Server HW Costs
(Monthly)]:[Tape Costs
(Monthly)]]),0)</f>
        <v>1003.9</v>
      </c>
      <c r="ES51" s="559">
        <f>HostBuild[Software Costs
'[Year 1']
(Monthly)]+HostBuild[Total Hardware Costs
(Monthly)]</f>
        <v>1003.9</v>
      </c>
      <c r="ET51" s="559">
        <f>IFERROR(IF(FIND("Safenet",HostBuild[Server Model]),Safenet_PSE_PL600_Maint,0),0)+IFERROR(IF(FIND("XI52",HostBuild[Server Model]),IBM_DIA_XI52_Maint,0),0)+HostBuild[Software Costs
'[After Year 1']
(Monthly)]+HostBuild[Total Hardware Costs
(Monthly)]</f>
        <v>1003.9</v>
      </c>
      <c r="EU51" s="560">
        <f>SUM(HostBuild[[#This Row],[Server Cost Breakdown]:[Network Cost]])</f>
        <v>1003.9</v>
      </c>
      <c r="EV51" s="561">
        <f>IF(HostBuild[Existing Server?]="Yes - Inside this BoM",0,SUMIF(HostBuild[Alias],HostBuild[Alias],HostBuild[CPU])+SUMIF(HostBuild[Alias],HostBuild[Alias],HostBuild[Existing CPUs]))</f>
        <v>2</v>
      </c>
      <c r="EW51" s="561">
        <f>IF(HostBuild[Existing Server?]="Yes - Inside this BoM",0,SUMIF(HostBuild[Alias],HostBuild[Alias],HostBuild[Cores 
(Licensed Units)])+SUMIF(HostBuild[Alias],HostBuild[Alias],HostBuild[Existing Cores]))</f>
        <v>0</v>
      </c>
      <c r="EX51" s="561">
        <f>IF(HostBuild[Existing Server?]="Yes - Inside this BoM",0,SUMIF(HostBuild[Alias],HostBuild[Alias],HostBuild[RAM 
(GB)])+SUMIF(HostBuild[Alias],HostBuild[Alias],HostBuild[Existing RAM (GB)]))</f>
        <v>256</v>
      </c>
      <c r="EY5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1" s="560">
        <f>IF(ISBLANK(HostBuild[Server Model]),0,IF(HostBuild[Server Tier]="VMware",0,VLOOKUP(HostBuild[Server Tier],ServerTierRates[#Data],2,0))*HostBuild[CPU]*IF(AND(HostBuild[Server Type]="pSeries",HostBuild[Virtual Platform Storage Type]="Cloud-SAN"),0.25,1))</f>
        <v>608</v>
      </c>
      <c r="FD51" s="560">
        <f>0</f>
        <v>0</v>
      </c>
      <c r="FE51" s="560">
        <f>IF(HostBuild[Server Type]="VMware",HostBuild[RAM 
(GB)]*IF(ISERROR(FIND("DevCloud", HostBuild[Server Model])&gt;0),vRAM_per_vCPU_2014_Monthly,vRAM_per_vCPU_2014_Daily*30),0)</f>
        <v>0</v>
      </c>
      <c r="FF5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1" s="563">
        <f>IF(HostBuild[Server Tier]="VMware",0,IF(LEFT(HostBuild[Existing Server?],3)="Yes",0,IF(OR(HostBuild[Server Type]="Sun",HostBuild[Server Type]="pSeries"),Support_Direct_Server_Sun_per_OS_2014,IF(HostBuild[Server Type]="x86",Support_Direct_Server_x86_Wintel_per_OS_2014,0))))</f>
        <v>187.1</v>
      </c>
      <c r="FI5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2" spans="1:165" s="139" customFormat="1" ht="15" customHeight="1">
      <c r="A52" s="360" t="s">
        <v>3942</v>
      </c>
      <c r="B52" s="521"/>
      <c r="C52" s="521"/>
      <c r="D52" s="521"/>
      <c r="E52" s="522"/>
      <c r="F52" s="522"/>
      <c r="G52" s="597"/>
      <c r="H52" s="597"/>
      <c r="I52" s="523"/>
      <c r="J52" s="522"/>
      <c r="K52" s="522"/>
      <c r="L52" s="522"/>
      <c r="M52" s="597" t="e">
        <f ca="1">IF(rngIsDate(HostBuild[CTO Acceptance]),"Y","N")</f>
        <v>#NAME?</v>
      </c>
      <c r="N52" s="361" t="s">
        <v>3939</v>
      </c>
      <c r="O52" s="525"/>
      <c r="P52" s="525"/>
      <c r="Q52" s="361" t="s">
        <v>211</v>
      </c>
      <c r="R52" s="526" t="str">
        <f>IF(NOT(ISBLANK(HostBuild[Env Label])),IFERROR(VLOOKUP(HostBuild[Env Label],tEnv[],3,FALSE),""),"")</f>
        <v>COB</v>
      </c>
      <c r="S52" s="598"/>
      <c r="T52" s="527"/>
      <c r="U52" s="599"/>
      <c r="V52" s="524" t="s">
        <v>4006</v>
      </c>
      <c r="W52" s="524" t="s">
        <v>3941</v>
      </c>
      <c r="X52" s="524" t="s">
        <v>35</v>
      </c>
      <c r="Y52" s="361" t="s">
        <v>481</v>
      </c>
      <c r="Z52" s="526" t="str">
        <f>IF(NOT(ISBLANK(HostBuild[[#This Row],[Product 
(Acronym)]])),CONCATENATE(HostBuild[[#This Row],[Type]],"-",HostBuild[[#This Row],[Product 
(Acronym)]]),"")</f>
        <v>AP-ESB</v>
      </c>
      <c r="AA52" s="600"/>
      <c r="AB52" s="600" t="s">
        <v>105</v>
      </c>
      <c r="AC52" s="528"/>
      <c r="AD52" s="529"/>
      <c r="AE52" s="529"/>
      <c r="AF52" s="530"/>
      <c r="AG52" s="531"/>
      <c r="AH52" s="601"/>
      <c r="AI52" s="362" t="s">
        <v>3964</v>
      </c>
      <c r="AJ52" s="524">
        <f>IF(COUNTIF(HostBuild[Alias],HostBuild[Alias]),1/COUNTIF(HostBuild[Alias],HostBuild[Alias]),0)</f>
        <v>1</v>
      </c>
      <c r="AK52" s="531"/>
      <c r="AL52" s="531"/>
      <c r="AM52" s="532" t="s">
        <v>2173</v>
      </c>
      <c r="AN52" s="533" t="str">
        <f>IF(NOT(ISBLANK(HostBuild[Server Model])),VLOOKUP(HostBuild[Server Model],ServerModelsTier[],2,FALSE),"")</f>
        <v>x86 Tier 3</v>
      </c>
      <c r="AO52" s="533" t="str">
        <f>IF(NOT(ISBLANK(HostBuild[Server Model])),VLOOKUP(HostBuild[Server Model],ServerModelsTier[],5,FALSE),"")</f>
        <v>x86</v>
      </c>
      <c r="AP52" s="532"/>
      <c r="AQ52" s="532" t="s">
        <v>2337</v>
      </c>
      <c r="AR52" s="534">
        <v>2</v>
      </c>
      <c r="AS52" s="602"/>
      <c r="AT52" s="535"/>
      <c r="AU52" s="603" t="str">
        <f>IF(IFERROR(FIND("P-Series",HostBuild[Server Tier]),0),CEILING((HostBuild[Existing CPUs]+HostBuild[CPU])*16,8),"")</f>
        <v/>
      </c>
      <c r="AV52" s="536">
        <v>256</v>
      </c>
      <c r="AW52" s="531"/>
      <c r="AX52" s="531"/>
      <c r="AY52" s="531"/>
      <c r="AZ52" s="537"/>
      <c r="BA52" s="531"/>
      <c r="BB52" s="531"/>
      <c r="BC52" s="529"/>
      <c r="BD52" s="531"/>
      <c r="BE52" s="531"/>
      <c r="BF52" s="531"/>
      <c r="BG52" s="531"/>
      <c r="BH52" s="531"/>
      <c r="BI52" s="531"/>
      <c r="BJ52" s="531"/>
      <c r="BK52" s="604"/>
      <c r="BL52" s="538"/>
      <c r="BM52" s="540">
        <f>IF(ISNUMBER(HostBuild[Recommended SAN (GB)]),HostBuild[Recommended SAN (GB)])+IF(HostBuild[Additional SAN (GB)]&gt;0,CEILING(HostBuild[Additional SAN (GB)],LUN),-(CEILING(-HostBuild[Additional SAN (GB)],LUN)))</f>
        <v>0</v>
      </c>
      <c r="BN52" s="539"/>
      <c r="BO52" s="540">
        <f>HostBuild[SAN (GB)
NEEDED TODAY]+CEILING(HostBuild[SAN (GB)
RESERVED
DO NOT USE TO BUILD], LUN)</f>
        <v>0</v>
      </c>
      <c r="BP52" s="541"/>
      <c r="BQ52" s="542"/>
      <c r="BR52" s="432" t="s">
        <v>106</v>
      </c>
      <c r="BS52" s="605">
        <f>IF(HostBuild[Existing Server?]&lt;&gt;"Yes - Inside this BoM",IF(ISNUMBER(HostBuild[RAM 
(GB)]),IF(HostBuild[Existing RAM (GB)]+HostBuild[RAM 
(GB)]&gt;0,IF(HostBuild[Virtual Platform Storage Type]="NAS",110+HostBuild[Existing RAM (GB)]+HostBuild[RAM 
(GB)]*1.75,0),0),0),0)</f>
        <v>0</v>
      </c>
      <c r="BT52" s="606"/>
      <c r="BU52" s="607">
        <f>IF(ISNUMBER(HostBuild[Recommended NAS (GB)]),HostBuild[Recommended NAS (GB)])+HostBuild[Additional NAS (GB)]</f>
        <v>0</v>
      </c>
      <c r="BV52" s="543"/>
      <c r="BW52" s="543"/>
      <c r="BX52" s="604">
        <f>IFERROR((HostBuild[SAN (GB)
End-State
DO NOT USE TO BUILD]+HostBuild[SAN (GB) Shared])*25%,"")</f>
        <v>0</v>
      </c>
      <c r="BY52" s="608">
        <f>IFERROR(HostBuild[Archive
Full (GB)]*15%,"")</f>
        <v>0</v>
      </c>
      <c r="BZ52" s="544"/>
      <c r="CA52" s="544"/>
      <c r="CB52" s="545"/>
      <c r="CC52" s="546"/>
      <c r="CD52" s="545"/>
      <c r="CE52" s="547"/>
      <c r="CF52" s="539"/>
      <c r="CG52" s="609"/>
      <c r="CH52" s="548"/>
      <c r="CI52" s="549"/>
      <c r="CJ52" s="550" t="s">
        <v>4128</v>
      </c>
      <c r="CK52" s="551"/>
      <c r="CL52" s="552">
        <f>IFERROR(IF(FIND(CL$1,$W52)&gt;0,IF(INDEX(Product_Pricing_Table[],MATCH(CL$1,Products,0),2)="Cores",IF(HostBuild[Use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2" s="552">
        <f>IFERROR(IF(FIND(CM$1,$W52)&gt;0,IF(INDEX(Product_Pricing_Table[],MATCH(CM$1,Products,0),2)="Cores",IF(HostBuild[Use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2" s="552">
        <f>IFERROR(IF(FIND(CN$1,$W52)&gt;0,IF(INDEX(Product_Pricing_Table[],MATCH(CN$1,Products,0),2)="Cores",IF(HostBuild[Use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2" s="552">
        <f>IFERROR(IF(FIND(CO$1,$W52)&gt;0,IF(INDEX(Product_Pricing_Table[],MATCH(CO$1,Products,0),2)="Cores",IF(HostBuild[Use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2" s="552">
        <f>IFERROR(IF(FIND(CP$1,$W52)&gt;0,IF(INDEX(Product_Pricing_Table[],MATCH(CP$1,Products,0),2)="Cores",IF(HostBuild[Use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2" s="552">
        <f>IFERROR(IF(FIND(CQ$1,$W52)&gt;0,IF(INDEX(Product_Pricing_Table[],MATCH(CQ$1,Products,0),2)="Cores",IF(HostBuild[Use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2" s="552">
        <f>IFERROR(IF(FIND(CR$1,$W52)&gt;0,IF(INDEX(Product_Pricing_Table[],MATCH(CR$1,Products,0),2)="Cores",IF(HostBuild[Use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2" s="552">
        <f>IFERROR(IF(FIND(CS$1,$W52)&gt;0,IF(INDEX(Product_Pricing_Table[],MATCH(CS$1,Products,0),2)="Cores",IF(HostBuild[Use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2" s="552">
        <f>IFERROR(IF(FIND(CT$1,$W52)&gt;0,IF(INDEX(Product_Pricing_Table[],MATCH(CT$1,Products,0),2)="Cores",IF(HostBuild[Use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2" s="552">
        <f>IFERROR(IF(FIND(CU$1,$W52)&gt;0,IF(INDEX(Product_Pricing_Table[],MATCH(CU$1,Products,0),2)="Cores",IF(HostBuild[Use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2" s="552">
        <f>IFERROR(IF(FIND(CV$1,$W52)&gt;0,IF(INDEX(Product_Pricing_Table[],MATCH(CV$1,Products,0),2)="Cores",IF(HostBuild[Use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2" s="552">
        <f>IFERROR(IF(FIND(CW$1,$W52)&gt;0,IF(INDEX(Product_Pricing_Table[],MATCH(CW$1,Products,0),2)="Cores",IF(HostBuild[Use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2" s="552">
        <f>IFERROR(IF(FIND(CX$1,$W52)&gt;0,IF(INDEX(Product_Pricing_Table[],MATCH(CX$1,Products,0),2)="Cores",IF(HostBuild[Use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2" s="552">
        <f>IFERROR(IF(FIND(CY$1,$W52)&gt;0,IF(INDEX(Product_Pricing_Table[],MATCH(CY$1,Products,0),2)="Cores",IF(HostBuild[Use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2" s="552">
        <f>IFERROR(IF(FIND(CZ$1,$W52)&gt;0,IF(INDEX(Product_Pricing_Table[],MATCH(CZ$1,Products,0),2)="Cores",IF(HostBuild[Use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2" s="552">
        <f>IFERROR(IF(FIND(DA$1,$W52)&gt;0,IF(INDEX(Product_Pricing_Table[],MATCH(DA$1,Products,0),2)="Cores",IF(HostBuild[Use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2" s="552">
        <f>IFERROR(IF(FIND(DB$1,$W52)&gt;0,IF(INDEX(Product_Pricing_Table[],MATCH(DB$1,Products,0),2)="Cores",IF(HostBuild[Use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2" s="552">
        <f>IFERROR(IF(FIND(DC$1,$W52)&gt;0,IF(INDEX(Product_Pricing_Table[],MATCH(DC$1,Products,0),2)="Cores",IF(HostBuild[Use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2" s="552">
        <f>IFERROR(IF(FIND(DD$1,$W52)&gt;0,IF(INDEX(Product_Pricing_Table[],MATCH(DD$1,Products,0),2)="Cores",IF(HostBuild[Use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2" s="552">
        <f>IFERROR(IF(FIND(DE$1,$W52)&gt;0,IF(INDEX(Product_Pricing_Table[],MATCH(DE$1,Products,0),2)="Cores",IF(HostBuild[Use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2" s="553">
        <f>IFERROR(IF(FIND(DF$1,$W52)&gt;0,IF(INDEX(Product_Pricing_Table[],MATCH(DF$1,Products,0),2)="Cores",IF(HostBuild[Use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2" s="553">
        <f>IFERROR(IF(FIND(DG$1,$W52)&gt;0,IF(INDEX(Product_Pricing_Table[],MATCH(DG$1,Products,0),2)="Cores",IF(HostBuild[Use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2" s="552">
        <f>IFERROR(IF(FIND(DH$1,$W52)&gt;0,IF(INDEX(Product_Pricing_Table[],MATCH(DH$1,Products,0),2)="Cores",IF(HostBuild[Use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2" s="553">
        <f>IFERROR(IF(FIND(DI$1,$W52)&gt;0,IF(INDEX(Product_Pricing_Table[],MATCH(DI$1,Products,0),2)="Cores",IF(HostBuild[Use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2" s="552">
        <f>IFERROR(IF(FIND(DJ$1,$W52)&gt;0,IF(INDEX(Product_Pricing_Table[],MATCH(DJ$1,Products,0),2)="Cores",IF(HostBuild[Use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2" s="552">
        <f>IFERROR(IF(FIND(DK$1,$W52)&gt;0,IF(INDEX(Product_Pricing_Table[],MATCH(DK$1,Products,0),2)="Cores",IF(HostBuild[Use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2" s="552">
        <f>IFERROR(IF(FIND(DL$1,$W52)&gt;0,IF(INDEX(Product_Pricing_Table[],MATCH(DL$1,Products,0),2)="Cores",IF(HostBuild[Use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2" s="552">
        <f>IFERROR(IF(FIND(DM$1,$W52)&gt;0,IF(INDEX(Product_Pricing_Table[],MATCH(DM$1,Products,0),2)="Cores",IF(HostBuild[Use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2" s="552">
        <f>IFERROR(IF(FIND(DN$1,$W52)&gt;0,IF(INDEX(Product_Pricing_Table[],MATCH(DN$1,Products,0),2)="Cores",IF(HostBuild[Use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2" s="552">
        <f>IFERROR(IF(FIND(DO$1,$W52)&gt;0,IF(INDEX(Product_Pricing_Table[],MATCH(DO$1,Products,0),2)="Cores",IF(HostBuild[Use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2" s="552">
        <f>IFERROR(IF(FIND(DP$1,$W52)&gt;0,IF(INDEX(Product_Pricing_Table[],MATCH(DP$1,Products,0),2)="Cores",IF(HostBuild[Use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2" s="552">
        <f>IFERROR(IF(FIND(DQ$1,$W52)&gt;0,IF(INDEX(Product_Pricing_Table[],MATCH(DQ$1,Products,0),2)="Cores",IF(HostBuild[Use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2" s="552">
        <f>IFERROR(IF(FIND(DR$1,$W52)&gt;0,IF(INDEX(Product_Pricing_Table[],MATCH(DR$1,Products,0),2)="Cores",IF(HostBuild[Use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2" s="552">
        <f>IFERROR(IF(FIND(DS$1,$W52)&gt;0,IF(INDEX(Product_Pricing_Table[],MATCH(DS$1,Products,0),2)="Cores",IF(HostBuild[Use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2" s="552">
        <f>IFERROR(IF(FIND(DT$1,$W52)&gt;0,IF(INDEX(Product_Pricing_Table[],MATCH(DT$1,Products,0),2)="Cores",IF(HostBuild[Use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2" s="552">
        <f>IFERROR(IF(FIND(DU$1,$W52)&gt;0,IF(INDEX(Product_Pricing_Table[],MATCH(DU$1,Products,0),2)="Cores",IF(HostBuild[Use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2" s="552">
        <f>IFERROR(IF(FIND(DV$1,$W52)&gt;0,IF(INDEX(Product_Pricing_Table[],MATCH(DV$1,Products,0),2)="Cores",IF(HostBuild[Use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2" s="552">
        <f>IFERROR(IF(FIND(DW$1,$W52)&gt;0,IF(INDEX(Product_Pricing_Table[],MATCH(DW$1,Products,0),2)="Cores",IF(HostBuild[Use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2" s="552">
        <f>IFERROR(IF(FIND(DX$1,$W52)&gt;0,IF(INDEX(Product_Pricing_Table[],MATCH(DX$1,Products,0),2)="Cores",IF(HostBuild[Use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2" s="552">
        <f>IFERROR(IF(FIND(DY$1,$W52)&gt;0,IF(INDEX(Product_Pricing_Table[],MATCH(DY$1,Products,0),2)="Cores",IF(HostBuild[Use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2" s="552">
        <f>IFERROR(IF(FIND(DZ$1,$W52)&gt;0,IF(INDEX(Product_Pricing_Table[],MATCH(DZ$1,Products,0),2)="Cores",IF(HostBuild[Use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2" s="552">
        <f>IFERROR(IF(FIND(EA$1,$W52)&gt;0,IF(INDEX(Product_Pricing_Table[],MATCH(EA$1,Products,0),2)="Cores",IF(HostBuild[Use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2" s="552">
        <f>IFERROR(IF(FIND(EB$1,$W52)&gt;0,IF(INDEX(Product_Pricing_Table[],MATCH(EB$1,Products,0),2)="Cores",IF(HostBuild[Use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2" s="553">
        <f>IFERROR(IF(FIND(EC$1,$W52)&gt;0,IF(INDEX(Product_Pricing_Table[],MATCH(EC$1,Products,0),2)="Cores",IF(HostBuild[Use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2" s="552">
        <f>IFERROR(IF(FIND(ED$1,$W52)&gt;0,IF(INDEX(Product_Pricing_Table[],MATCH(ED$1,Products,0),2)="Cores",IF(HostBuild[Use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2" s="552">
        <f>IFERROR(IF(FIND(EE$1,$W52)&gt;0,IF(INDEX(Product_Pricing_Table[],MATCH(EE$1,Products,0),2)="Cores",IF(HostBuild[Use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2" s="552">
        <f>IFERROR(IF(FIND(EF$1,$W52)&gt;0,IF(INDEX(Product_Pricing_Table[],MATCH(EF$1,Products,0),2)="Cores",IF(HostBuild[Use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2" s="552">
        <f>IFERROR(IF(FIND(EG$1,$W52)&gt;0,IF(INDEX(Product_Pricing_Table[],MATCH(EG$1,Products,0),2)="Cores",IF(HostBuild[Use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2" s="552">
        <f>IFERROR(IF(FIND(EH$1,$W52)&gt;0,IF(INDEX(Product_Pricing_Table[],MATCH(EH$1,Products,0),2)="Cores",IF(HostBuild[Use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2" s="552">
        <f>IFERROR(IF(FIND(EI$1,$W52)&gt;0,IF(INDEX(Product_Pricing_Table[],MATCH(EI$1,Products,0),2)="Cores",IF(HostBuild[Use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2" s="552">
        <f>IFERROR(IF(FIND(EJ$1,$W52)&gt;0,IF(INDEX(Product_Pricing_Table[],MATCH(EJ$1,Products,0),2)="Cores",IF(HostBuild[Use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2" s="553">
        <f>IFERROR(IF(FIND(EK$1,$W52)&gt;0,IF(INDEX(Product_Pricing_Table[],MATCH(EK$1,Products,0),2)="Cores",IF(HostBuild[Use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2" s="554"/>
      <c r="EM52" s="555"/>
      <c r="EN52" s="556"/>
      <c r="EO52"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2" s="558">
        <f>(HostBuild[Archive
Full (GB)]+HostBuild[Archive
Incr (GB)])*Storage_DC_Dist_Tape_2014</f>
        <v>0</v>
      </c>
      <c r="ER52" s="558">
        <f>IF(ISNUMBER(HostBuild[Server HW Costs
(Monthly)]),SUM(HostBuild[[#This Row],[Server HW Costs
(Monthly)]:[Tape Costs
(Monthly)]]),0)</f>
        <v>1003.9</v>
      </c>
      <c r="ES52" s="559">
        <f>HostBuild[Software Costs
'[Year 1']
(Monthly)]+HostBuild[Total Hardware Costs
(Monthly)]</f>
        <v>1003.9</v>
      </c>
      <c r="ET52" s="559">
        <f>IFERROR(IF(FIND("Safenet",HostBuild[Server Model]),Safenet_PSE_PL600_Maint,0),0)+IFERROR(IF(FIND("XI52",HostBuild[Server Model]),IBM_DIA_XI52_Maint,0),0)+HostBuild[Software Costs
'[After Year 1']
(Monthly)]+HostBuild[Total Hardware Costs
(Monthly)]</f>
        <v>1003.9</v>
      </c>
      <c r="EU52" s="560">
        <f>SUM(HostBuild[[#This Row],[Server Cost Breakdown]:[Network Cost]])</f>
        <v>1003.9</v>
      </c>
      <c r="EV52" s="561">
        <f>IF(HostBuild[Existing Server?]="Yes - Inside this BoM",0,SUMIF(HostBuild[Alias],HostBuild[Alias],HostBuild[CPU])+SUMIF(HostBuild[Alias],HostBuild[Alias],HostBuild[Existing CPUs]))</f>
        <v>2</v>
      </c>
      <c r="EW52" s="561">
        <f>IF(HostBuild[Existing Server?]="Yes - Inside this BoM",0,SUMIF(HostBuild[Alias],HostBuild[Alias],HostBuild[Cores 
(Licensed Units)])+SUMIF(HostBuild[Alias],HostBuild[Alias],HostBuild[Existing Cores]))</f>
        <v>0</v>
      </c>
      <c r="EX52" s="561">
        <f>IF(HostBuild[Existing Server?]="Yes - Inside this BoM",0,SUMIF(HostBuild[Alias],HostBuild[Alias],HostBuild[RAM 
(GB)])+SUMIF(HostBuild[Alias],HostBuild[Alias],HostBuild[Existing RAM (GB)]))</f>
        <v>256</v>
      </c>
      <c r="EY5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2" s="560">
        <f>IF(ISBLANK(HostBuild[Server Model]),0,IF(HostBuild[Server Tier]="VMware",0,VLOOKUP(HostBuild[Server Tier],ServerTierRates[#Data],2,0))*HostBuild[CPU]*IF(AND(HostBuild[Server Type]="pSeries",HostBuild[Virtual Platform Storage Type]="Cloud-SAN"),0.25,1))</f>
        <v>608</v>
      </c>
      <c r="FD52" s="560">
        <f>0</f>
        <v>0</v>
      </c>
      <c r="FE52" s="560">
        <f>IF(HostBuild[Server Type]="VMware",HostBuild[RAM 
(GB)]*IF(ISERROR(FIND("DevCloud", HostBuild[Server Model])&gt;0),vRAM_per_vCPU_2014_Monthly,vRAM_per_vCPU_2014_Daily*30),0)</f>
        <v>0</v>
      </c>
      <c r="FF5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2" s="563">
        <f>IF(HostBuild[Server Tier]="VMware",0,IF(LEFT(HostBuild[Existing Server?],3)="Yes",0,IF(OR(HostBuild[Server Type]="Sun",HostBuild[Server Type]="pSeries"),Support_Direct_Server_Sun_per_OS_2014,IF(HostBuild[Server Type]="x86",Support_Direct_Server_x86_Wintel_per_OS_2014,0))))</f>
        <v>187.1</v>
      </c>
      <c r="FI5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3" spans="1:165" s="139" customFormat="1" ht="15" customHeight="1">
      <c r="A53" s="360" t="s">
        <v>3942</v>
      </c>
      <c r="B53" s="521"/>
      <c r="C53" s="521"/>
      <c r="D53" s="521"/>
      <c r="E53" s="522"/>
      <c r="F53" s="522"/>
      <c r="G53" s="597"/>
      <c r="H53" s="597"/>
      <c r="I53" s="523"/>
      <c r="J53" s="522"/>
      <c r="K53" s="522"/>
      <c r="L53" s="522"/>
      <c r="M53" s="597" t="e">
        <f ca="1">IF(rngIsDate(HostBuild[CTO Acceptance]),"Y","N")</f>
        <v>#NAME?</v>
      </c>
      <c r="N53" s="361" t="s">
        <v>3939</v>
      </c>
      <c r="O53" s="525"/>
      <c r="P53" s="525"/>
      <c r="Q53" s="361" t="s">
        <v>211</v>
      </c>
      <c r="R53" s="526" t="str">
        <f>IF(NOT(ISBLANK(HostBuild[Env Label])),IFERROR(VLOOKUP(HostBuild[Env Label],tEnv[],3,FALSE),""),"")</f>
        <v>COB</v>
      </c>
      <c r="S53" s="598"/>
      <c r="T53" s="527"/>
      <c r="U53" s="599"/>
      <c r="V53" s="524" t="s">
        <v>4006</v>
      </c>
      <c r="W53" s="524" t="s">
        <v>3941</v>
      </c>
      <c r="X53" s="524" t="s">
        <v>35</v>
      </c>
      <c r="Y53" s="361" t="s">
        <v>481</v>
      </c>
      <c r="Z53" s="526" t="str">
        <f>IF(NOT(ISBLANK(HostBuild[[#This Row],[Product 
(Acronym)]])),CONCATENATE(HostBuild[[#This Row],[Type]],"-",HostBuild[[#This Row],[Product 
(Acronym)]]),"")</f>
        <v>AP-ESB</v>
      </c>
      <c r="AA53" s="600"/>
      <c r="AB53" s="600" t="s">
        <v>105</v>
      </c>
      <c r="AC53" s="528"/>
      <c r="AD53" s="529"/>
      <c r="AE53" s="529"/>
      <c r="AF53" s="530"/>
      <c r="AG53" s="531"/>
      <c r="AH53" s="601"/>
      <c r="AI53" s="362" t="s">
        <v>3965</v>
      </c>
      <c r="AJ53" s="524">
        <f>IF(COUNTIF(HostBuild[Alias],HostBuild[Alias]),1/COUNTIF(HostBuild[Alias],HostBuild[Alias]),0)</f>
        <v>1</v>
      </c>
      <c r="AK53" s="531"/>
      <c r="AL53" s="531"/>
      <c r="AM53" s="532" t="s">
        <v>2173</v>
      </c>
      <c r="AN53" s="533" t="str">
        <f>IF(NOT(ISBLANK(HostBuild[Server Model])),VLOOKUP(HostBuild[Server Model],ServerModelsTier[],2,FALSE),"")</f>
        <v>x86 Tier 3</v>
      </c>
      <c r="AO53" s="533" t="str">
        <f>IF(NOT(ISBLANK(HostBuild[Server Model])),VLOOKUP(HostBuild[Server Model],ServerModelsTier[],5,FALSE),"")</f>
        <v>x86</v>
      </c>
      <c r="AP53" s="532"/>
      <c r="AQ53" s="532" t="s">
        <v>2337</v>
      </c>
      <c r="AR53" s="534">
        <v>2</v>
      </c>
      <c r="AS53" s="602"/>
      <c r="AT53" s="535"/>
      <c r="AU53" s="603" t="str">
        <f>IF(IFERROR(FIND("P-Series",HostBuild[Server Tier]),0),CEILING((HostBuild[Existing CPUs]+HostBuild[CPU])*16,8),"")</f>
        <v/>
      </c>
      <c r="AV53" s="536">
        <v>256</v>
      </c>
      <c r="AW53" s="531"/>
      <c r="AX53" s="531"/>
      <c r="AY53" s="531"/>
      <c r="AZ53" s="537"/>
      <c r="BA53" s="531"/>
      <c r="BB53" s="531"/>
      <c r="BC53" s="529"/>
      <c r="BD53" s="531"/>
      <c r="BE53" s="531"/>
      <c r="BF53" s="531"/>
      <c r="BG53" s="531"/>
      <c r="BH53" s="531"/>
      <c r="BI53" s="531"/>
      <c r="BJ53" s="531"/>
      <c r="BK53" s="604"/>
      <c r="BL53" s="538"/>
      <c r="BM53" s="540">
        <f>IF(ISNUMBER(HostBuild[Recommended SAN (GB)]),HostBuild[Recommended SAN (GB)])+IF(HostBuild[Additional SAN (GB)]&gt;0,CEILING(HostBuild[Additional SAN (GB)],LUN),-(CEILING(-HostBuild[Additional SAN (GB)],LUN)))</f>
        <v>0</v>
      </c>
      <c r="BN53" s="539"/>
      <c r="BO53" s="540">
        <f>HostBuild[SAN (GB)
NEEDED TODAY]+CEILING(HostBuild[SAN (GB)
RESERVED
DO NOT USE TO BUILD], LUN)</f>
        <v>0</v>
      </c>
      <c r="BP53" s="541"/>
      <c r="BQ53" s="542"/>
      <c r="BR53" s="432" t="s">
        <v>106</v>
      </c>
      <c r="BS53" s="605">
        <f>IF(HostBuild[Existing Server?]&lt;&gt;"Yes - Inside this BoM",IF(ISNUMBER(HostBuild[RAM 
(GB)]),IF(HostBuild[Existing RAM (GB)]+HostBuild[RAM 
(GB)]&gt;0,IF(HostBuild[Virtual Platform Storage Type]="NAS",110+HostBuild[Existing RAM (GB)]+HostBuild[RAM 
(GB)]*1.75,0),0),0),0)</f>
        <v>0</v>
      </c>
      <c r="BT53" s="606"/>
      <c r="BU53" s="607">
        <f>IF(ISNUMBER(HostBuild[Recommended NAS (GB)]),HostBuild[Recommended NAS (GB)])+HostBuild[Additional NAS (GB)]</f>
        <v>0</v>
      </c>
      <c r="BV53" s="543"/>
      <c r="BW53" s="543"/>
      <c r="BX53" s="604">
        <f>IFERROR((HostBuild[SAN (GB)
End-State
DO NOT USE TO BUILD]+HostBuild[SAN (GB) Shared])*25%,"")</f>
        <v>0</v>
      </c>
      <c r="BY53" s="608">
        <f>IFERROR(HostBuild[Archive
Full (GB)]*15%,"")</f>
        <v>0</v>
      </c>
      <c r="BZ53" s="544"/>
      <c r="CA53" s="544"/>
      <c r="CB53" s="545"/>
      <c r="CC53" s="546"/>
      <c r="CD53" s="545"/>
      <c r="CE53" s="547"/>
      <c r="CF53" s="539"/>
      <c r="CG53" s="609"/>
      <c r="CH53" s="548"/>
      <c r="CI53" s="549"/>
      <c r="CJ53" s="550" t="s">
        <v>4128</v>
      </c>
      <c r="CK53" s="551"/>
      <c r="CL53" s="552">
        <f>IFERROR(IF(FIND(CL$1,$W53)&gt;0,IF(INDEX(Product_Pricing_Table[],MATCH(CL$1,Products,0),2)="Cores",IF(HostBuild[Use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3" s="552">
        <f>IFERROR(IF(FIND(CM$1,$W53)&gt;0,IF(INDEX(Product_Pricing_Table[],MATCH(CM$1,Products,0),2)="Cores",IF(HostBuild[Use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3" s="552">
        <f>IFERROR(IF(FIND(CN$1,$W53)&gt;0,IF(INDEX(Product_Pricing_Table[],MATCH(CN$1,Products,0),2)="Cores",IF(HostBuild[Use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3" s="552">
        <f>IFERROR(IF(FIND(CO$1,$W53)&gt;0,IF(INDEX(Product_Pricing_Table[],MATCH(CO$1,Products,0),2)="Cores",IF(HostBuild[Use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3" s="552">
        <f>IFERROR(IF(FIND(CP$1,$W53)&gt;0,IF(INDEX(Product_Pricing_Table[],MATCH(CP$1,Products,0),2)="Cores",IF(HostBuild[Use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3" s="552">
        <f>IFERROR(IF(FIND(CQ$1,$W53)&gt;0,IF(INDEX(Product_Pricing_Table[],MATCH(CQ$1,Products,0),2)="Cores",IF(HostBuild[Use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3" s="552">
        <f>IFERROR(IF(FIND(CR$1,$W53)&gt;0,IF(INDEX(Product_Pricing_Table[],MATCH(CR$1,Products,0),2)="Cores",IF(HostBuild[Use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3" s="552">
        <f>IFERROR(IF(FIND(CS$1,$W53)&gt;0,IF(INDEX(Product_Pricing_Table[],MATCH(CS$1,Products,0),2)="Cores",IF(HostBuild[Use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3" s="552">
        <f>IFERROR(IF(FIND(CT$1,$W53)&gt;0,IF(INDEX(Product_Pricing_Table[],MATCH(CT$1,Products,0),2)="Cores",IF(HostBuild[Use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3" s="552">
        <f>IFERROR(IF(FIND(CU$1,$W53)&gt;0,IF(INDEX(Product_Pricing_Table[],MATCH(CU$1,Products,0),2)="Cores",IF(HostBuild[Use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3" s="552">
        <f>IFERROR(IF(FIND(CV$1,$W53)&gt;0,IF(INDEX(Product_Pricing_Table[],MATCH(CV$1,Products,0),2)="Cores",IF(HostBuild[Use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3" s="552">
        <f>IFERROR(IF(FIND(CW$1,$W53)&gt;0,IF(INDEX(Product_Pricing_Table[],MATCH(CW$1,Products,0),2)="Cores",IF(HostBuild[Use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3" s="552">
        <f>IFERROR(IF(FIND(CX$1,$W53)&gt;0,IF(INDEX(Product_Pricing_Table[],MATCH(CX$1,Products,0),2)="Cores",IF(HostBuild[Use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3" s="552">
        <f>IFERROR(IF(FIND(CY$1,$W53)&gt;0,IF(INDEX(Product_Pricing_Table[],MATCH(CY$1,Products,0),2)="Cores",IF(HostBuild[Use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3" s="552">
        <f>IFERROR(IF(FIND(CZ$1,$W53)&gt;0,IF(INDEX(Product_Pricing_Table[],MATCH(CZ$1,Products,0),2)="Cores",IF(HostBuild[Use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3" s="552">
        <f>IFERROR(IF(FIND(DA$1,$W53)&gt;0,IF(INDEX(Product_Pricing_Table[],MATCH(DA$1,Products,0),2)="Cores",IF(HostBuild[Use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3" s="552">
        <f>IFERROR(IF(FIND(DB$1,$W53)&gt;0,IF(INDEX(Product_Pricing_Table[],MATCH(DB$1,Products,0),2)="Cores",IF(HostBuild[Use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3" s="552">
        <f>IFERROR(IF(FIND(DC$1,$W53)&gt;0,IF(INDEX(Product_Pricing_Table[],MATCH(DC$1,Products,0),2)="Cores",IF(HostBuild[Use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3" s="552">
        <f>IFERROR(IF(FIND(DD$1,$W53)&gt;0,IF(INDEX(Product_Pricing_Table[],MATCH(DD$1,Products,0),2)="Cores",IF(HostBuild[Use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3" s="552">
        <f>IFERROR(IF(FIND(DE$1,$W53)&gt;0,IF(INDEX(Product_Pricing_Table[],MATCH(DE$1,Products,0),2)="Cores",IF(HostBuild[Use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3" s="553">
        <f>IFERROR(IF(FIND(DF$1,$W53)&gt;0,IF(INDEX(Product_Pricing_Table[],MATCH(DF$1,Products,0),2)="Cores",IF(HostBuild[Use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3" s="553">
        <f>IFERROR(IF(FIND(DG$1,$W53)&gt;0,IF(INDEX(Product_Pricing_Table[],MATCH(DG$1,Products,0),2)="Cores",IF(HostBuild[Use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3" s="552">
        <f>IFERROR(IF(FIND(DH$1,$W53)&gt;0,IF(INDEX(Product_Pricing_Table[],MATCH(DH$1,Products,0),2)="Cores",IF(HostBuild[Use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3" s="553">
        <f>IFERROR(IF(FIND(DI$1,$W53)&gt;0,IF(INDEX(Product_Pricing_Table[],MATCH(DI$1,Products,0),2)="Cores",IF(HostBuild[Use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3" s="552">
        <f>IFERROR(IF(FIND(DJ$1,$W53)&gt;0,IF(INDEX(Product_Pricing_Table[],MATCH(DJ$1,Products,0),2)="Cores",IF(HostBuild[Use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3" s="552">
        <f>IFERROR(IF(FIND(DK$1,$W53)&gt;0,IF(INDEX(Product_Pricing_Table[],MATCH(DK$1,Products,0),2)="Cores",IF(HostBuild[Use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3" s="552">
        <f>IFERROR(IF(FIND(DL$1,$W53)&gt;0,IF(INDEX(Product_Pricing_Table[],MATCH(DL$1,Products,0),2)="Cores",IF(HostBuild[Use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3" s="552">
        <f>IFERROR(IF(FIND(DM$1,$W53)&gt;0,IF(INDEX(Product_Pricing_Table[],MATCH(DM$1,Products,0),2)="Cores",IF(HostBuild[Use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3" s="552">
        <f>IFERROR(IF(FIND(DN$1,$W53)&gt;0,IF(INDEX(Product_Pricing_Table[],MATCH(DN$1,Products,0),2)="Cores",IF(HostBuild[Use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3" s="552">
        <f>IFERROR(IF(FIND(DO$1,$W53)&gt;0,IF(INDEX(Product_Pricing_Table[],MATCH(DO$1,Products,0),2)="Cores",IF(HostBuild[Use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3" s="552">
        <f>IFERROR(IF(FIND(DP$1,$W53)&gt;0,IF(INDEX(Product_Pricing_Table[],MATCH(DP$1,Products,0),2)="Cores",IF(HostBuild[Use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3" s="552">
        <f>IFERROR(IF(FIND(DQ$1,$W53)&gt;0,IF(INDEX(Product_Pricing_Table[],MATCH(DQ$1,Products,0),2)="Cores",IF(HostBuild[Use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3" s="552">
        <f>IFERROR(IF(FIND(DR$1,$W53)&gt;0,IF(INDEX(Product_Pricing_Table[],MATCH(DR$1,Products,0),2)="Cores",IF(HostBuild[Use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3" s="552">
        <f>IFERROR(IF(FIND(DS$1,$W53)&gt;0,IF(INDEX(Product_Pricing_Table[],MATCH(DS$1,Products,0),2)="Cores",IF(HostBuild[Use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3" s="552">
        <f>IFERROR(IF(FIND(DT$1,$W53)&gt;0,IF(INDEX(Product_Pricing_Table[],MATCH(DT$1,Products,0),2)="Cores",IF(HostBuild[Use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3" s="552">
        <f>IFERROR(IF(FIND(DU$1,$W53)&gt;0,IF(INDEX(Product_Pricing_Table[],MATCH(DU$1,Products,0),2)="Cores",IF(HostBuild[Use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3" s="552">
        <f>IFERROR(IF(FIND(DV$1,$W53)&gt;0,IF(INDEX(Product_Pricing_Table[],MATCH(DV$1,Products,0),2)="Cores",IF(HostBuild[Use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3" s="552">
        <f>IFERROR(IF(FIND(DW$1,$W53)&gt;0,IF(INDEX(Product_Pricing_Table[],MATCH(DW$1,Products,0),2)="Cores",IF(HostBuild[Use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3" s="552">
        <f>IFERROR(IF(FIND(DX$1,$W53)&gt;0,IF(INDEX(Product_Pricing_Table[],MATCH(DX$1,Products,0),2)="Cores",IF(HostBuild[Use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3" s="552">
        <f>IFERROR(IF(FIND(DY$1,$W53)&gt;0,IF(INDEX(Product_Pricing_Table[],MATCH(DY$1,Products,0),2)="Cores",IF(HostBuild[Use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3" s="552">
        <f>IFERROR(IF(FIND(DZ$1,$W53)&gt;0,IF(INDEX(Product_Pricing_Table[],MATCH(DZ$1,Products,0),2)="Cores",IF(HostBuild[Use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3" s="552">
        <f>IFERROR(IF(FIND(EA$1,$W53)&gt;0,IF(INDEX(Product_Pricing_Table[],MATCH(EA$1,Products,0),2)="Cores",IF(HostBuild[Use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3" s="552">
        <f>IFERROR(IF(FIND(EB$1,$W53)&gt;0,IF(INDEX(Product_Pricing_Table[],MATCH(EB$1,Products,0),2)="Cores",IF(HostBuild[Use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3" s="553">
        <f>IFERROR(IF(FIND(EC$1,$W53)&gt;0,IF(INDEX(Product_Pricing_Table[],MATCH(EC$1,Products,0),2)="Cores",IF(HostBuild[Use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3" s="552">
        <f>IFERROR(IF(FIND(ED$1,$W53)&gt;0,IF(INDEX(Product_Pricing_Table[],MATCH(ED$1,Products,0),2)="Cores",IF(HostBuild[Use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3" s="552">
        <f>IFERROR(IF(FIND(EE$1,$W53)&gt;0,IF(INDEX(Product_Pricing_Table[],MATCH(EE$1,Products,0),2)="Cores",IF(HostBuild[Use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3" s="552">
        <f>IFERROR(IF(FIND(EF$1,$W53)&gt;0,IF(INDEX(Product_Pricing_Table[],MATCH(EF$1,Products,0),2)="Cores",IF(HostBuild[Use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3" s="552">
        <f>IFERROR(IF(FIND(EG$1,$W53)&gt;0,IF(INDEX(Product_Pricing_Table[],MATCH(EG$1,Products,0),2)="Cores",IF(HostBuild[Use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3" s="552">
        <f>IFERROR(IF(FIND(EH$1,$W53)&gt;0,IF(INDEX(Product_Pricing_Table[],MATCH(EH$1,Products,0),2)="Cores",IF(HostBuild[Use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3" s="552">
        <f>IFERROR(IF(FIND(EI$1,$W53)&gt;0,IF(INDEX(Product_Pricing_Table[],MATCH(EI$1,Products,0),2)="Cores",IF(HostBuild[Use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3" s="552">
        <f>IFERROR(IF(FIND(EJ$1,$W53)&gt;0,IF(INDEX(Product_Pricing_Table[],MATCH(EJ$1,Products,0),2)="Cores",IF(HostBuild[Use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3" s="553">
        <f>IFERROR(IF(FIND(EK$1,$W53)&gt;0,IF(INDEX(Product_Pricing_Table[],MATCH(EK$1,Products,0),2)="Cores",IF(HostBuild[Use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3" s="554"/>
      <c r="EM53" s="555"/>
      <c r="EN53" s="556"/>
      <c r="EO53"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3" s="558">
        <f>(HostBuild[Archive
Full (GB)]+HostBuild[Archive
Incr (GB)])*Storage_DC_Dist_Tape_2014</f>
        <v>0</v>
      </c>
      <c r="ER53" s="558">
        <f>IF(ISNUMBER(HostBuild[Server HW Costs
(Monthly)]),SUM(HostBuild[[#This Row],[Server HW Costs
(Monthly)]:[Tape Costs
(Monthly)]]),0)</f>
        <v>1003.9</v>
      </c>
      <c r="ES53" s="559">
        <f>HostBuild[Software Costs
'[Year 1']
(Monthly)]+HostBuild[Total Hardware Costs
(Monthly)]</f>
        <v>1003.9</v>
      </c>
      <c r="ET53" s="559">
        <f>IFERROR(IF(FIND("Safenet",HostBuild[Server Model]),Safenet_PSE_PL600_Maint,0),0)+IFERROR(IF(FIND("XI52",HostBuild[Server Model]),IBM_DIA_XI52_Maint,0),0)+HostBuild[Software Costs
'[After Year 1']
(Monthly)]+HostBuild[Total Hardware Costs
(Monthly)]</f>
        <v>1003.9</v>
      </c>
      <c r="EU53" s="560">
        <f>SUM(HostBuild[[#This Row],[Server Cost Breakdown]:[Network Cost]])</f>
        <v>1003.9</v>
      </c>
      <c r="EV53" s="561">
        <f>IF(HostBuild[Existing Server?]="Yes - Inside this BoM",0,SUMIF(HostBuild[Alias],HostBuild[Alias],HostBuild[CPU])+SUMIF(HostBuild[Alias],HostBuild[Alias],HostBuild[Existing CPUs]))</f>
        <v>2</v>
      </c>
      <c r="EW53" s="561">
        <f>IF(HostBuild[Existing Server?]="Yes - Inside this BoM",0,SUMIF(HostBuild[Alias],HostBuild[Alias],HostBuild[Cores 
(Licensed Units)])+SUMIF(HostBuild[Alias],HostBuild[Alias],HostBuild[Existing Cores]))</f>
        <v>0</v>
      </c>
      <c r="EX53" s="561">
        <f>IF(HostBuild[Existing Server?]="Yes - Inside this BoM",0,SUMIF(HostBuild[Alias],HostBuild[Alias],HostBuild[RAM 
(GB)])+SUMIF(HostBuild[Alias],HostBuild[Alias],HostBuild[Existing RAM (GB)]))</f>
        <v>256</v>
      </c>
      <c r="EY5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3" s="560">
        <f>IF(ISBLANK(HostBuild[Server Model]),0,IF(HostBuild[Server Tier]="VMware",0,VLOOKUP(HostBuild[Server Tier],ServerTierRates[#Data],2,0))*HostBuild[CPU]*IF(AND(HostBuild[Server Type]="pSeries",HostBuild[Virtual Platform Storage Type]="Cloud-SAN"),0.25,1))</f>
        <v>608</v>
      </c>
      <c r="FD53" s="560">
        <f>0</f>
        <v>0</v>
      </c>
      <c r="FE53" s="560">
        <f>IF(HostBuild[Server Type]="VMware",HostBuild[RAM 
(GB)]*IF(ISERROR(FIND("DevCloud", HostBuild[Server Model])&gt;0),vRAM_per_vCPU_2014_Monthly,vRAM_per_vCPU_2014_Daily*30),0)</f>
        <v>0</v>
      </c>
      <c r="FF5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3" s="563">
        <f>IF(HostBuild[Server Tier]="VMware",0,IF(LEFT(HostBuild[Existing Server?],3)="Yes",0,IF(OR(HostBuild[Server Type]="Sun",HostBuild[Server Type]="pSeries"),Support_Direct_Server_Sun_per_OS_2014,IF(HostBuild[Server Type]="x86",Support_Direct_Server_x86_Wintel_per_OS_2014,0))))</f>
        <v>187.1</v>
      </c>
      <c r="FI5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4" spans="1:165" s="139" customFormat="1" ht="15" customHeight="1">
      <c r="A54" s="360" t="s">
        <v>3942</v>
      </c>
      <c r="B54" s="521"/>
      <c r="C54" s="521"/>
      <c r="D54" s="521"/>
      <c r="E54" s="522"/>
      <c r="F54" s="522"/>
      <c r="G54" s="597"/>
      <c r="H54" s="597"/>
      <c r="I54" s="523"/>
      <c r="J54" s="522"/>
      <c r="K54" s="522"/>
      <c r="L54" s="522"/>
      <c r="M54" s="597" t="e">
        <f ca="1">IF(rngIsDate(HostBuild[CTO Acceptance]),"Y","N")</f>
        <v>#NAME?</v>
      </c>
      <c r="N54" s="361" t="s">
        <v>3939</v>
      </c>
      <c r="O54" s="525"/>
      <c r="P54" s="525"/>
      <c r="Q54" s="361" t="s">
        <v>211</v>
      </c>
      <c r="R54" s="526" t="str">
        <f>IF(NOT(ISBLANK(HostBuild[Env Label])),IFERROR(VLOOKUP(HostBuild[Env Label],tEnv[],3,FALSE),""),"")</f>
        <v>COB</v>
      </c>
      <c r="S54" s="598"/>
      <c r="T54" s="527"/>
      <c r="U54" s="599"/>
      <c r="V54" s="524" t="s">
        <v>4006</v>
      </c>
      <c r="W54" s="524" t="s">
        <v>3941</v>
      </c>
      <c r="X54" s="524" t="s">
        <v>35</v>
      </c>
      <c r="Y54" s="361" t="s">
        <v>481</v>
      </c>
      <c r="Z54" s="526" t="str">
        <f>IF(NOT(ISBLANK(HostBuild[[#This Row],[Product 
(Acronym)]])),CONCATENATE(HostBuild[[#This Row],[Type]],"-",HostBuild[[#This Row],[Product 
(Acronym)]]),"")</f>
        <v>AP-ESB</v>
      </c>
      <c r="AA54" s="600"/>
      <c r="AB54" s="600" t="s">
        <v>105</v>
      </c>
      <c r="AC54" s="528"/>
      <c r="AD54" s="529"/>
      <c r="AE54" s="529"/>
      <c r="AF54" s="530"/>
      <c r="AG54" s="531"/>
      <c r="AH54" s="601"/>
      <c r="AI54" s="362" t="s">
        <v>3966</v>
      </c>
      <c r="AJ54" s="524">
        <f>IF(COUNTIF(HostBuild[Alias],HostBuild[Alias]),1/COUNTIF(HostBuild[Alias],HostBuild[Alias]),0)</f>
        <v>1</v>
      </c>
      <c r="AK54" s="531"/>
      <c r="AL54" s="531"/>
      <c r="AM54" s="532" t="s">
        <v>2173</v>
      </c>
      <c r="AN54" s="533" t="str">
        <f>IF(NOT(ISBLANK(HostBuild[Server Model])),VLOOKUP(HostBuild[Server Model],ServerModelsTier[],2,FALSE),"")</f>
        <v>x86 Tier 3</v>
      </c>
      <c r="AO54" s="533" t="str">
        <f>IF(NOT(ISBLANK(HostBuild[Server Model])),VLOOKUP(HostBuild[Server Model],ServerModelsTier[],5,FALSE),"")</f>
        <v>x86</v>
      </c>
      <c r="AP54" s="532"/>
      <c r="AQ54" s="532" t="s">
        <v>2337</v>
      </c>
      <c r="AR54" s="534">
        <v>2</v>
      </c>
      <c r="AS54" s="602"/>
      <c r="AT54" s="535"/>
      <c r="AU54" s="603" t="str">
        <f>IF(IFERROR(FIND("P-Series",HostBuild[Server Tier]),0),CEILING((HostBuild[Existing CPUs]+HostBuild[CPU])*16,8),"")</f>
        <v/>
      </c>
      <c r="AV54" s="536">
        <v>256</v>
      </c>
      <c r="AW54" s="531"/>
      <c r="AX54" s="531"/>
      <c r="AY54" s="531"/>
      <c r="AZ54" s="537"/>
      <c r="BA54" s="531"/>
      <c r="BB54" s="531"/>
      <c r="BC54" s="529"/>
      <c r="BD54" s="531"/>
      <c r="BE54" s="531"/>
      <c r="BF54" s="531"/>
      <c r="BG54" s="531"/>
      <c r="BH54" s="531"/>
      <c r="BI54" s="531"/>
      <c r="BJ54" s="531"/>
      <c r="BK54" s="604"/>
      <c r="BL54" s="538"/>
      <c r="BM54" s="540">
        <f>IF(ISNUMBER(HostBuild[Recommended SAN (GB)]),HostBuild[Recommended SAN (GB)])+IF(HostBuild[Additional SAN (GB)]&gt;0,CEILING(HostBuild[Additional SAN (GB)],LUN),-(CEILING(-HostBuild[Additional SAN (GB)],LUN)))</f>
        <v>0</v>
      </c>
      <c r="BN54" s="539"/>
      <c r="BO54" s="540">
        <f>HostBuild[SAN (GB)
NEEDED TODAY]+CEILING(HostBuild[SAN (GB)
RESERVED
DO NOT USE TO BUILD], LUN)</f>
        <v>0</v>
      </c>
      <c r="BP54" s="541"/>
      <c r="BQ54" s="542"/>
      <c r="BR54" s="432" t="s">
        <v>106</v>
      </c>
      <c r="BS54" s="605">
        <f>IF(HostBuild[Existing Server?]&lt;&gt;"Yes - Inside this BoM",IF(ISNUMBER(HostBuild[RAM 
(GB)]),IF(HostBuild[Existing RAM (GB)]+HostBuild[RAM 
(GB)]&gt;0,IF(HostBuild[Virtual Platform Storage Type]="NAS",110+HostBuild[Existing RAM (GB)]+HostBuild[RAM 
(GB)]*1.75,0),0),0),0)</f>
        <v>0</v>
      </c>
      <c r="BT54" s="606"/>
      <c r="BU54" s="607">
        <f>IF(ISNUMBER(HostBuild[Recommended NAS (GB)]),HostBuild[Recommended NAS (GB)])+HostBuild[Additional NAS (GB)]</f>
        <v>0</v>
      </c>
      <c r="BV54" s="543"/>
      <c r="BW54" s="543"/>
      <c r="BX54" s="604">
        <f>IFERROR((HostBuild[SAN (GB)
End-State
DO NOT USE TO BUILD]+HostBuild[SAN (GB) Shared])*25%,"")</f>
        <v>0</v>
      </c>
      <c r="BY54" s="608">
        <f>IFERROR(HostBuild[Archive
Full (GB)]*15%,"")</f>
        <v>0</v>
      </c>
      <c r="BZ54" s="544"/>
      <c r="CA54" s="544"/>
      <c r="CB54" s="545"/>
      <c r="CC54" s="546"/>
      <c r="CD54" s="545"/>
      <c r="CE54" s="547"/>
      <c r="CF54" s="539"/>
      <c r="CG54" s="609"/>
      <c r="CH54" s="548"/>
      <c r="CI54" s="549"/>
      <c r="CJ54" s="550" t="s">
        <v>4128</v>
      </c>
      <c r="CK54" s="551"/>
      <c r="CL54" s="552">
        <f>IFERROR(IF(FIND(CL$1,$W54)&gt;0,IF(INDEX(Product_Pricing_Table[],MATCH(CL$1,Products,0),2)="Cores",IF(HostBuild[Use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4" s="552">
        <f>IFERROR(IF(FIND(CM$1,$W54)&gt;0,IF(INDEX(Product_Pricing_Table[],MATCH(CM$1,Products,0),2)="Cores",IF(HostBuild[Use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4" s="552">
        <f>IFERROR(IF(FIND(CN$1,$W54)&gt;0,IF(INDEX(Product_Pricing_Table[],MATCH(CN$1,Products,0),2)="Cores",IF(HostBuild[Use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4" s="552">
        <f>IFERROR(IF(FIND(CO$1,$W54)&gt;0,IF(INDEX(Product_Pricing_Table[],MATCH(CO$1,Products,0),2)="Cores",IF(HostBuild[Use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4" s="552">
        <f>IFERROR(IF(FIND(CP$1,$W54)&gt;0,IF(INDEX(Product_Pricing_Table[],MATCH(CP$1,Products,0),2)="Cores",IF(HostBuild[Use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4" s="552">
        <f>IFERROR(IF(FIND(CQ$1,$W54)&gt;0,IF(INDEX(Product_Pricing_Table[],MATCH(CQ$1,Products,0),2)="Cores",IF(HostBuild[Use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4" s="552">
        <f>IFERROR(IF(FIND(CR$1,$W54)&gt;0,IF(INDEX(Product_Pricing_Table[],MATCH(CR$1,Products,0),2)="Cores",IF(HostBuild[Use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4" s="552">
        <f>IFERROR(IF(FIND(CS$1,$W54)&gt;0,IF(INDEX(Product_Pricing_Table[],MATCH(CS$1,Products,0),2)="Cores",IF(HostBuild[Use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4" s="552">
        <f>IFERROR(IF(FIND(CT$1,$W54)&gt;0,IF(INDEX(Product_Pricing_Table[],MATCH(CT$1,Products,0),2)="Cores",IF(HostBuild[Use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4" s="552">
        <f>IFERROR(IF(FIND(CU$1,$W54)&gt;0,IF(INDEX(Product_Pricing_Table[],MATCH(CU$1,Products,0),2)="Cores",IF(HostBuild[Use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4" s="552">
        <f>IFERROR(IF(FIND(CV$1,$W54)&gt;0,IF(INDEX(Product_Pricing_Table[],MATCH(CV$1,Products,0),2)="Cores",IF(HostBuild[Use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4" s="552">
        <f>IFERROR(IF(FIND(CW$1,$W54)&gt;0,IF(INDEX(Product_Pricing_Table[],MATCH(CW$1,Products,0),2)="Cores",IF(HostBuild[Use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4" s="552">
        <f>IFERROR(IF(FIND(CX$1,$W54)&gt;0,IF(INDEX(Product_Pricing_Table[],MATCH(CX$1,Products,0),2)="Cores",IF(HostBuild[Use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4" s="552">
        <f>IFERROR(IF(FIND(CY$1,$W54)&gt;0,IF(INDEX(Product_Pricing_Table[],MATCH(CY$1,Products,0),2)="Cores",IF(HostBuild[Use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4" s="552">
        <f>IFERROR(IF(FIND(CZ$1,$W54)&gt;0,IF(INDEX(Product_Pricing_Table[],MATCH(CZ$1,Products,0),2)="Cores",IF(HostBuild[Use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4" s="552">
        <f>IFERROR(IF(FIND(DA$1,$W54)&gt;0,IF(INDEX(Product_Pricing_Table[],MATCH(DA$1,Products,0),2)="Cores",IF(HostBuild[Use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4" s="552">
        <f>IFERROR(IF(FIND(DB$1,$W54)&gt;0,IF(INDEX(Product_Pricing_Table[],MATCH(DB$1,Products,0),2)="Cores",IF(HostBuild[Use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4" s="552">
        <f>IFERROR(IF(FIND(DC$1,$W54)&gt;0,IF(INDEX(Product_Pricing_Table[],MATCH(DC$1,Products,0),2)="Cores",IF(HostBuild[Use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4" s="552">
        <f>IFERROR(IF(FIND(DD$1,$W54)&gt;0,IF(INDEX(Product_Pricing_Table[],MATCH(DD$1,Products,0),2)="Cores",IF(HostBuild[Use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4" s="552">
        <f>IFERROR(IF(FIND(DE$1,$W54)&gt;0,IF(INDEX(Product_Pricing_Table[],MATCH(DE$1,Products,0),2)="Cores",IF(HostBuild[Use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4" s="553">
        <f>IFERROR(IF(FIND(DF$1,$W54)&gt;0,IF(INDEX(Product_Pricing_Table[],MATCH(DF$1,Products,0),2)="Cores",IF(HostBuild[Use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4" s="553">
        <f>IFERROR(IF(FIND(DG$1,$W54)&gt;0,IF(INDEX(Product_Pricing_Table[],MATCH(DG$1,Products,0),2)="Cores",IF(HostBuild[Use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4" s="552">
        <f>IFERROR(IF(FIND(DH$1,$W54)&gt;0,IF(INDEX(Product_Pricing_Table[],MATCH(DH$1,Products,0),2)="Cores",IF(HostBuild[Use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4" s="553">
        <f>IFERROR(IF(FIND(DI$1,$W54)&gt;0,IF(INDEX(Product_Pricing_Table[],MATCH(DI$1,Products,0),2)="Cores",IF(HostBuild[Use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4" s="552">
        <f>IFERROR(IF(FIND(DJ$1,$W54)&gt;0,IF(INDEX(Product_Pricing_Table[],MATCH(DJ$1,Products,0),2)="Cores",IF(HostBuild[Use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4" s="552">
        <f>IFERROR(IF(FIND(DK$1,$W54)&gt;0,IF(INDEX(Product_Pricing_Table[],MATCH(DK$1,Products,0),2)="Cores",IF(HostBuild[Use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4" s="552">
        <f>IFERROR(IF(FIND(DL$1,$W54)&gt;0,IF(INDEX(Product_Pricing_Table[],MATCH(DL$1,Products,0),2)="Cores",IF(HostBuild[Use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4" s="552">
        <f>IFERROR(IF(FIND(DM$1,$W54)&gt;0,IF(INDEX(Product_Pricing_Table[],MATCH(DM$1,Products,0),2)="Cores",IF(HostBuild[Use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4" s="552">
        <f>IFERROR(IF(FIND(DN$1,$W54)&gt;0,IF(INDEX(Product_Pricing_Table[],MATCH(DN$1,Products,0),2)="Cores",IF(HostBuild[Use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4" s="552">
        <f>IFERROR(IF(FIND(DO$1,$W54)&gt;0,IF(INDEX(Product_Pricing_Table[],MATCH(DO$1,Products,0),2)="Cores",IF(HostBuild[Use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4" s="552">
        <f>IFERROR(IF(FIND(DP$1,$W54)&gt;0,IF(INDEX(Product_Pricing_Table[],MATCH(DP$1,Products,0),2)="Cores",IF(HostBuild[Use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4" s="552">
        <f>IFERROR(IF(FIND(DQ$1,$W54)&gt;0,IF(INDEX(Product_Pricing_Table[],MATCH(DQ$1,Products,0),2)="Cores",IF(HostBuild[Use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4" s="552">
        <f>IFERROR(IF(FIND(DR$1,$W54)&gt;0,IF(INDEX(Product_Pricing_Table[],MATCH(DR$1,Products,0),2)="Cores",IF(HostBuild[Use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4" s="552">
        <f>IFERROR(IF(FIND(DS$1,$W54)&gt;0,IF(INDEX(Product_Pricing_Table[],MATCH(DS$1,Products,0),2)="Cores",IF(HostBuild[Use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4" s="552">
        <f>IFERROR(IF(FIND(DT$1,$W54)&gt;0,IF(INDEX(Product_Pricing_Table[],MATCH(DT$1,Products,0),2)="Cores",IF(HostBuild[Use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4" s="552">
        <f>IFERROR(IF(FIND(DU$1,$W54)&gt;0,IF(INDEX(Product_Pricing_Table[],MATCH(DU$1,Products,0),2)="Cores",IF(HostBuild[Use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4" s="552">
        <f>IFERROR(IF(FIND(DV$1,$W54)&gt;0,IF(INDEX(Product_Pricing_Table[],MATCH(DV$1,Products,0),2)="Cores",IF(HostBuild[Use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4" s="552">
        <f>IFERROR(IF(FIND(DW$1,$W54)&gt;0,IF(INDEX(Product_Pricing_Table[],MATCH(DW$1,Products,0),2)="Cores",IF(HostBuild[Use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4" s="552">
        <f>IFERROR(IF(FIND(DX$1,$W54)&gt;0,IF(INDEX(Product_Pricing_Table[],MATCH(DX$1,Products,0),2)="Cores",IF(HostBuild[Use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4" s="552">
        <f>IFERROR(IF(FIND(DY$1,$W54)&gt;0,IF(INDEX(Product_Pricing_Table[],MATCH(DY$1,Products,0),2)="Cores",IF(HostBuild[Use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4" s="552">
        <f>IFERROR(IF(FIND(DZ$1,$W54)&gt;0,IF(INDEX(Product_Pricing_Table[],MATCH(DZ$1,Products,0),2)="Cores",IF(HostBuild[Use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4" s="552">
        <f>IFERROR(IF(FIND(EA$1,$W54)&gt;0,IF(INDEX(Product_Pricing_Table[],MATCH(EA$1,Products,0),2)="Cores",IF(HostBuild[Use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4" s="552">
        <f>IFERROR(IF(FIND(EB$1,$W54)&gt;0,IF(INDEX(Product_Pricing_Table[],MATCH(EB$1,Products,0),2)="Cores",IF(HostBuild[Use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4" s="553">
        <f>IFERROR(IF(FIND(EC$1,$W54)&gt;0,IF(INDEX(Product_Pricing_Table[],MATCH(EC$1,Products,0),2)="Cores",IF(HostBuild[Use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4" s="552">
        <f>IFERROR(IF(FIND(ED$1,$W54)&gt;0,IF(INDEX(Product_Pricing_Table[],MATCH(ED$1,Products,0),2)="Cores",IF(HostBuild[Use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4" s="552">
        <f>IFERROR(IF(FIND(EE$1,$W54)&gt;0,IF(INDEX(Product_Pricing_Table[],MATCH(EE$1,Products,0),2)="Cores",IF(HostBuild[Use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4" s="552">
        <f>IFERROR(IF(FIND(EF$1,$W54)&gt;0,IF(INDEX(Product_Pricing_Table[],MATCH(EF$1,Products,0),2)="Cores",IF(HostBuild[Use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4" s="552">
        <f>IFERROR(IF(FIND(EG$1,$W54)&gt;0,IF(INDEX(Product_Pricing_Table[],MATCH(EG$1,Products,0),2)="Cores",IF(HostBuild[Use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4" s="552">
        <f>IFERROR(IF(FIND(EH$1,$W54)&gt;0,IF(INDEX(Product_Pricing_Table[],MATCH(EH$1,Products,0),2)="Cores",IF(HostBuild[Use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4" s="552">
        <f>IFERROR(IF(FIND(EI$1,$W54)&gt;0,IF(INDEX(Product_Pricing_Table[],MATCH(EI$1,Products,0),2)="Cores",IF(HostBuild[Use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4" s="552">
        <f>IFERROR(IF(FIND(EJ$1,$W54)&gt;0,IF(INDEX(Product_Pricing_Table[],MATCH(EJ$1,Products,0),2)="Cores",IF(HostBuild[Use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4" s="553">
        <f>IFERROR(IF(FIND(EK$1,$W54)&gt;0,IF(INDEX(Product_Pricing_Table[],MATCH(EK$1,Products,0),2)="Cores",IF(HostBuild[Use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4" s="554"/>
      <c r="EM54" s="555"/>
      <c r="EN54" s="556"/>
      <c r="EO54"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4" s="558">
        <f>(HostBuild[Archive
Full (GB)]+HostBuild[Archive
Incr (GB)])*Storage_DC_Dist_Tape_2014</f>
        <v>0</v>
      </c>
      <c r="ER54" s="558">
        <f>IF(ISNUMBER(HostBuild[Server HW Costs
(Monthly)]),SUM(HostBuild[[#This Row],[Server HW Costs
(Monthly)]:[Tape Costs
(Monthly)]]),0)</f>
        <v>1003.9</v>
      </c>
      <c r="ES54" s="559">
        <f>HostBuild[Software Costs
'[Year 1']
(Monthly)]+HostBuild[Total Hardware Costs
(Monthly)]</f>
        <v>1003.9</v>
      </c>
      <c r="ET54" s="559">
        <f>IFERROR(IF(FIND("Safenet",HostBuild[Server Model]),Safenet_PSE_PL600_Maint,0),0)+IFERROR(IF(FIND("XI52",HostBuild[Server Model]),IBM_DIA_XI52_Maint,0),0)+HostBuild[Software Costs
'[After Year 1']
(Monthly)]+HostBuild[Total Hardware Costs
(Monthly)]</f>
        <v>1003.9</v>
      </c>
      <c r="EU54" s="560">
        <f>SUM(HostBuild[[#This Row],[Server Cost Breakdown]:[Network Cost]])</f>
        <v>1003.9</v>
      </c>
      <c r="EV54" s="561">
        <f>IF(HostBuild[Existing Server?]="Yes - Inside this BoM",0,SUMIF(HostBuild[Alias],HostBuild[Alias],HostBuild[CPU])+SUMIF(HostBuild[Alias],HostBuild[Alias],HostBuild[Existing CPUs]))</f>
        <v>2</v>
      </c>
      <c r="EW54" s="561">
        <f>IF(HostBuild[Existing Server?]="Yes - Inside this BoM",0,SUMIF(HostBuild[Alias],HostBuild[Alias],HostBuild[Cores 
(Licensed Units)])+SUMIF(HostBuild[Alias],HostBuild[Alias],HostBuild[Existing Cores]))</f>
        <v>0</v>
      </c>
      <c r="EX54" s="561">
        <f>IF(HostBuild[Existing Server?]="Yes - Inside this BoM",0,SUMIF(HostBuild[Alias],HostBuild[Alias],HostBuild[RAM 
(GB)])+SUMIF(HostBuild[Alias],HostBuild[Alias],HostBuild[Existing RAM (GB)]))</f>
        <v>256</v>
      </c>
      <c r="EY5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4" s="560">
        <f>IF(ISBLANK(HostBuild[Server Model]),0,IF(HostBuild[Server Tier]="VMware",0,VLOOKUP(HostBuild[Server Tier],ServerTierRates[#Data],2,0))*HostBuild[CPU]*IF(AND(HostBuild[Server Type]="pSeries",HostBuild[Virtual Platform Storage Type]="Cloud-SAN"),0.25,1))</f>
        <v>608</v>
      </c>
      <c r="FD54" s="560">
        <f>0</f>
        <v>0</v>
      </c>
      <c r="FE54" s="560">
        <f>IF(HostBuild[Server Type]="VMware",HostBuild[RAM 
(GB)]*IF(ISERROR(FIND("DevCloud", HostBuild[Server Model])&gt;0),vRAM_per_vCPU_2014_Monthly,vRAM_per_vCPU_2014_Daily*30),0)</f>
        <v>0</v>
      </c>
      <c r="FF5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4" s="563">
        <f>IF(HostBuild[Server Tier]="VMware",0,IF(LEFT(HostBuild[Existing Server?],3)="Yes",0,IF(OR(HostBuild[Server Type]="Sun",HostBuild[Server Type]="pSeries"),Support_Direct_Server_Sun_per_OS_2014,IF(HostBuild[Server Type]="x86",Support_Direct_Server_x86_Wintel_per_OS_2014,0))))</f>
        <v>187.1</v>
      </c>
      <c r="FI5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5" spans="1:165" s="139" customFormat="1" ht="15" customHeight="1">
      <c r="A55" s="360" t="s">
        <v>3942</v>
      </c>
      <c r="B55" s="521"/>
      <c r="C55" s="521"/>
      <c r="D55" s="521"/>
      <c r="E55" s="522"/>
      <c r="F55" s="522"/>
      <c r="G55" s="597"/>
      <c r="H55" s="597"/>
      <c r="I55" s="523"/>
      <c r="J55" s="522"/>
      <c r="K55" s="522"/>
      <c r="L55" s="522"/>
      <c r="M55" s="597" t="e">
        <f ca="1">IF(rngIsDate(HostBuild[CTO Acceptance]),"Y","N")</f>
        <v>#NAME?</v>
      </c>
      <c r="N55" s="361" t="s">
        <v>3939</v>
      </c>
      <c r="O55" s="525"/>
      <c r="P55" s="525"/>
      <c r="Q55" s="361" t="s">
        <v>211</v>
      </c>
      <c r="R55" s="526" t="str">
        <f>IF(NOT(ISBLANK(HostBuild[Env Label])),IFERROR(VLOOKUP(HostBuild[Env Label],tEnv[],3,FALSE),""),"")</f>
        <v>COB</v>
      </c>
      <c r="S55" s="598"/>
      <c r="T55" s="527"/>
      <c r="U55" s="599"/>
      <c r="V55" s="524" t="s">
        <v>4006</v>
      </c>
      <c r="W55" s="524" t="s">
        <v>3941</v>
      </c>
      <c r="X55" s="524" t="s">
        <v>35</v>
      </c>
      <c r="Y55" s="361" t="s">
        <v>481</v>
      </c>
      <c r="Z55" s="526" t="str">
        <f>IF(NOT(ISBLANK(HostBuild[[#This Row],[Product 
(Acronym)]])),CONCATENATE(HostBuild[[#This Row],[Type]],"-",HostBuild[[#This Row],[Product 
(Acronym)]]),"")</f>
        <v>AP-ESB</v>
      </c>
      <c r="AA55" s="600"/>
      <c r="AB55" s="600" t="s">
        <v>105</v>
      </c>
      <c r="AC55" s="528"/>
      <c r="AD55" s="529"/>
      <c r="AE55" s="529"/>
      <c r="AF55" s="530"/>
      <c r="AG55" s="531"/>
      <c r="AH55" s="601"/>
      <c r="AI55" s="362" t="s">
        <v>3967</v>
      </c>
      <c r="AJ55" s="524">
        <f>IF(COUNTIF(HostBuild[Alias],HostBuild[Alias]),1/COUNTIF(HostBuild[Alias],HostBuild[Alias]),0)</f>
        <v>1</v>
      </c>
      <c r="AK55" s="531"/>
      <c r="AL55" s="531"/>
      <c r="AM55" s="532" t="s">
        <v>2173</v>
      </c>
      <c r="AN55" s="533" t="str">
        <f>IF(NOT(ISBLANK(HostBuild[Server Model])),VLOOKUP(HostBuild[Server Model],ServerModelsTier[],2,FALSE),"")</f>
        <v>x86 Tier 3</v>
      </c>
      <c r="AO55" s="533" t="str">
        <f>IF(NOT(ISBLANK(HostBuild[Server Model])),VLOOKUP(HostBuild[Server Model],ServerModelsTier[],5,FALSE),"")</f>
        <v>x86</v>
      </c>
      <c r="AP55" s="532"/>
      <c r="AQ55" s="532" t="s">
        <v>2337</v>
      </c>
      <c r="AR55" s="534">
        <v>2</v>
      </c>
      <c r="AS55" s="602"/>
      <c r="AT55" s="535"/>
      <c r="AU55" s="603" t="str">
        <f>IF(IFERROR(FIND("P-Series",HostBuild[Server Tier]),0),CEILING((HostBuild[Existing CPUs]+HostBuild[CPU])*16,8),"")</f>
        <v/>
      </c>
      <c r="AV55" s="536">
        <v>256</v>
      </c>
      <c r="AW55" s="531"/>
      <c r="AX55" s="531"/>
      <c r="AY55" s="531"/>
      <c r="AZ55" s="537"/>
      <c r="BA55" s="531"/>
      <c r="BB55" s="531"/>
      <c r="BC55" s="529"/>
      <c r="BD55" s="531"/>
      <c r="BE55" s="531"/>
      <c r="BF55" s="531"/>
      <c r="BG55" s="531"/>
      <c r="BH55" s="531"/>
      <c r="BI55" s="531"/>
      <c r="BJ55" s="531"/>
      <c r="BK55" s="604"/>
      <c r="BL55" s="538"/>
      <c r="BM55" s="540">
        <f>IF(ISNUMBER(HostBuild[Recommended SAN (GB)]),HostBuild[Recommended SAN (GB)])+IF(HostBuild[Additional SAN (GB)]&gt;0,CEILING(HostBuild[Additional SAN (GB)],LUN),-(CEILING(-HostBuild[Additional SAN (GB)],LUN)))</f>
        <v>0</v>
      </c>
      <c r="BN55" s="539"/>
      <c r="BO55" s="540">
        <f>HostBuild[SAN (GB)
NEEDED TODAY]+CEILING(HostBuild[SAN (GB)
RESERVED
DO NOT USE TO BUILD], LUN)</f>
        <v>0</v>
      </c>
      <c r="BP55" s="541"/>
      <c r="BQ55" s="542"/>
      <c r="BR55" s="432" t="s">
        <v>106</v>
      </c>
      <c r="BS55" s="605">
        <f>IF(HostBuild[Existing Server?]&lt;&gt;"Yes - Inside this BoM",IF(ISNUMBER(HostBuild[RAM 
(GB)]),IF(HostBuild[Existing RAM (GB)]+HostBuild[RAM 
(GB)]&gt;0,IF(HostBuild[Virtual Platform Storage Type]="NAS",110+HostBuild[Existing RAM (GB)]+HostBuild[RAM 
(GB)]*1.75,0),0),0),0)</f>
        <v>0</v>
      </c>
      <c r="BT55" s="606"/>
      <c r="BU55" s="607">
        <f>IF(ISNUMBER(HostBuild[Recommended NAS (GB)]),HostBuild[Recommended NAS (GB)])+HostBuild[Additional NAS (GB)]</f>
        <v>0</v>
      </c>
      <c r="BV55" s="543"/>
      <c r="BW55" s="543"/>
      <c r="BX55" s="604">
        <f>IFERROR((HostBuild[SAN (GB)
End-State
DO NOT USE TO BUILD]+HostBuild[SAN (GB) Shared])*25%,"")</f>
        <v>0</v>
      </c>
      <c r="BY55" s="608">
        <f>IFERROR(HostBuild[Archive
Full (GB)]*15%,"")</f>
        <v>0</v>
      </c>
      <c r="BZ55" s="544"/>
      <c r="CA55" s="544"/>
      <c r="CB55" s="545"/>
      <c r="CC55" s="546"/>
      <c r="CD55" s="545"/>
      <c r="CE55" s="547"/>
      <c r="CF55" s="539"/>
      <c r="CG55" s="609"/>
      <c r="CH55" s="548"/>
      <c r="CI55" s="549"/>
      <c r="CJ55" s="550" t="s">
        <v>4128</v>
      </c>
      <c r="CK55" s="551"/>
      <c r="CL55" s="552">
        <f>IFERROR(IF(FIND(CL$1,$W55)&gt;0,IF(INDEX(Product_Pricing_Table[],MATCH(CL$1,Products,0),2)="Cores",IF(HostBuild[Use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5" s="552">
        <f>IFERROR(IF(FIND(CM$1,$W55)&gt;0,IF(INDEX(Product_Pricing_Table[],MATCH(CM$1,Products,0),2)="Cores",IF(HostBuild[Use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5" s="552">
        <f>IFERROR(IF(FIND(CN$1,$W55)&gt;0,IF(INDEX(Product_Pricing_Table[],MATCH(CN$1,Products,0),2)="Cores",IF(HostBuild[Use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5" s="552">
        <f>IFERROR(IF(FIND(CO$1,$W55)&gt;0,IF(INDEX(Product_Pricing_Table[],MATCH(CO$1,Products,0),2)="Cores",IF(HostBuild[Use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5" s="552">
        <f>IFERROR(IF(FIND(CP$1,$W55)&gt;0,IF(INDEX(Product_Pricing_Table[],MATCH(CP$1,Products,0),2)="Cores",IF(HostBuild[Use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5" s="552">
        <f>IFERROR(IF(FIND(CQ$1,$W55)&gt;0,IF(INDEX(Product_Pricing_Table[],MATCH(CQ$1,Products,0),2)="Cores",IF(HostBuild[Use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5" s="552">
        <f>IFERROR(IF(FIND(CR$1,$W55)&gt;0,IF(INDEX(Product_Pricing_Table[],MATCH(CR$1,Products,0),2)="Cores",IF(HostBuild[Use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5" s="552">
        <f>IFERROR(IF(FIND(CS$1,$W55)&gt;0,IF(INDEX(Product_Pricing_Table[],MATCH(CS$1,Products,0),2)="Cores",IF(HostBuild[Use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5" s="552">
        <f>IFERROR(IF(FIND(CT$1,$W55)&gt;0,IF(INDEX(Product_Pricing_Table[],MATCH(CT$1,Products,0),2)="Cores",IF(HostBuild[Use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5" s="552">
        <f>IFERROR(IF(FIND(CU$1,$W55)&gt;0,IF(INDEX(Product_Pricing_Table[],MATCH(CU$1,Products,0),2)="Cores",IF(HostBuild[Use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5" s="552">
        <f>IFERROR(IF(FIND(CV$1,$W55)&gt;0,IF(INDEX(Product_Pricing_Table[],MATCH(CV$1,Products,0),2)="Cores",IF(HostBuild[Use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5" s="552">
        <f>IFERROR(IF(FIND(CW$1,$W55)&gt;0,IF(INDEX(Product_Pricing_Table[],MATCH(CW$1,Products,0),2)="Cores",IF(HostBuild[Use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5" s="552">
        <f>IFERROR(IF(FIND(CX$1,$W55)&gt;0,IF(INDEX(Product_Pricing_Table[],MATCH(CX$1,Products,0),2)="Cores",IF(HostBuild[Use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5" s="552">
        <f>IFERROR(IF(FIND(CY$1,$W55)&gt;0,IF(INDEX(Product_Pricing_Table[],MATCH(CY$1,Products,0),2)="Cores",IF(HostBuild[Use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5" s="552">
        <f>IFERROR(IF(FIND(CZ$1,$W55)&gt;0,IF(INDEX(Product_Pricing_Table[],MATCH(CZ$1,Products,0),2)="Cores",IF(HostBuild[Use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5" s="552">
        <f>IFERROR(IF(FIND(DA$1,$W55)&gt;0,IF(INDEX(Product_Pricing_Table[],MATCH(DA$1,Products,0),2)="Cores",IF(HostBuild[Use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5" s="552">
        <f>IFERROR(IF(FIND(DB$1,$W55)&gt;0,IF(INDEX(Product_Pricing_Table[],MATCH(DB$1,Products,0),2)="Cores",IF(HostBuild[Use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5" s="552">
        <f>IFERROR(IF(FIND(DC$1,$W55)&gt;0,IF(INDEX(Product_Pricing_Table[],MATCH(DC$1,Products,0),2)="Cores",IF(HostBuild[Use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5" s="552">
        <f>IFERROR(IF(FIND(DD$1,$W55)&gt;0,IF(INDEX(Product_Pricing_Table[],MATCH(DD$1,Products,0),2)="Cores",IF(HostBuild[Use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5" s="552">
        <f>IFERROR(IF(FIND(DE$1,$W55)&gt;0,IF(INDEX(Product_Pricing_Table[],MATCH(DE$1,Products,0),2)="Cores",IF(HostBuild[Use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5" s="553">
        <f>IFERROR(IF(FIND(DF$1,$W55)&gt;0,IF(INDEX(Product_Pricing_Table[],MATCH(DF$1,Products,0),2)="Cores",IF(HostBuild[Use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5" s="553">
        <f>IFERROR(IF(FIND(DG$1,$W55)&gt;0,IF(INDEX(Product_Pricing_Table[],MATCH(DG$1,Products,0),2)="Cores",IF(HostBuild[Use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5" s="552">
        <f>IFERROR(IF(FIND(DH$1,$W55)&gt;0,IF(INDEX(Product_Pricing_Table[],MATCH(DH$1,Products,0),2)="Cores",IF(HostBuild[Use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5" s="553">
        <f>IFERROR(IF(FIND(DI$1,$W55)&gt;0,IF(INDEX(Product_Pricing_Table[],MATCH(DI$1,Products,0),2)="Cores",IF(HostBuild[Use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5" s="552">
        <f>IFERROR(IF(FIND(DJ$1,$W55)&gt;0,IF(INDEX(Product_Pricing_Table[],MATCH(DJ$1,Products,0),2)="Cores",IF(HostBuild[Use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5" s="552">
        <f>IFERROR(IF(FIND(DK$1,$W55)&gt;0,IF(INDEX(Product_Pricing_Table[],MATCH(DK$1,Products,0),2)="Cores",IF(HostBuild[Use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5" s="552">
        <f>IFERROR(IF(FIND(DL$1,$W55)&gt;0,IF(INDEX(Product_Pricing_Table[],MATCH(DL$1,Products,0),2)="Cores",IF(HostBuild[Use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5" s="552">
        <f>IFERROR(IF(FIND(DM$1,$W55)&gt;0,IF(INDEX(Product_Pricing_Table[],MATCH(DM$1,Products,0),2)="Cores",IF(HostBuild[Use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5" s="552">
        <f>IFERROR(IF(FIND(DN$1,$W55)&gt;0,IF(INDEX(Product_Pricing_Table[],MATCH(DN$1,Products,0),2)="Cores",IF(HostBuild[Use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5" s="552">
        <f>IFERROR(IF(FIND(DO$1,$W55)&gt;0,IF(INDEX(Product_Pricing_Table[],MATCH(DO$1,Products,0),2)="Cores",IF(HostBuild[Use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5" s="552">
        <f>IFERROR(IF(FIND(DP$1,$W55)&gt;0,IF(INDEX(Product_Pricing_Table[],MATCH(DP$1,Products,0),2)="Cores",IF(HostBuild[Use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5" s="552">
        <f>IFERROR(IF(FIND(DQ$1,$W55)&gt;0,IF(INDEX(Product_Pricing_Table[],MATCH(DQ$1,Products,0),2)="Cores",IF(HostBuild[Use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5" s="552">
        <f>IFERROR(IF(FIND(DR$1,$W55)&gt;0,IF(INDEX(Product_Pricing_Table[],MATCH(DR$1,Products,0),2)="Cores",IF(HostBuild[Use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5" s="552">
        <f>IFERROR(IF(FIND(DS$1,$W55)&gt;0,IF(INDEX(Product_Pricing_Table[],MATCH(DS$1,Products,0),2)="Cores",IF(HostBuild[Use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5" s="552">
        <f>IFERROR(IF(FIND(DT$1,$W55)&gt;0,IF(INDEX(Product_Pricing_Table[],MATCH(DT$1,Products,0),2)="Cores",IF(HostBuild[Use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5" s="552">
        <f>IFERROR(IF(FIND(DU$1,$W55)&gt;0,IF(INDEX(Product_Pricing_Table[],MATCH(DU$1,Products,0),2)="Cores",IF(HostBuild[Use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5" s="552">
        <f>IFERROR(IF(FIND(DV$1,$W55)&gt;0,IF(INDEX(Product_Pricing_Table[],MATCH(DV$1,Products,0),2)="Cores",IF(HostBuild[Use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5" s="552">
        <f>IFERROR(IF(FIND(DW$1,$W55)&gt;0,IF(INDEX(Product_Pricing_Table[],MATCH(DW$1,Products,0),2)="Cores",IF(HostBuild[Use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5" s="552">
        <f>IFERROR(IF(FIND(DX$1,$W55)&gt;0,IF(INDEX(Product_Pricing_Table[],MATCH(DX$1,Products,0),2)="Cores",IF(HostBuild[Use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5" s="552">
        <f>IFERROR(IF(FIND(DY$1,$W55)&gt;0,IF(INDEX(Product_Pricing_Table[],MATCH(DY$1,Products,0),2)="Cores",IF(HostBuild[Use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5" s="552">
        <f>IFERROR(IF(FIND(DZ$1,$W55)&gt;0,IF(INDEX(Product_Pricing_Table[],MATCH(DZ$1,Products,0),2)="Cores",IF(HostBuild[Use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5" s="552">
        <f>IFERROR(IF(FIND(EA$1,$W55)&gt;0,IF(INDEX(Product_Pricing_Table[],MATCH(EA$1,Products,0),2)="Cores",IF(HostBuild[Use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5" s="552">
        <f>IFERROR(IF(FIND(EB$1,$W55)&gt;0,IF(INDEX(Product_Pricing_Table[],MATCH(EB$1,Products,0),2)="Cores",IF(HostBuild[Use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5" s="553">
        <f>IFERROR(IF(FIND(EC$1,$W55)&gt;0,IF(INDEX(Product_Pricing_Table[],MATCH(EC$1,Products,0),2)="Cores",IF(HostBuild[Use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5" s="552">
        <f>IFERROR(IF(FIND(ED$1,$W55)&gt;0,IF(INDEX(Product_Pricing_Table[],MATCH(ED$1,Products,0),2)="Cores",IF(HostBuild[Use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5" s="552">
        <f>IFERROR(IF(FIND(EE$1,$W55)&gt;0,IF(INDEX(Product_Pricing_Table[],MATCH(EE$1,Products,0),2)="Cores",IF(HostBuild[Use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5" s="552">
        <f>IFERROR(IF(FIND(EF$1,$W55)&gt;0,IF(INDEX(Product_Pricing_Table[],MATCH(EF$1,Products,0),2)="Cores",IF(HostBuild[Use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5" s="552">
        <f>IFERROR(IF(FIND(EG$1,$W55)&gt;0,IF(INDEX(Product_Pricing_Table[],MATCH(EG$1,Products,0),2)="Cores",IF(HostBuild[Use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5" s="552">
        <f>IFERROR(IF(FIND(EH$1,$W55)&gt;0,IF(INDEX(Product_Pricing_Table[],MATCH(EH$1,Products,0),2)="Cores",IF(HostBuild[Use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5" s="552">
        <f>IFERROR(IF(FIND(EI$1,$W55)&gt;0,IF(INDEX(Product_Pricing_Table[],MATCH(EI$1,Products,0),2)="Cores",IF(HostBuild[Use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5" s="552">
        <f>IFERROR(IF(FIND(EJ$1,$W55)&gt;0,IF(INDEX(Product_Pricing_Table[],MATCH(EJ$1,Products,0),2)="Cores",IF(HostBuild[Use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5" s="553">
        <f>IFERROR(IF(FIND(EK$1,$W55)&gt;0,IF(INDEX(Product_Pricing_Table[],MATCH(EK$1,Products,0),2)="Cores",IF(HostBuild[Use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5" s="554"/>
      <c r="EM55" s="555"/>
      <c r="EN55" s="556"/>
      <c r="EO55"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5" s="558">
        <f>(HostBuild[Archive
Full (GB)]+HostBuild[Archive
Incr (GB)])*Storage_DC_Dist_Tape_2014</f>
        <v>0</v>
      </c>
      <c r="ER55" s="558">
        <f>IF(ISNUMBER(HostBuild[Server HW Costs
(Monthly)]),SUM(HostBuild[[#This Row],[Server HW Costs
(Monthly)]:[Tape Costs
(Monthly)]]),0)</f>
        <v>1003.9</v>
      </c>
      <c r="ES55" s="559">
        <f>HostBuild[Software Costs
'[Year 1']
(Monthly)]+HostBuild[Total Hardware Costs
(Monthly)]</f>
        <v>1003.9</v>
      </c>
      <c r="ET55" s="559">
        <f>IFERROR(IF(FIND("Safenet",HostBuild[Server Model]),Safenet_PSE_PL600_Maint,0),0)+IFERROR(IF(FIND("XI52",HostBuild[Server Model]),IBM_DIA_XI52_Maint,0),0)+HostBuild[Software Costs
'[After Year 1']
(Monthly)]+HostBuild[Total Hardware Costs
(Monthly)]</f>
        <v>1003.9</v>
      </c>
      <c r="EU55" s="560">
        <f>SUM(HostBuild[[#This Row],[Server Cost Breakdown]:[Network Cost]])</f>
        <v>1003.9</v>
      </c>
      <c r="EV55" s="561">
        <f>IF(HostBuild[Existing Server?]="Yes - Inside this BoM",0,SUMIF(HostBuild[Alias],HostBuild[Alias],HostBuild[CPU])+SUMIF(HostBuild[Alias],HostBuild[Alias],HostBuild[Existing CPUs]))</f>
        <v>2</v>
      </c>
      <c r="EW55" s="561">
        <f>IF(HostBuild[Existing Server?]="Yes - Inside this BoM",0,SUMIF(HostBuild[Alias],HostBuild[Alias],HostBuild[Cores 
(Licensed Units)])+SUMIF(HostBuild[Alias],HostBuild[Alias],HostBuild[Existing Cores]))</f>
        <v>0</v>
      </c>
      <c r="EX55" s="561">
        <f>IF(HostBuild[Existing Server?]="Yes - Inside this BoM",0,SUMIF(HostBuild[Alias],HostBuild[Alias],HostBuild[RAM 
(GB)])+SUMIF(HostBuild[Alias],HostBuild[Alias],HostBuild[Existing RAM (GB)]))</f>
        <v>256</v>
      </c>
      <c r="EY5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5" s="560">
        <f>IF(ISBLANK(HostBuild[Server Model]),0,IF(HostBuild[Server Tier]="VMware",0,VLOOKUP(HostBuild[Server Tier],ServerTierRates[#Data],2,0))*HostBuild[CPU]*IF(AND(HostBuild[Server Type]="pSeries",HostBuild[Virtual Platform Storage Type]="Cloud-SAN"),0.25,1))</f>
        <v>608</v>
      </c>
      <c r="FD55" s="560">
        <f>0</f>
        <v>0</v>
      </c>
      <c r="FE55" s="560">
        <f>IF(HostBuild[Server Type]="VMware",HostBuild[RAM 
(GB)]*IF(ISERROR(FIND("DevCloud", HostBuild[Server Model])&gt;0),vRAM_per_vCPU_2014_Monthly,vRAM_per_vCPU_2014_Daily*30),0)</f>
        <v>0</v>
      </c>
      <c r="FF5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5" s="563">
        <f>IF(HostBuild[Server Tier]="VMware",0,IF(LEFT(HostBuild[Existing Server?],3)="Yes",0,IF(OR(HostBuild[Server Type]="Sun",HostBuild[Server Type]="pSeries"),Support_Direct_Server_Sun_per_OS_2014,IF(HostBuild[Server Type]="x86",Support_Direct_Server_x86_Wintel_per_OS_2014,0))))</f>
        <v>187.1</v>
      </c>
      <c r="FI5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6" spans="1:165" s="139" customFormat="1" ht="15" customHeight="1">
      <c r="A56" s="360" t="s">
        <v>3942</v>
      </c>
      <c r="B56" s="521"/>
      <c r="C56" s="521"/>
      <c r="D56" s="521"/>
      <c r="E56" s="522"/>
      <c r="F56" s="522"/>
      <c r="G56" s="597"/>
      <c r="H56" s="597"/>
      <c r="I56" s="523"/>
      <c r="J56" s="522"/>
      <c r="K56" s="522"/>
      <c r="L56" s="522"/>
      <c r="M56" s="597" t="e">
        <f ca="1">IF(rngIsDate(HostBuild[CTO Acceptance]),"Y","N")</f>
        <v>#NAME?</v>
      </c>
      <c r="N56" s="361" t="s">
        <v>3939</v>
      </c>
      <c r="O56" s="525"/>
      <c r="P56" s="525"/>
      <c r="Q56" s="361" t="s">
        <v>211</v>
      </c>
      <c r="R56" s="526" t="str">
        <f>IF(NOT(ISBLANK(HostBuild[Env Label])),IFERROR(VLOOKUP(HostBuild[Env Label],tEnv[],3,FALSE),""),"")</f>
        <v>COB</v>
      </c>
      <c r="S56" s="598"/>
      <c r="T56" s="527"/>
      <c r="U56" s="599"/>
      <c r="V56" s="524" t="s">
        <v>4006</v>
      </c>
      <c r="W56" s="524" t="s">
        <v>3941</v>
      </c>
      <c r="X56" s="524" t="s">
        <v>35</v>
      </c>
      <c r="Y56" s="361" t="s">
        <v>481</v>
      </c>
      <c r="Z56" s="526" t="str">
        <f>IF(NOT(ISBLANK(HostBuild[[#This Row],[Product 
(Acronym)]])),CONCATENATE(HostBuild[[#This Row],[Type]],"-",HostBuild[[#This Row],[Product 
(Acronym)]]),"")</f>
        <v>AP-ESB</v>
      </c>
      <c r="AA56" s="600"/>
      <c r="AB56" s="600" t="s">
        <v>105</v>
      </c>
      <c r="AC56" s="528"/>
      <c r="AD56" s="529"/>
      <c r="AE56" s="529"/>
      <c r="AF56" s="530"/>
      <c r="AG56" s="531"/>
      <c r="AH56" s="601"/>
      <c r="AI56" s="362" t="s">
        <v>3968</v>
      </c>
      <c r="AJ56" s="524">
        <f>IF(COUNTIF(HostBuild[Alias],HostBuild[Alias]),1/COUNTIF(HostBuild[Alias],HostBuild[Alias]),0)</f>
        <v>1</v>
      </c>
      <c r="AK56" s="531"/>
      <c r="AL56" s="531"/>
      <c r="AM56" s="532" t="s">
        <v>2173</v>
      </c>
      <c r="AN56" s="533" t="str">
        <f>IF(NOT(ISBLANK(HostBuild[Server Model])),VLOOKUP(HostBuild[Server Model],ServerModelsTier[],2,FALSE),"")</f>
        <v>x86 Tier 3</v>
      </c>
      <c r="AO56" s="533" t="str">
        <f>IF(NOT(ISBLANK(HostBuild[Server Model])),VLOOKUP(HostBuild[Server Model],ServerModelsTier[],5,FALSE),"")</f>
        <v>x86</v>
      </c>
      <c r="AP56" s="532"/>
      <c r="AQ56" s="532" t="s">
        <v>2337</v>
      </c>
      <c r="AR56" s="534">
        <v>2</v>
      </c>
      <c r="AS56" s="602"/>
      <c r="AT56" s="535"/>
      <c r="AU56" s="603" t="str">
        <f>IF(IFERROR(FIND("P-Series",HostBuild[Server Tier]),0),CEILING((HostBuild[Existing CPUs]+HostBuild[CPU])*16,8),"")</f>
        <v/>
      </c>
      <c r="AV56" s="536">
        <v>256</v>
      </c>
      <c r="AW56" s="531"/>
      <c r="AX56" s="531"/>
      <c r="AY56" s="531"/>
      <c r="AZ56" s="537"/>
      <c r="BA56" s="531"/>
      <c r="BB56" s="531"/>
      <c r="BC56" s="529"/>
      <c r="BD56" s="531"/>
      <c r="BE56" s="531"/>
      <c r="BF56" s="531"/>
      <c r="BG56" s="531"/>
      <c r="BH56" s="531"/>
      <c r="BI56" s="531"/>
      <c r="BJ56" s="531"/>
      <c r="BK56" s="604"/>
      <c r="BL56" s="538"/>
      <c r="BM56" s="540">
        <f>IF(ISNUMBER(HostBuild[Recommended SAN (GB)]),HostBuild[Recommended SAN (GB)])+IF(HostBuild[Additional SAN (GB)]&gt;0,CEILING(HostBuild[Additional SAN (GB)],LUN),-(CEILING(-HostBuild[Additional SAN (GB)],LUN)))</f>
        <v>0</v>
      </c>
      <c r="BN56" s="539"/>
      <c r="BO56" s="540">
        <f>HostBuild[SAN (GB)
NEEDED TODAY]+CEILING(HostBuild[SAN (GB)
RESERVED
DO NOT USE TO BUILD], LUN)</f>
        <v>0</v>
      </c>
      <c r="BP56" s="541"/>
      <c r="BQ56" s="542"/>
      <c r="BR56" s="432" t="s">
        <v>106</v>
      </c>
      <c r="BS56" s="605">
        <f>IF(HostBuild[Existing Server?]&lt;&gt;"Yes - Inside this BoM",IF(ISNUMBER(HostBuild[RAM 
(GB)]),IF(HostBuild[Existing RAM (GB)]+HostBuild[RAM 
(GB)]&gt;0,IF(HostBuild[Virtual Platform Storage Type]="NAS",110+HostBuild[Existing RAM (GB)]+HostBuild[RAM 
(GB)]*1.75,0),0),0),0)</f>
        <v>0</v>
      </c>
      <c r="BT56" s="606"/>
      <c r="BU56" s="607">
        <f>IF(ISNUMBER(HostBuild[Recommended NAS (GB)]),HostBuild[Recommended NAS (GB)])+HostBuild[Additional NAS (GB)]</f>
        <v>0</v>
      </c>
      <c r="BV56" s="543"/>
      <c r="BW56" s="543"/>
      <c r="BX56" s="604">
        <f>IFERROR((HostBuild[SAN (GB)
End-State
DO NOT USE TO BUILD]+HostBuild[SAN (GB) Shared])*25%,"")</f>
        <v>0</v>
      </c>
      <c r="BY56" s="608">
        <f>IFERROR(HostBuild[Archive
Full (GB)]*15%,"")</f>
        <v>0</v>
      </c>
      <c r="BZ56" s="544"/>
      <c r="CA56" s="544"/>
      <c r="CB56" s="545"/>
      <c r="CC56" s="546"/>
      <c r="CD56" s="545"/>
      <c r="CE56" s="547"/>
      <c r="CF56" s="539"/>
      <c r="CG56" s="609"/>
      <c r="CH56" s="548"/>
      <c r="CI56" s="549"/>
      <c r="CJ56" s="550" t="s">
        <v>4128</v>
      </c>
      <c r="CK56" s="551"/>
      <c r="CL56" s="552">
        <f>IFERROR(IF(FIND(CL$1,$W56)&gt;0,IF(INDEX(Product_Pricing_Table[],MATCH(CL$1,Products,0),2)="Cores",IF(HostBuild[Use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6" s="552">
        <f>IFERROR(IF(FIND(CM$1,$W56)&gt;0,IF(INDEX(Product_Pricing_Table[],MATCH(CM$1,Products,0),2)="Cores",IF(HostBuild[Use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6" s="552">
        <f>IFERROR(IF(FIND(CN$1,$W56)&gt;0,IF(INDEX(Product_Pricing_Table[],MATCH(CN$1,Products,0),2)="Cores",IF(HostBuild[Use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6" s="552">
        <f>IFERROR(IF(FIND(CO$1,$W56)&gt;0,IF(INDEX(Product_Pricing_Table[],MATCH(CO$1,Products,0),2)="Cores",IF(HostBuild[Use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6" s="552">
        <f>IFERROR(IF(FIND(CP$1,$W56)&gt;0,IF(INDEX(Product_Pricing_Table[],MATCH(CP$1,Products,0),2)="Cores",IF(HostBuild[Use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6" s="552">
        <f>IFERROR(IF(FIND(CQ$1,$W56)&gt;0,IF(INDEX(Product_Pricing_Table[],MATCH(CQ$1,Products,0),2)="Cores",IF(HostBuild[Use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6" s="552">
        <f>IFERROR(IF(FIND(CR$1,$W56)&gt;0,IF(INDEX(Product_Pricing_Table[],MATCH(CR$1,Products,0),2)="Cores",IF(HostBuild[Use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6" s="552">
        <f>IFERROR(IF(FIND(CS$1,$W56)&gt;0,IF(INDEX(Product_Pricing_Table[],MATCH(CS$1,Products,0),2)="Cores",IF(HostBuild[Use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6" s="552">
        <f>IFERROR(IF(FIND(CT$1,$W56)&gt;0,IF(INDEX(Product_Pricing_Table[],MATCH(CT$1,Products,0),2)="Cores",IF(HostBuild[Use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6" s="552">
        <f>IFERROR(IF(FIND(CU$1,$W56)&gt;0,IF(INDEX(Product_Pricing_Table[],MATCH(CU$1,Products,0),2)="Cores",IF(HostBuild[Use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6" s="552">
        <f>IFERROR(IF(FIND(CV$1,$W56)&gt;0,IF(INDEX(Product_Pricing_Table[],MATCH(CV$1,Products,0),2)="Cores",IF(HostBuild[Use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6" s="552">
        <f>IFERROR(IF(FIND(CW$1,$W56)&gt;0,IF(INDEX(Product_Pricing_Table[],MATCH(CW$1,Products,0),2)="Cores",IF(HostBuild[Use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6" s="552">
        <f>IFERROR(IF(FIND(CX$1,$W56)&gt;0,IF(INDEX(Product_Pricing_Table[],MATCH(CX$1,Products,0),2)="Cores",IF(HostBuild[Use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6" s="552">
        <f>IFERROR(IF(FIND(CY$1,$W56)&gt;0,IF(INDEX(Product_Pricing_Table[],MATCH(CY$1,Products,0),2)="Cores",IF(HostBuild[Use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6" s="552">
        <f>IFERROR(IF(FIND(CZ$1,$W56)&gt;0,IF(INDEX(Product_Pricing_Table[],MATCH(CZ$1,Products,0),2)="Cores",IF(HostBuild[Use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6" s="552">
        <f>IFERROR(IF(FIND(DA$1,$W56)&gt;0,IF(INDEX(Product_Pricing_Table[],MATCH(DA$1,Products,0),2)="Cores",IF(HostBuild[Use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6" s="552">
        <f>IFERROR(IF(FIND(DB$1,$W56)&gt;0,IF(INDEX(Product_Pricing_Table[],MATCH(DB$1,Products,0),2)="Cores",IF(HostBuild[Use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6" s="552">
        <f>IFERROR(IF(FIND(DC$1,$W56)&gt;0,IF(INDEX(Product_Pricing_Table[],MATCH(DC$1,Products,0),2)="Cores",IF(HostBuild[Use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6" s="552">
        <f>IFERROR(IF(FIND(DD$1,$W56)&gt;0,IF(INDEX(Product_Pricing_Table[],MATCH(DD$1,Products,0),2)="Cores",IF(HostBuild[Use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6" s="552">
        <f>IFERROR(IF(FIND(DE$1,$W56)&gt;0,IF(INDEX(Product_Pricing_Table[],MATCH(DE$1,Products,0),2)="Cores",IF(HostBuild[Use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6" s="553">
        <f>IFERROR(IF(FIND(DF$1,$W56)&gt;0,IF(INDEX(Product_Pricing_Table[],MATCH(DF$1,Products,0),2)="Cores",IF(HostBuild[Use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6" s="553">
        <f>IFERROR(IF(FIND(DG$1,$W56)&gt;0,IF(INDEX(Product_Pricing_Table[],MATCH(DG$1,Products,0),2)="Cores",IF(HostBuild[Use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6" s="552">
        <f>IFERROR(IF(FIND(DH$1,$W56)&gt;0,IF(INDEX(Product_Pricing_Table[],MATCH(DH$1,Products,0),2)="Cores",IF(HostBuild[Use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6" s="553">
        <f>IFERROR(IF(FIND(DI$1,$W56)&gt;0,IF(INDEX(Product_Pricing_Table[],MATCH(DI$1,Products,0),2)="Cores",IF(HostBuild[Use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6" s="552">
        <f>IFERROR(IF(FIND(DJ$1,$W56)&gt;0,IF(INDEX(Product_Pricing_Table[],MATCH(DJ$1,Products,0),2)="Cores",IF(HostBuild[Use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6" s="552">
        <f>IFERROR(IF(FIND(DK$1,$W56)&gt;0,IF(INDEX(Product_Pricing_Table[],MATCH(DK$1,Products,0),2)="Cores",IF(HostBuild[Use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6" s="552">
        <f>IFERROR(IF(FIND(DL$1,$W56)&gt;0,IF(INDEX(Product_Pricing_Table[],MATCH(DL$1,Products,0),2)="Cores",IF(HostBuild[Use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6" s="552">
        <f>IFERROR(IF(FIND(DM$1,$W56)&gt;0,IF(INDEX(Product_Pricing_Table[],MATCH(DM$1,Products,0),2)="Cores",IF(HostBuild[Use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6" s="552">
        <f>IFERROR(IF(FIND(DN$1,$W56)&gt;0,IF(INDEX(Product_Pricing_Table[],MATCH(DN$1,Products,0),2)="Cores",IF(HostBuild[Use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6" s="552">
        <f>IFERROR(IF(FIND(DO$1,$W56)&gt;0,IF(INDEX(Product_Pricing_Table[],MATCH(DO$1,Products,0),2)="Cores",IF(HostBuild[Use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6" s="552">
        <f>IFERROR(IF(FIND(DP$1,$W56)&gt;0,IF(INDEX(Product_Pricing_Table[],MATCH(DP$1,Products,0),2)="Cores",IF(HostBuild[Use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6" s="552">
        <f>IFERROR(IF(FIND(DQ$1,$W56)&gt;0,IF(INDEX(Product_Pricing_Table[],MATCH(DQ$1,Products,0),2)="Cores",IF(HostBuild[Use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6" s="552">
        <f>IFERROR(IF(FIND(DR$1,$W56)&gt;0,IF(INDEX(Product_Pricing_Table[],MATCH(DR$1,Products,0),2)="Cores",IF(HostBuild[Use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6" s="552">
        <f>IFERROR(IF(FIND(DS$1,$W56)&gt;0,IF(INDEX(Product_Pricing_Table[],MATCH(DS$1,Products,0),2)="Cores",IF(HostBuild[Use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6" s="552">
        <f>IFERROR(IF(FIND(DT$1,$W56)&gt;0,IF(INDEX(Product_Pricing_Table[],MATCH(DT$1,Products,0),2)="Cores",IF(HostBuild[Use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6" s="552">
        <f>IFERROR(IF(FIND(DU$1,$W56)&gt;0,IF(INDEX(Product_Pricing_Table[],MATCH(DU$1,Products,0),2)="Cores",IF(HostBuild[Use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6" s="552">
        <f>IFERROR(IF(FIND(DV$1,$W56)&gt;0,IF(INDEX(Product_Pricing_Table[],MATCH(DV$1,Products,0),2)="Cores",IF(HostBuild[Use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6" s="552">
        <f>IFERROR(IF(FIND(DW$1,$W56)&gt;0,IF(INDEX(Product_Pricing_Table[],MATCH(DW$1,Products,0),2)="Cores",IF(HostBuild[Use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6" s="552">
        <f>IFERROR(IF(FIND(DX$1,$W56)&gt;0,IF(INDEX(Product_Pricing_Table[],MATCH(DX$1,Products,0),2)="Cores",IF(HostBuild[Use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6" s="552">
        <f>IFERROR(IF(FIND(DY$1,$W56)&gt;0,IF(INDEX(Product_Pricing_Table[],MATCH(DY$1,Products,0),2)="Cores",IF(HostBuild[Use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6" s="552">
        <f>IFERROR(IF(FIND(DZ$1,$W56)&gt;0,IF(INDEX(Product_Pricing_Table[],MATCH(DZ$1,Products,0),2)="Cores",IF(HostBuild[Use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6" s="552">
        <f>IFERROR(IF(FIND(EA$1,$W56)&gt;0,IF(INDEX(Product_Pricing_Table[],MATCH(EA$1,Products,0),2)="Cores",IF(HostBuild[Use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6" s="552">
        <f>IFERROR(IF(FIND(EB$1,$W56)&gt;0,IF(INDEX(Product_Pricing_Table[],MATCH(EB$1,Products,0),2)="Cores",IF(HostBuild[Use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6" s="553">
        <f>IFERROR(IF(FIND(EC$1,$W56)&gt;0,IF(INDEX(Product_Pricing_Table[],MATCH(EC$1,Products,0),2)="Cores",IF(HostBuild[Use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6" s="552">
        <f>IFERROR(IF(FIND(ED$1,$W56)&gt;0,IF(INDEX(Product_Pricing_Table[],MATCH(ED$1,Products,0),2)="Cores",IF(HostBuild[Use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6" s="552">
        <f>IFERROR(IF(FIND(EE$1,$W56)&gt;0,IF(INDEX(Product_Pricing_Table[],MATCH(EE$1,Products,0),2)="Cores",IF(HostBuild[Use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6" s="552">
        <f>IFERROR(IF(FIND(EF$1,$W56)&gt;0,IF(INDEX(Product_Pricing_Table[],MATCH(EF$1,Products,0),2)="Cores",IF(HostBuild[Use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6" s="552">
        <f>IFERROR(IF(FIND(EG$1,$W56)&gt;0,IF(INDEX(Product_Pricing_Table[],MATCH(EG$1,Products,0),2)="Cores",IF(HostBuild[Use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6" s="552">
        <f>IFERROR(IF(FIND(EH$1,$W56)&gt;0,IF(INDEX(Product_Pricing_Table[],MATCH(EH$1,Products,0),2)="Cores",IF(HostBuild[Use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6" s="552">
        <f>IFERROR(IF(FIND(EI$1,$W56)&gt;0,IF(INDEX(Product_Pricing_Table[],MATCH(EI$1,Products,0),2)="Cores",IF(HostBuild[Use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6" s="552">
        <f>IFERROR(IF(FIND(EJ$1,$W56)&gt;0,IF(INDEX(Product_Pricing_Table[],MATCH(EJ$1,Products,0),2)="Cores",IF(HostBuild[Use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6" s="553">
        <f>IFERROR(IF(FIND(EK$1,$W56)&gt;0,IF(INDEX(Product_Pricing_Table[],MATCH(EK$1,Products,0),2)="Cores",IF(HostBuild[Use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6" s="554"/>
      <c r="EM56" s="555"/>
      <c r="EN56" s="556"/>
      <c r="EO56"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6" s="558">
        <f>(HostBuild[Archive
Full (GB)]+HostBuild[Archive
Incr (GB)])*Storage_DC_Dist_Tape_2014</f>
        <v>0</v>
      </c>
      <c r="ER56" s="558">
        <f>IF(ISNUMBER(HostBuild[Server HW Costs
(Monthly)]),SUM(HostBuild[[#This Row],[Server HW Costs
(Monthly)]:[Tape Costs
(Monthly)]]),0)</f>
        <v>1003.9</v>
      </c>
      <c r="ES56" s="559">
        <f>HostBuild[Software Costs
'[Year 1']
(Monthly)]+HostBuild[Total Hardware Costs
(Monthly)]</f>
        <v>1003.9</v>
      </c>
      <c r="ET56" s="559">
        <f>IFERROR(IF(FIND("Safenet",HostBuild[Server Model]),Safenet_PSE_PL600_Maint,0),0)+IFERROR(IF(FIND("XI52",HostBuild[Server Model]),IBM_DIA_XI52_Maint,0),0)+HostBuild[Software Costs
'[After Year 1']
(Monthly)]+HostBuild[Total Hardware Costs
(Monthly)]</f>
        <v>1003.9</v>
      </c>
      <c r="EU56" s="560">
        <f>SUM(HostBuild[[#This Row],[Server Cost Breakdown]:[Network Cost]])</f>
        <v>1003.9</v>
      </c>
      <c r="EV56" s="561">
        <f>IF(HostBuild[Existing Server?]="Yes - Inside this BoM",0,SUMIF(HostBuild[Alias],HostBuild[Alias],HostBuild[CPU])+SUMIF(HostBuild[Alias],HostBuild[Alias],HostBuild[Existing CPUs]))</f>
        <v>2</v>
      </c>
      <c r="EW56" s="561">
        <f>IF(HostBuild[Existing Server?]="Yes - Inside this BoM",0,SUMIF(HostBuild[Alias],HostBuild[Alias],HostBuild[Cores 
(Licensed Units)])+SUMIF(HostBuild[Alias],HostBuild[Alias],HostBuild[Existing Cores]))</f>
        <v>0</v>
      </c>
      <c r="EX56" s="561">
        <f>IF(HostBuild[Existing Server?]="Yes - Inside this BoM",0,SUMIF(HostBuild[Alias],HostBuild[Alias],HostBuild[RAM 
(GB)])+SUMIF(HostBuild[Alias],HostBuild[Alias],HostBuild[Existing RAM (GB)]))</f>
        <v>256</v>
      </c>
      <c r="EY5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6" s="560">
        <f>IF(ISBLANK(HostBuild[Server Model]),0,IF(HostBuild[Server Tier]="VMware",0,VLOOKUP(HostBuild[Server Tier],ServerTierRates[#Data],2,0))*HostBuild[CPU]*IF(AND(HostBuild[Server Type]="pSeries",HostBuild[Virtual Platform Storage Type]="Cloud-SAN"),0.25,1))</f>
        <v>608</v>
      </c>
      <c r="FD56" s="560">
        <f>0</f>
        <v>0</v>
      </c>
      <c r="FE56" s="560">
        <f>IF(HostBuild[Server Type]="VMware",HostBuild[RAM 
(GB)]*IF(ISERROR(FIND("DevCloud", HostBuild[Server Model])&gt;0),vRAM_per_vCPU_2014_Monthly,vRAM_per_vCPU_2014_Daily*30),0)</f>
        <v>0</v>
      </c>
      <c r="FF5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6" s="563">
        <f>IF(HostBuild[Server Tier]="VMware",0,IF(LEFT(HostBuild[Existing Server?],3)="Yes",0,IF(OR(HostBuild[Server Type]="Sun",HostBuild[Server Type]="pSeries"),Support_Direct_Server_Sun_per_OS_2014,IF(HostBuild[Server Type]="x86",Support_Direct_Server_x86_Wintel_per_OS_2014,0))))</f>
        <v>187.1</v>
      </c>
      <c r="FI5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7" spans="1:165" s="139" customFormat="1" ht="15" customHeight="1">
      <c r="A57" s="360" t="s">
        <v>3942</v>
      </c>
      <c r="B57" s="521"/>
      <c r="C57" s="521"/>
      <c r="D57" s="521"/>
      <c r="E57" s="522"/>
      <c r="F57" s="522"/>
      <c r="G57" s="597"/>
      <c r="H57" s="597"/>
      <c r="I57" s="523"/>
      <c r="J57" s="522"/>
      <c r="K57" s="522"/>
      <c r="L57" s="522"/>
      <c r="M57" s="597" t="e">
        <f ca="1">IF(rngIsDate(HostBuild[CTO Acceptance]),"Y","N")</f>
        <v>#NAME?</v>
      </c>
      <c r="N57" s="361" t="s">
        <v>3939</v>
      </c>
      <c r="O57" s="525"/>
      <c r="P57" s="525"/>
      <c r="Q57" s="361" t="s">
        <v>211</v>
      </c>
      <c r="R57" s="526" t="str">
        <f>IF(NOT(ISBLANK(HostBuild[Env Label])),IFERROR(VLOOKUP(HostBuild[Env Label],tEnv[],3,FALSE),""),"")</f>
        <v>COB</v>
      </c>
      <c r="S57" s="598"/>
      <c r="T57" s="527"/>
      <c r="U57" s="599"/>
      <c r="V57" s="524" t="s">
        <v>4006</v>
      </c>
      <c r="W57" s="524" t="s">
        <v>3941</v>
      </c>
      <c r="X57" s="524" t="s">
        <v>35</v>
      </c>
      <c r="Y57" s="361" t="s">
        <v>481</v>
      </c>
      <c r="Z57" s="526" t="str">
        <f>IF(NOT(ISBLANK(HostBuild[[#This Row],[Product 
(Acronym)]])),CONCATENATE(HostBuild[[#This Row],[Type]],"-",HostBuild[[#This Row],[Product 
(Acronym)]]),"")</f>
        <v>AP-ESB</v>
      </c>
      <c r="AA57" s="600"/>
      <c r="AB57" s="600" t="s">
        <v>105</v>
      </c>
      <c r="AC57" s="528"/>
      <c r="AD57" s="529"/>
      <c r="AE57" s="529"/>
      <c r="AF57" s="530"/>
      <c r="AG57" s="531"/>
      <c r="AH57" s="601"/>
      <c r="AI57" s="362" t="s">
        <v>3969</v>
      </c>
      <c r="AJ57" s="524">
        <f>IF(COUNTIF(HostBuild[Alias],HostBuild[Alias]),1/COUNTIF(HostBuild[Alias],HostBuild[Alias]),0)</f>
        <v>1</v>
      </c>
      <c r="AK57" s="531"/>
      <c r="AL57" s="531"/>
      <c r="AM57" s="532" t="s">
        <v>2173</v>
      </c>
      <c r="AN57" s="533" t="str">
        <f>IF(NOT(ISBLANK(HostBuild[Server Model])),VLOOKUP(HostBuild[Server Model],ServerModelsTier[],2,FALSE),"")</f>
        <v>x86 Tier 3</v>
      </c>
      <c r="AO57" s="533" t="str">
        <f>IF(NOT(ISBLANK(HostBuild[Server Model])),VLOOKUP(HostBuild[Server Model],ServerModelsTier[],5,FALSE),"")</f>
        <v>x86</v>
      </c>
      <c r="AP57" s="532"/>
      <c r="AQ57" s="532" t="s">
        <v>2337</v>
      </c>
      <c r="AR57" s="534">
        <v>2</v>
      </c>
      <c r="AS57" s="602"/>
      <c r="AT57" s="535"/>
      <c r="AU57" s="603" t="str">
        <f>IF(IFERROR(FIND("P-Series",HostBuild[Server Tier]),0),CEILING((HostBuild[Existing CPUs]+HostBuild[CPU])*16,8),"")</f>
        <v/>
      </c>
      <c r="AV57" s="536">
        <v>256</v>
      </c>
      <c r="AW57" s="531"/>
      <c r="AX57" s="531"/>
      <c r="AY57" s="531"/>
      <c r="AZ57" s="537"/>
      <c r="BA57" s="531"/>
      <c r="BB57" s="531"/>
      <c r="BC57" s="529"/>
      <c r="BD57" s="531"/>
      <c r="BE57" s="531"/>
      <c r="BF57" s="531"/>
      <c r="BG57" s="531"/>
      <c r="BH57" s="531"/>
      <c r="BI57" s="531"/>
      <c r="BJ57" s="531"/>
      <c r="BK57" s="604"/>
      <c r="BL57" s="538"/>
      <c r="BM57" s="540">
        <f>IF(ISNUMBER(HostBuild[Recommended SAN (GB)]),HostBuild[Recommended SAN (GB)])+IF(HostBuild[Additional SAN (GB)]&gt;0,CEILING(HostBuild[Additional SAN (GB)],LUN),-(CEILING(-HostBuild[Additional SAN (GB)],LUN)))</f>
        <v>0</v>
      </c>
      <c r="BN57" s="539"/>
      <c r="BO57" s="540">
        <f>HostBuild[SAN (GB)
NEEDED TODAY]+CEILING(HostBuild[SAN (GB)
RESERVED
DO NOT USE TO BUILD], LUN)</f>
        <v>0</v>
      </c>
      <c r="BP57" s="541"/>
      <c r="BQ57" s="542"/>
      <c r="BR57" s="432" t="s">
        <v>106</v>
      </c>
      <c r="BS57" s="605">
        <f>IF(HostBuild[Existing Server?]&lt;&gt;"Yes - Inside this BoM",IF(ISNUMBER(HostBuild[RAM 
(GB)]),IF(HostBuild[Existing RAM (GB)]+HostBuild[RAM 
(GB)]&gt;0,IF(HostBuild[Virtual Platform Storage Type]="NAS",110+HostBuild[Existing RAM (GB)]+HostBuild[RAM 
(GB)]*1.75,0),0),0),0)</f>
        <v>0</v>
      </c>
      <c r="BT57" s="606"/>
      <c r="BU57" s="607">
        <f>IF(ISNUMBER(HostBuild[Recommended NAS (GB)]),HostBuild[Recommended NAS (GB)])+HostBuild[Additional NAS (GB)]</f>
        <v>0</v>
      </c>
      <c r="BV57" s="543"/>
      <c r="BW57" s="543"/>
      <c r="BX57" s="604">
        <f>IFERROR((HostBuild[SAN (GB)
End-State
DO NOT USE TO BUILD]+HostBuild[SAN (GB) Shared])*25%,"")</f>
        <v>0</v>
      </c>
      <c r="BY57" s="608">
        <f>IFERROR(HostBuild[Archive
Full (GB)]*15%,"")</f>
        <v>0</v>
      </c>
      <c r="BZ57" s="544"/>
      <c r="CA57" s="544"/>
      <c r="CB57" s="545"/>
      <c r="CC57" s="546"/>
      <c r="CD57" s="545"/>
      <c r="CE57" s="547"/>
      <c r="CF57" s="539"/>
      <c r="CG57" s="609"/>
      <c r="CH57" s="548"/>
      <c r="CI57" s="549"/>
      <c r="CJ57" s="550" t="s">
        <v>4128</v>
      </c>
      <c r="CK57" s="551"/>
      <c r="CL57" s="552">
        <f>IFERROR(IF(FIND(CL$1,$W57)&gt;0,IF(INDEX(Product_Pricing_Table[],MATCH(CL$1,Products,0),2)="Cores",IF(HostBuild[Use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7" s="552">
        <f>IFERROR(IF(FIND(CM$1,$W57)&gt;0,IF(INDEX(Product_Pricing_Table[],MATCH(CM$1,Products,0),2)="Cores",IF(HostBuild[Use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7" s="552">
        <f>IFERROR(IF(FIND(CN$1,$W57)&gt;0,IF(INDEX(Product_Pricing_Table[],MATCH(CN$1,Products,0),2)="Cores",IF(HostBuild[Use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7" s="552">
        <f>IFERROR(IF(FIND(CO$1,$W57)&gt;0,IF(INDEX(Product_Pricing_Table[],MATCH(CO$1,Products,0),2)="Cores",IF(HostBuild[Use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7" s="552">
        <f>IFERROR(IF(FIND(CP$1,$W57)&gt;0,IF(INDEX(Product_Pricing_Table[],MATCH(CP$1,Products,0),2)="Cores",IF(HostBuild[Use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7" s="552">
        <f>IFERROR(IF(FIND(CQ$1,$W57)&gt;0,IF(INDEX(Product_Pricing_Table[],MATCH(CQ$1,Products,0),2)="Cores",IF(HostBuild[Use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7" s="552">
        <f>IFERROR(IF(FIND(CR$1,$W57)&gt;0,IF(INDEX(Product_Pricing_Table[],MATCH(CR$1,Products,0),2)="Cores",IF(HostBuild[Use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7" s="552">
        <f>IFERROR(IF(FIND(CS$1,$W57)&gt;0,IF(INDEX(Product_Pricing_Table[],MATCH(CS$1,Products,0),2)="Cores",IF(HostBuild[Use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7" s="552">
        <f>IFERROR(IF(FIND(CT$1,$W57)&gt;0,IF(INDEX(Product_Pricing_Table[],MATCH(CT$1,Products,0),2)="Cores",IF(HostBuild[Use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7" s="552">
        <f>IFERROR(IF(FIND(CU$1,$W57)&gt;0,IF(INDEX(Product_Pricing_Table[],MATCH(CU$1,Products,0),2)="Cores",IF(HostBuild[Use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7" s="552">
        <f>IFERROR(IF(FIND(CV$1,$W57)&gt;0,IF(INDEX(Product_Pricing_Table[],MATCH(CV$1,Products,0),2)="Cores",IF(HostBuild[Use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7" s="552">
        <f>IFERROR(IF(FIND(CW$1,$W57)&gt;0,IF(INDEX(Product_Pricing_Table[],MATCH(CW$1,Products,0),2)="Cores",IF(HostBuild[Use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7" s="552">
        <f>IFERROR(IF(FIND(CX$1,$W57)&gt;0,IF(INDEX(Product_Pricing_Table[],MATCH(CX$1,Products,0),2)="Cores",IF(HostBuild[Use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7" s="552">
        <f>IFERROR(IF(FIND(CY$1,$W57)&gt;0,IF(INDEX(Product_Pricing_Table[],MATCH(CY$1,Products,0),2)="Cores",IF(HostBuild[Use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7" s="552">
        <f>IFERROR(IF(FIND(CZ$1,$W57)&gt;0,IF(INDEX(Product_Pricing_Table[],MATCH(CZ$1,Products,0),2)="Cores",IF(HostBuild[Use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7" s="552">
        <f>IFERROR(IF(FIND(DA$1,$W57)&gt;0,IF(INDEX(Product_Pricing_Table[],MATCH(DA$1,Products,0),2)="Cores",IF(HostBuild[Use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7" s="552">
        <f>IFERROR(IF(FIND(DB$1,$W57)&gt;0,IF(INDEX(Product_Pricing_Table[],MATCH(DB$1,Products,0),2)="Cores",IF(HostBuild[Use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7" s="552">
        <f>IFERROR(IF(FIND(DC$1,$W57)&gt;0,IF(INDEX(Product_Pricing_Table[],MATCH(DC$1,Products,0),2)="Cores",IF(HostBuild[Use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7" s="552">
        <f>IFERROR(IF(FIND(DD$1,$W57)&gt;0,IF(INDEX(Product_Pricing_Table[],MATCH(DD$1,Products,0),2)="Cores",IF(HostBuild[Use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7" s="552">
        <f>IFERROR(IF(FIND(DE$1,$W57)&gt;0,IF(INDEX(Product_Pricing_Table[],MATCH(DE$1,Products,0),2)="Cores",IF(HostBuild[Use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7" s="553">
        <f>IFERROR(IF(FIND(DF$1,$W57)&gt;0,IF(INDEX(Product_Pricing_Table[],MATCH(DF$1,Products,0),2)="Cores",IF(HostBuild[Use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7" s="553">
        <f>IFERROR(IF(FIND(DG$1,$W57)&gt;0,IF(INDEX(Product_Pricing_Table[],MATCH(DG$1,Products,0),2)="Cores",IF(HostBuild[Use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7" s="552">
        <f>IFERROR(IF(FIND(DH$1,$W57)&gt;0,IF(INDEX(Product_Pricing_Table[],MATCH(DH$1,Products,0),2)="Cores",IF(HostBuild[Use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7" s="553">
        <f>IFERROR(IF(FIND(DI$1,$W57)&gt;0,IF(INDEX(Product_Pricing_Table[],MATCH(DI$1,Products,0),2)="Cores",IF(HostBuild[Use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7" s="552">
        <f>IFERROR(IF(FIND(DJ$1,$W57)&gt;0,IF(INDEX(Product_Pricing_Table[],MATCH(DJ$1,Products,0),2)="Cores",IF(HostBuild[Use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7" s="552">
        <f>IFERROR(IF(FIND(DK$1,$W57)&gt;0,IF(INDEX(Product_Pricing_Table[],MATCH(DK$1,Products,0),2)="Cores",IF(HostBuild[Use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7" s="552">
        <f>IFERROR(IF(FIND(DL$1,$W57)&gt;0,IF(INDEX(Product_Pricing_Table[],MATCH(DL$1,Products,0),2)="Cores",IF(HostBuild[Use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7" s="552">
        <f>IFERROR(IF(FIND(DM$1,$W57)&gt;0,IF(INDEX(Product_Pricing_Table[],MATCH(DM$1,Products,0),2)="Cores",IF(HostBuild[Use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7" s="552">
        <f>IFERROR(IF(FIND(DN$1,$W57)&gt;0,IF(INDEX(Product_Pricing_Table[],MATCH(DN$1,Products,0),2)="Cores",IF(HostBuild[Use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7" s="552">
        <f>IFERROR(IF(FIND(DO$1,$W57)&gt;0,IF(INDEX(Product_Pricing_Table[],MATCH(DO$1,Products,0),2)="Cores",IF(HostBuild[Use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7" s="552">
        <f>IFERROR(IF(FIND(DP$1,$W57)&gt;0,IF(INDEX(Product_Pricing_Table[],MATCH(DP$1,Products,0),2)="Cores",IF(HostBuild[Use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7" s="552">
        <f>IFERROR(IF(FIND(DQ$1,$W57)&gt;0,IF(INDEX(Product_Pricing_Table[],MATCH(DQ$1,Products,0),2)="Cores",IF(HostBuild[Use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7" s="552">
        <f>IFERROR(IF(FIND(DR$1,$W57)&gt;0,IF(INDEX(Product_Pricing_Table[],MATCH(DR$1,Products,0),2)="Cores",IF(HostBuild[Use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7" s="552">
        <f>IFERROR(IF(FIND(DS$1,$W57)&gt;0,IF(INDEX(Product_Pricing_Table[],MATCH(DS$1,Products,0),2)="Cores",IF(HostBuild[Use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7" s="552">
        <f>IFERROR(IF(FIND(DT$1,$W57)&gt;0,IF(INDEX(Product_Pricing_Table[],MATCH(DT$1,Products,0),2)="Cores",IF(HostBuild[Use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7" s="552">
        <f>IFERROR(IF(FIND(DU$1,$W57)&gt;0,IF(INDEX(Product_Pricing_Table[],MATCH(DU$1,Products,0),2)="Cores",IF(HostBuild[Use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7" s="552">
        <f>IFERROR(IF(FIND(DV$1,$W57)&gt;0,IF(INDEX(Product_Pricing_Table[],MATCH(DV$1,Products,0),2)="Cores",IF(HostBuild[Use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7" s="552">
        <f>IFERROR(IF(FIND(DW$1,$W57)&gt;0,IF(INDEX(Product_Pricing_Table[],MATCH(DW$1,Products,0),2)="Cores",IF(HostBuild[Use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7" s="552">
        <f>IFERROR(IF(FIND(DX$1,$W57)&gt;0,IF(INDEX(Product_Pricing_Table[],MATCH(DX$1,Products,0),2)="Cores",IF(HostBuild[Use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7" s="552">
        <f>IFERROR(IF(FIND(DY$1,$W57)&gt;0,IF(INDEX(Product_Pricing_Table[],MATCH(DY$1,Products,0),2)="Cores",IF(HostBuild[Use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7" s="552">
        <f>IFERROR(IF(FIND(DZ$1,$W57)&gt;0,IF(INDEX(Product_Pricing_Table[],MATCH(DZ$1,Products,0),2)="Cores",IF(HostBuild[Use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7" s="552">
        <f>IFERROR(IF(FIND(EA$1,$W57)&gt;0,IF(INDEX(Product_Pricing_Table[],MATCH(EA$1,Products,0),2)="Cores",IF(HostBuild[Use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7" s="552">
        <f>IFERROR(IF(FIND(EB$1,$W57)&gt;0,IF(INDEX(Product_Pricing_Table[],MATCH(EB$1,Products,0),2)="Cores",IF(HostBuild[Use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7" s="553">
        <f>IFERROR(IF(FIND(EC$1,$W57)&gt;0,IF(INDEX(Product_Pricing_Table[],MATCH(EC$1,Products,0),2)="Cores",IF(HostBuild[Use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7" s="552">
        <f>IFERROR(IF(FIND(ED$1,$W57)&gt;0,IF(INDEX(Product_Pricing_Table[],MATCH(ED$1,Products,0),2)="Cores",IF(HostBuild[Use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7" s="552">
        <f>IFERROR(IF(FIND(EE$1,$W57)&gt;0,IF(INDEX(Product_Pricing_Table[],MATCH(EE$1,Products,0),2)="Cores",IF(HostBuild[Use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7" s="552">
        <f>IFERROR(IF(FIND(EF$1,$W57)&gt;0,IF(INDEX(Product_Pricing_Table[],MATCH(EF$1,Products,0),2)="Cores",IF(HostBuild[Use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7" s="552">
        <f>IFERROR(IF(FIND(EG$1,$W57)&gt;0,IF(INDEX(Product_Pricing_Table[],MATCH(EG$1,Products,0),2)="Cores",IF(HostBuild[Use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7" s="552">
        <f>IFERROR(IF(FIND(EH$1,$W57)&gt;0,IF(INDEX(Product_Pricing_Table[],MATCH(EH$1,Products,0),2)="Cores",IF(HostBuild[Use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7" s="552">
        <f>IFERROR(IF(FIND(EI$1,$W57)&gt;0,IF(INDEX(Product_Pricing_Table[],MATCH(EI$1,Products,0),2)="Cores",IF(HostBuild[Use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7" s="552">
        <f>IFERROR(IF(FIND(EJ$1,$W57)&gt;0,IF(INDEX(Product_Pricing_Table[],MATCH(EJ$1,Products,0),2)="Cores",IF(HostBuild[Use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7" s="553">
        <f>IFERROR(IF(FIND(EK$1,$W57)&gt;0,IF(INDEX(Product_Pricing_Table[],MATCH(EK$1,Products,0),2)="Cores",IF(HostBuild[Use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7" s="554"/>
      <c r="EM57" s="555"/>
      <c r="EN57" s="556"/>
      <c r="EO57"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7" s="558">
        <f>(HostBuild[Archive
Full (GB)]+HostBuild[Archive
Incr (GB)])*Storage_DC_Dist_Tape_2014</f>
        <v>0</v>
      </c>
      <c r="ER57" s="558">
        <f>IF(ISNUMBER(HostBuild[Server HW Costs
(Monthly)]),SUM(HostBuild[[#This Row],[Server HW Costs
(Monthly)]:[Tape Costs
(Monthly)]]),0)</f>
        <v>1003.9</v>
      </c>
      <c r="ES57" s="559">
        <f>HostBuild[Software Costs
'[Year 1']
(Monthly)]+HostBuild[Total Hardware Costs
(Monthly)]</f>
        <v>1003.9</v>
      </c>
      <c r="ET57" s="559">
        <f>IFERROR(IF(FIND("Safenet",HostBuild[Server Model]),Safenet_PSE_PL600_Maint,0),0)+IFERROR(IF(FIND("XI52",HostBuild[Server Model]),IBM_DIA_XI52_Maint,0),0)+HostBuild[Software Costs
'[After Year 1']
(Monthly)]+HostBuild[Total Hardware Costs
(Monthly)]</f>
        <v>1003.9</v>
      </c>
      <c r="EU57" s="560">
        <f>SUM(HostBuild[[#This Row],[Server Cost Breakdown]:[Network Cost]])</f>
        <v>1003.9</v>
      </c>
      <c r="EV57" s="561">
        <f>IF(HostBuild[Existing Server?]="Yes - Inside this BoM",0,SUMIF(HostBuild[Alias],HostBuild[Alias],HostBuild[CPU])+SUMIF(HostBuild[Alias],HostBuild[Alias],HostBuild[Existing CPUs]))</f>
        <v>2</v>
      </c>
      <c r="EW57" s="561">
        <f>IF(HostBuild[Existing Server?]="Yes - Inside this BoM",0,SUMIF(HostBuild[Alias],HostBuild[Alias],HostBuild[Cores 
(Licensed Units)])+SUMIF(HostBuild[Alias],HostBuild[Alias],HostBuild[Existing Cores]))</f>
        <v>0</v>
      </c>
      <c r="EX57" s="561">
        <f>IF(HostBuild[Existing Server?]="Yes - Inside this BoM",0,SUMIF(HostBuild[Alias],HostBuild[Alias],HostBuild[RAM 
(GB)])+SUMIF(HostBuild[Alias],HostBuild[Alias],HostBuild[Existing RAM (GB)]))</f>
        <v>256</v>
      </c>
      <c r="EY5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7" s="560">
        <f>IF(ISBLANK(HostBuild[Server Model]),0,IF(HostBuild[Server Tier]="VMware",0,VLOOKUP(HostBuild[Server Tier],ServerTierRates[#Data],2,0))*HostBuild[CPU]*IF(AND(HostBuild[Server Type]="pSeries",HostBuild[Virtual Platform Storage Type]="Cloud-SAN"),0.25,1))</f>
        <v>608</v>
      </c>
      <c r="FD57" s="560">
        <f>0</f>
        <v>0</v>
      </c>
      <c r="FE57" s="560">
        <f>IF(HostBuild[Server Type]="VMware",HostBuild[RAM 
(GB)]*IF(ISERROR(FIND("DevCloud", HostBuild[Server Model])&gt;0),vRAM_per_vCPU_2014_Monthly,vRAM_per_vCPU_2014_Daily*30),0)</f>
        <v>0</v>
      </c>
      <c r="FF5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7" s="563">
        <f>IF(HostBuild[Server Tier]="VMware",0,IF(LEFT(HostBuild[Existing Server?],3)="Yes",0,IF(OR(HostBuild[Server Type]="Sun",HostBuild[Server Type]="pSeries"),Support_Direct_Server_Sun_per_OS_2014,IF(HostBuild[Server Type]="x86",Support_Direct_Server_x86_Wintel_per_OS_2014,0))))</f>
        <v>187.1</v>
      </c>
      <c r="FI5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8" spans="1:165" s="139" customFormat="1" ht="18" customHeight="1">
      <c r="A58" s="360" t="s">
        <v>3942</v>
      </c>
      <c r="B58" s="521"/>
      <c r="C58" s="521"/>
      <c r="D58" s="521"/>
      <c r="E58" s="522"/>
      <c r="F58" s="522"/>
      <c r="G58" s="597"/>
      <c r="H58" s="597"/>
      <c r="I58" s="523"/>
      <c r="J58" s="522"/>
      <c r="K58" s="522"/>
      <c r="L58" s="522"/>
      <c r="M58" s="597" t="e">
        <f ca="1">IF(rngIsDate(HostBuild[CTO Acceptance]),"Y","N")</f>
        <v>#NAME?</v>
      </c>
      <c r="N58" s="361" t="s">
        <v>3939</v>
      </c>
      <c r="O58" s="525"/>
      <c r="P58" s="525"/>
      <c r="Q58" s="361" t="s">
        <v>211</v>
      </c>
      <c r="R58" s="526" t="str">
        <f>IF(NOT(ISBLANK(HostBuild[Env Label])),IFERROR(VLOOKUP(HostBuild[Env Label],tEnv[],3,FALSE),""),"")</f>
        <v>COB</v>
      </c>
      <c r="S58" s="598"/>
      <c r="T58" s="527"/>
      <c r="U58" s="599"/>
      <c r="V58" s="524" t="s">
        <v>4006</v>
      </c>
      <c r="W58" s="524" t="s">
        <v>3941</v>
      </c>
      <c r="X58" s="524" t="s">
        <v>35</v>
      </c>
      <c r="Y58" s="361" t="s">
        <v>481</v>
      </c>
      <c r="Z58" s="526" t="str">
        <f>IF(NOT(ISBLANK(HostBuild[[#This Row],[Product 
(Acronym)]])),CONCATENATE(HostBuild[[#This Row],[Type]],"-",HostBuild[[#This Row],[Product 
(Acronym)]]),"")</f>
        <v>AP-ESB</v>
      </c>
      <c r="AA58" s="600"/>
      <c r="AB58" s="600" t="s">
        <v>105</v>
      </c>
      <c r="AC58" s="528"/>
      <c r="AD58" s="529"/>
      <c r="AE58" s="529"/>
      <c r="AF58" s="530"/>
      <c r="AG58" s="531"/>
      <c r="AH58" s="601"/>
      <c r="AI58" s="362" t="s">
        <v>3970</v>
      </c>
      <c r="AJ58" s="524">
        <f>IF(COUNTIF(HostBuild[Alias],HostBuild[Alias]),1/COUNTIF(HostBuild[Alias],HostBuild[Alias]),0)</f>
        <v>1</v>
      </c>
      <c r="AK58" s="531"/>
      <c r="AL58" s="531"/>
      <c r="AM58" s="532" t="s">
        <v>2173</v>
      </c>
      <c r="AN58" s="533" t="str">
        <f>IF(NOT(ISBLANK(HostBuild[Server Model])),VLOOKUP(HostBuild[Server Model],ServerModelsTier[],2,FALSE),"")</f>
        <v>x86 Tier 3</v>
      </c>
      <c r="AO58" s="533" t="str">
        <f>IF(NOT(ISBLANK(HostBuild[Server Model])),VLOOKUP(HostBuild[Server Model],ServerModelsTier[],5,FALSE),"")</f>
        <v>x86</v>
      </c>
      <c r="AP58" s="532"/>
      <c r="AQ58" s="532" t="s">
        <v>2337</v>
      </c>
      <c r="AR58" s="534">
        <v>2</v>
      </c>
      <c r="AS58" s="602"/>
      <c r="AT58" s="535"/>
      <c r="AU58" s="603" t="str">
        <f>IF(IFERROR(FIND("P-Series",HostBuild[Server Tier]),0),CEILING((HostBuild[Existing CPUs]+HostBuild[CPU])*16,8),"")</f>
        <v/>
      </c>
      <c r="AV58" s="536">
        <v>256</v>
      </c>
      <c r="AW58" s="531"/>
      <c r="AX58" s="531"/>
      <c r="AY58" s="531"/>
      <c r="AZ58" s="537"/>
      <c r="BA58" s="531"/>
      <c r="BB58" s="531"/>
      <c r="BC58" s="529"/>
      <c r="BD58" s="531"/>
      <c r="BE58" s="531"/>
      <c r="BF58" s="531"/>
      <c r="BG58" s="531"/>
      <c r="BH58" s="531"/>
      <c r="BI58" s="531"/>
      <c r="BJ58" s="531"/>
      <c r="BK58" s="604"/>
      <c r="BL58" s="538"/>
      <c r="BM58" s="540">
        <f>IF(ISNUMBER(HostBuild[Recommended SAN (GB)]),HostBuild[Recommended SAN (GB)])+IF(HostBuild[Additional SAN (GB)]&gt;0,CEILING(HostBuild[Additional SAN (GB)],LUN),-(CEILING(-HostBuild[Additional SAN (GB)],LUN)))</f>
        <v>0</v>
      </c>
      <c r="BN58" s="539"/>
      <c r="BO58" s="540">
        <f>HostBuild[SAN (GB)
NEEDED TODAY]+CEILING(HostBuild[SAN (GB)
RESERVED
DO NOT USE TO BUILD], LUN)</f>
        <v>0</v>
      </c>
      <c r="BP58" s="541"/>
      <c r="BQ58" s="542"/>
      <c r="BR58" s="432" t="s">
        <v>106</v>
      </c>
      <c r="BS58" s="605">
        <f>IF(HostBuild[Existing Server?]&lt;&gt;"Yes - Inside this BoM",IF(ISNUMBER(HostBuild[RAM 
(GB)]),IF(HostBuild[Existing RAM (GB)]+HostBuild[RAM 
(GB)]&gt;0,IF(HostBuild[Virtual Platform Storage Type]="NAS",110+HostBuild[Existing RAM (GB)]+HostBuild[RAM 
(GB)]*1.75,0),0),0),0)</f>
        <v>0</v>
      </c>
      <c r="BT58" s="606"/>
      <c r="BU58" s="607">
        <f>IF(ISNUMBER(HostBuild[Recommended NAS (GB)]),HostBuild[Recommended NAS (GB)])+HostBuild[Additional NAS (GB)]</f>
        <v>0</v>
      </c>
      <c r="BV58" s="543"/>
      <c r="BW58" s="543"/>
      <c r="BX58" s="604">
        <f>IFERROR((HostBuild[SAN (GB)
End-State
DO NOT USE TO BUILD]+HostBuild[SAN (GB) Shared])*25%,"")</f>
        <v>0</v>
      </c>
      <c r="BY58" s="608">
        <f>IFERROR(HostBuild[Archive
Full (GB)]*15%,"")</f>
        <v>0</v>
      </c>
      <c r="BZ58" s="544"/>
      <c r="CA58" s="544"/>
      <c r="CB58" s="545"/>
      <c r="CC58" s="546"/>
      <c r="CD58" s="545"/>
      <c r="CE58" s="547"/>
      <c r="CF58" s="539"/>
      <c r="CG58" s="609"/>
      <c r="CH58" s="548"/>
      <c r="CI58" s="549"/>
      <c r="CJ58" s="550" t="s">
        <v>4128</v>
      </c>
      <c r="CK58" s="551"/>
      <c r="CL58" s="552">
        <f>IFERROR(IF(FIND(CL$1,$W58)&gt;0,IF(INDEX(Product_Pricing_Table[],MATCH(CL$1,Products,0),2)="Cores",IF(HostBuild[Use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8" s="552">
        <f>IFERROR(IF(FIND(CM$1,$W58)&gt;0,IF(INDEX(Product_Pricing_Table[],MATCH(CM$1,Products,0),2)="Cores",IF(HostBuild[Use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8" s="552">
        <f>IFERROR(IF(FIND(CN$1,$W58)&gt;0,IF(INDEX(Product_Pricing_Table[],MATCH(CN$1,Products,0),2)="Cores",IF(HostBuild[Use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8" s="552">
        <f>IFERROR(IF(FIND(CO$1,$W58)&gt;0,IF(INDEX(Product_Pricing_Table[],MATCH(CO$1,Products,0),2)="Cores",IF(HostBuild[Use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8" s="552">
        <f>IFERROR(IF(FIND(CP$1,$W58)&gt;0,IF(INDEX(Product_Pricing_Table[],MATCH(CP$1,Products,0),2)="Cores",IF(HostBuild[Use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8" s="552">
        <f>IFERROR(IF(FIND(CQ$1,$W58)&gt;0,IF(INDEX(Product_Pricing_Table[],MATCH(CQ$1,Products,0),2)="Cores",IF(HostBuild[Use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8" s="552">
        <f>IFERROR(IF(FIND(CR$1,$W58)&gt;0,IF(INDEX(Product_Pricing_Table[],MATCH(CR$1,Products,0),2)="Cores",IF(HostBuild[Use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8" s="552">
        <f>IFERROR(IF(FIND(CS$1,$W58)&gt;0,IF(INDEX(Product_Pricing_Table[],MATCH(CS$1,Products,0),2)="Cores",IF(HostBuild[Use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8" s="552">
        <f>IFERROR(IF(FIND(CT$1,$W58)&gt;0,IF(INDEX(Product_Pricing_Table[],MATCH(CT$1,Products,0),2)="Cores",IF(HostBuild[Use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8" s="552">
        <f>IFERROR(IF(FIND(CU$1,$W58)&gt;0,IF(INDEX(Product_Pricing_Table[],MATCH(CU$1,Products,0),2)="Cores",IF(HostBuild[Use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8" s="552">
        <f>IFERROR(IF(FIND(CV$1,$W58)&gt;0,IF(INDEX(Product_Pricing_Table[],MATCH(CV$1,Products,0),2)="Cores",IF(HostBuild[Use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8" s="552">
        <f>IFERROR(IF(FIND(CW$1,$W58)&gt;0,IF(INDEX(Product_Pricing_Table[],MATCH(CW$1,Products,0),2)="Cores",IF(HostBuild[Use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8" s="552">
        <f>IFERROR(IF(FIND(CX$1,$W58)&gt;0,IF(INDEX(Product_Pricing_Table[],MATCH(CX$1,Products,0),2)="Cores",IF(HostBuild[Use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8" s="552">
        <f>IFERROR(IF(FIND(CY$1,$W58)&gt;0,IF(INDEX(Product_Pricing_Table[],MATCH(CY$1,Products,0),2)="Cores",IF(HostBuild[Use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8" s="552">
        <f>IFERROR(IF(FIND(CZ$1,$W58)&gt;0,IF(INDEX(Product_Pricing_Table[],MATCH(CZ$1,Products,0),2)="Cores",IF(HostBuild[Use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8" s="552">
        <f>IFERROR(IF(FIND(DA$1,$W58)&gt;0,IF(INDEX(Product_Pricing_Table[],MATCH(DA$1,Products,0),2)="Cores",IF(HostBuild[Use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8" s="552">
        <f>IFERROR(IF(FIND(DB$1,$W58)&gt;0,IF(INDEX(Product_Pricing_Table[],MATCH(DB$1,Products,0),2)="Cores",IF(HostBuild[Use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8" s="552">
        <f>IFERROR(IF(FIND(DC$1,$W58)&gt;0,IF(INDEX(Product_Pricing_Table[],MATCH(DC$1,Products,0),2)="Cores",IF(HostBuild[Use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8" s="552">
        <f>IFERROR(IF(FIND(DD$1,$W58)&gt;0,IF(INDEX(Product_Pricing_Table[],MATCH(DD$1,Products,0),2)="Cores",IF(HostBuild[Use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8" s="552">
        <f>IFERROR(IF(FIND(DE$1,$W58)&gt;0,IF(INDEX(Product_Pricing_Table[],MATCH(DE$1,Products,0),2)="Cores",IF(HostBuild[Use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8" s="553">
        <f>IFERROR(IF(FIND(DF$1,$W58)&gt;0,IF(INDEX(Product_Pricing_Table[],MATCH(DF$1,Products,0),2)="Cores",IF(HostBuild[Use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8" s="553">
        <f>IFERROR(IF(FIND(DG$1,$W58)&gt;0,IF(INDEX(Product_Pricing_Table[],MATCH(DG$1,Products,0),2)="Cores",IF(HostBuild[Use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8" s="552">
        <f>IFERROR(IF(FIND(DH$1,$W58)&gt;0,IF(INDEX(Product_Pricing_Table[],MATCH(DH$1,Products,0),2)="Cores",IF(HostBuild[Use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8" s="553">
        <f>IFERROR(IF(FIND(DI$1,$W58)&gt;0,IF(INDEX(Product_Pricing_Table[],MATCH(DI$1,Products,0),2)="Cores",IF(HostBuild[Use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8" s="552">
        <f>IFERROR(IF(FIND(DJ$1,$W58)&gt;0,IF(INDEX(Product_Pricing_Table[],MATCH(DJ$1,Products,0),2)="Cores",IF(HostBuild[Use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8" s="552">
        <f>IFERROR(IF(FIND(DK$1,$W58)&gt;0,IF(INDEX(Product_Pricing_Table[],MATCH(DK$1,Products,0),2)="Cores",IF(HostBuild[Use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8" s="552">
        <f>IFERROR(IF(FIND(DL$1,$W58)&gt;0,IF(INDEX(Product_Pricing_Table[],MATCH(DL$1,Products,0),2)="Cores",IF(HostBuild[Use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8" s="552">
        <f>IFERROR(IF(FIND(DM$1,$W58)&gt;0,IF(INDEX(Product_Pricing_Table[],MATCH(DM$1,Products,0),2)="Cores",IF(HostBuild[Use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8" s="552">
        <f>IFERROR(IF(FIND(DN$1,$W58)&gt;0,IF(INDEX(Product_Pricing_Table[],MATCH(DN$1,Products,0),2)="Cores",IF(HostBuild[Use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8" s="552">
        <f>IFERROR(IF(FIND(DO$1,$W58)&gt;0,IF(INDEX(Product_Pricing_Table[],MATCH(DO$1,Products,0),2)="Cores",IF(HostBuild[Use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8" s="552">
        <f>IFERROR(IF(FIND(DP$1,$W58)&gt;0,IF(INDEX(Product_Pricing_Table[],MATCH(DP$1,Products,0),2)="Cores",IF(HostBuild[Use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8" s="552">
        <f>IFERROR(IF(FIND(DQ$1,$W58)&gt;0,IF(INDEX(Product_Pricing_Table[],MATCH(DQ$1,Products,0),2)="Cores",IF(HostBuild[Use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8" s="552">
        <f>IFERROR(IF(FIND(DR$1,$W58)&gt;0,IF(INDEX(Product_Pricing_Table[],MATCH(DR$1,Products,0),2)="Cores",IF(HostBuild[Use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8" s="552">
        <f>IFERROR(IF(FIND(DS$1,$W58)&gt;0,IF(INDEX(Product_Pricing_Table[],MATCH(DS$1,Products,0),2)="Cores",IF(HostBuild[Use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8" s="552">
        <f>IFERROR(IF(FIND(DT$1,$W58)&gt;0,IF(INDEX(Product_Pricing_Table[],MATCH(DT$1,Products,0),2)="Cores",IF(HostBuild[Use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8" s="552">
        <f>IFERROR(IF(FIND(DU$1,$W58)&gt;0,IF(INDEX(Product_Pricing_Table[],MATCH(DU$1,Products,0),2)="Cores",IF(HostBuild[Use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8" s="552">
        <f>IFERROR(IF(FIND(DV$1,$W58)&gt;0,IF(INDEX(Product_Pricing_Table[],MATCH(DV$1,Products,0),2)="Cores",IF(HostBuild[Use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8" s="552">
        <f>IFERROR(IF(FIND(DW$1,$W58)&gt;0,IF(INDEX(Product_Pricing_Table[],MATCH(DW$1,Products,0),2)="Cores",IF(HostBuild[Use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8" s="552">
        <f>IFERROR(IF(FIND(DX$1,$W58)&gt;0,IF(INDEX(Product_Pricing_Table[],MATCH(DX$1,Products,0),2)="Cores",IF(HostBuild[Use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8" s="552">
        <f>IFERROR(IF(FIND(DY$1,$W58)&gt;0,IF(INDEX(Product_Pricing_Table[],MATCH(DY$1,Products,0),2)="Cores",IF(HostBuild[Use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8" s="552">
        <f>IFERROR(IF(FIND(DZ$1,$W58)&gt;0,IF(INDEX(Product_Pricing_Table[],MATCH(DZ$1,Products,0),2)="Cores",IF(HostBuild[Use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8" s="552">
        <f>IFERROR(IF(FIND(EA$1,$W58)&gt;0,IF(INDEX(Product_Pricing_Table[],MATCH(EA$1,Products,0),2)="Cores",IF(HostBuild[Use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8" s="552">
        <f>IFERROR(IF(FIND(EB$1,$W58)&gt;0,IF(INDEX(Product_Pricing_Table[],MATCH(EB$1,Products,0),2)="Cores",IF(HostBuild[Use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8" s="553">
        <f>IFERROR(IF(FIND(EC$1,$W58)&gt;0,IF(INDEX(Product_Pricing_Table[],MATCH(EC$1,Products,0),2)="Cores",IF(HostBuild[Use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8" s="552">
        <f>IFERROR(IF(FIND(ED$1,$W58)&gt;0,IF(INDEX(Product_Pricing_Table[],MATCH(ED$1,Products,0),2)="Cores",IF(HostBuild[Use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8" s="552">
        <f>IFERROR(IF(FIND(EE$1,$W58)&gt;0,IF(INDEX(Product_Pricing_Table[],MATCH(EE$1,Products,0),2)="Cores",IF(HostBuild[Use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8" s="552">
        <f>IFERROR(IF(FIND(EF$1,$W58)&gt;0,IF(INDEX(Product_Pricing_Table[],MATCH(EF$1,Products,0),2)="Cores",IF(HostBuild[Use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8" s="552">
        <f>IFERROR(IF(FIND(EG$1,$W58)&gt;0,IF(INDEX(Product_Pricing_Table[],MATCH(EG$1,Products,0),2)="Cores",IF(HostBuild[Use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8" s="552">
        <f>IFERROR(IF(FIND(EH$1,$W58)&gt;0,IF(INDEX(Product_Pricing_Table[],MATCH(EH$1,Products,0),2)="Cores",IF(HostBuild[Use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8" s="552">
        <f>IFERROR(IF(FIND(EI$1,$W58)&gt;0,IF(INDEX(Product_Pricing_Table[],MATCH(EI$1,Products,0),2)="Cores",IF(HostBuild[Use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8" s="552">
        <f>IFERROR(IF(FIND(EJ$1,$W58)&gt;0,IF(INDEX(Product_Pricing_Table[],MATCH(EJ$1,Products,0),2)="Cores",IF(HostBuild[Use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8" s="553">
        <f>IFERROR(IF(FIND(EK$1,$W58)&gt;0,IF(INDEX(Product_Pricing_Table[],MATCH(EK$1,Products,0),2)="Cores",IF(HostBuild[Use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8" s="554"/>
      <c r="EM58" s="555"/>
      <c r="EN58" s="556"/>
      <c r="EO58"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8" s="558">
        <f>(HostBuild[Archive
Full (GB)]+HostBuild[Archive
Incr (GB)])*Storage_DC_Dist_Tape_2014</f>
        <v>0</v>
      </c>
      <c r="ER58" s="558">
        <f>IF(ISNUMBER(HostBuild[Server HW Costs
(Monthly)]),SUM(HostBuild[[#This Row],[Server HW Costs
(Monthly)]:[Tape Costs
(Monthly)]]),0)</f>
        <v>1003.9</v>
      </c>
      <c r="ES58" s="559">
        <f>HostBuild[Software Costs
'[Year 1']
(Monthly)]+HostBuild[Total Hardware Costs
(Monthly)]</f>
        <v>1003.9</v>
      </c>
      <c r="ET58" s="559">
        <f>IFERROR(IF(FIND("Safenet",HostBuild[Server Model]),Safenet_PSE_PL600_Maint,0),0)+IFERROR(IF(FIND("XI52",HostBuild[Server Model]),IBM_DIA_XI52_Maint,0),0)+HostBuild[Software Costs
'[After Year 1']
(Monthly)]+HostBuild[Total Hardware Costs
(Monthly)]</f>
        <v>1003.9</v>
      </c>
      <c r="EU58" s="560">
        <f>SUM(HostBuild[[#This Row],[Server Cost Breakdown]:[Network Cost]])</f>
        <v>1003.9</v>
      </c>
      <c r="EV58" s="561">
        <f>IF(HostBuild[Existing Server?]="Yes - Inside this BoM",0,SUMIF(HostBuild[Alias],HostBuild[Alias],HostBuild[CPU])+SUMIF(HostBuild[Alias],HostBuild[Alias],HostBuild[Existing CPUs]))</f>
        <v>2</v>
      </c>
      <c r="EW58" s="561">
        <f>IF(HostBuild[Existing Server?]="Yes - Inside this BoM",0,SUMIF(HostBuild[Alias],HostBuild[Alias],HostBuild[Cores 
(Licensed Units)])+SUMIF(HostBuild[Alias],HostBuild[Alias],HostBuild[Existing Cores]))</f>
        <v>0</v>
      </c>
      <c r="EX58" s="561">
        <f>IF(HostBuild[Existing Server?]="Yes - Inside this BoM",0,SUMIF(HostBuild[Alias],HostBuild[Alias],HostBuild[RAM 
(GB)])+SUMIF(HostBuild[Alias],HostBuild[Alias],HostBuild[Existing RAM (GB)]))</f>
        <v>256</v>
      </c>
      <c r="EY5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8" s="560">
        <f>IF(ISBLANK(HostBuild[Server Model]),0,IF(HostBuild[Server Tier]="VMware",0,VLOOKUP(HostBuild[Server Tier],ServerTierRates[#Data],2,0))*HostBuild[CPU]*IF(AND(HostBuild[Server Type]="pSeries",HostBuild[Virtual Platform Storage Type]="Cloud-SAN"),0.25,1))</f>
        <v>608</v>
      </c>
      <c r="FD58" s="560">
        <f>0</f>
        <v>0</v>
      </c>
      <c r="FE58" s="560">
        <f>IF(HostBuild[Server Type]="VMware",HostBuild[RAM 
(GB)]*IF(ISERROR(FIND("DevCloud", HostBuild[Server Model])&gt;0),vRAM_per_vCPU_2014_Monthly,vRAM_per_vCPU_2014_Daily*30),0)</f>
        <v>0</v>
      </c>
      <c r="FF5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8" s="563">
        <f>IF(HostBuild[Server Tier]="VMware",0,IF(LEFT(HostBuild[Existing Server?],3)="Yes",0,IF(OR(HostBuild[Server Type]="Sun",HostBuild[Server Type]="pSeries"),Support_Direct_Server_Sun_per_OS_2014,IF(HostBuild[Server Type]="x86",Support_Direct_Server_x86_Wintel_per_OS_2014,0))))</f>
        <v>187.1</v>
      </c>
      <c r="FI5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59" spans="1:165" s="139" customFormat="1" ht="15" customHeight="1">
      <c r="A59" s="360" t="s">
        <v>3942</v>
      </c>
      <c r="B59" s="521"/>
      <c r="C59" s="521"/>
      <c r="D59" s="521"/>
      <c r="E59" s="522"/>
      <c r="F59" s="522"/>
      <c r="G59" s="597"/>
      <c r="H59" s="597"/>
      <c r="I59" s="523"/>
      <c r="J59" s="522"/>
      <c r="K59" s="522"/>
      <c r="L59" s="522"/>
      <c r="M59" s="597" t="e">
        <f ca="1">IF(rngIsDate(HostBuild[CTO Acceptance]),"Y","N")</f>
        <v>#NAME?</v>
      </c>
      <c r="N59" s="361" t="s">
        <v>3939</v>
      </c>
      <c r="O59" s="525"/>
      <c r="P59" s="525"/>
      <c r="Q59" s="361" t="s">
        <v>211</v>
      </c>
      <c r="R59" s="526" t="str">
        <f>IF(NOT(ISBLANK(HostBuild[Env Label])),IFERROR(VLOOKUP(HostBuild[Env Label],tEnv[],3,FALSE),""),"")</f>
        <v>COB</v>
      </c>
      <c r="S59" s="598"/>
      <c r="T59" s="527"/>
      <c r="U59" s="599"/>
      <c r="V59" s="524" t="s">
        <v>4006</v>
      </c>
      <c r="W59" s="524" t="s">
        <v>3941</v>
      </c>
      <c r="X59" s="524" t="s">
        <v>35</v>
      </c>
      <c r="Y59" s="361" t="s">
        <v>481</v>
      </c>
      <c r="Z59" s="526" t="str">
        <f>IF(NOT(ISBLANK(HostBuild[[#This Row],[Product 
(Acronym)]])),CONCATENATE(HostBuild[[#This Row],[Type]],"-",HostBuild[[#This Row],[Product 
(Acronym)]]),"")</f>
        <v>AP-ESB</v>
      </c>
      <c r="AA59" s="600"/>
      <c r="AB59" s="600" t="s">
        <v>105</v>
      </c>
      <c r="AC59" s="528"/>
      <c r="AD59" s="529"/>
      <c r="AE59" s="529"/>
      <c r="AF59" s="530"/>
      <c r="AG59" s="531"/>
      <c r="AH59" s="601"/>
      <c r="AI59" s="362" t="s">
        <v>3971</v>
      </c>
      <c r="AJ59" s="524">
        <f>IF(COUNTIF(HostBuild[Alias],HostBuild[Alias]),1/COUNTIF(HostBuild[Alias],HostBuild[Alias]),0)</f>
        <v>1</v>
      </c>
      <c r="AK59" s="531"/>
      <c r="AL59" s="531"/>
      <c r="AM59" s="532" t="s">
        <v>2173</v>
      </c>
      <c r="AN59" s="533" t="str">
        <f>IF(NOT(ISBLANK(HostBuild[Server Model])),VLOOKUP(HostBuild[Server Model],ServerModelsTier[],2,FALSE),"")</f>
        <v>x86 Tier 3</v>
      </c>
      <c r="AO59" s="533" t="str">
        <f>IF(NOT(ISBLANK(HostBuild[Server Model])),VLOOKUP(HostBuild[Server Model],ServerModelsTier[],5,FALSE),"")</f>
        <v>x86</v>
      </c>
      <c r="AP59" s="532"/>
      <c r="AQ59" s="532" t="s">
        <v>2337</v>
      </c>
      <c r="AR59" s="534">
        <v>2</v>
      </c>
      <c r="AS59" s="602"/>
      <c r="AT59" s="535"/>
      <c r="AU59" s="603" t="str">
        <f>IF(IFERROR(FIND("P-Series",HostBuild[Server Tier]),0),CEILING((HostBuild[Existing CPUs]+HostBuild[CPU])*16,8),"")</f>
        <v/>
      </c>
      <c r="AV59" s="536">
        <v>256</v>
      </c>
      <c r="AW59" s="531"/>
      <c r="AX59" s="531"/>
      <c r="AY59" s="531"/>
      <c r="AZ59" s="537"/>
      <c r="BA59" s="531"/>
      <c r="BB59" s="531"/>
      <c r="BC59" s="529"/>
      <c r="BD59" s="531"/>
      <c r="BE59" s="531"/>
      <c r="BF59" s="531"/>
      <c r="BG59" s="531"/>
      <c r="BH59" s="531"/>
      <c r="BI59" s="531"/>
      <c r="BJ59" s="531"/>
      <c r="BK59" s="604"/>
      <c r="BL59" s="538"/>
      <c r="BM59" s="540">
        <f>IF(ISNUMBER(HostBuild[Recommended SAN (GB)]),HostBuild[Recommended SAN (GB)])+IF(HostBuild[Additional SAN (GB)]&gt;0,CEILING(HostBuild[Additional SAN (GB)],LUN),-(CEILING(-HostBuild[Additional SAN (GB)],LUN)))</f>
        <v>0</v>
      </c>
      <c r="BN59" s="539"/>
      <c r="BO59" s="540">
        <f>HostBuild[SAN (GB)
NEEDED TODAY]+CEILING(HostBuild[SAN (GB)
RESERVED
DO NOT USE TO BUILD], LUN)</f>
        <v>0</v>
      </c>
      <c r="BP59" s="541"/>
      <c r="BQ59" s="542"/>
      <c r="BR59" s="432" t="s">
        <v>106</v>
      </c>
      <c r="BS59" s="605">
        <f>IF(HostBuild[Existing Server?]&lt;&gt;"Yes - Inside this BoM",IF(ISNUMBER(HostBuild[RAM 
(GB)]),IF(HostBuild[Existing RAM (GB)]+HostBuild[RAM 
(GB)]&gt;0,IF(HostBuild[Virtual Platform Storage Type]="NAS",110+HostBuild[Existing RAM (GB)]+HostBuild[RAM 
(GB)]*1.75,0),0),0),0)</f>
        <v>0</v>
      </c>
      <c r="BT59" s="606"/>
      <c r="BU59" s="607">
        <f>IF(ISNUMBER(HostBuild[Recommended NAS (GB)]),HostBuild[Recommended NAS (GB)])+HostBuild[Additional NAS (GB)]</f>
        <v>0</v>
      </c>
      <c r="BV59" s="543"/>
      <c r="BW59" s="543"/>
      <c r="BX59" s="604">
        <f>IFERROR((HostBuild[SAN (GB)
End-State
DO NOT USE TO BUILD]+HostBuild[SAN (GB) Shared])*25%,"")</f>
        <v>0</v>
      </c>
      <c r="BY59" s="608">
        <f>IFERROR(HostBuild[Archive
Full (GB)]*15%,"")</f>
        <v>0</v>
      </c>
      <c r="BZ59" s="544"/>
      <c r="CA59" s="544"/>
      <c r="CB59" s="545"/>
      <c r="CC59" s="546"/>
      <c r="CD59" s="545"/>
      <c r="CE59" s="547"/>
      <c r="CF59" s="539"/>
      <c r="CG59" s="609"/>
      <c r="CH59" s="548"/>
      <c r="CI59" s="549"/>
      <c r="CJ59" s="550"/>
      <c r="CK59" s="551"/>
      <c r="CL59" s="552">
        <f>IFERROR(IF(FIND(CL$1,$W59)&gt;0,IF(INDEX(Product_Pricing_Table[],MATCH(CL$1,Products,0),2)="Cores",IF(HostBuild[Use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59" s="552">
        <f>IFERROR(IF(FIND(CM$1,$W59)&gt;0,IF(INDEX(Product_Pricing_Table[],MATCH(CM$1,Products,0),2)="Cores",IF(HostBuild[Use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59" s="552">
        <f>IFERROR(IF(FIND(CN$1,$W59)&gt;0,IF(INDEX(Product_Pricing_Table[],MATCH(CN$1,Products,0),2)="Cores",IF(HostBuild[Use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59" s="552">
        <f>IFERROR(IF(FIND(CO$1,$W59)&gt;0,IF(INDEX(Product_Pricing_Table[],MATCH(CO$1,Products,0),2)="Cores",IF(HostBuild[Use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59" s="552">
        <f>IFERROR(IF(FIND(CP$1,$W59)&gt;0,IF(INDEX(Product_Pricing_Table[],MATCH(CP$1,Products,0),2)="Cores",IF(HostBuild[Use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59" s="552">
        <f>IFERROR(IF(FIND(CQ$1,$W59)&gt;0,IF(INDEX(Product_Pricing_Table[],MATCH(CQ$1,Products,0),2)="Cores",IF(HostBuild[Use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59" s="552">
        <f>IFERROR(IF(FIND(CR$1,$W59)&gt;0,IF(INDEX(Product_Pricing_Table[],MATCH(CR$1,Products,0),2)="Cores",IF(HostBuild[Use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59" s="552">
        <f>IFERROR(IF(FIND(CS$1,$W59)&gt;0,IF(INDEX(Product_Pricing_Table[],MATCH(CS$1,Products,0),2)="Cores",IF(HostBuild[Use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59" s="552">
        <f>IFERROR(IF(FIND(CT$1,$W59)&gt;0,IF(INDEX(Product_Pricing_Table[],MATCH(CT$1,Products,0),2)="Cores",IF(HostBuild[Use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59" s="552">
        <f>IFERROR(IF(FIND(CU$1,$W59)&gt;0,IF(INDEX(Product_Pricing_Table[],MATCH(CU$1,Products,0),2)="Cores",IF(HostBuild[Use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59" s="552">
        <f>IFERROR(IF(FIND(CV$1,$W59)&gt;0,IF(INDEX(Product_Pricing_Table[],MATCH(CV$1,Products,0),2)="Cores",IF(HostBuild[Use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59" s="552">
        <f>IFERROR(IF(FIND(CW$1,$W59)&gt;0,IF(INDEX(Product_Pricing_Table[],MATCH(CW$1,Products,0),2)="Cores",IF(HostBuild[Use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59" s="552">
        <f>IFERROR(IF(FIND(CX$1,$W59)&gt;0,IF(INDEX(Product_Pricing_Table[],MATCH(CX$1,Products,0),2)="Cores",IF(HostBuild[Use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59" s="552">
        <f>IFERROR(IF(FIND(CY$1,$W59)&gt;0,IF(INDEX(Product_Pricing_Table[],MATCH(CY$1,Products,0),2)="Cores",IF(HostBuild[Use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59" s="552">
        <f>IFERROR(IF(FIND(CZ$1,$W59)&gt;0,IF(INDEX(Product_Pricing_Table[],MATCH(CZ$1,Products,0),2)="Cores",IF(HostBuild[Use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59" s="552">
        <f>IFERROR(IF(FIND(DA$1,$W59)&gt;0,IF(INDEX(Product_Pricing_Table[],MATCH(DA$1,Products,0),2)="Cores",IF(HostBuild[Use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59" s="552">
        <f>IFERROR(IF(FIND(DB$1,$W59)&gt;0,IF(INDEX(Product_Pricing_Table[],MATCH(DB$1,Products,0),2)="Cores",IF(HostBuild[Use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59" s="552">
        <f>IFERROR(IF(FIND(DC$1,$W59)&gt;0,IF(INDEX(Product_Pricing_Table[],MATCH(DC$1,Products,0),2)="Cores",IF(HostBuild[Use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59" s="552">
        <f>IFERROR(IF(FIND(DD$1,$W59)&gt;0,IF(INDEX(Product_Pricing_Table[],MATCH(DD$1,Products,0),2)="Cores",IF(HostBuild[Use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59" s="552">
        <f>IFERROR(IF(FIND(DE$1,$W59)&gt;0,IF(INDEX(Product_Pricing_Table[],MATCH(DE$1,Products,0),2)="Cores",IF(HostBuild[Use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59" s="553">
        <f>IFERROR(IF(FIND(DF$1,$W59)&gt;0,IF(INDEX(Product_Pricing_Table[],MATCH(DF$1,Products,0),2)="Cores",IF(HostBuild[Use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59" s="553">
        <f>IFERROR(IF(FIND(DG$1,$W59)&gt;0,IF(INDEX(Product_Pricing_Table[],MATCH(DG$1,Products,0),2)="Cores",IF(HostBuild[Use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59" s="552">
        <f>IFERROR(IF(FIND(DH$1,$W59)&gt;0,IF(INDEX(Product_Pricing_Table[],MATCH(DH$1,Products,0),2)="Cores",IF(HostBuild[Use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59" s="553">
        <f>IFERROR(IF(FIND(DI$1,$W59)&gt;0,IF(INDEX(Product_Pricing_Table[],MATCH(DI$1,Products,0),2)="Cores",IF(HostBuild[Use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59" s="552">
        <f>IFERROR(IF(FIND(DJ$1,$W59)&gt;0,IF(INDEX(Product_Pricing_Table[],MATCH(DJ$1,Products,0),2)="Cores",IF(HostBuild[Use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59" s="552">
        <f>IFERROR(IF(FIND(DK$1,$W59)&gt;0,IF(INDEX(Product_Pricing_Table[],MATCH(DK$1,Products,0),2)="Cores",IF(HostBuild[Use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59" s="552">
        <f>IFERROR(IF(FIND(DL$1,$W59)&gt;0,IF(INDEX(Product_Pricing_Table[],MATCH(DL$1,Products,0),2)="Cores",IF(HostBuild[Use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59" s="552">
        <f>IFERROR(IF(FIND(DM$1,$W59)&gt;0,IF(INDEX(Product_Pricing_Table[],MATCH(DM$1,Products,0),2)="Cores",IF(HostBuild[Use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59" s="552">
        <f>IFERROR(IF(FIND(DN$1,$W59)&gt;0,IF(INDEX(Product_Pricing_Table[],MATCH(DN$1,Products,0),2)="Cores",IF(HostBuild[Use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59" s="552">
        <f>IFERROR(IF(FIND(DO$1,$W59)&gt;0,IF(INDEX(Product_Pricing_Table[],MATCH(DO$1,Products,0),2)="Cores",IF(HostBuild[Use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59" s="552">
        <f>IFERROR(IF(FIND(DP$1,$W59)&gt;0,IF(INDEX(Product_Pricing_Table[],MATCH(DP$1,Products,0),2)="Cores",IF(HostBuild[Use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59" s="552">
        <f>IFERROR(IF(FIND(DQ$1,$W59)&gt;0,IF(INDEX(Product_Pricing_Table[],MATCH(DQ$1,Products,0),2)="Cores",IF(HostBuild[Use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59" s="552">
        <f>IFERROR(IF(FIND(DR$1,$W59)&gt;0,IF(INDEX(Product_Pricing_Table[],MATCH(DR$1,Products,0),2)="Cores",IF(HostBuild[Use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59" s="552">
        <f>IFERROR(IF(FIND(DS$1,$W59)&gt;0,IF(INDEX(Product_Pricing_Table[],MATCH(DS$1,Products,0),2)="Cores",IF(HostBuild[Use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59" s="552">
        <f>IFERROR(IF(FIND(DT$1,$W59)&gt;0,IF(INDEX(Product_Pricing_Table[],MATCH(DT$1,Products,0),2)="Cores",IF(HostBuild[Use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59" s="552">
        <f>IFERROR(IF(FIND(DU$1,$W59)&gt;0,IF(INDEX(Product_Pricing_Table[],MATCH(DU$1,Products,0),2)="Cores",IF(HostBuild[Use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59" s="552">
        <f>IFERROR(IF(FIND(DV$1,$W59)&gt;0,IF(INDEX(Product_Pricing_Table[],MATCH(DV$1,Products,0),2)="Cores",IF(HostBuild[Use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59" s="552">
        <f>IFERROR(IF(FIND(DW$1,$W59)&gt;0,IF(INDEX(Product_Pricing_Table[],MATCH(DW$1,Products,0),2)="Cores",IF(HostBuild[Use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59" s="552">
        <f>IFERROR(IF(FIND(DX$1,$W59)&gt;0,IF(INDEX(Product_Pricing_Table[],MATCH(DX$1,Products,0),2)="Cores",IF(HostBuild[Use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59" s="552">
        <f>IFERROR(IF(FIND(DY$1,$W59)&gt;0,IF(INDEX(Product_Pricing_Table[],MATCH(DY$1,Products,0),2)="Cores",IF(HostBuild[Use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59" s="552">
        <f>IFERROR(IF(FIND(DZ$1,$W59)&gt;0,IF(INDEX(Product_Pricing_Table[],MATCH(DZ$1,Products,0),2)="Cores",IF(HostBuild[Use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59" s="552">
        <f>IFERROR(IF(FIND(EA$1,$W59)&gt;0,IF(INDEX(Product_Pricing_Table[],MATCH(EA$1,Products,0),2)="Cores",IF(HostBuild[Use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59" s="552">
        <f>IFERROR(IF(FIND(EB$1,$W59)&gt;0,IF(INDEX(Product_Pricing_Table[],MATCH(EB$1,Products,0),2)="Cores",IF(HostBuild[Use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59" s="553">
        <f>IFERROR(IF(FIND(EC$1,$W59)&gt;0,IF(INDEX(Product_Pricing_Table[],MATCH(EC$1,Products,0),2)="Cores",IF(HostBuild[Use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59" s="552">
        <f>IFERROR(IF(FIND(ED$1,$W59)&gt;0,IF(INDEX(Product_Pricing_Table[],MATCH(ED$1,Products,0),2)="Cores",IF(HostBuild[Use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59" s="552">
        <f>IFERROR(IF(FIND(EE$1,$W59)&gt;0,IF(INDEX(Product_Pricing_Table[],MATCH(EE$1,Products,0),2)="Cores",IF(HostBuild[Use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59" s="552">
        <f>IFERROR(IF(FIND(EF$1,$W59)&gt;0,IF(INDEX(Product_Pricing_Table[],MATCH(EF$1,Products,0),2)="Cores",IF(HostBuild[Use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59" s="552">
        <f>IFERROR(IF(FIND(EG$1,$W59)&gt;0,IF(INDEX(Product_Pricing_Table[],MATCH(EG$1,Products,0),2)="Cores",IF(HostBuild[Use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59" s="552">
        <f>IFERROR(IF(FIND(EH$1,$W59)&gt;0,IF(INDEX(Product_Pricing_Table[],MATCH(EH$1,Products,0),2)="Cores",IF(HostBuild[Use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59" s="552">
        <f>IFERROR(IF(FIND(EI$1,$W59)&gt;0,IF(INDEX(Product_Pricing_Table[],MATCH(EI$1,Products,0),2)="Cores",IF(HostBuild[Use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59" s="552">
        <f>IFERROR(IF(FIND(EJ$1,$W59)&gt;0,IF(INDEX(Product_Pricing_Table[],MATCH(EJ$1,Products,0),2)="Cores",IF(HostBuild[Use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59" s="553">
        <f>IFERROR(IF(FIND(EK$1,$W59)&gt;0,IF(INDEX(Product_Pricing_Table[],MATCH(EK$1,Products,0),2)="Cores",IF(HostBuild[Use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59" s="554"/>
      <c r="EM59" s="555"/>
      <c r="EN59" s="556"/>
      <c r="EO59"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5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59" s="558">
        <f>(HostBuild[Archive
Full (GB)]+HostBuild[Archive
Incr (GB)])*Storage_DC_Dist_Tape_2014</f>
        <v>0</v>
      </c>
      <c r="ER59" s="558">
        <f>IF(ISNUMBER(HostBuild[Server HW Costs
(Monthly)]),SUM(HostBuild[[#This Row],[Server HW Costs
(Monthly)]:[Tape Costs
(Monthly)]]),0)</f>
        <v>1003.9</v>
      </c>
      <c r="ES59" s="559">
        <f>HostBuild[Software Costs
'[Year 1']
(Monthly)]+HostBuild[Total Hardware Costs
(Monthly)]</f>
        <v>1003.9</v>
      </c>
      <c r="ET59" s="559">
        <f>IFERROR(IF(FIND("Safenet",HostBuild[Server Model]),Safenet_PSE_PL600_Maint,0),0)+IFERROR(IF(FIND("XI52",HostBuild[Server Model]),IBM_DIA_XI52_Maint,0),0)+HostBuild[Software Costs
'[After Year 1']
(Monthly)]+HostBuild[Total Hardware Costs
(Monthly)]</f>
        <v>1003.9</v>
      </c>
      <c r="EU59" s="560">
        <f>SUM(HostBuild[[#This Row],[Server Cost Breakdown]:[Network Cost]])</f>
        <v>1003.9</v>
      </c>
      <c r="EV59" s="561">
        <f>IF(HostBuild[Existing Server?]="Yes - Inside this BoM",0,SUMIF(HostBuild[Alias],HostBuild[Alias],HostBuild[CPU])+SUMIF(HostBuild[Alias],HostBuild[Alias],HostBuild[Existing CPUs]))</f>
        <v>2</v>
      </c>
      <c r="EW59" s="561">
        <f>IF(HostBuild[Existing Server?]="Yes - Inside this BoM",0,SUMIF(HostBuild[Alias],HostBuild[Alias],HostBuild[Cores 
(Licensed Units)])+SUMIF(HostBuild[Alias],HostBuild[Alias],HostBuild[Existing Cores]))</f>
        <v>0</v>
      </c>
      <c r="EX59" s="561">
        <f>IF(HostBuild[Existing Server?]="Yes - Inside this BoM",0,SUMIF(HostBuild[Alias],HostBuild[Alias],HostBuild[RAM 
(GB)])+SUMIF(HostBuild[Alias],HostBuild[Alias],HostBuild[Existing RAM (GB)]))</f>
        <v>256</v>
      </c>
      <c r="EY5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5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5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5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59" s="560">
        <f>IF(ISBLANK(HostBuild[Server Model]),0,IF(HostBuild[Server Tier]="VMware",0,VLOOKUP(HostBuild[Server Tier],ServerTierRates[#Data],2,0))*HostBuild[CPU]*IF(AND(HostBuild[Server Type]="pSeries",HostBuild[Virtual Platform Storage Type]="Cloud-SAN"),0.25,1))</f>
        <v>608</v>
      </c>
      <c r="FD59" s="560">
        <f>0</f>
        <v>0</v>
      </c>
      <c r="FE59" s="560">
        <f>IF(HostBuild[Server Type]="VMware",HostBuild[RAM 
(GB)]*IF(ISERROR(FIND("DevCloud", HostBuild[Server Model])&gt;0),vRAM_per_vCPU_2014_Monthly,vRAM_per_vCPU_2014_Daily*30),0)</f>
        <v>0</v>
      </c>
      <c r="FF5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5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59" s="563">
        <f>IF(HostBuild[Server Tier]="VMware",0,IF(LEFT(HostBuild[Existing Server?],3)="Yes",0,IF(OR(HostBuild[Server Type]="Sun",HostBuild[Server Type]="pSeries"),Support_Direct_Server_Sun_per_OS_2014,IF(HostBuild[Server Type]="x86",Support_Direct_Server_x86_Wintel_per_OS_2014,0))))</f>
        <v>187.1</v>
      </c>
      <c r="FI5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0" spans="1:165" s="139" customFormat="1" ht="15" customHeight="1">
      <c r="A60" s="360" t="s">
        <v>3942</v>
      </c>
      <c r="B60" s="521"/>
      <c r="C60" s="521"/>
      <c r="D60" s="521"/>
      <c r="E60" s="522"/>
      <c r="F60" s="522"/>
      <c r="G60" s="597"/>
      <c r="H60" s="597"/>
      <c r="I60" s="523"/>
      <c r="J60" s="522"/>
      <c r="K60" s="522"/>
      <c r="L60" s="522"/>
      <c r="M60" s="597" t="e">
        <f ca="1">IF(rngIsDate(HostBuild[CTO Acceptance]),"Y","N")</f>
        <v>#NAME?</v>
      </c>
      <c r="N60" s="361" t="s">
        <v>3939</v>
      </c>
      <c r="O60" s="525"/>
      <c r="P60" s="525"/>
      <c r="Q60" s="361" t="s">
        <v>211</v>
      </c>
      <c r="R60" s="526" t="str">
        <f>IF(NOT(ISBLANK(HostBuild[Env Label])),IFERROR(VLOOKUP(HostBuild[Env Label],tEnv[],3,FALSE),""),"")</f>
        <v>COB</v>
      </c>
      <c r="S60" s="598"/>
      <c r="T60" s="527"/>
      <c r="U60" s="599"/>
      <c r="V60" s="524" t="s">
        <v>4006</v>
      </c>
      <c r="W60" s="524" t="s">
        <v>3941</v>
      </c>
      <c r="X60" s="524" t="s">
        <v>35</v>
      </c>
      <c r="Y60" s="361" t="s">
        <v>481</v>
      </c>
      <c r="Z60" s="526" t="str">
        <f>IF(NOT(ISBLANK(HostBuild[[#This Row],[Product 
(Acronym)]])),CONCATENATE(HostBuild[[#This Row],[Type]],"-",HostBuild[[#This Row],[Product 
(Acronym)]]),"")</f>
        <v>AP-ESB</v>
      </c>
      <c r="AA60" s="600"/>
      <c r="AB60" s="600" t="s">
        <v>105</v>
      </c>
      <c r="AC60" s="528"/>
      <c r="AD60" s="529"/>
      <c r="AE60" s="529"/>
      <c r="AF60" s="530"/>
      <c r="AG60" s="531"/>
      <c r="AH60" s="601"/>
      <c r="AI60" s="362" t="s">
        <v>3972</v>
      </c>
      <c r="AJ60" s="524">
        <f>IF(COUNTIF(HostBuild[Alias],HostBuild[Alias]),1/COUNTIF(HostBuild[Alias],HostBuild[Alias]),0)</f>
        <v>1</v>
      </c>
      <c r="AK60" s="531"/>
      <c r="AL60" s="531"/>
      <c r="AM60" s="532" t="s">
        <v>2173</v>
      </c>
      <c r="AN60" s="533" t="str">
        <f>IF(NOT(ISBLANK(HostBuild[Server Model])),VLOOKUP(HostBuild[Server Model],ServerModelsTier[],2,FALSE),"")</f>
        <v>x86 Tier 3</v>
      </c>
      <c r="AO60" s="533" t="str">
        <f>IF(NOT(ISBLANK(HostBuild[Server Model])),VLOOKUP(HostBuild[Server Model],ServerModelsTier[],5,FALSE),"")</f>
        <v>x86</v>
      </c>
      <c r="AP60" s="532"/>
      <c r="AQ60" s="532" t="s">
        <v>2337</v>
      </c>
      <c r="AR60" s="534">
        <v>2</v>
      </c>
      <c r="AS60" s="602"/>
      <c r="AT60" s="535"/>
      <c r="AU60" s="603" t="str">
        <f>IF(IFERROR(FIND("P-Series",HostBuild[Server Tier]),0),CEILING((HostBuild[Existing CPUs]+HostBuild[CPU])*16,8),"")</f>
        <v/>
      </c>
      <c r="AV60" s="536">
        <v>256</v>
      </c>
      <c r="AW60" s="531"/>
      <c r="AX60" s="531"/>
      <c r="AY60" s="531"/>
      <c r="AZ60" s="537"/>
      <c r="BA60" s="531"/>
      <c r="BB60" s="531"/>
      <c r="BC60" s="529"/>
      <c r="BD60" s="531"/>
      <c r="BE60" s="531"/>
      <c r="BF60" s="531"/>
      <c r="BG60" s="531"/>
      <c r="BH60" s="531"/>
      <c r="BI60" s="531"/>
      <c r="BJ60" s="531"/>
      <c r="BK60" s="604"/>
      <c r="BL60" s="538"/>
      <c r="BM60" s="540">
        <f>IF(ISNUMBER(HostBuild[Recommended SAN (GB)]),HostBuild[Recommended SAN (GB)])+IF(HostBuild[Additional SAN (GB)]&gt;0,CEILING(HostBuild[Additional SAN (GB)],LUN),-(CEILING(-HostBuild[Additional SAN (GB)],LUN)))</f>
        <v>0</v>
      </c>
      <c r="BN60" s="539"/>
      <c r="BO60" s="540">
        <f>HostBuild[SAN (GB)
NEEDED TODAY]+CEILING(HostBuild[SAN (GB)
RESERVED
DO NOT USE TO BUILD], LUN)</f>
        <v>0</v>
      </c>
      <c r="BP60" s="541"/>
      <c r="BQ60" s="542"/>
      <c r="BR60" s="432" t="s">
        <v>106</v>
      </c>
      <c r="BS60" s="605">
        <f>IF(HostBuild[Existing Server?]&lt;&gt;"Yes - Inside this BoM",IF(ISNUMBER(HostBuild[RAM 
(GB)]),IF(HostBuild[Existing RAM (GB)]+HostBuild[RAM 
(GB)]&gt;0,IF(HostBuild[Virtual Platform Storage Type]="NAS",110+HostBuild[Existing RAM (GB)]+HostBuild[RAM 
(GB)]*1.75,0),0),0),0)</f>
        <v>0</v>
      </c>
      <c r="BT60" s="606"/>
      <c r="BU60" s="607">
        <f>IF(ISNUMBER(HostBuild[Recommended NAS (GB)]),HostBuild[Recommended NAS (GB)])+HostBuild[Additional NAS (GB)]</f>
        <v>0</v>
      </c>
      <c r="BV60" s="543"/>
      <c r="BW60" s="543"/>
      <c r="BX60" s="604">
        <f>IFERROR((HostBuild[SAN (GB)
End-State
DO NOT USE TO BUILD]+HostBuild[SAN (GB) Shared])*25%,"")</f>
        <v>0</v>
      </c>
      <c r="BY60" s="608">
        <f>IFERROR(HostBuild[Archive
Full (GB)]*15%,"")</f>
        <v>0</v>
      </c>
      <c r="BZ60" s="544"/>
      <c r="CA60" s="544"/>
      <c r="CB60" s="545"/>
      <c r="CC60" s="546"/>
      <c r="CD60" s="545"/>
      <c r="CE60" s="547"/>
      <c r="CF60" s="539"/>
      <c r="CG60" s="609"/>
      <c r="CH60" s="548"/>
      <c r="CI60" s="549"/>
      <c r="CJ60" s="550"/>
      <c r="CK60" s="551"/>
      <c r="CL60" s="552">
        <f>IFERROR(IF(FIND(CL$1,$W60)&gt;0,IF(INDEX(Product_Pricing_Table[],MATCH(CL$1,Products,0),2)="Cores",IF(HostBuild[Use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0" s="552">
        <f>IFERROR(IF(FIND(CM$1,$W60)&gt;0,IF(INDEX(Product_Pricing_Table[],MATCH(CM$1,Products,0),2)="Cores",IF(HostBuild[Use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60" s="552">
        <f>IFERROR(IF(FIND(CN$1,$W60)&gt;0,IF(INDEX(Product_Pricing_Table[],MATCH(CN$1,Products,0),2)="Cores",IF(HostBuild[Use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0" s="552">
        <f>IFERROR(IF(FIND(CO$1,$W60)&gt;0,IF(INDEX(Product_Pricing_Table[],MATCH(CO$1,Products,0),2)="Cores",IF(HostBuild[Use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0" s="552">
        <f>IFERROR(IF(FIND(CP$1,$W60)&gt;0,IF(INDEX(Product_Pricing_Table[],MATCH(CP$1,Products,0),2)="Cores",IF(HostBuild[Use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0" s="552">
        <f>IFERROR(IF(FIND(CQ$1,$W60)&gt;0,IF(INDEX(Product_Pricing_Table[],MATCH(CQ$1,Products,0),2)="Cores",IF(HostBuild[Use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0" s="552">
        <f>IFERROR(IF(FIND(CR$1,$W60)&gt;0,IF(INDEX(Product_Pricing_Table[],MATCH(CR$1,Products,0),2)="Cores",IF(HostBuild[Use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0" s="552">
        <f>IFERROR(IF(FIND(CS$1,$W60)&gt;0,IF(INDEX(Product_Pricing_Table[],MATCH(CS$1,Products,0),2)="Cores",IF(HostBuild[Use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0" s="552">
        <f>IFERROR(IF(FIND(CT$1,$W60)&gt;0,IF(INDEX(Product_Pricing_Table[],MATCH(CT$1,Products,0),2)="Cores",IF(HostBuild[Use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0" s="552">
        <f>IFERROR(IF(FIND(CU$1,$W60)&gt;0,IF(INDEX(Product_Pricing_Table[],MATCH(CU$1,Products,0),2)="Cores",IF(HostBuild[Use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0" s="552">
        <f>IFERROR(IF(FIND(CV$1,$W60)&gt;0,IF(INDEX(Product_Pricing_Table[],MATCH(CV$1,Products,0),2)="Cores",IF(HostBuild[Use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0" s="552">
        <f>IFERROR(IF(FIND(CW$1,$W60)&gt;0,IF(INDEX(Product_Pricing_Table[],MATCH(CW$1,Products,0),2)="Cores",IF(HostBuild[Use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0" s="552">
        <f>IFERROR(IF(FIND(CX$1,$W60)&gt;0,IF(INDEX(Product_Pricing_Table[],MATCH(CX$1,Products,0),2)="Cores",IF(HostBuild[Use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0" s="552">
        <f>IFERROR(IF(FIND(CY$1,$W60)&gt;0,IF(INDEX(Product_Pricing_Table[],MATCH(CY$1,Products,0),2)="Cores",IF(HostBuild[Use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0" s="552">
        <f>IFERROR(IF(FIND(CZ$1,$W60)&gt;0,IF(INDEX(Product_Pricing_Table[],MATCH(CZ$1,Products,0),2)="Cores",IF(HostBuild[Use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0" s="552">
        <f>IFERROR(IF(FIND(DA$1,$W60)&gt;0,IF(INDEX(Product_Pricing_Table[],MATCH(DA$1,Products,0),2)="Cores",IF(HostBuild[Use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0" s="552">
        <f>IFERROR(IF(FIND(DB$1,$W60)&gt;0,IF(INDEX(Product_Pricing_Table[],MATCH(DB$1,Products,0),2)="Cores",IF(HostBuild[Use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0" s="552">
        <f>IFERROR(IF(FIND(DC$1,$W60)&gt;0,IF(INDEX(Product_Pricing_Table[],MATCH(DC$1,Products,0),2)="Cores",IF(HostBuild[Use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0" s="552">
        <f>IFERROR(IF(FIND(DD$1,$W60)&gt;0,IF(INDEX(Product_Pricing_Table[],MATCH(DD$1,Products,0),2)="Cores",IF(HostBuild[Use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0" s="552">
        <f>IFERROR(IF(FIND(DE$1,$W60)&gt;0,IF(INDEX(Product_Pricing_Table[],MATCH(DE$1,Products,0),2)="Cores",IF(HostBuild[Use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0" s="553">
        <f>IFERROR(IF(FIND(DF$1,$W60)&gt;0,IF(INDEX(Product_Pricing_Table[],MATCH(DF$1,Products,0),2)="Cores",IF(HostBuild[Use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0" s="553">
        <f>IFERROR(IF(FIND(DG$1,$W60)&gt;0,IF(INDEX(Product_Pricing_Table[],MATCH(DG$1,Products,0),2)="Cores",IF(HostBuild[Use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0" s="552">
        <f>IFERROR(IF(FIND(DH$1,$W60)&gt;0,IF(INDEX(Product_Pricing_Table[],MATCH(DH$1,Products,0),2)="Cores",IF(HostBuild[Use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0" s="553">
        <f>IFERROR(IF(FIND(DI$1,$W60)&gt;0,IF(INDEX(Product_Pricing_Table[],MATCH(DI$1,Products,0),2)="Cores",IF(HostBuild[Use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0" s="552">
        <f>IFERROR(IF(FIND(DJ$1,$W60)&gt;0,IF(INDEX(Product_Pricing_Table[],MATCH(DJ$1,Products,0),2)="Cores",IF(HostBuild[Use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0" s="552">
        <f>IFERROR(IF(FIND(DK$1,$W60)&gt;0,IF(INDEX(Product_Pricing_Table[],MATCH(DK$1,Products,0),2)="Cores",IF(HostBuild[Use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0" s="552">
        <f>IFERROR(IF(FIND(DL$1,$W60)&gt;0,IF(INDEX(Product_Pricing_Table[],MATCH(DL$1,Products,0),2)="Cores",IF(HostBuild[Use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0" s="552">
        <f>IFERROR(IF(FIND(DM$1,$W60)&gt;0,IF(INDEX(Product_Pricing_Table[],MATCH(DM$1,Products,0),2)="Cores",IF(HostBuild[Use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0" s="552">
        <f>IFERROR(IF(FIND(DN$1,$W60)&gt;0,IF(INDEX(Product_Pricing_Table[],MATCH(DN$1,Products,0),2)="Cores",IF(HostBuild[Use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0" s="552">
        <f>IFERROR(IF(FIND(DO$1,$W60)&gt;0,IF(INDEX(Product_Pricing_Table[],MATCH(DO$1,Products,0),2)="Cores",IF(HostBuild[Use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0" s="552">
        <f>IFERROR(IF(FIND(DP$1,$W60)&gt;0,IF(INDEX(Product_Pricing_Table[],MATCH(DP$1,Products,0),2)="Cores",IF(HostBuild[Use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0" s="552">
        <f>IFERROR(IF(FIND(DQ$1,$W60)&gt;0,IF(INDEX(Product_Pricing_Table[],MATCH(DQ$1,Products,0),2)="Cores",IF(HostBuild[Use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0" s="552">
        <f>IFERROR(IF(FIND(DR$1,$W60)&gt;0,IF(INDEX(Product_Pricing_Table[],MATCH(DR$1,Products,0),2)="Cores",IF(HostBuild[Use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0" s="552">
        <f>IFERROR(IF(FIND(DS$1,$W60)&gt;0,IF(INDEX(Product_Pricing_Table[],MATCH(DS$1,Products,0),2)="Cores",IF(HostBuild[Use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0" s="552">
        <f>IFERROR(IF(FIND(DT$1,$W60)&gt;0,IF(INDEX(Product_Pricing_Table[],MATCH(DT$1,Products,0),2)="Cores",IF(HostBuild[Use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0" s="552">
        <f>IFERROR(IF(FIND(DU$1,$W60)&gt;0,IF(INDEX(Product_Pricing_Table[],MATCH(DU$1,Products,0),2)="Cores",IF(HostBuild[Use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0" s="552">
        <f>IFERROR(IF(FIND(DV$1,$W60)&gt;0,IF(INDEX(Product_Pricing_Table[],MATCH(DV$1,Products,0),2)="Cores",IF(HostBuild[Use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0" s="552">
        <f>IFERROR(IF(FIND(DW$1,$W60)&gt;0,IF(INDEX(Product_Pricing_Table[],MATCH(DW$1,Products,0),2)="Cores",IF(HostBuild[Use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0" s="552">
        <f>IFERROR(IF(FIND(DX$1,$W60)&gt;0,IF(INDEX(Product_Pricing_Table[],MATCH(DX$1,Products,0),2)="Cores",IF(HostBuild[Use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0" s="552">
        <f>IFERROR(IF(FIND(DY$1,$W60)&gt;0,IF(INDEX(Product_Pricing_Table[],MATCH(DY$1,Products,0),2)="Cores",IF(HostBuild[Use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0" s="552">
        <f>IFERROR(IF(FIND(DZ$1,$W60)&gt;0,IF(INDEX(Product_Pricing_Table[],MATCH(DZ$1,Products,0),2)="Cores",IF(HostBuild[Use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0" s="552">
        <f>IFERROR(IF(FIND(EA$1,$W60)&gt;0,IF(INDEX(Product_Pricing_Table[],MATCH(EA$1,Products,0),2)="Cores",IF(HostBuild[Use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0" s="552">
        <f>IFERROR(IF(FIND(EB$1,$W60)&gt;0,IF(INDEX(Product_Pricing_Table[],MATCH(EB$1,Products,0),2)="Cores",IF(HostBuild[Use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0" s="553">
        <f>IFERROR(IF(FIND(EC$1,$W60)&gt;0,IF(INDEX(Product_Pricing_Table[],MATCH(EC$1,Products,0),2)="Cores",IF(HostBuild[Use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0" s="552">
        <f>IFERROR(IF(FIND(ED$1,$W60)&gt;0,IF(INDEX(Product_Pricing_Table[],MATCH(ED$1,Products,0),2)="Cores",IF(HostBuild[Use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0" s="552">
        <f>IFERROR(IF(FIND(EE$1,$W60)&gt;0,IF(INDEX(Product_Pricing_Table[],MATCH(EE$1,Products,0),2)="Cores",IF(HostBuild[Use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0" s="552">
        <f>IFERROR(IF(FIND(EF$1,$W60)&gt;0,IF(INDEX(Product_Pricing_Table[],MATCH(EF$1,Products,0),2)="Cores",IF(HostBuild[Use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0" s="552">
        <f>IFERROR(IF(FIND(EG$1,$W60)&gt;0,IF(INDEX(Product_Pricing_Table[],MATCH(EG$1,Products,0),2)="Cores",IF(HostBuild[Use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0" s="552">
        <f>IFERROR(IF(FIND(EH$1,$W60)&gt;0,IF(INDEX(Product_Pricing_Table[],MATCH(EH$1,Products,0),2)="Cores",IF(HostBuild[Use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0" s="552">
        <f>IFERROR(IF(FIND(EI$1,$W60)&gt;0,IF(INDEX(Product_Pricing_Table[],MATCH(EI$1,Products,0),2)="Cores",IF(HostBuild[Use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0" s="552">
        <f>IFERROR(IF(FIND(EJ$1,$W60)&gt;0,IF(INDEX(Product_Pricing_Table[],MATCH(EJ$1,Products,0),2)="Cores",IF(HostBuild[Use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0" s="553">
        <f>IFERROR(IF(FIND(EK$1,$W60)&gt;0,IF(INDEX(Product_Pricing_Table[],MATCH(EK$1,Products,0),2)="Cores",IF(HostBuild[Use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0" s="554"/>
      <c r="EM60" s="555"/>
      <c r="EN60" s="556"/>
      <c r="EO6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6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0" s="558">
        <f>(HostBuild[Archive
Full (GB)]+HostBuild[Archive
Incr (GB)])*Storage_DC_Dist_Tape_2014</f>
        <v>0</v>
      </c>
      <c r="ER60" s="558">
        <f>IF(ISNUMBER(HostBuild[Server HW Costs
(Monthly)]),SUM(HostBuild[[#This Row],[Server HW Costs
(Monthly)]:[Tape Costs
(Monthly)]]),0)</f>
        <v>1003.9</v>
      </c>
      <c r="ES60" s="559">
        <f>HostBuild[Software Costs
'[Year 1']
(Monthly)]+HostBuild[Total Hardware Costs
(Monthly)]</f>
        <v>1003.9</v>
      </c>
      <c r="ET60" s="559">
        <f>IFERROR(IF(FIND("Safenet",HostBuild[Server Model]),Safenet_PSE_PL600_Maint,0),0)+IFERROR(IF(FIND("XI52",HostBuild[Server Model]),IBM_DIA_XI52_Maint,0),0)+HostBuild[Software Costs
'[After Year 1']
(Monthly)]+HostBuild[Total Hardware Costs
(Monthly)]</f>
        <v>1003.9</v>
      </c>
      <c r="EU60" s="560">
        <f>SUM(HostBuild[[#This Row],[Server Cost Breakdown]:[Network Cost]])</f>
        <v>1003.9</v>
      </c>
      <c r="EV60" s="561">
        <f>IF(HostBuild[Existing Server?]="Yes - Inside this BoM",0,SUMIF(HostBuild[Alias],HostBuild[Alias],HostBuild[CPU])+SUMIF(HostBuild[Alias],HostBuild[Alias],HostBuild[Existing CPUs]))</f>
        <v>2</v>
      </c>
      <c r="EW60" s="561">
        <f>IF(HostBuild[Existing Server?]="Yes - Inside this BoM",0,SUMIF(HostBuild[Alias],HostBuild[Alias],HostBuild[Cores 
(Licensed Units)])+SUMIF(HostBuild[Alias],HostBuild[Alias],HostBuild[Existing Cores]))</f>
        <v>0</v>
      </c>
      <c r="EX60" s="561">
        <f>IF(HostBuild[Existing Server?]="Yes - Inside this BoM",0,SUMIF(HostBuild[Alias],HostBuild[Alias],HostBuild[RAM 
(GB)])+SUMIF(HostBuild[Alias],HostBuild[Alias],HostBuild[Existing RAM (GB)]))</f>
        <v>256</v>
      </c>
      <c r="EY6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0" s="560">
        <f>IF(ISBLANK(HostBuild[Server Model]),0,IF(HostBuild[Server Tier]="VMware",0,VLOOKUP(HostBuild[Server Tier],ServerTierRates[#Data],2,0))*HostBuild[CPU]*IF(AND(HostBuild[Server Type]="pSeries",HostBuild[Virtual Platform Storage Type]="Cloud-SAN"),0.25,1))</f>
        <v>608</v>
      </c>
      <c r="FD60" s="560">
        <f>0</f>
        <v>0</v>
      </c>
      <c r="FE60" s="560">
        <f>IF(HostBuild[Server Type]="VMware",HostBuild[RAM 
(GB)]*IF(ISERROR(FIND("DevCloud", HostBuild[Server Model])&gt;0),vRAM_per_vCPU_2014_Monthly,vRAM_per_vCPU_2014_Daily*30),0)</f>
        <v>0</v>
      </c>
      <c r="FF6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6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0" s="563">
        <f>IF(HostBuild[Server Tier]="VMware",0,IF(LEFT(HostBuild[Existing Server?],3)="Yes",0,IF(OR(HostBuild[Server Type]="Sun",HostBuild[Server Type]="pSeries"),Support_Direct_Server_Sun_per_OS_2014,IF(HostBuild[Server Type]="x86",Support_Direct_Server_x86_Wintel_per_OS_2014,0))))</f>
        <v>187.1</v>
      </c>
      <c r="FI6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1" spans="1:165" s="139" customFormat="1" ht="15" customHeight="1">
      <c r="A61" s="360" t="s">
        <v>3942</v>
      </c>
      <c r="B61" s="521"/>
      <c r="C61" s="521"/>
      <c r="D61" s="521"/>
      <c r="E61" s="522"/>
      <c r="F61" s="522"/>
      <c r="G61" s="597"/>
      <c r="H61" s="597"/>
      <c r="I61" s="523"/>
      <c r="J61" s="522"/>
      <c r="K61" s="522"/>
      <c r="L61" s="522"/>
      <c r="M61" s="597" t="e">
        <f ca="1">IF(rngIsDate(HostBuild[CTO Acceptance]),"Y","N")</f>
        <v>#NAME?</v>
      </c>
      <c r="N61" s="361" t="s">
        <v>3939</v>
      </c>
      <c r="O61" s="525"/>
      <c r="P61" s="525"/>
      <c r="Q61" s="361" t="s">
        <v>211</v>
      </c>
      <c r="R61" s="526" t="str">
        <f>IF(NOT(ISBLANK(HostBuild[Env Label])),IFERROR(VLOOKUP(HostBuild[Env Label],tEnv[],3,FALSE),""),"")</f>
        <v>COB</v>
      </c>
      <c r="S61" s="598"/>
      <c r="T61" s="527"/>
      <c r="U61" s="599"/>
      <c r="V61" s="524" t="s">
        <v>4006</v>
      </c>
      <c r="W61" s="524" t="s">
        <v>3941</v>
      </c>
      <c r="X61" s="524" t="s">
        <v>35</v>
      </c>
      <c r="Y61" s="361" t="s">
        <v>481</v>
      </c>
      <c r="Z61" s="526" t="str">
        <f>IF(NOT(ISBLANK(HostBuild[[#This Row],[Product 
(Acronym)]])),CONCATENATE(HostBuild[[#This Row],[Type]],"-",HostBuild[[#This Row],[Product 
(Acronym)]]),"")</f>
        <v>AP-ESB</v>
      </c>
      <c r="AA61" s="600"/>
      <c r="AB61" s="600" t="s">
        <v>105</v>
      </c>
      <c r="AC61" s="528"/>
      <c r="AD61" s="529"/>
      <c r="AE61" s="529"/>
      <c r="AF61" s="530"/>
      <c r="AG61" s="531"/>
      <c r="AH61" s="601"/>
      <c r="AI61" s="362" t="s">
        <v>3973</v>
      </c>
      <c r="AJ61" s="524">
        <f>IF(COUNTIF(HostBuild[Alias],HostBuild[Alias]),1/COUNTIF(HostBuild[Alias],HostBuild[Alias]),0)</f>
        <v>1</v>
      </c>
      <c r="AK61" s="531"/>
      <c r="AL61" s="531"/>
      <c r="AM61" s="532" t="s">
        <v>2173</v>
      </c>
      <c r="AN61" s="533" t="str">
        <f>IF(NOT(ISBLANK(HostBuild[Server Model])),VLOOKUP(HostBuild[Server Model],ServerModelsTier[],2,FALSE),"")</f>
        <v>x86 Tier 3</v>
      </c>
      <c r="AO61" s="533" t="str">
        <f>IF(NOT(ISBLANK(HostBuild[Server Model])),VLOOKUP(HostBuild[Server Model],ServerModelsTier[],5,FALSE),"")</f>
        <v>x86</v>
      </c>
      <c r="AP61" s="532"/>
      <c r="AQ61" s="532" t="s">
        <v>2337</v>
      </c>
      <c r="AR61" s="534">
        <v>2</v>
      </c>
      <c r="AS61" s="602"/>
      <c r="AT61" s="535"/>
      <c r="AU61" s="603" t="str">
        <f>IF(IFERROR(FIND("P-Series",HostBuild[Server Tier]),0),CEILING((HostBuild[Existing CPUs]+HostBuild[CPU])*16,8),"")</f>
        <v/>
      </c>
      <c r="AV61" s="536">
        <v>256</v>
      </c>
      <c r="AW61" s="531"/>
      <c r="AX61" s="531"/>
      <c r="AY61" s="531"/>
      <c r="AZ61" s="537"/>
      <c r="BA61" s="531"/>
      <c r="BB61" s="531"/>
      <c r="BC61" s="529"/>
      <c r="BD61" s="531"/>
      <c r="BE61" s="531"/>
      <c r="BF61" s="531"/>
      <c r="BG61" s="531"/>
      <c r="BH61" s="531"/>
      <c r="BI61" s="531"/>
      <c r="BJ61" s="531"/>
      <c r="BK61" s="604"/>
      <c r="BL61" s="538"/>
      <c r="BM61" s="540">
        <f>IF(ISNUMBER(HostBuild[Recommended SAN (GB)]),HostBuild[Recommended SAN (GB)])+IF(HostBuild[Additional SAN (GB)]&gt;0,CEILING(HostBuild[Additional SAN (GB)],LUN),-(CEILING(-HostBuild[Additional SAN (GB)],LUN)))</f>
        <v>0</v>
      </c>
      <c r="BN61" s="539"/>
      <c r="BO61" s="540">
        <f>HostBuild[SAN (GB)
NEEDED TODAY]+CEILING(HostBuild[SAN (GB)
RESERVED
DO NOT USE TO BUILD], LUN)</f>
        <v>0</v>
      </c>
      <c r="BP61" s="541"/>
      <c r="BQ61" s="542"/>
      <c r="BR61" s="432" t="s">
        <v>106</v>
      </c>
      <c r="BS61" s="605">
        <f>IF(HostBuild[Existing Server?]&lt;&gt;"Yes - Inside this BoM",IF(ISNUMBER(HostBuild[RAM 
(GB)]),IF(HostBuild[Existing RAM (GB)]+HostBuild[RAM 
(GB)]&gt;0,IF(HostBuild[Virtual Platform Storage Type]="NAS",110+HostBuild[Existing RAM (GB)]+HostBuild[RAM 
(GB)]*1.75,0),0),0),0)</f>
        <v>0</v>
      </c>
      <c r="BT61" s="606"/>
      <c r="BU61" s="607">
        <f>IF(ISNUMBER(HostBuild[Recommended NAS (GB)]),HostBuild[Recommended NAS (GB)])+HostBuild[Additional NAS (GB)]</f>
        <v>0</v>
      </c>
      <c r="BV61" s="543"/>
      <c r="BW61" s="543"/>
      <c r="BX61" s="604">
        <f>IFERROR((HostBuild[SAN (GB)
End-State
DO NOT USE TO BUILD]+HostBuild[SAN (GB) Shared])*25%,"")</f>
        <v>0</v>
      </c>
      <c r="BY61" s="608">
        <f>IFERROR(HostBuild[Archive
Full (GB)]*15%,"")</f>
        <v>0</v>
      </c>
      <c r="BZ61" s="544"/>
      <c r="CA61" s="544"/>
      <c r="CB61" s="545"/>
      <c r="CC61" s="546"/>
      <c r="CD61" s="545"/>
      <c r="CE61" s="547"/>
      <c r="CF61" s="539"/>
      <c r="CG61" s="609"/>
      <c r="CH61" s="548"/>
      <c r="CI61" s="549"/>
      <c r="CJ61" s="550"/>
      <c r="CK61" s="551"/>
      <c r="CL61" s="552">
        <f>IFERROR(IF(FIND(CL$1,$W61)&gt;0,IF(INDEX(Product_Pricing_Table[],MATCH(CL$1,Products,0),2)="Cores",IF(HostBuild[Use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1" s="552">
        <f>IFERROR(IF(FIND(CM$1,$W61)&gt;0,IF(INDEX(Product_Pricing_Table[],MATCH(CM$1,Products,0),2)="Cores",IF(HostBuild[Use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61" s="552">
        <f>IFERROR(IF(FIND(CN$1,$W61)&gt;0,IF(INDEX(Product_Pricing_Table[],MATCH(CN$1,Products,0),2)="Cores",IF(HostBuild[Use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1" s="552">
        <f>IFERROR(IF(FIND(CO$1,$W61)&gt;0,IF(INDEX(Product_Pricing_Table[],MATCH(CO$1,Products,0),2)="Cores",IF(HostBuild[Use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1" s="552">
        <f>IFERROR(IF(FIND(CP$1,$W61)&gt;0,IF(INDEX(Product_Pricing_Table[],MATCH(CP$1,Products,0),2)="Cores",IF(HostBuild[Use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1" s="552">
        <f>IFERROR(IF(FIND(CQ$1,$W61)&gt;0,IF(INDEX(Product_Pricing_Table[],MATCH(CQ$1,Products,0),2)="Cores",IF(HostBuild[Use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1" s="552">
        <f>IFERROR(IF(FIND(CR$1,$W61)&gt;0,IF(INDEX(Product_Pricing_Table[],MATCH(CR$1,Products,0),2)="Cores",IF(HostBuild[Use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1" s="552">
        <f>IFERROR(IF(FIND(CS$1,$W61)&gt;0,IF(INDEX(Product_Pricing_Table[],MATCH(CS$1,Products,0),2)="Cores",IF(HostBuild[Use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1" s="552">
        <f>IFERROR(IF(FIND(CT$1,$W61)&gt;0,IF(INDEX(Product_Pricing_Table[],MATCH(CT$1,Products,0),2)="Cores",IF(HostBuild[Use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1" s="552">
        <f>IFERROR(IF(FIND(CU$1,$W61)&gt;0,IF(INDEX(Product_Pricing_Table[],MATCH(CU$1,Products,0),2)="Cores",IF(HostBuild[Use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1" s="552">
        <f>IFERROR(IF(FIND(CV$1,$W61)&gt;0,IF(INDEX(Product_Pricing_Table[],MATCH(CV$1,Products,0),2)="Cores",IF(HostBuild[Use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1" s="552">
        <f>IFERROR(IF(FIND(CW$1,$W61)&gt;0,IF(INDEX(Product_Pricing_Table[],MATCH(CW$1,Products,0),2)="Cores",IF(HostBuild[Use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1" s="552">
        <f>IFERROR(IF(FIND(CX$1,$W61)&gt;0,IF(INDEX(Product_Pricing_Table[],MATCH(CX$1,Products,0),2)="Cores",IF(HostBuild[Use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1" s="552">
        <f>IFERROR(IF(FIND(CY$1,$W61)&gt;0,IF(INDEX(Product_Pricing_Table[],MATCH(CY$1,Products,0),2)="Cores",IF(HostBuild[Use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1" s="552">
        <f>IFERROR(IF(FIND(CZ$1,$W61)&gt;0,IF(INDEX(Product_Pricing_Table[],MATCH(CZ$1,Products,0),2)="Cores",IF(HostBuild[Use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1" s="552">
        <f>IFERROR(IF(FIND(DA$1,$W61)&gt;0,IF(INDEX(Product_Pricing_Table[],MATCH(DA$1,Products,0),2)="Cores",IF(HostBuild[Use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1" s="552">
        <f>IFERROR(IF(FIND(DB$1,$W61)&gt;0,IF(INDEX(Product_Pricing_Table[],MATCH(DB$1,Products,0),2)="Cores",IF(HostBuild[Use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1" s="552">
        <f>IFERROR(IF(FIND(DC$1,$W61)&gt;0,IF(INDEX(Product_Pricing_Table[],MATCH(DC$1,Products,0),2)="Cores",IF(HostBuild[Use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1" s="552">
        <f>IFERROR(IF(FIND(DD$1,$W61)&gt;0,IF(INDEX(Product_Pricing_Table[],MATCH(DD$1,Products,0),2)="Cores",IF(HostBuild[Use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1" s="552">
        <f>IFERROR(IF(FIND(DE$1,$W61)&gt;0,IF(INDEX(Product_Pricing_Table[],MATCH(DE$1,Products,0),2)="Cores",IF(HostBuild[Use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1" s="553">
        <f>IFERROR(IF(FIND(DF$1,$W61)&gt;0,IF(INDEX(Product_Pricing_Table[],MATCH(DF$1,Products,0),2)="Cores",IF(HostBuild[Use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1" s="553">
        <f>IFERROR(IF(FIND(DG$1,$W61)&gt;0,IF(INDEX(Product_Pricing_Table[],MATCH(DG$1,Products,0),2)="Cores",IF(HostBuild[Use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1" s="552">
        <f>IFERROR(IF(FIND(DH$1,$W61)&gt;0,IF(INDEX(Product_Pricing_Table[],MATCH(DH$1,Products,0),2)="Cores",IF(HostBuild[Use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1" s="553">
        <f>IFERROR(IF(FIND(DI$1,$W61)&gt;0,IF(INDEX(Product_Pricing_Table[],MATCH(DI$1,Products,0),2)="Cores",IF(HostBuild[Use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1" s="552">
        <f>IFERROR(IF(FIND(DJ$1,$W61)&gt;0,IF(INDEX(Product_Pricing_Table[],MATCH(DJ$1,Products,0),2)="Cores",IF(HostBuild[Use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1" s="552">
        <f>IFERROR(IF(FIND(DK$1,$W61)&gt;0,IF(INDEX(Product_Pricing_Table[],MATCH(DK$1,Products,0),2)="Cores",IF(HostBuild[Use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1" s="552">
        <f>IFERROR(IF(FIND(DL$1,$W61)&gt;0,IF(INDEX(Product_Pricing_Table[],MATCH(DL$1,Products,0),2)="Cores",IF(HostBuild[Use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1" s="552">
        <f>IFERROR(IF(FIND(DM$1,$W61)&gt;0,IF(INDEX(Product_Pricing_Table[],MATCH(DM$1,Products,0),2)="Cores",IF(HostBuild[Use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1" s="552">
        <f>IFERROR(IF(FIND(DN$1,$W61)&gt;0,IF(INDEX(Product_Pricing_Table[],MATCH(DN$1,Products,0),2)="Cores",IF(HostBuild[Use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1" s="552">
        <f>IFERROR(IF(FIND(DO$1,$W61)&gt;0,IF(INDEX(Product_Pricing_Table[],MATCH(DO$1,Products,0),2)="Cores",IF(HostBuild[Use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1" s="552">
        <f>IFERROR(IF(FIND(DP$1,$W61)&gt;0,IF(INDEX(Product_Pricing_Table[],MATCH(DP$1,Products,0),2)="Cores",IF(HostBuild[Use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1" s="552">
        <f>IFERROR(IF(FIND(DQ$1,$W61)&gt;0,IF(INDEX(Product_Pricing_Table[],MATCH(DQ$1,Products,0),2)="Cores",IF(HostBuild[Use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1" s="552">
        <f>IFERROR(IF(FIND(DR$1,$W61)&gt;0,IF(INDEX(Product_Pricing_Table[],MATCH(DR$1,Products,0),2)="Cores",IF(HostBuild[Use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1" s="552">
        <f>IFERROR(IF(FIND(DS$1,$W61)&gt;0,IF(INDEX(Product_Pricing_Table[],MATCH(DS$1,Products,0),2)="Cores",IF(HostBuild[Use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1" s="552">
        <f>IFERROR(IF(FIND(DT$1,$W61)&gt;0,IF(INDEX(Product_Pricing_Table[],MATCH(DT$1,Products,0),2)="Cores",IF(HostBuild[Use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1" s="552">
        <f>IFERROR(IF(FIND(DU$1,$W61)&gt;0,IF(INDEX(Product_Pricing_Table[],MATCH(DU$1,Products,0),2)="Cores",IF(HostBuild[Use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1" s="552">
        <f>IFERROR(IF(FIND(DV$1,$W61)&gt;0,IF(INDEX(Product_Pricing_Table[],MATCH(DV$1,Products,0),2)="Cores",IF(HostBuild[Use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1" s="552">
        <f>IFERROR(IF(FIND(DW$1,$W61)&gt;0,IF(INDEX(Product_Pricing_Table[],MATCH(DW$1,Products,0),2)="Cores",IF(HostBuild[Use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1" s="552">
        <f>IFERROR(IF(FIND(DX$1,$W61)&gt;0,IF(INDEX(Product_Pricing_Table[],MATCH(DX$1,Products,0),2)="Cores",IF(HostBuild[Use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1" s="552">
        <f>IFERROR(IF(FIND(DY$1,$W61)&gt;0,IF(INDEX(Product_Pricing_Table[],MATCH(DY$1,Products,0),2)="Cores",IF(HostBuild[Use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1" s="552">
        <f>IFERROR(IF(FIND(DZ$1,$W61)&gt;0,IF(INDEX(Product_Pricing_Table[],MATCH(DZ$1,Products,0),2)="Cores",IF(HostBuild[Use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1" s="552">
        <f>IFERROR(IF(FIND(EA$1,$W61)&gt;0,IF(INDEX(Product_Pricing_Table[],MATCH(EA$1,Products,0),2)="Cores",IF(HostBuild[Use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1" s="552">
        <f>IFERROR(IF(FIND(EB$1,$W61)&gt;0,IF(INDEX(Product_Pricing_Table[],MATCH(EB$1,Products,0),2)="Cores",IF(HostBuild[Use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1" s="553">
        <f>IFERROR(IF(FIND(EC$1,$W61)&gt;0,IF(INDEX(Product_Pricing_Table[],MATCH(EC$1,Products,0),2)="Cores",IF(HostBuild[Use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1" s="552">
        <f>IFERROR(IF(FIND(ED$1,$W61)&gt;0,IF(INDEX(Product_Pricing_Table[],MATCH(ED$1,Products,0),2)="Cores",IF(HostBuild[Use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1" s="552">
        <f>IFERROR(IF(FIND(EE$1,$W61)&gt;0,IF(INDEX(Product_Pricing_Table[],MATCH(EE$1,Products,0),2)="Cores",IF(HostBuild[Use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1" s="552">
        <f>IFERROR(IF(FIND(EF$1,$W61)&gt;0,IF(INDEX(Product_Pricing_Table[],MATCH(EF$1,Products,0),2)="Cores",IF(HostBuild[Use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1" s="552">
        <f>IFERROR(IF(FIND(EG$1,$W61)&gt;0,IF(INDEX(Product_Pricing_Table[],MATCH(EG$1,Products,0),2)="Cores",IF(HostBuild[Use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1" s="552">
        <f>IFERROR(IF(FIND(EH$1,$W61)&gt;0,IF(INDEX(Product_Pricing_Table[],MATCH(EH$1,Products,0),2)="Cores",IF(HostBuild[Use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1" s="552">
        <f>IFERROR(IF(FIND(EI$1,$W61)&gt;0,IF(INDEX(Product_Pricing_Table[],MATCH(EI$1,Products,0),2)="Cores",IF(HostBuild[Use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1" s="552">
        <f>IFERROR(IF(FIND(EJ$1,$W61)&gt;0,IF(INDEX(Product_Pricing_Table[],MATCH(EJ$1,Products,0),2)="Cores",IF(HostBuild[Use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1" s="553">
        <f>IFERROR(IF(FIND(EK$1,$W61)&gt;0,IF(INDEX(Product_Pricing_Table[],MATCH(EK$1,Products,0),2)="Cores",IF(HostBuild[Use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1" s="554"/>
      <c r="EM61" s="555"/>
      <c r="EN61" s="556"/>
      <c r="EO6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6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1" s="558">
        <f>(HostBuild[Archive
Full (GB)]+HostBuild[Archive
Incr (GB)])*Storage_DC_Dist_Tape_2014</f>
        <v>0</v>
      </c>
      <c r="ER61" s="558">
        <f>IF(ISNUMBER(HostBuild[Server HW Costs
(Monthly)]),SUM(HostBuild[[#This Row],[Server HW Costs
(Monthly)]:[Tape Costs
(Monthly)]]),0)</f>
        <v>1003.9</v>
      </c>
      <c r="ES61" s="559">
        <f>HostBuild[Software Costs
'[Year 1']
(Monthly)]+HostBuild[Total Hardware Costs
(Monthly)]</f>
        <v>1003.9</v>
      </c>
      <c r="ET61" s="559">
        <f>IFERROR(IF(FIND("Safenet",HostBuild[Server Model]),Safenet_PSE_PL600_Maint,0),0)+IFERROR(IF(FIND("XI52",HostBuild[Server Model]),IBM_DIA_XI52_Maint,0),0)+HostBuild[Software Costs
'[After Year 1']
(Monthly)]+HostBuild[Total Hardware Costs
(Monthly)]</f>
        <v>1003.9</v>
      </c>
      <c r="EU61" s="560">
        <f>SUM(HostBuild[[#This Row],[Server Cost Breakdown]:[Network Cost]])</f>
        <v>1003.9</v>
      </c>
      <c r="EV61" s="561">
        <f>IF(HostBuild[Existing Server?]="Yes - Inside this BoM",0,SUMIF(HostBuild[Alias],HostBuild[Alias],HostBuild[CPU])+SUMIF(HostBuild[Alias],HostBuild[Alias],HostBuild[Existing CPUs]))</f>
        <v>2</v>
      </c>
      <c r="EW61" s="561">
        <f>IF(HostBuild[Existing Server?]="Yes - Inside this BoM",0,SUMIF(HostBuild[Alias],HostBuild[Alias],HostBuild[Cores 
(Licensed Units)])+SUMIF(HostBuild[Alias],HostBuild[Alias],HostBuild[Existing Cores]))</f>
        <v>0</v>
      </c>
      <c r="EX61" s="561">
        <f>IF(HostBuild[Existing Server?]="Yes - Inside this BoM",0,SUMIF(HostBuild[Alias],HostBuild[Alias],HostBuild[RAM 
(GB)])+SUMIF(HostBuild[Alias],HostBuild[Alias],HostBuild[Existing RAM (GB)]))</f>
        <v>256</v>
      </c>
      <c r="EY6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1" s="560">
        <f>IF(ISBLANK(HostBuild[Server Model]),0,IF(HostBuild[Server Tier]="VMware",0,VLOOKUP(HostBuild[Server Tier],ServerTierRates[#Data],2,0))*HostBuild[CPU]*IF(AND(HostBuild[Server Type]="pSeries",HostBuild[Virtual Platform Storage Type]="Cloud-SAN"),0.25,1))</f>
        <v>608</v>
      </c>
      <c r="FD61" s="560">
        <f>0</f>
        <v>0</v>
      </c>
      <c r="FE61" s="560">
        <f>IF(HostBuild[Server Type]="VMware",HostBuild[RAM 
(GB)]*IF(ISERROR(FIND("DevCloud", HostBuild[Server Model])&gt;0),vRAM_per_vCPU_2014_Monthly,vRAM_per_vCPU_2014_Daily*30),0)</f>
        <v>0</v>
      </c>
      <c r="FF6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6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1" s="563">
        <f>IF(HostBuild[Server Tier]="VMware",0,IF(LEFT(HostBuild[Existing Server?],3)="Yes",0,IF(OR(HostBuild[Server Type]="Sun",HostBuild[Server Type]="pSeries"),Support_Direct_Server_Sun_per_OS_2014,IF(HostBuild[Server Type]="x86",Support_Direct_Server_x86_Wintel_per_OS_2014,0))))</f>
        <v>187.1</v>
      </c>
      <c r="FI6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2" spans="1:165" s="139" customFormat="1" ht="15" customHeight="1">
      <c r="A62" s="360" t="s">
        <v>3942</v>
      </c>
      <c r="B62" s="521"/>
      <c r="C62" s="521"/>
      <c r="D62" s="521"/>
      <c r="E62" s="522"/>
      <c r="F62" s="522"/>
      <c r="G62" s="597"/>
      <c r="H62" s="597"/>
      <c r="I62" s="523"/>
      <c r="J62" s="522"/>
      <c r="K62" s="522"/>
      <c r="L62" s="522"/>
      <c r="M62" s="597" t="e">
        <f ca="1">IF(rngIsDate(HostBuild[CTO Acceptance]),"Y","N")</f>
        <v>#NAME?</v>
      </c>
      <c r="N62" s="361" t="s">
        <v>3939</v>
      </c>
      <c r="O62" s="525"/>
      <c r="P62" s="525"/>
      <c r="Q62" s="361" t="s">
        <v>211</v>
      </c>
      <c r="R62" s="526" t="str">
        <f>IF(NOT(ISBLANK(HostBuild[Env Label])),IFERROR(VLOOKUP(HostBuild[Env Label],tEnv[],3,FALSE),""),"")</f>
        <v>COB</v>
      </c>
      <c r="S62" s="598"/>
      <c r="T62" s="527"/>
      <c r="U62" s="599"/>
      <c r="V62" s="524" t="s">
        <v>4006</v>
      </c>
      <c r="W62" s="524" t="s">
        <v>3941</v>
      </c>
      <c r="X62" s="524" t="s">
        <v>35</v>
      </c>
      <c r="Y62" s="361" t="s">
        <v>481</v>
      </c>
      <c r="Z62" s="526" t="str">
        <f>IF(NOT(ISBLANK(HostBuild[[#This Row],[Product 
(Acronym)]])),CONCATENATE(HostBuild[[#This Row],[Type]],"-",HostBuild[[#This Row],[Product 
(Acronym)]]),"")</f>
        <v>AP-ESB</v>
      </c>
      <c r="AA62" s="600"/>
      <c r="AB62" s="600" t="s">
        <v>105</v>
      </c>
      <c r="AC62" s="528"/>
      <c r="AD62" s="529"/>
      <c r="AE62" s="529"/>
      <c r="AF62" s="530"/>
      <c r="AG62" s="531"/>
      <c r="AH62" s="601"/>
      <c r="AI62" s="362" t="s">
        <v>3974</v>
      </c>
      <c r="AJ62" s="524">
        <f>IF(COUNTIF(HostBuild[Alias],HostBuild[Alias]),1/COUNTIF(HostBuild[Alias],HostBuild[Alias]),0)</f>
        <v>1</v>
      </c>
      <c r="AK62" s="531"/>
      <c r="AL62" s="531"/>
      <c r="AM62" s="532" t="s">
        <v>2173</v>
      </c>
      <c r="AN62" s="533" t="str">
        <f>IF(NOT(ISBLANK(HostBuild[Server Model])),VLOOKUP(HostBuild[Server Model],ServerModelsTier[],2,FALSE),"")</f>
        <v>x86 Tier 3</v>
      </c>
      <c r="AO62" s="533" t="str">
        <f>IF(NOT(ISBLANK(HostBuild[Server Model])),VLOOKUP(HostBuild[Server Model],ServerModelsTier[],5,FALSE),"")</f>
        <v>x86</v>
      </c>
      <c r="AP62" s="532"/>
      <c r="AQ62" s="532" t="s">
        <v>2337</v>
      </c>
      <c r="AR62" s="534">
        <v>2</v>
      </c>
      <c r="AS62" s="602"/>
      <c r="AT62" s="535"/>
      <c r="AU62" s="603" t="str">
        <f>IF(IFERROR(FIND("P-Series",HostBuild[Server Tier]),0),CEILING((HostBuild[Existing CPUs]+HostBuild[CPU])*16,8),"")</f>
        <v/>
      </c>
      <c r="AV62" s="536">
        <v>256</v>
      </c>
      <c r="AW62" s="531"/>
      <c r="AX62" s="531"/>
      <c r="AY62" s="531"/>
      <c r="AZ62" s="537"/>
      <c r="BA62" s="531"/>
      <c r="BB62" s="531"/>
      <c r="BC62" s="529"/>
      <c r="BD62" s="531"/>
      <c r="BE62" s="531"/>
      <c r="BF62" s="531"/>
      <c r="BG62" s="531"/>
      <c r="BH62" s="531"/>
      <c r="BI62" s="531"/>
      <c r="BJ62" s="531"/>
      <c r="BK62" s="604"/>
      <c r="BL62" s="538"/>
      <c r="BM62" s="540">
        <f>IF(ISNUMBER(HostBuild[Recommended SAN (GB)]),HostBuild[Recommended SAN (GB)])+IF(HostBuild[Additional SAN (GB)]&gt;0,CEILING(HostBuild[Additional SAN (GB)],LUN),-(CEILING(-HostBuild[Additional SAN (GB)],LUN)))</f>
        <v>0</v>
      </c>
      <c r="BN62" s="539"/>
      <c r="BO62" s="540">
        <f>HostBuild[SAN (GB)
NEEDED TODAY]+CEILING(HostBuild[SAN (GB)
RESERVED
DO NOT USE TO BUILD], LUN)</f>
        <v>0</v>
      </c>
      <c r="BP62" s="541"/>
      <c r="BQ62" s="542"/>
      <c r="BR62" s="432" t="s">
        <v>106</v>
      </c>
      <c r="BS62" s="605">
        <f>IF(HostBuild[Existing Server?]&lt;&gt;"Yes - Inside this BoM",IF(ISNUMBER(HostBuild[RAM 
(GB)]),IF(HostBuild[Existing RAM (GB)]+HostBuild[RAM 
(GB)]&gt;0,IF(HostBuild[Virtual Platform Storage Type]="NAS",110+HostBuild[Existing RAM (GB)]+HostBuild[RAM 
(GB)]*1.75,0),0),0),0)</f>
        <v>0</v>
      </c>
      <c r="BT62" s="606"/>
      <c r="BU62" s="607">
        <f>IF(ISNUMBER(HostBuild[Recommended NAS (GB)]),HostBuild[Recommended NAS (GB)])+HostBuild[Additional NAS (GB)]</f>
        <v>0</v>
      </c>
      <c r="BV62" s="543"/>
      <c r="BW62" s="543"/>
      <c r="BX62" s="604">
        <f>IFERROR((HostBuild[SAN (GB)
End-State
DO NOT USE TO BUILD]+HostBuild[SAN (GB) Shared])*25%,"")</f>
        <v>0</v>
      </c>
      <c r="BY62" s="608">
        <f>IFERROR(HostBuild[Archive
Full (GB)]*15%,"")</f>
        <v>0</v>
      </c>
      <c r="BZ62" s="544"/>
      <c r="CA62" s="544"/>
      <c r="CB62" s="545"/>
      <c r="CC62" s="546"/>
      <c r="CD62" s="545"/>
      <c r="CE62" s="547"/>
      <c r="CF62" s="539"/>
      <c r="CG62" s="609"/>
      <c r="CH62" s="548"/>
      <c r="CI62" s="549"/>
      <c r="CJ62" s="550"/>
      <c r="CK62" s="551"/>
      <c r="CL62" s="552">
        <f>IFERROR(IF(FIND(CL$1,$W62)&gt;0,IF(INDEX(Product_Pricing_Table[],MATCH(CL$1,Products,0),2)="Cores",IF(HostBuild[Use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2" s="552">
        <f>IFERROR(IF(FIND(CM$1,$W62)&gt;0,IF(INDEX(Product_Pricing_Table[],MATCH(CM$1,Products,0),2)="Cores",IF(HostBuild[Use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62" s="552">
        <f>IFERROR(IF(FIND(CN$1,$W62)&gt;0,IF(INDEX(Product_Pricing_Table[],MATCH(CN$1,Products,0),2)="Cores",IF(HostBuild[Use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2" s="552">
        <f>IFERROR(IF(FIND(CO$1,$W62)&gt;0,IF(INDEX(Product_Pricing_Table[],MATCH(CO$1,Products,0),2)="Cores",IF(HostBuild[Use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2" s="552">
        <f>IFERROR(IF(FIND(CP$1,$W62)&gt;0,IF(INDEX(Product_Pricing_Table[],MATCH(CP$1,Products,0),2)="Cores",IF(HostBuild[Use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2" s="552">
        <f>IFERROR(IF(FIND(CQ$1,$W62)&gt;0,IF(INDEX(Product_Pricing_Table[],MATCH(CQ$1,Products,0),2)="Cores",IF(HostBuild[Use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2" s="552">
        <f>IFERROR(IF(FIND(CR$1,$W62)&gt;0,IF(INDEX(Product_Pricing_Table[],MATCH(CR$1,Products,0),2)="Cores",IF(HostBuild[Use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2" s="552">
        <f>IFERROR(IF(FIND(CS$1,$W62)&gt;0,IF(INDEX(Product_Pricing_Table[],MATCH(CS$1,Products,0),2)="Cores",IF(HostBuild[Use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2" s="552">
        <f>IFERROR(IF(FIND(CT$1,$W62)&gt;0,IF(INDEX(Product_Pricing_Table[],MATCH(CT$1,Products,0),2)="Cores",IF(HostBuild[Use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2" s="552">
        <f>IFERROR(IF(FIND(CU$1,$W62)&gt;0,IF(INDEX(Product_Pricing_Table[],MATCH(CU$1,Products,0),2)="Cores",IF(HostBuild[Use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2" s="552">
        <f>IFERROR(IF(FIND(CV$1,$W62)&gt;0,IF(INDEX(Product_Pricing_Table[],MATCH(CV$1,Products,0),2)="Cores",IF(HostBuild[Use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2" s="552">
        <f>IFERROR(IF(FIND(CW$1,$W62)&gt;0,IF(INDEX(Product_Pricing_Table[],MATCH(CW$1,Products,0),2)="Cores",IF(HostBuild[Use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2" s="552">
        <f>IFERROR(IF(FIND(CX$1,$W62)&gt;0,IF(INDEX(Product_Pricing_Table[],MATCH(CX$1,Products,0),2)="Cores",IF(HostBuild[Use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2" s="552">
        <f>IFERROR(IF(FIND(CY$1,$W62)&gt;0,IF(INDEX(Product_Pricing_Table[],MATCH(CY$1,Products,0),2)="Cores",IF(HostBuild[Use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2" s="552">
        <f>IFERROR(IF(FIND(CZ$1,$W62)&gt;0,IF(INDEX(Product_Pricing_Table[],MATCH(CZ$1,Products,0),2)="Cores",IF(HostBuild[Use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2" s="552">
        <f>IFERROR(IF(FIND(DA$1,$W62)&gt;0,IF(INDEX(Product_Pricing_Table[],MATCH(DA$1,Products,0),2)="Cores",IF(HostBuild[Use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2" s="552">
        <f>IFERROR(IF(FIND(DB$1,$W62)&gt;0,IF(INDEX(Product_Pricing_Table[],MATCH(DB$1,Products,0),2)="Cores",IF(HostBuild[Use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2" s="552">
        <f>IFERROR(IF(FIND(DC$1,$W62)&gt;0,IF(INDEX(Product_Pricing_Table[],MATCH(DC$1,Products,0),2)="Cores",IF(HostBuild[Use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2" s="552">
        <f>IFERROR(IF(FIND(DD$1,$W62)&gt;0,IF(INDEX(Product_Pricing_Table[],MATCH(DD$1,Products,0),2)="Cores",IF(HostBuild[Use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2" s="552">
        <f>IFERROR(IF(FIND(DE$1,$W62)&gt;0,IF(INDEX(Product_Pricing_Table[],MATCH(DE$1,Products,0),2)="Cores",IF(HostBuild[Use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2" s="553">
        <f>IFERROR(IF(FIND(DF$1,$W62)&gt;0,IF(INDEX(Product_Pricing_Table[],MATCH(DF$1,Products,0),2)="Cores",IF(HostBuild[Use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2" s="553">
        <f>IFERROR(IF(FIND(DG$1,$W62)&gt;0,IF(INDEX(Product_Pricing_Table[],MATCH(DG$1,Products,0),2)="Cores",IF(HostBuild[Use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2" s="552">
        <f>IFERROR(IF(FIND(DH$1,$W62)&gt;0,IF(INDEX(Product_Pricing_Table[],MATCH(DH$1,Products,0),2)="Cores",IF(HostBuild[Use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2" s="553">
        <f>IFERROR(IF(FIND(DI$1,$W62)&gt;0,IF(INDEX(Product_Pricing_Table[],MATCH(DI$1,Products,0),2)="Cores",IF(HostBuild[Use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2" s="552">
        <f>IFERROR(IF(FIND(DJ$1,$W62)&gt;0,IF(INDEX(Product_Pricing_Table[],MATCH(DJ$1,Products,0),2)="Cores",IF(HostBuild[Use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2" s="552">
        <f>IFERROR(IF(FIND(DK$1,$W62)&gt;0,IF(INDEX(Product_Pricing_Table[],MATCH(DK$1,Products,0),2)="Cores",IF(HostBuild[Use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2" s="552">
        <f>IFERROR(IF(FIND(DL$1,$W62)&gt;0,IF(INDEX(Product_Pricing_Table[],MATCH(DL$1,Products,0),2)="Cores",IF(HostBuild[Use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2" s="552">
        <f>IFERROR(IF(FIND(DM$1,$W62)&gt;0,IF(INDEX(Product_Pricing_Table[],MATCH(DM$1,Products,0),2)="Cores",IF(HostBuild[Use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2" s="552">
        <f>IFERROR(IF(FIND(DN$1,$W62)&gt;0,IF(INDEX(Product_Pricing_Table[],MATCH(DN$1,Products,0),2)="Cores",IF(HostBuild[Use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2" s="552">
        <f>IFERROR(IF(FIND(DO$1,$W62)&gt;0,IF(INDEX(Product_Pricing_Table[],MATCH(DO$1,Products,0),2)="Cores",IF(HostBuild[Use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2" s="552">
        <f>IFERROR(IF(FIND(DP$1,$W62)&gt;0,IF(INDEX(Product_Pricing_Table[],MATCH(DP$1,Products,0),2)="Cores",IF(HostBuild[Use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2" s="552">
        <f>IFERROR(IF(FIND(DQ$1,$W62)&gt;0,IF(INDEX(Product_Pricing_Table[],MATCH(DQ$1,Products,0),2)="Cores",IF(HostBuild[Use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2" s="552">
        <f>IFERROR(IF(FIND(DR$1,$W62)&gt;0,IF(INDEX(Product_Pricing_Table[],MATCH(DR$1,Products,0),2)="Cores",IF(HostBuild[Use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2" s="552">
        <f>IFERROR(IF(FIND(DS$1,$W62)&gt;0,IF(INDEX(Product_Pricing_Table[],MATCH(DS$1,Products,0),2)="Cores",IF(HostBuild[Use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2" s="552">
        <f>IFERROR(IF(FIND(DT$1,$W62)&gt;0,IF(INDEX(Product_Pricing_Table[],MATCH(DT$1,Products,0),2)="Cores",IF(HostBuild[Use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2" s="552">
        <f>IFERROR(IF(FIND(DU$1,$W62)&gt;0,IF(INDEX(Product_Pricing_Table[],MATCH(DU$1,Products,0),2)="Cores",IF(HostBuild[Use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2" s="552">
        <f>IFERROR(IF(FIND(DV$1,$W62)&gt;0,IF(INDEX(Product_Pricing_Table[],MATCH(DV$1,Products,0),2)="Cores",IF(HostBuild[Use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2" s="552">
        <f>IFERROR(IF(FIND(DW$1,$W62)&gt;0,IF(INDEX(Product_Pricing_Table[],MATCH(DW$1,Products,0),2)="Cores",IF(HostBuild[Use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2" s="552">
        <f>IFERROR(IF(FIND(DX$1,$W62)&gt;0,IF(INDEX(Product_Pricing_Table[],MATCH(DX$1,Products,0),2)="Cores",IF(HostBuild[Use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2" s="552">
        <f>IFERROR(IF(FIND(DY$1,$W62)&gt;0,IF(INDEX(Product_Pricing_Table[],MATCH(DY$1,Products,0),2)="Cores",IF(HostBuild[Use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2" s="552">
        <f>IFERROR(IF(FIND(DZ$1,$W62)&gt;0,IF(INDEX(Product_Pricing_Table[],MATCH(DZ$1,Products,0),2)="Cores",IF(HostBuild[Use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2" s="552">
        <f>IFERROR(IF(FIND(EA$1,$W62)&gt;0,IF(INDEX(Product_Pricing_Table[],MATCH(EA$1,Products,0),2)="Cores",IF(HostBuild[Use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2" s="552">
        <f>IFERROR(IF(FIND(EB$1,$W62)&gt;0,IF(INDEX(Product_Pricing_Table[],MATCH(EB$1,Products,0),2)="Cores",IF(HostBuild[Use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2" s="553">
        <f>IFERROR(IF(FIND(EC$1,$W62)&gt;0,IF(INDEX(Product_Pricing_Table[],MATCH(EC$1,Products,0),2)="Cores",IF(HostBuild[Use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2" s="552">
        <f>IFERROR(IF(FIND(ED$1,$W62)&gt;0,IF(INDEX(Product_Pricing_Table[],MATCH(ED$1,Products,0),2)="Cores",IF(HostBuild[Use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2" s="552">
        <f>IFERROR(IF(FIND(EE$1,$W62)&gt;0,IF(INDEX(Product_Pricing_Table[],MATCH(EE$1,Products,0),2)="Cores",IF(HostBuild[Use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2" s="552">
        <f>IFERROR(IF(FIND(EF$1,$W62)&gt;0,IF(INDEX(Product_Pricing_Table[],MATCH(EF$1,Products,0),2)="Cores",IF(HostBuild[Use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2" s="552">
        <f>IFERROR(IF(FIND(EG$1,$W62)&gt;0,IF(INDEX(Product_Pricing_Table[],MATCH(EG$1,Products,0),2)="Cores",IF(HostBuild[Use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2" s="552">
        <f>IFERROR(IF(FIND(EH$1,$W62)&gt;0,IF(INDEX(Product_Pricing_Table[],MATCH(EH$1,Products,0),2)="Cores",IF(HostBuild[Use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2" s="552">
        <f>IFERROR(IF(FIND(EI$1,$W62)&gt;0,IF(INDEX(Product_Pricing_Table[],MATCH(EI$1,Products,0),2)="Cores",IF(HostBuild[Use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2" s="552">
        <f>IFERROR(IF(FIND(EJ$1,$W62)&gt;0,IF(INDEX(Product_Pricing_Table[],MATCH(EJ$1,Products,0),2)="Cores",IF(HostBuild[Use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2" s="553">
        <f>IFERROR(IF(FIND(EK$1,$W62)&gt;0,IF(INDEX(Product_Pricing_Table[],MATCH(EK$1,Products,0),2)="Cores",IF(HostBuild[Use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2" s="554"/>
      <c r="EM62" s="555"/>
      <c r="EN62" s="556"/>
      <c r="EO62"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6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2" s="558">
        <f>(HostBuild[Archive
Full (GB)]+HostBuild[Archive
Incr (GB)])*Storage_DC_Dist_Tape_2014</f>
        <v>0</v>
      </c>
      <c r="ER62" s="558">
        <f>IF(ISNUMBER(HostBuild[Server HW Costs
(Monthly)]),SUM(HostBuild[[#This Row],[Server HW Costs
(Monthly)]:[Tape Costs
(Monthly)]]),0)</f>
        <v>1003.9</v>
      </c>
      <c r="ES62" s="559">
        <f>HostBuild[Software Costs
'[Year 1']
(Monthly)]+HostBuild[Total Hardware Costs
(Monthly)]</f>
        <v>1003.9</v>
      </c>
      <c r="ET62" s="559">
        <f>IFERROR(IF(FIND("Safenet",HostBuild[Server Model]),Safenet_PSE_PL600_Maint,0),0)+IFERROR(IF(FIND("XI52",HostBuild[Server Model]),IBM_DIA_XI52_Maint,0),0)+HostBuild[Software Costs
'[After Year 1']
(Monthly)]+HostBuild[Total Hardware Costs
(Monthly)]</f>
        <v>1003.9</v>
      </c>
      <c r="EU62" s="560">
        <f>SUM(HostBuild[[#This Row],[Server Cost Breakdown]:[Network Cost]])</f>
        <v>1003.9</v>
      </c>
      <c r="EV62" s="561">
        <f>IF(HostBuild[Existing Server?]="Yes - Inside this BoM",0,SUMIF(HostBuild[Alias],HostBuild[Alias],HostBuild[CPU])+SUMIF(HostBuild[Alias],HostBuild[Alias],HostBuild[Existing CPUs]))</f>
        <v>2</v>
      </c>
      <c r="EW62" s="561">
        <f>IF(HostBuild[Existing Server?]="Yes - Inside this BoM",0,SUMIF(HostBuild[Alias],HostBuild[Alias],HostBuild[Cores 
(Licensed Units)])+SUMIF(HostBuild[Alias],HostBuild[Alias],HostBuild[Existing Cores]))</f>
        <v>0</v>
      </c>
      <c r="EX62" s="561">
        <f>IF(HostBuild[Existing Server?]="Yes - Inside this BoM",0,SUMIF(HostBuild[Alias],HostBuild[Alias],HostBuild[RAM 
(GB)])+SUMIF(HostBuild[Alias],HostBuild[Alias],HostBuild[Existing RAM (GB)]))</f>
        <v>256</v>
      </c>
      <c r="EY6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2" s="560">
        <f>IF(ISBLANK(HostBuild[Server Model]),0,IF(HostBuild[Server Tier]="VMware",0,VLOOKUP(HostBuild[Server Tier],ServerTierRates[#Data],2,0))*HostBuild[CPU]*IF(AND(HostBuild[Server Type]="pSeries",HostBuild[Virtual Platform Storage Type]="Cloud-SAN"),0.25,1))</f>
        <v>608</v>
      </c>
      <c r="FD62" s="560">
        <f>0</f>
        <v>0</v>
      </c>
      <c r="FE62" s="560">
        <f>IF(HostBuild[Server Type]="VMware",HostBuild[RAM 
(GB)]*IF(ISERROR(FIND("DevCloud", HostBuild[Server Model])&gt;0),vRAM_per_vCPU_2014_Monthly,vRAM_per_vCPU_2014_Daily*30),0)</f>
        <v>0</v>
      </c>
      <c r="FF6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6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2" s="563">
        <f>IF(HostBuild[Server Tier]="VMware",0,IF(LEFT(HostBuild[Existing Server?],3)="Yes",0,IF(OR(HostBuild[Server Type]="Sun",HostBuild[Server Type]="pSeries"),Support_Direct_Server_Sun_per_OS_2014,IF(HostBuild[Server Type]="x86",Support_Direct_Server_x86_Wintel_per_OS_2014,0))))</f>
        <v>187.1</v>
      </c>
      <c r="FI6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3" spans="1:165" s="262" customFormat="1" ht="15" customHeight="1">
      <c r="A63" s="360" t="s">
        <v>3942</v>
      </c>
      <c r="B63" s="521"/>
      <c r="C63" s="521"/>
      <c r="D63" s="521"/>
      <c r="E63" s="522"/>
      <c r="F63" s="522"/>
      <c r="G63" s="597"/>
      <c r="H63" s="597"/>
      <c r="I63" s="523"/>
      <c r="J63" s="522"/>
      <c r="K63" s="522"/>
      <c r="L63" s="522"/>
      <c r="M63" s="597" t="e">
        <f ca="1">IF(rngIsDate(HostBuild[CTO Acceptance]),"Y","N")</f>
        <v>#NAME?</v>
      </c>
      <c r="N63" s="361" t="s">
        <v>3939</v>
      </c>
      <c r="O63" s="525"/>
      <c r="P63" s="525"/>
      <c r="Q63" s="361" t="s">
        <v>211</v>
      </c>
      <c r="R63" s="526" t="str">
        <f>IF(NOT(ISBLANK(HostBuild[Env Label])),IFERROR(VLOOKUP(HostBuild[Env Label],tEnv[],3,FALSE),""),"")</f>
        <v>COB</v>
      </c>
      <c r="S63" s="598"/>
      <c r="T63" s="527"/>
      <c r="U63" s="599"/>
      <c r="V63" s="524" t="s">
        <v>3975</v>
      </c>
      <c r="W63" s="524" t="s">
        <v>2248</v>
      </c>
      <c r="X63" s="524" t="s">
        <v>32</v>
      </c>
      <c r="Y63" s="361" t="s">
        <v>481</v>
      </c>
      <c r="Z63" s="526" t="str">
        <f>IF(NOT(ISBLANK(HostBuild[[#This Row],[Product 
(Acronym)]])),CONCATENATE(HostBuild[[#This Row],[Type]],"-",HostBuild[[#This Row],[Product 
(Acronym)]]),"")</f>
        <v>DB-ESB</v>
      </c>
      <c r="AA63" s="600"/>
      <c r="AB63" s="600" t="s">
        <v>3985</v>
      </c>
      <c r="AC63" s="528"/>
      <c r="AD63" s="529"/>
      <c r="AE63" s="529"/>
      <c r="AF63" s="530"/>
      <c r="AG63" s="531"/>
      <c r="AH63" s="601"/>
      <c r="AI63" s="362" t="s">
        <v>3987</v>
      </c>
      <c r="AJ63" s="524">
        <f>IF(COUNTIF(HostBuild[Alias],HostBuild[Alias]),1/COUNTIF(HostBuild[Alias],HostBuild[Alias]),0)</f>
        <v>1</v>
      </c>
      <c r="AK63" s="531"/>
      <c r="AL63" s="531"/>
      <c r="AM63" s="532" t="s">
        <v>314</v>
      </c>
      <c r="AN63" s="533" t="str">
        <f>IF(NOT(ISBLANK(HostBuild[Server Model])),VLOOKUP(HostBuild[Server Model],ServerModelsTier[],2,FALSE),"")</f>
        <v>IBM P-Series Tier 2</v>
      </c>
      <c r="AO63" s="533" t="str">
        <f>IF(NOT(ISBLANK(HostBuild[Server Model])),VLOOKUP(HostBuild[Server Model],ServerModelsTier[],5,FALSE),"")</f>
        <v>pSeries</v>
      </c>
      <c r="AP63" s="532"/>
      <c r="AQ63" s="532" t="s">
        <v>24</v>
      </c>
      <c r="AR63" s="535"/>
      <c r="AS63" s="602"/>
      <c r="AT63" s="535"/>
      <c r="AU63" s="603"/>
      <c r="AV63" s="536"/>
      <c r="AW63" s="531"/>
      <c r="AX63" s="531"/>
      <c r="AY63" s="531"/>
      <c r="AZ63" s="537"/>
      <c r="BA63" s="531"/>
      <c r="BB63" s="531"/>
      <c r="BC63" s="529"/>
      <c r="BD63" s="531"/>
      <c r="BE63" s="531"/>
      <c r="BF63" s="531"/>
      <c r="BG63" s="531"/>
      <c r="BH63" s="531"/>
      <c r="BI63" s="531"/>
      <c r="BJ63" s="531"/>
      <c r="BK63" s="604"/>
      <c r="BL63" s="538"/>
      <c r="BM63" s="540"/>
      <c r="BN63" s="539"/>
      <c r="BO63" s="540"/>
      <c r="BP63" s="541"/>
      <c r="BQ63" s="542"/>
      <c r="BR63" s="432" t="s">
        <v>106</v>
      </c>
      <c r="BS63" s="605">
        <f>IF(HostBuild[Existing Server?]&lt;&gt;"Yes - Inside this BoM",IF(ISNUMBER(HostBuild[RAM 
(GB)]),IF(HostBuild[Existing RAM (GB)]+HostBuild[RAM 
(GB)]&gt;0,IF(HostBuild[Virtual Platform Storage Type]="NAS",110+HostBuild[Existing RAM (GB)]+HostBuild[RAM 
(GB)]*1.75,0),0),0),0)</f>
        <v>0</v>
      </c>
      <c r="BT63" s="606"/>
      <c r="BU63" s="607">
        <f>IF(ISNUMBER(HostBuild[Recommended NAS (GB)]),HostBuild[Recommended NAS (GB)])+HostBuild[Additional NAS (GB)]</f>
        <v>0</v>
      </c>
      <c r="BV63" s="543"/>
      <c r="BW63" s="543"/>
      <c r="BX63" s="604">
        <f>IFERROR((HostBuild[SAN (GB)
End-State
DO NOT USE TO BUILD]+HostBuild[SAN (GB) Shared])*25%,"")</f>
        <v>0</v>
      </c>
      <c r="BY63" s="608">
        <f>IFERROR(HostBuild[Archive
Full (GB)]*15%,"")</f>
        <v>0</v>
      </c>
      <c r="BZ63" s="544"/>
      <c r="CA63" s="544"/>
      <c r="CB63" s="545"/>
      <c r="CC63" s="546"/>
      <c r="CD63" s="545"/>
      <c r="CE63" s="547"/>
      <c r="CF63" s="539"/>
      <c r="CG63" s="609"/>
      <c r="CH63" s="548"/>
      <c r="CI63" s="549"/>
      <c r="CJ63" s="550"/>
      <c r="CK63" s="551"/>
      <c r="CL63" s="552">
        <f>IFERROR(IF(FIND(CL$1,$W63)&gt;0,IF(INDEX(Product_Pricing_Table[],MATCH(CL$1,Products,0),2)="Cores",IF(HostBuild[Use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3" s="552">
        <f>IFERROR(IF(FIND(CM$1,$W63)&gt;0,IF(INDEX(Product_Pricing_Table[],MATCH(CM$1,Products,0),2)="Cores",IF(HostBuild[Use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3" s="552">
        <f>IFERROR(IF(FIND(CN$1,$W63)&gt;0,IF(INDEX(Product_Pricing_Table[],MATCH(CN$1,Products,0),2)="Cores",IF(HostBuild[Use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3" s="552">
        <f>IFERROR(IF(FIND(CO$1,$W63)&gt;0,IF(INDEX(Product_Pricing_Table[],MATCH(CO$1,Products,0),2)="Cores",IF(HostBuild[Use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3" s="552">
        <f>IFERROR(IF(FIND(CP$1,$W63)&gt;0,IF(INDEX(Product_Pricing_Table[],MATCH(CP$1,Products,0),2)="Cores",IF(HostBuild[Use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3" s="552">
        <f>IFERROR(IF(FIND(CQ$1,$W63)&gt;0,IF(INDEX(Product_Pricing_Table[],MATCH(CQ$1,Products,0),2)="Cores",IF(HostBuild[Use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3" s="552">
        <f>IFERROR(IF(FIND(CR$1,$W63)&gt;0,IF(INDEX(Product_Pricing_Table[],MATCH(CR$1,Products,0),2)="Cores",IF(HostBuild[Use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3" s="552">
        <f>IFERROR(IF(FIND(CS$1,$W63)&gt;0,IF(INDEX(Product_Pricing_Table[],MATCH(CS$1,Products,0),2)="Cores",IF(HostBuild[Use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3" s="552">
        <f>IFERROR(IF(FIND(CT$1,$W63)&gt;0,IF(INDEX(Product_Pricing_Table[],MATCH(CT$1,Products,0),2)="Cores",IF(HostBuild[Use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3" s="552">
        <f>IFERROR(IF(FIND(CU$1,$W63)&gt;0,IF(INDEX(Product_Pricing_Table[],MATCH(CU$1,Products,0),2)="Cores",IF(HostBuild[Use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3" s="552">
        <f>IFERROR(IF(FIND(CV$1,$W63)&gt;0,IF(INDEX(Product_Pricing_Table[],MATCH(CV$1,Products,0),2)="Cores",IF(HostBuild[Use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3" s="552">
        <f>IFERROR(IF(FIND(CW$1,$W63)&gt;0,IF(INDEX(Product_Pricing_Table[],MATCH(CW$1,Products,0),2)="Cores",IF(HostBuild[Use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3" s="552">
        <f>IFERROR(IF(FIND(CX$1,$W63)&gt;0,IF(INDEX(Product_Pricing_Table[],MATCH(CX$1,Products,0),2)="Cores",IF(HostBuild[Use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3" s="552">
        <f>IFERROR(IF(FIND(CY$1,$W63)&gt;0,IF(INDEX(Product_Pricing_Table[],MATCH(CY$1,Products,0),2)="Cores",IF(HostBuild[Use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3" s="552">
        <f>IFERROR(IF(FIND(CZ$1,$W63)&gt;0,IF(INDEX(Product_Pricing_Table[],MATCH(CZ$1,Products,0),2)="Cores",IF(HostBuild[Use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3" s="552">
        <f>IFERROR(IF(FIND(DA$1,$W63)&gt;0,IF(INDEX(Product_Pricing_Table[],MATCH(DA$1,Products,0),2)="Cores",IF(HostBuild[Use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3" s="552">
        <f>IFERROR(IF(FIND(DB$1,$W63)&gt;0,IF(INDEX(Product_Pricing_Table[],MATCH(DB$1,Products,0),2)="Cores",IF(HostBuild[Use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3" s="552">
        <f>IFERROR(IF(FIND(DC$1,$W63)&gt;0,IF(INDEX(Product_Pricing_Table[],MATCH(DC$1,Products,0),2)="Cores",IF(HostBuild[Use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3" s="552">
        <f>IFERROR(IF(FIND(DD$1,$W63)&gt;0,IF(INDEX(Product_Pricing_Table[],MATCH(DD$1,Products,0),2)="Cores",IF(HostBuild[Use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3" s="552">
        <f>IFERROR(IF(FIND(DE$1,$W63)&gt;0,IF(INDEX(Product_Pricing_Table[],MATCH(DE$1,Products,0),2)="Cores",IF(HostBuild[Use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3" s="553">
        <f>IFERROR(IF(FIND(DF$1,$W63)&gt;0,IF(INDEX(Product_Pricing_Table[],MATCH(DF$1,Products,0),2)="Cores",IF(HostBuild[Use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3" s="553">
        <f>IFERROR(IF(FIND(DG$1,$W63)&gt;0,IF(INDEX(Product_Pricing_Table[],MATCH(DG$1,Products,0),2)="Cores",IF(HostBuild[Use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3" s="552">
        <f>IFERROR(IF(FIND(DH$1,$W63)&gt;0,IF(INDEX(Product_Pricing_Table[],MATCH(DH$1,Products,0),2)="Cores",IF(HostBuild[Use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3" s="553">
        <f>IFERROR(IF(FIND(DI$1,$W63)&gt;0,IF(INDEX(Product_Pricing_Table[],MATCH(DI$1,Products,0),2)="Cores",IF(HostBuild[Use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3" s="552">
        <f>IFERROR(IF(FIND(DJ$1,$W63)&gt;0,IF(INDEX(Product_Pricing_Table[],MATCH(DJ$1,Products,0),2)="Cores",IF(HostBuild[Use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3" s="552">
        <f>IFERROR(IF(FIND(DK$1,$W63)&gt;0,IF(INDEX(Product_Pricing_Table[],MATCH(DK$1,Products,0),2)="Cores",IF(HostBuild[Use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3" s="552">
        <f>IFERROR(IF(FIND(DL$1,$W63)&gt;0,IF(INDEX(Product_Pricing_Table[],MATCH(DL$1,Products,0),2)="Cores",IF(HostBuild[Use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3" s="552">
        <f>IFERROR(IF(FIND(DM$1,$W63)&gt;0,IF(INDEX(Product_Pricing_Table[],MATCH(DM$1,Products,0),2)="Cores",IF(HostBuild[Use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3" s="552">
        <f>IFERROR(IF(FIND(DN$1,$W63)&gt;0,IF(INDEX(Product_Pricing_Table[],MATCH(DN$1,Products,0),2)="Cores",IF(HostBuild[Use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3" s="552">
        <f>IFERROR(IF(FIND(DO$1,$W63)&gt;0,IF(INDEX(Product_Pricing_Table[],MATCH(DO$1,Products,0),2)="Cores",IF(HostBuild[Use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3" s="552">
        <f>IFERROR(IF(FIND(DP$1,$W63)&gt;0,IF(INDEX(Product_Pricing_Table[],MATCH(DP$1,Products,0),2)="Cores",IF(HostBuild[Use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3" s="552">
        <f>IFERROR(IF(FIND(DQ$1,$W63)&gt;0,IF(INDEX(Product_Pricing_Table[],MATCH(DQ$1,Products,0),2)="Cores",IF(HostBuild[Use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3" s="552">
        <f>IFERROR(IF(FIND(DR$1,$W63)&gt;0,IF(INDEX(Product_Pricing_Table[],MATCH(DR$1,Products,0),2)="Cores",IF(HostBuild[Use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3" s="552">
        <f>IFERROR(IF(FIND(DS$1,$W63)&gt;0,IF(INDEX(Product_Pricing_Table[],MATCH(DS$1,Products,0),2)="Cores",IF(HostBuild[Use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3" s="552">
        <f>IFERROR(IF(FIND(DT$1,$W63)&gt;0,IF(INDEX(Product_Pricing_Table[],MATCH(DT$1,Products,0),2)="Cores",IF(HostBuild[Use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3" s="552">
        <f>IFERROR(IF(FIND(DU$1,$W63)&gt;0,IF(INDEX(Product_Pricing_Table[],MATCH(DU$1,Products,0),2)="Cores",IF(HostBuild[Use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3" s="552">
        <f>IFERROR(IF(FIND(DV$1,$W63)&gt;0,IF(INDEX(Product_Pricing_Table[],MATCH(DV$1,Products,0),2)="Cores",IF(HostBuild[Use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3" s="552">
        <f>IFERROR(IF(FIND(DW$1,$W63)&gt;0,IF(INDEX(Product_Pricing_Table[],MATCH(DW$1,Products,0),2)="Cores",IF(HostBuild[Use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3" s="552">
        <f>IFERROR(IF(FIND(DX$1,$W63)&gt;0,IF(INDEX(Product_Pricing_Table[],MATCH(DX$1,Products,0),2)="Cores",IF(HostBuild[Use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3" s="552">
        <f>IFERROR(IF(FIND(DY$1,$W63)&gt;0,IF(INDEX(Product_Pricing_Table[],MATCH(DY$1,Products,0),2)="Cores",IF(HostBuild[Use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3" s="552">
        <f>IFERROR(IF(FIND(DZ$1,$W63)&gt;0,IF(INDEX(Product_Pricing_Table[],MATCH(DZ$1,Products,0),2)="Cores",IF(HostBuild[Use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3" s="552">
        <f>IFERROR(IF(FIND(EA$1,$W63)&gt;0,IF(INDEX(Product_Pricing_Table[],MATCH(EA$1,Products,0),2)="Cores",IF(HostBuild[Use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3" s="552">
        <f>IFERROR(IF(FIND(EB$1,$W63)&gt;0,IF(INDEX(Product_Pricing_Table[],MATCH(EB$1,Products,0),2)="Cores",IF(HostBuild[Use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3" s="553">
        <f>IFERROR(IF(FIND(EC$1,$W63)&gt;0,IF(INDEX(Product_Pricing_Table[],MATCH(EC$1,Products,0),2)="Cores",IF(HostBuild[Use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3" s="552">
        <f>IFERROR(IF(FIND(ED$1,$W63)&gt;0,IF(INDEX(Product_Pricing_Table[],MATCH(ED$1,Products,0),2)="Cores",IF(HostBuild[Use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3" s="552">
        <f>IFERROR(IF(FIND(EE$1,$W63)&gt;0,IF(INDEX(Product_Pricing_Table[],MATCH(EE$1,Products,0),2)="Cores",IF(HostBuild[Use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3" s="552">
        <f>IFERROR(IF(FIND(EF$1,$W63)&gt;0,IF(INDEX(Product_Pricing_Table[],MATCH(EF$1,Products,0),2)="Cores",IF(HostBuild[Use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3" s="552">
        <f>IFERROR(IF(FIND(EG$1,$W63)&gt;0,IF(INDEX(Product_Pricing_Table[],MATCH(EG$1,Products,0),2)="Cores",IF(HostBuild[Use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3" s="552">
        <f>IFERROR(IF(FIND(EH$1,$W63)&gt;0,IF(INDEX(Product_Pricing_Table[],MATCH(EH$1,Products,0),2)="Cores",IF(HostBuild[Use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3" s="552">
        <f>IFERROR(IF(FIND(EI$1,$W63)&gt;0,IF(INDEX(Product_Pricing_Table[],MATCH(EI$1,Products,0),2)="Cores",IF(HostBuild[Use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3" s="552">
        <f>IFERROR(IF(FIND(EJ$1,$W63)&gt;0,IF(INDEX(Product_Pricing_Table[],MATCH(EJ$1,Products,0),2)="Cores",IF(HostBuild[Use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3" s="553">
        <f>IFERROR(IF(FIND(EK$1,$W63)&gt;0,IF(INDEX(Product_Pricing_Table[],MATCH(EK$1,Products,0),2)="Cores",IF(HostBuild[Use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3" s="554"/>
      <c r="EM63" s="555"/>
      <c r="EN63" s="556"/>
      <c r="EO6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3" s="558">
        <f>(HostBuild[Archive
Full (GB)]+HostBuild[Archive
Incr (GB)])*Storage_DC_Dist_Tape_2014</f>
        <v>0</v>
      </c>
      <c r="ER63" s="558">
        <f>IF(ISNUMBER(HostBuild[Server HW Costs
(Monthly)]),SUM(HostBuild[[#This Row],[Server HW Costs
(Monthly)]:[Tape Costs
(Monthly)]]),0)</f>
        <v>0</v>
      </c>
      <c r="ES63" s="559">
        <f>HostBuild[Software Costs
'[Year 1']
(Monthly)]+HostBuild[Total Hardware Costs
(Monthly)]</f>
        <v>0</v>
      </c>
      <c r="ET63" s="559">
        <f>IFERROR(IF(FIND("Safenet",HostBuild[Server Model]),Safenet_PSE_PL600_Maint,0),0)+IFERROR(IF(FIND("XI52",HostBuild[Server Model]),IBM_DIA_XI52_Maint,0),0)+HostBuild[Software Costs
'[After Year 1']
(Monthly)]+HostBuild[Total Hardware Costs
(Monthly)]</f>
        <v>0</v>
      </c>
      <c r="EU63" s="560">
        <f>SUM(HostBuild[[#This Row],[Server Cost Breakdown]:[Network Cost]])</f>
        <v>0</v>
      </c>
      <c r="EV63" s="561">
        <f>IF(HostBuild[Existing Server?]="Yes - Inside this BoM",0,SUMIF(HostBuild[Alias],HostBuild[Alias],HostBuild[CPU])+SUMIF(HostBuild[Alias],HostBuild[Alias],HostBuild[Existing CPUs]))</f>
        <v>0</v>
      </c>
      <c r="EW63" s="561">
        <f>IF(HostBuild[Existing Server?]="Yes - Inside this BoM",0,SUMIF(HostBuild[Alias],HostBuild[Alias],HostBuild[Cores 
(Licensed Units)])+SUMIF(HostBuild[Alias],HostBuild[Alias],HostBuild[Existing Cores]))</f>
        <v>0</v>
      </c>
      <c r="EX63" s="561">
        <f>IF(HostBuild[Existing Server?]="Yes - Inside this BoM",0,SUMIF(HostBuild[Alias],HostBuild[Alias],HostBuild[RAM 
(GB)])+SUMIF(HostBuild[Alias],HostBuild[Alias],HostBuild[Existing RAM (GB)]))</f>
        <v>0</v>
      </c>
      <c r="EY6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3" s="560">
        <f>IF(ISBLANK(HostBuild[Server Model]),0,IF(HostBuild[Server Tier]="VMware",0,VLOOKUP(HostBuild[Server Tier],ServerTierRates[#Data],2,0))*HostBuild[CPU]*IF(AND(HostBuild[Server Type]="pSeries",HostBuild[Virtual Platform Storage Type]="Cloud-SAN"),0.25,1))</f>
        <v>0</v>
      </c>
      <c r="FD63" s="560">
        <f>0</f>
        <v>0</v>
      </c>
      <c r="FE63" s="560">
        <f>IF(HostBuild[Server Type]="VMware",HostBuild[RAM 
(GB)]*IF(ISERROR(FIND("DevCloud", HostBuild[Server Model])&gt;0),vRAM_per_vCPU_2014_Monthly,vRAM_per_vCPU_2014_Daily*30),0)</f>
        <v>0</v>
      </c>
      <c r="FF6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3" s="563">
        <f>IF(HostBuild[Server Tier]="VMware",0,IF(LEFT(HostBuild[Existing Server?],3)="Yes",0,IF(OR(HostBuild[Server Type]="Sun",HostBuild[Server Type]="pSeries"),Support_Direct_Server_Sun_per_OS_2014,IF(HostBuild[Server Type]="x86",Support_Direct_Server_x86_Wintel_per_OS_2014,0))))</f>
        <v>0</v>
      </c>
      <c r="FI6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4" spans="1:165" s="262" customFormat="1" ht="15" customHeight="1">
      <c r="A64" s="360" t="s">
        <v>3942</v>
      </c>
      <c r="B64" s="521"/>
      <c r="C64" s="521"/>
      <c r="D64" s="521"/>
      <c r="E64" s="522"/>
      <c r="F64" s="522"/>
      <c r="G64" s="597"/>
      <c r="H64" s="597"/>
      <c r="I64" s="523"/>
      <c r="J64" s="522"/>
      <c r="K64" s="522"/>
      <c r="L64" s="522"/>
      <c r="M64" s="597" t="e">
        <f ca="1">IF(rngIsDate(HostBuild[CTO Acceptance]),"Y","N")</f>
        <v>#NAME?</v>
      </c>
      <c r="N64" s="361" t="s">
        <v>3939</v>
      </c>
      <c r="O64" s="525"/>
      <c r="P64" s="525"/>
      <c r="Q64" s="361" t="s">
        <v>211</v>
      </c>
      <c r="R64" s="526" t="str">
        <f>IF(NOT(ISBLANK(HostBuild[Env Label])),IFERROR(VLOOKUP(HostBuild[Env Label],tEnv[],3,FALSE),""),"")</f>
        <v>COB</v>
      </c>
      <c r="S64" s="598"/>
      <c r="T64" s="527"/>
      <c r="U64" s="599"/>
      <c r="V64" s="524" t="s">
        <v>3975</v>
      </c>
      <c r="W64" s="524" t="s">
        <v>2248</v>
      </c>
      <c r="X64" s="524" t="s">
        <v>32</v>
      </c>
      <c r="Y64" s="361" t="s">
        <v>481</v>
      </c>
      <c r="Z64" s="526" t="str">
        <f>IF(NOT(ISBLANK(HostBuild[[#This Row],[Product 
(Acronym)]])),CONCATENATE(HostBuild[[#This Row],[Type]],"-",HostBuild[[#This Row],[Product 
(Acronym)]]),"")</f>
        <v>DB-ESB</v>
      </c>
      <c r="AA64" s="600"/>
      <c r="AB64" s="600" t="s">
        <v>3985</v>
      </c>
      <c r="AC64" s="528"/>
      <c r="AD64" s="529"/>
      <c r="AE64" s="529"/>
      <c r="AF64" s="530"/>
      <c r="AG64" s="531"/>
      <c r="AH64" s="601"/>
      <c r="AI64" s="362" t="s">
        <v>3988</v>
      </c>
      <c r="AJ64" s="524">
        <f>IF(COUNTIF(HostBuild[Alias],HostBuild[Alias]),1/COUNTIF(HostBuild[Alias],HostBuild[Alias]),0)</f>
        <v>1</v>
      </c>
      <c r="AK64" s="531"/>
      <c r="AL64" s="531"/>
      <c r="AM64" s="532" t="s">
        <v>314</v>
      </c>
      <c r="AN64" s="533" t="str">
        <f>IF(NOT(ISBLANK(HostBuild[Server Model])),VLOOKUP(HostBuild[Server Model],ServerModelsTier[],2,FALSE),"")</f>
        <v>IBM P-Series Tier 2</v>
      </c>
      <c r="AO64" s="533" t="str">
        <f>IF(NOT(ISBLANK(HostBuild[Server Model])),VLOOKUP(HostBuild[Server Model],ServerModelsTier[],5,FALSE),"")</f>
        <v>pSeries</v>
      </c>
      <c r="AP64" s="532"/>
      <c r="AQ64" s="532" t="s">
        <v>24</v>
      </c>
      <c r="AR64" s="535"/>
      <c r="AS64" s="602"/>
      <c r="AT64" s="535"/>
      <c r="AU64" s="603"/>
      <c r="AV64" s="536"/>
      <c r="AW64" s="531"/>
      <c r="AX64" s="531"/>
      <c r="AY64" s="531"/>
      <c r="AZ64" s="537"/>
      <c r="BA64" s="531"/>
      <c r="BB64" s="531"/>
      <c r="BC64" s="529"/>
      <c r="BD64" s="531"/>
      <c r="BE64" s="531"/>
      <c r="BF64" s="531"/>
      <c r="BG64" s="531"/>
      <c r="BH64" s="531"/>
      <c r="BI64" s="531"/>
      <c r="BJ64" s="531"/>
      <c r="BK64" s="604"/>
      <c r="BL64" s="538"/>
      <c r="BM64" s="540"/>
      <c r="BN64" s="539"/>
      <c r="BO64" s="540"/>
      <c r="BP64" s="541"/>
      <c r="BQ64" s="542"/>
      <c r="BR64" s="432" t="s">
        <v>106</v>
      </c>
      <c r="BS64" s="605">
        <f>IF(HostBuild[Existing Server?]&lt;&gt;"Yes - Inside this BoM",IF(ISNUMBER(HostBuild[RAM 
(GB)]),IF(HostBuild[Existing RAM (GB)]+HostBuild[RAM 
(GB)]&gt;0,IF(HostBuild[Virtual Platform Storage Type]="NAS",110+HostBuild[Existing RAM (GB)]+HostBuild[RAM 
(GB)]*1.75,0),0),0),0)</f>
        <v>0</v>
      </c>
      <c r="BT64" s="606"/>
      <c r="BU64" s="607">
        <f>IF(ISNUMBER(HostBuild[Recommended NAS (GB)]),HostBuild[Recommended NAS (GB)])+HostBuild[Additional NAS (GB)]</f>
        <v>0</v>
      </c>
      <c r="BV64" s="543"/>
      <c r="BW64" s="543"/>
      <c r="BX64" s="604">
        <f>IFERROR((HostBuild[SAN (GB)
End-State
DO NOT USE TO BUILD]+HostBuild[SAN (GB) Shared])*25%,"")</f>
        <v>0</v>
      </c>
      <c r="BY64" s="608">
        <f>IFERROR(HostBuild[Archive
Full (GB)]*15%,"")</f>
        <v>0</v>
      </c>
      <c r="BZ64" s="544"/>
      <c r="CA64" s="544"/>
      <c r="CB64" s="545"/>
      <c r="CC64" s="546"/>
      <c r="CD64" s="545"/>
      <c r="CE64" s="547"/>
      <c r="CF64" s="539"/>
      <c r="CG64" s="609"/>
      <c r="CH64" s="548"/>
      <c r="CI64" s="549"/>
      <c r="CJ64" s="550"/>
      <c r="CK64" s="551"/>
      <c r="CL64" s="552">
        <f>IFERROR(IF(FIND(CL$1,$W64)&gt;0,IF(INDEX(Product_Pricing_Table[],MATCH(CL$1,Products,0),2)="Cores",IF(HostBuild[Use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4" s="552">
        <f>IFERROR(IF(FIND(CM$1,$W64)&gt;0,IF(INDEX(Product_Pricing_Table[],MATCH(CM$1,Products,0),2)="Cores",IF(HostBuild[Use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4" s="552">
        <f>IFERROR(IF(FIND(CN$1,$W64)&gt;0,IF(INDEX(Product_Pricing_Table[],MATCH(CN$1,Products,0),2)="Cores",IF(HostBuild[Use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4" s="552">
        <f>IFERROR(IF(FIND(CO$1,$W64)&gt;0,IF(INDEX(Product_Pricing_Table[],MATCH(CO$1,Products,0),2)="Cores",IF(HostBuild[Use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4" s="552">
        <f>IFERROR(IF(FIND(CP$1,$W64)&gt;0,IF(INDEX(Product_Pricing_Table[],MATCH(CP$1,Products,0),2)="Cores",IF(HostBuild[Use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4" s="552">
        <f>IFERROR(IF(FIND(CQ$1,$W64)&gt;0,IF(INDEX(Product_Pricing_Table[],MATCH(CQ$1,Products,0),2)="Cores",IF(HostBuild[Use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4" s="552">
        <f>IFERROR(IF(FIND(CR$1,$W64)&gt;0,IF(INDEX(Product_Pricing_Table[],MATCH(CR$1,Products,0),2)="Cores",IF(HostBuild[Use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4" s="552">
        <f>IFERROR(IF(FIND(CS$1,$W64)&gt;0,IF(INDEX(Product_Pricing_Table[],MATCH(CS$1,Products,0),2)="Cores",IF(HostBuild[Use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4" s="552">
        <f>IFERROR(IF(FIND(CT$1,$W64)&gt;0,IF(INDEX(Product_Pricing_Table[],MATCH(CT$1,Products,0),2)="Cores",IF(HostBuild[Use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4" s="552">
        <f>IFERROR(IF(FIND(CU$1,$W64)&gt;0,IF(INDEX(Product_Pricing_Table[],MATCH(CU$1,Products,0),2)="Cores",IF(HostBuild[Use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4" s="552">
        <f>IFERROR(IF(FIND(CV$1,$W64)&gt;0,IF(INDEX(Product_Pricing_Table[],MATCH(CV$1,Products,0),2)="Cores",IF(HostBuild[Use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4" s="552">
        <f>IFERROR(IF(FIND(CW$1,$W64)&gt;0,IF(INDEX(Product_Pricing_Table[],MATCH(CW$1,Products,0),2)="Cores",IF(HostBuild[Use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4" s="552">
        <f>IFERROR(IF(FIND(CX$1,$W64)&gt;0,IF(INDEX(Product_Pricing_Table[],MATCH(CX$1,Products,0),2)="Cores",IF(HostBuild[Use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4" s="552">
        <f>IFERROR(IF(FIND(CY$1,$W64)&gt;0,IF(INDEX(Product_Pricing_Table[],MATCH(CY$1,Products,0),2)="Cores",IF(HostBuild[Use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4" s="552">
        <f>IFERROR(IF(FIND(CZ$1,$W64)&gt;0,IF(INDEX(Product_Pricing_Table[],MATCH(CZ$1,Products,0),2)="Cores",IF(HostBuild[Use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4" s="552">
        <f>IFERROR(IF(FIND(DA$1,$W64)&gt;0,IF(INDEX(Product_Pricing_Table[],MATCH(DA$1,Products,0),2)="Cores",IF(HostBuild[Use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4" s="552">
        <f>IFERROR(IF(FIND(DB$1,$W64)&gt;0,IF(INDEX(Product_Pricing_Table[],MATCH(DB$1,Products,0),2)="Cores",IF(HostBuild[Use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4" s="552">
        <f>IFERROR(IF(FIND(DC$1,$W64)&gt;0,IF(INDEX(Product_Pricing_Table[],MATCH(DC$1,Products,0),2)="Cores",IF(HostBuild[Use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4" s="552">
        <f>IFERROR(IF(FIND(DD$1,$W64)&gt;0,IF(INDEX(Product_Pricing_Table[],MATCH(DD$1,Products,0),2)="Cores",IF(HostBuild[Use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4" s="552">
        <f>IFERROR(IF(FIND(DE$1,$W64)&gt;0,IF(INDEX(Product_Pricing_Table[],MATCH(DE$1,Products,0),2)="Cores",IF(HostBuild[Use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4" s="553">
        <f>IFERROR(IF(FIND(DF$1,$W64)&gt;0,IF(INDEX(Product_Pricing_Table[],MATCH(DF$1,Products,0),2)="Cores",IF(HostBuild[Use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4" s="553">
        <f>IFERROR(IF(FIND(DG$1,$W64)&gt;0,IF(INDEX(Product_Pricing_Table[],MATCH(DG$1,Products,0),2)="Cores",IF(HostBuild[Use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4" s="552">
        <f>IFERROR(IF(FIND(DH$1,$W64)&gt;0,IF(INDEX(Product_Pricing_Table[],MATCH(DH$1,Products,0),2)="Cores",IF(HostBuild[Use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4" s="553">
        <f>IFERROR(IF(FIND(DI$1,$W64)&gt;0,IF(INDEX(Product_Pricing_Table[],MATCH(DI$1,Products,0),2)="Cores",IF(HostBuild[Use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4" s="552">
        <f>IFERROR(IF(FIND(DJ$1,$W64)&gt;0,IF(INDEX(Product_Pricing_Table[],MATCH(DJ$1,Products,0),2)="Cores",IF(HostBuild[Use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4" s="552">
        <f>IFERROR(IF(FIND(DK$1,$W64)&gt;0,IF(INDEX(Product_Pricing_Table[],MATCH(DK$1,Products,0),2)="Cores",IF(HostBuild[Use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4" s="552">
        <f>IFERROR(IF(FIND(DL$1,$W64)&gt;0,IF(INDEX(Product_Pricing_Table[],MATCH(DL$1,Products,0),2)="Cores",IF(HostBuild[Use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4" s="552">
        <f>IFERROR(IF(FIND(DM$1,$W64)&gt;0,IF(INDEX(Product_Pricing_Table[],MATCH(DM$1,Products,0),2)="Cores",IF(HostBuild[Use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4" s="552">
        <f>IFERROR(IF(FIND(DN$1,$W64)&gt;0,IF(INDEX(Product_Pricing_Table[],MATCH(DN$1,Products,0),2)="Cores",IF(HostBuild[Use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4" s="552">
        <f>IFERROR(IF(FIND(DO$1,$W64)&gt;0,IF(INDEX(Product_Pricing_Table[],MATCH(DO$1,Products,0),2)="Cores",IF(HostBuild[Use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4" s="552">
        <f>IFERROR(IF(FIND(DP$1,$W64)&gt;0,IF(INDEX(Product_Pricing_Table[],MATCH(DP$1,Products,0),2)="Cores",IF(HostBuild[Use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4" s="552">
        <f>IFERROR(IF(FIND(DQ$1,$W64)&gt;0,IF(INDEX(Product_Pricing_Table[],MATCH(DQ$1,Products,0),2)="Cores",IF(HostBuild[Use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4" s="552">
        <f>IFERROR(IF(FIND(DR$1,$W64)&gt;0,IF(INDEX(Product_Pricing_Table[],MATCH(DR$1,Products,0),2)="Cores",IF(HostBuild[Use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4" s="552">
        <f>IFERROR(IF(FIND(DS$1,$W64)&gt;0,IF(INDEX(Product_Pricing_Table[],MATCH(DS$1,Products,0),2)="Cores",IF(HostBuild[Use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4" s="552">
        <f>IFERROR(IF(FIND(DT$1,$W64)&gt;0,IF(INDEX(Product_Pricing_Table[],MATCH(DT$1,Products,0),2)="Cores",IF(HostBuild[Use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4" s="552">
        <f>IFERROR(IF(FIND(DU$1,$W64)&gt;0,IF(INDEX(Product_Pricing_Table[],MATCH(DU$1,Products,0),2)="Cores",IF(HostBuild[Use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4" s="552">
        <f>IFERROR(IF(FIND(DV$1,$W64)&gt;0,IF(INDEX(Product_Pricing_Table[],MATCH(DV$1,Products,0),2)="Cores",IF(HostBuild[Use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4" s="552">
        <f>IFERROR(IF(FIND(DW$1,$W64)&gt;0,IF(INDEX(Product_Pricing_Table[],MATCH(DW$1,Products,0),2)="Cores",IF(HostBuild[Use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4" s="552">
        <f>IFERROR(IF(FIND(DX$1,$W64)&gt;0,IF(INDEX(Product_Pricing_Table[],MATCH(DX$1,Products,0),2)="Cores",IF(HostBuild[Use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4" s="552">
        <f>IFERROR(IF(FIND(DY$1,$W64)&gt;0,IF(INDEX(Product_Pricing_Table[],MATCH(DY$1,Products,0),2)="Cores",IF(HostBuild[Use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4" s="552">
        <f>IFERROR(IF(FIND(DZ$1,$W64)&gt;0,IF(INDEX(Product_Pricing_Table[],MATCH(DZ$1,Products,0),2)="Cores",IF(HostBuild[Use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4" s="552">
        <f>IFERROR(IF(FIND(EA$1,$W64)&gt;0,IF(INDEX(Product_Pricing_Table[],MATCH(EA$1,Products,0),2)="Cores",IF(HostBuild[Use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4" s="552">
        <f>IFERROR(IF(FIND(EB$1,$W64)&gt;0,IF(INDEX(Product_Pricing_Table[],MATCH(EB$1,Products,0),2)="Cores",IF(HostBuild[Use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4" s="553">
        <f>IFERROR(IF(FIND(EC$1,$W64)&gt;0,IF(INDEX(Product_Pricing_Table[],MATCH(EC$1,Products,0),2)="Cores",IF(HostBuild[Use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4" s="552">
        <f>IFERROR(IF(FIND(ED$1,$W64)&gt;0,IF(INDEX(Product_Pricing_Table[],MATCH(ED$1,Products,0),2)="Cores",IF(HostBuild[Use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4" s="552">
        <f>IFERROR(IF(FIND(EE$1,$W64)&gt;0,IF(INDEX(Product_Pricing_Table[],MATCH(EE$1,Products,0),2)="Cores",IF(HostBuild[Use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4" s="552">
        <f>IFERROR(IF(FIND(EF$1,$W64)&gt;0,IF(INDEX(Product_Pricing_Table[],MATCH(EF$1,Products,0),2)="Cores",IF(HostBuild[Use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4" s="552">
        <f>IFERROR(IF(FIND(EG$1,$W64)&gt;0,IF(INDEX(Product_Pricing_Table[],MATCH(EG$1,Products,0),2)="Cores",IF(HostBuild[Use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4" s="552">
        <f>IFERROR(IF(FIND(EH$1,$W64)&gt;0,IF(INDEX(Product_Pricing_Table[],MATCH(EH$1,Products,0),2)="Cores",IF(HostBuild[Use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4" s="552">
        <f>IFERROR(IF(FIND(EI$1,$W64)&gt;0,IF(INDEX(Product_Pricing_Table[],MATCH(EI$1,Products,0),2)="Cores",IF(HostBuild[Use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4" s="552">
        <f>IFERROR(IF(FIND(EJ$1,$W64)&gt;0,IF(INDEX(Product_Pricing_Table[],MATCH(EJ$1,Products,0),2)="Cores",IF(HostBuild[Use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4" s="553">
        <f>IFERROR(IF(FIND(EK$1,$W64)&gt;0,IF(INDEX(Product_Pricing_Table[],MATCH(EK$1,Products,0),2)="Cores",IF(HostBuild[Use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4" s="554"/>
      <c r="EM64" s="555"/>
      <c r="EN64" s="556"/>
      <c r="EO6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4" s="558">
        <f>(HostBuild[Archive
Full (GB)]+HostBuild[Archive
Incr (GB)])*Storage_DC_Dist_Tape_2014</f>
        <v>0</v>
      </c>
      <c r="ER64" s="558">
        <f>IF(ISNUMBER(HostBuild[Server HW Costs
(Monthly)]),SUM(HostBuild[[#This Row],[Server HW Costs
(Monthly)]:[Tape Costs
(Monthly)]]),0)</f>
        <v>0</v>
      </c>
      <c r="ES64" s="559">
        <f>HostBuild[Software Costs
'[Year 1']
(Monthly)]+HostBuild[Total Hardware Costs
(Monthly)]</f>
        <v>0</v>
      </c>
      <c r="ET64" s="559">
        <f>IFERROR(IF(FIND("Safenet",HostBuild[Server Model]),Safenet_PSE_PL600_Maint,0),0)+IFERROR(IF(FIND("XI52",HostBuild[Server Model]),IBM_DIA_XI52_Maint,0),0)+HostBuild[Software Costs
'[After Year 1']
(Monthly)]+HostBuild[Total Hardware Costs
(Monthly)]</f>
        <v>0</v>
      </c>
      <c r="EU64" s="560">
        <f>SUM(HostBuild[[#This Row],[Server Cost Breakdown]:[Network Cost]])</f>
        <v>0</v>
      </c>
      <c r="EV64" s="561">
        <f>IF(HostBuild[Existing Server?]="Yes - Inside this BoM",0,SUMIF(HostBuild[Alias],HostBuild[Alias],HostBuild[CPU])+SUMIF(HostBuild[Alias],HostBuild[Alias],HostBuild[Existing CPUs]))</f>
        <v>0</v>
      </c>
      <c r="EW64" s="561">
        <f>IF(HostBuild[Existing Server?]="Yes - Inside this BoM",0,SUMIF(HostBuild[Alias],HostBuild[Alias],HostBuild[Cores 
(Licensed Units)])+SUMIF(HostBuild[Alias],HostBuild[Alias],HostBuild[Existing Cores]))</f>
        <v>0</v>
      </c>
      <c r="EX64" s="561">
        <f>IF(HostBuild[Existing Server?]="Yes - Inside this BoM",0,SUMIF(HostBuild[Alias],HostBuild[Alias],HostBuild[RAM 
(GB)])+SUMIF(HostBuild[Alias],HostBuild[Alias],HostBuild[Existing RAM (GB)]))</f>
        <v>0</v>
      </c>
      <c r="EY6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4" s="560">
        <f>IF(ISBLANK(HostBuild[Server Model]),0,IF(HostBuild[Server Tier]="VMware",0,VLOOKUP(HostBuild[Server Tier],ServerTierRates[#Data],2,0))*HostBuild[CPU]*IF(AND(HostBuild[Server Type]="pSeries",HostBuild[Virtual Platform Storage Type]="Cloud-SAN"),0.25,1))</f>
        <v>0</v>
      </c>
      <c r="FD64" s="560">
        <f>0</f>
        <v>0</v>
      </c>
      <c r="FE64" s="560">
        <f>IF(HostBuild[Server Type]="VMware",HostBuild[RAM 
(GB)]*IF(ISERROR(FIND("DevCloud", HostBuild[Server Model])&gt;0),vRAM_per_vCPU_2014_Monthly,vRAM_per_vCPU_2014_Daily*30),0)</f>
        <v>0</v>
      </c>
      <c r="FF6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4" s="563">
        <f>IF(HostBuild[Server Tier]="VMware",0,IF(LEFT(HostBuild[Existing Server?],3)="Yes",0,IF(OR(HostBuild[Server Type]="Sun",HostBuild[Server Type]="pSeries"),Support_Direct_Server_Sun_per_OS_2014,IF(HostBuild[Server Type]="x86",Support_Direct_Server_x86_Wintel_per_OS_2014,0))))</f>
        <v>0</v>
      </c>
      <c r="FI6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5" spans="1:165" s="262" customFormat="1" ht="15" customHeight="1">
      <c r="A65" s="360" t="s">
        <v>3942</v>
      </c>
      <c r="B65" s="521"/>
      <c r="C65" s="521"/>
      <c r="D65" s="521"/>
      <c r="E65" s="522"/>
      <c r="F65" s="522"/>
      <c r="G65" s="597"/>
      <c r="H65" s="597"/>
      <c r="I65" s="523"/>
      <c r="J65" s="522"/>
      <c r="K65" s="522"/>
      <c r="L65" s="522"/>
      <c r="M65" s="597" t="e">
        <f ca="1">IF(rngIsDate(HostBuild[CTO Acceptance]),"Y","N")</f>
        <v>#NAME?</v>
      </c>
      <c r="N65" s="361" t="s">
        <v>3939</v>
      </c>
      <c r="O65" s="525"/>
      <c r="P65" s="525"/>
      <c r="Q65" s="361" t="s">
        <v>211</v>
      </c>
      <c r="R65" s="526" t="str">
        <f>IF(NOT(ISBLANK(HostBuild[Env Label])),IFERROR(VLOOKUP(HostBuild[Env Label],tEnv[],3,FALSE),""),"")</f>
        <v>COB</v>
      </c>
      <c r="S65" s="598"/>
      <c r="T65" s="527"/>
      <c r="U65" s="599"/>
      <c r="V65" s="524" t="s">
        <v>3977</v>
      </c>
      <c r="W65" s="524" t="s">
        <v>2248</v>
      </c>
      <c r="X65" s="524" t="s">
        <v>32</v>
      </c>
      <c r="Y65" s="361" t="s">
        <v>481</v>
      </c>
      <c r="Z65" s="526" t="str">
        <f>IF(NOT(ISBLANK(HostBuild[[#This Row],[Product 
(Acronym)]])),CONCATENATE(HostBuild[[#This Row],[Type]],"-",HostBuild[[#This Row],[Product 
(Acronym)]]),"")</f>
        <v>DB-ESB</v>
      </c>
      <c r="AA65" s="600"/>
      <c r="AB65" s="600" t="s">
        <v>3985</v>
      </c>
      <c r="AC65" s="528"/>
      <c r="AD65" s="529"/>
      <c r="AE65" s="529"/>
      <c r="AF65" s="530"/>
      <c r="AG65" s="531"/>
      <c r="AH65" s="601"/>
      <c r="AI65" s="362" t="s">
        <v>3989</v>
      </c>
      <c r="AJ65" s="524">
        <f>IF(COUNTIF(HostBuild[Alias],HostBuild[Alias]),1/COUNTIF(HostBuild[Alias],HostBuild[Alias]),0)</f>
        <v>1</v>
      </c>
      <c r="AK65" s="531"/>
      <c r="AL65" s="531"/>
      <c r="AM65" s="532" t="s">
        <v>314</v>
      </c>
      <c r="AN65" s="533" t="str">
        <f>IF(NOT(ISBLANK(HostBuild[Server Model])),VLOOKUP(HostBuild[Server Model],ServerModelsTier[],2,FALSE),"")</f>
        <v>IBM P-Series Tier 2</v>
      </c>
      <c r="AO65" s="533" t="str">
        <f>IF(NOT(ISBLANK(HostBuild[Server Model])),VLOOKUP(HostBuild[Server Model],ServerModelsTier[],5,FALSE),"")</f>
        <v>pSeries</v>
      </c>
      <c r="AP65" s="532"/>
      <c r="AQ65" s="532" t="s">
        <v>24</v>
      </c>
      <c r="AR65" s="535"/>
      <c r="AS65" s="602"/>
      <c r="AT65" s="535"/>
      <c r="AU65" s="603"/>
      <c r="AV65" s="536"/>
      <c r="AW65" s="531"/>
      <c r="AX65" s="531"/>
      <c r="AY65" s="531"/>
      <c r="AZ65" s="537"/>
      <c r="BA65" s="531"/>
      <c r="BB65" s="531"/>
      <c r="BC65" s="529"/>
      <c r="BD65" s="531"/>
      <c r="BE65" s="531"/>
      <c r="BF65" s="531"/>
      <c r="BG65" s="531"/>
      <c r="BH65" s="531"/>
      <c r="BI65" s="531"/>
      <c r="BJ65" s="531"/>
      <c r="BK65" s="604"/>
      <c r="BL65" s="538"/>
      <c r="BM65" s="540"/>
      <c r="BN65" s="539"/>
      <c r="BO65" s="540"/>
      <c r="BP65" s="541"/>
      <c r="BQ65" s="542"/>
      <c r="BR65" s="432" t="s">
        <v>106</v>
      </c>
      <c r="BS65" s="605">
        <f>IF(HostBuild[Existing Server?]&lt;&gt;"Yes - Inside this BoM",IF(ISNUMBER(HostBuild[RAM 
(GB)]),IF(HostBuild[Existing RAM (GB)]+HostBuild[RAM 
(GB)]&gt;0,IF(HostBuild[Virtual Platform Storage Type]="NAS",110+HostBuild[Existing RAM (GB)]+HostBuild[RAM 
(GB)]*1.75,0),0),0),0)</f>
        <v>0</v>
      </c>
      <c r="BT65" s="606"/>
      <c r="BU65" s="607">
        <f>IF(ISNUMBER(HostBuild[Recommended NAS (GB)]),HostBuild[Recommended NAS (GB)])+HostBuild[Additional NAS (GB)]</f>
        <v>0</v>
      </c>
      <c r="BV65" s="543"/>
      <c r="BW65" s="543"/>
      <c r="BX65" s="604">
        <f>IFERROR((HostBuild[SAN (GB)
End-State
DO NOT USE TO BUILD]+HostBuild[SAN (GB) Shared])*25%,"")</f>
        <v>0</v>
      </c>
      <c r="BY65" s="608">
        <f>IFERROR(HostBuild[Archive
Full (GB)]*15%,"")</f>
        <v>0</v>
      </c>
      <c r="BZ65" s="544"/>
      <c r="CA65" s="544"/>
      <c r="CB65" s="545"/>
      <c r="CC65" s="546"/>
      <c r="CD65" s="545"/>
      <c r="CE65" s="547"/>
      <c r="CF65" s="539"/>
      <c r="CG65" s="609"/>
      <c r="CH65" s="548"/>
      <c r="CI65" s="549"/>
      <c r="CJ65" s="550"/>
      <c r="CK65" s="551"/>
      <c r="CL65" s="552">
        <f>IFERROR(IF(FIND(CL$1,$W65)&gt;0,IF(INDEX(Product_Pricing_Table[],MATCH(CL$1,Products,0),2)="Cores",IF(HostBuild[Use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5" s="552">
        <f>IFERROR(IF(FIND(CM$1,$W65)&gt;0,IF(INDEX(Product_Pricing_Table[],MATCH(CM$1,Products,0),2)="Cores",IF(HostBuild[Use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5" s="552">
        <f>IFERROR(IF(FIND(CN$1,$W65)&gt;0,IF(INDEX(Product_Pricing_Table[],MATCH(CN$1,Products,0),2)="Cores",IF(HostBuild[Use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5" s="552">
        <f>IFERROR(IF(FIND(CO$1,$W65)&gt;0,IF(INDEX(Product_Pricing_Table[],MATCH(CO$1,Products,0),2)="Cores",IF(HostBuild[Use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5" s="552">
        <f>IFERROR(IF(FIND(CP$1,$W65)&gt;0,IF(INDEX(Product_Pricing_Table[],MATCH(CP$1,Products,0),2)="Cores",IF(HostBuild[Use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5" s="552">
        <f>IFERROR(IF(FIND(CQ$1,$W65)&gt;0,IF(INDEX(Product_Pricing_Table[],MATCH(CQ$1,Products,0),2)="Cores",IF(HostBuild[Use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5" s="552">
        <f>IFERROR(IF(FIND(CR$1,$W65)&gt;0,IF(INDEX(Product_Pricing_Table[],MATCH(CR$1,Products,0),2)="Cores",IF(HostBuild[Use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5" s="552">
        <f>IFERROR(IF(FIND(CS$1,$W65)&gt;0,IF(INDEX(Product_Pricing_Table[],MATCH(CS$1,Products,0),2)="Cores",IF(HostBuild[Use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5" s="552">
        <f>IFERROR(IF(FIND(CT$1,$W65)&gt;0,IF(INDEX(Product_Pricing_Table[],MATCH(CT$1,Products,0),2)="Cores",IF(HostBuild[Use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5" s="552">
        <f>IFERROR(IF(FIND(CU$1,$W65)&gt;0,IF(INDEX(Product_Pricing_Table[],MATCH(CU$1,Products,0),2)="Cores",IF(HostBuild[Use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5" s="552">
        <f>IFERROR(IF(FIND(CV$1,$W65)&gt;0,IF(INDEX(Product_Pricing_Table[],MATCH(CV$1,Products,0),2)="Cores",IF(HostBuild[Use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5" s="552">
        <f>IFERROR(IF(FIND(CW$1,$W65)&gt;0,IF(INDEX(Product_Pricing_Table[],MATCH(CW$1,Products,0),2)="Cores",IF(HostBuild[Use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5" s="552">
        <f>IFERROR(IF(FIND(CX$1,$W65)&gt;0,IF(INDEX(Product_Pricing_Table[],MATCH(CX$1,Products,0),2)="Cores",IF(HostBuild[Use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5" s="552">
        <f>IFERROR(IF(FIND(CY$1,$W65)&gt;0,IF(INDEX(Product_Pricing_Table[],MATCH(CY$1,Products,0),2)="Cores",IF(HostBuild[Use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5" s="552">
        <f>IFERROR(IF(FIND(CZ$1,$W65)&gt;0,IF(INDEX(Product_Pricing_Table[],MATCH(CZ$1,Products,0),2)="Cores",IF(HostBuild[Use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5" s="552">
        <f>IFERROR(IF(FIND(DA$1,$W65)&gt;0,IF(INDEX(Product_Pricing_Table[],MATCH(DA$1,Products,0),2)="Cores",IF(HostBuild[Use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5" s="552">
        <f>IFERROR(IF(FIND(DB$1,$W65)&gt;0,IF(INDEX(Product_Pricing_Table[],MATCH(DB$1,Products,0),2)="Cores",IF(HostBuild[Use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5" s="552">
        <f>IFERROR(IF(FIND(DC$1,$W65)&gt;0,IF(INDEX(Product_Pricing_Table[],MATCH(DC$1,Products,0),2)="Cores",IF(HostBuild[Use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5" s="552">
        <f>IFERROR(IF(FIND(DD$1,$W65)&gt;0,IF(INDEX(Product_Pricing_Table[],MATCH(DD$1,Products,0),2)="Cores",IF(HostBuild[Use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5" s="552">
        <f>IFERROR(IF(FIND(DE$1,$W65)&gt;0,IF(INDEX(Product_Pricing_Table[],MATCH(DE$1,Products,0),2)="Cores",IF(HostBuild[Use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5" s="553">
        <f>IFERROR(IF(FIND(DF$1,$W65)&gt;0,IF(INDEX(Product_Pricing_Table[],MATCH(DF$1,Products,0),2)="Cores",IF(HostBuild[Use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5" s="553">
        <f>IFERROR(IF(FIND(DG$1,$W65)&gt;0,IF(INDEX(Product_Pricing_Table[],MATCH(DG$1,Products,0),2)="Cores",IF(HostBuild[Use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5" s="552">
        <f>IFERROR(IF(FIND(DH$1,$W65)&gt;0,IF(INDEX(Product_Pricing_Table[],MATCH(DH$1,Products,0),2)="Cores",IF(HostBuild[Use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5" s="553">
        <f>IFERROR(IF(FIND(DI$1,$W65)&gt;0,IF(INDEX(Product_Pricing_Table[],MATCH(DI$1,Products,0),2)="Cores",IF(HostBuild[Use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5" s="552">
        <f>IFERROR(IF(FIND(DJ$1,$W65)&gt;0,IF(INDEX(Product_Pricing_Table[],MATCH(DJ$1,Products,0),2)="Cores",IF(HostBuild[Use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5" s="552">
        <f>IFERROR(IF(FIND(DK$1,$W65)&gt;0,IF(INDEX(Product_Pricing_Table[],MATCH(DK$1,Products,0),2)="Cores",IF(HostBuild[Use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5" s="552">
        <f>IFERROR(IF(FIND(DL$1,$W65)&gt;0,IF(INDEX(Product_Pricing_Table[],MATCH(DL$1,Products,0),2)="Cores",IF(HostBuild[Use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5" s="552">
        <f>IFERROR(IF(FIND(DM$1,$W65)&gt;0,IF(INDEX(Product_Pricing_Table[],MATCH(DM$1,Products,0),2)="Cores",IF(HostBuild[Use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5" s="552">
        <f>IFERROR(IF(FIND(DN$1,$W65)&gt;0,IF(INDEX(Product_Pricing_Table[],MATCH(DN$1,Products,0),2)="Cores",IF(HostBuild[Use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5" s="552">
        <f>IFERROR(IF(FIND(DO$1,$W65)&gt;0,IF(INDEX(Product_Pricing_Table[],MATCH(DO$1,Products,0),2)="Cores",IF(HostBuild[Use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5" s="552">
        <f>IFERROR(IF(FIND(DP$1,$W65)&gt;0,IF(INDEX(Product_Pricing_Table[],MATCH(DP$1,Products,0),2)="Cores",IF(HostBuild[Use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5" s="552">
        <f>IFERROR(IF(FIND(DQ$1,$W65)&gt;0,IF(INDEX(Product_Pricing_Table[],MATCH(DQ$1,Products,0),2)="Cores",IF(HostBuild[Use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5" s="552">
        <f>IFERROR(IF(FIND(DR$1,$W65)&gt;0,IF(INDEX(Product_Pricing_Table[],MATCH(DR$1,Products,0),2)="Cores",IF(HostBuild[Use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5" s="552">
        <f>IFERROR(IF(FIND(DS$1,$W65)&gt;0,IF(INDEX(Product_Pricing_Table[],MATCH(DS$1,Products,0),2)="Cores",IF(HostBuild[Use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5" s="552">
        <f>IFERROR(IF(FIND(DT$1,$W65)&gt;0,IF(INDEX(Product_Pricing_Table[],MATCH(DT$1,Products,0),2)="Cores",IF(HostBuild[Use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5" s="552">
        <f>IFERROR(IF(FIND(DU$1,$W65)&gt;0,IF(INDEX(Product_Pricing_Table[],MATCH(DU$1,Products,0),2)="Cores",IF(HostBuild[Use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5" s="552">
        <f>IFERROR(IF(FIND(DV$1,$W65)&gt;0,IF(INDEX(Product_Pricing_Table[],MATCH(DV$1,Products,0),2)="Cores",IF(HostBuild[Use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5" s="552">
        <f>IFERROR(IF(FIND(DW$1,$W65)&gt;0,IF(INDEX(Product_Pricing_Table[],MATCH(DW$1,Products,0),2)="Cores",IF(HostBuild[Use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5" s="552">
        <f>IFERROR(IF(FIND(DX$1,$W65)&gt;0,IF(INDEX(Product_Pricing_Table[],MATCH(DX$1,Products,0),2)="Cores",IF(HostBuild[Use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5" s="552">
        <f>IFERROR(IF(FIND(DY$1,$W65)&gt;0,IF(INDEX(Product_Pricing_Table[],MATCH(DY$1,Products,0),2)="Cores",IF(HostBuild[Use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5" s="552">
        <f>IFERROR(IF(FIND(DZ$1,$W65)&gt;0,IF(INDEX(Product_Pricing_Table[],MATCH(DZ$1,Products,0),2)="Cores",IF(HostBuild[Use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5" s="552">
        <f>IFERROR(IF(FIND(EA$1,$W65)&gt;0,IF(INDEX(Product_Pricing_Table[],MATCH(EA$1,Products,0),2)="Cores",IF(HostBuild[Use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5" s="552">
        <f>IFERROR(IF(FIND(EB$1,$W65)&gt;0,IF(INDEX(Product_Pricing_Table[],MATCH(EB$1,Products,0),2)="Cores",IF(HostBuild[Use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5" s="553">
        <f>IFERROR(IF(FIND(EC$1,$W65)&gt;0,IF(INDEX(Product_Pricing_Table[],MATCH(EC$1,Products,0),2)="Cores",IF(HostBuild[Use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5" s="552">
        <f>IFERROR(IF(FIND(ED$1,$W65)&gt;0,IF(INDEX(Product_Pricing_Table[],MATCH(ED$1,Products,0),2)="Cores",IF(HostBuild[Use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5" s="552">
        <f>IFERROR(IF(FIND(EE$1,$W65)&gt;0,IF(INDEX(Product_Pricing_Table[],MATCH(EE$1,Products,0),2)="Cores",IF(HostBuild[Use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5" s="552">
        <f>IFERROR(IF(FIND(EF$1,$W65)&gt;0,IF(INDEX(Product_Pricing_Table[],MATCH(EF$1,Products,0),2)="Cores",IF(HostBuild[Use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5" s="552">
        <f>IFERROR(IF(FIND(EG$1,$W65)&gt;0,IF(INDEX(Product_Pricing_Table[],MATCH(EG$1,Products,0),2)="Cores",IF(HostBuild[Use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5" s="552">
        <f>IFERROR(IF(FIND(EH$1,$W65)&gt;0,IF(INDEX(Product_Pricing_Table[],MATCH(EH$1,Products,0),2)="Cores",IF(HostBuild[Use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5" s="552">
        <f>IFERROR(IF(FIND(EI$1,$W65)&gt;0,IF(INDEX(Product_Pricing_Table[],MATCH(EI$1,Products,0),2)="Cores",IF(HostBuild[Use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5" s="552">
        <f>IFERROR(IF(FIND(EJ$1,$W65)&gt;0,IF(INDEX(Product_Pricing_Table[],MATCH(EJ$1,Products,0),2)="Cores",IF(HostBuild[Use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5" s="553">
        <f>IFERROR(IF(FIND(EK$1,$W65)&gt;0,IF(INDEX(Product_Pricing_Table[],MATCH(EK$1,Products,0),2)="Cores",IF(HostBuild[Use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5" s="554"/>
      <c r="EM65" s="555"/>
      <c r="EN65" s="556"/>
      <c r="EO6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5" s="558">
        <f>(HostBuild[Archive
Full (GB)]+HostBuild[Archive
Incr (GB)])*Storage_DC_Dist_Tape_2014</f>
        <v>0</v>
      </c>
      <c r="ER65" s="558">
        <f>IF(ISNUMBER(HostBuild[Server HW Costs
(Monthly)]),SUM(HostBuild[[#This Row],[Server HW Costs
(Monthly)]:[Tape Costs
(Monthly)]]),0)</f>
        <v>0</v>
      </c>
      <c r="ES65" s="559">
        <f>HostBuild[Software Costs
'[Year 1']
(Monthly)]+HostBuild[Total Hardware Costs
(Monthly)]</f>
        <v>0</v>
      </c>
      <c r="ET65" s="559">
        <f>IFERROR(IF(FIND("Safenet",HostBuild[Server Model]),Safenet_PSE_PL600_Maint,0),0)+IFERROR(IF(FIND("XI52",HostBuild[Server Model]),IBM_DIA_XI52_Maint,0),0)+HostBuild[Software Costs
'[After Year 1']
(Monthly)]+HostBuild[Total Hardware Costs
(Monthly)]</f>
        <v>0</v>
      </c>
      <c r="EU65" s="560">
        <f>SUM(HostBuild[[#This Row],[Server Cost Breakdown]:[Network Cost]])</f>
        <v>0</v>
      </c>
      <c r="EV65" s="561">
        <f>IF(HostBuild[Existing Server?]="Yes - Inside this BoM",0,SUMIF(HostBuild[Alias],HostBuild[Alias],HostBuild[CPU])+SUMIF(HostBuild[Alias],HostBuild[Alias],HostBuild[Existing CPUs]))</f>
        <v>0</v>
      </c>
      <c r="EW65" s="561">
        <f>IF(HostBuild[Existing Server?]="Yes - Inside this BoM",0,SUMIF(HostBuild[Alias],HostBuild[Alias],HostBuild[Cores 
(Licensed Units)])+SUMIF(HostBuild[Alias],HostBuild[Alias],HostBuild[Existing Cores]))</f>
        <v>0</v>
      </c>
      <c r="EX65" s="561">
        <f>IF(HostBuild[Existing Server?]="Yes - Inside this BoM",0,SUMIF(HostBuild[Alias],HostBuild[Alias],HostBuild[RAM 
(GB)])+SUMIF(HostBuild[Alias],HostBuild[Alias],HostBuild[Existing RAM (GB)]))</f>
        <v>0</v>
      </c>
      <c r="EY6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5" s="560">
        <f>IF(ISBLANK(HostBuild[Server Model]),0,IF(HostBuild[Server Tier]="VMware",0,VLOOKUP(HostBuild[Server Tier],ServerTierRates[#Data],2,0))*HostBuild[CPU]*IF(AND(HostBuild[Server Type]="pSeries",HostBuild[Virtual Platform Storage Type]="Cloud-SAN"),0.25,1))</f>
        <v>0</v>
      </c>
      <c r="FD65" s="560">
        <f>0</f>
        <v>0</v>
      </c>
      <c r="FE65" s="560">
        <f>IF(HostBuild[Server Type]="VMware",HostBuild[RAM 
(GB)]*IF(ISERROR(FIND("DevCloud", HostBuild[Server Model])&gt;0),vRAM_per_vCPU_2014_Monthly,vRAM_per_vCPU_2014_Daily*30),0)</f>
        <v>0</v>
      </c>
      <c r="FF6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5" s="563">
        <f>IF(HostBuild[Server Tier]="VMware",0,IF(LEFT(HostBuild[Existing Server?],3)="Yes",0,IF(OR(HostBuild[Server Type]="Sun",HostBuild[Server Type]="pSeries"),Support_Direct_Server_Sun_per_OS_2014,IF(HostBuild[Server Type]="x86",Support_Direct_Server_x86_Wintel_per_OS_2014,0))))</f>
        <v>0</v>
      </c>
      <c r="FI6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6" spans="1:165" s="262" customFormat="1" ht="15" customHeight="1">
      <c r="A66" s="360" t="s">
        <v>3942</v>
      </c>
      <c r="B66" s="521"/>
      <c r="C66" s="521"/>
      <c r="D66" s="521"/>
      <c r="E66" s="522"/>
      <c r="F66" s="522"/>
      <c r="G66" s="597"/>
      <c r="H66" s="597"/>
      <c r="I66" s="523"/>
      <c r="J66" s="522"/>
      <c r="K66" s="522"/>
      <c r="L66" s="522"/>
      <c r="M66" s="597" t="e">
        <f ca="1">IF(rngIsDate(HostBuild[CTO Acceptance]),"Y","N")</f>
        <v>#NAME?</v>
      </c>
      <c r="N66" s="361" t="s">
        <v>3939</v>
      </c>
      <c r="O66" s="525"/>
      <c r="P66" s="525"/>
      <c r="Q66" s="361" t="s">
        <v>211</v>
      </c>
      <c r="R66" s="526" t="str">
        <f>IF(NOT(ISBLANK(HostBuild[Env Label])),IFERROR(VLOOKUP(HostBuild[Env Label],tEnv[],3,FALSE),""),"")</f>
        <v>COB</v>
      </c>
      <c r="S66" s="598"/>
      <c r="T66" s="527"/>
      <c r="U66" s="599"/>
      <c r="V66" s="524" t="s">
        <v>3983</v>
      </c>
      <c r="W66" s="524" t="s">
        <v>483</v>
      </c>
      <c r="X66" s="524" t="s">
        <v>32</v>
      </c>
      <c r="Y66" s="361" t="s">
        <v>481</v>
      </c>
      <c r="Z66" s="526" t="str">
        <f>IF(NOT(ISBLANK(HostBuild[[#This Row],[Product 
(Acronym)]])),CONCATENATE(HostBuild[[#This Row],[Type]],"-",HostBuild[[#This Row],[Product 
(Acronym)]]),"")</f>
        <v>DB-ESB</v>
      </c>
      <c r="AA66" s="600"/>
      <c r="AB66" s="600" t="s">
        <v>3985</v>
      </c>
      <c r="AC66" s="528"/>
      <c r="AD66" s="529"/>
      <c r="AE66" s="529"/>
      <c r="AF66" s="530"/>
      <c r="AG66" s="531"/>
      <c r="AH66" s="601"/>
      <c r="AI66" s="362" t="s">
        <v>3990</v>
      </c>
      <c r="AJ66" s="524">
        <f>IF(COUNTIF(HostBuild[Alias],HostBuild[Alias]),1/COUNTIF(HostBuild[Alias],HostBuild[Alias]),0)</f>
        <v>1</v>
      </c>
      <c r="AK66" s="531"/>
      <c r="AL66" s="531"/>
      <c r="AM66" s="532" t="s">
        <v>314</v>
      </c>
      <c r="AN66" s="533" t="str">
        <f>IF(NOT(ISBLANK(HostBuild[Server Model])),VLOOKUP(HostBuild[Server Model],ServerModelsTier[],2,FALSE),"")</f>
        <v>IBM P-Series Tier 2</v>
      </c>
      <c r="AO66" s="533" t="str">
        <f>IF(NOT(ISBLANK(HostBuild[Server Model])),VLOOKUP(HostBuild[Server Model],ServerModelsTier[],5,FALSE),"")</f>
        <v>pSeries</v>
      </c>
      <c r="AP66" s="532"/>
      <c r="AQ66" s="532" t="s">
        <v>24</v>
      </c>
      <c r="AR66" s="535"/>
      <c r="AS66" s="602"/>
      <c r="AT66" s="535"/>
      <c r="AU66" s="603"/>
      <c r="AV66" s="536"/>
      <c r="AW66" s="531"/>
      <c r="AX66" s="531"/>
      <c r="AY66" s="531"/>
      <c r="AZ66" s="537"/>
      <c r="BA66" s="531"/>
      <c r="BB66" s="531"/>
      <c r="BC66" s="529"/>
      <c r="BD66" s="531"/>
      <c r="BE66" s="531"/>
      <c r="BF66" s="531"/>
      <c r="BG66" s="531"/>
      <c r="BH66" s="531"/>
      <c r="BI66" s="531"/>
      <c r="BJ66" s="531"/>
      <c r="BK66" s="604"/>
      <c r="BL66" s="538"/>
      <c r="BM66" s="540"/>
      <c r="BN66" s="539"/>
      <c r="BO66" s="540"/>
      <c r="BP66" s="541"/>
      <c r="BQ66" s="542"/>
      <c r="BR66" s="432" t="s">
        <v>106</v>
      </c>
      <c r="BS66" s="605">
        <f>IF(HostBuild[Existing Server?]&lt;&gt;"Yes - Inside this BoM",IF(ISNUMBER(HostBuild[RAM 
(GB)]),IF(HostBuild[Existing RAM (GB)]+HostBuild[RAM 
(GB)]&gt;0,IF(HostBuild[Virtual Platform Storage Type]="NAS",110+HostBuild[Existing RAM (GB)]+HostBuild[RAM 
(GB)]*1.75,0),0),0),0)</f>
        <v>0</v>
      </c>
      <c r="BT66" s="606"/>
      <c r="BU66" s="607">
        <f>IF(ISNUMBER(HostBuild[Recommended NAS (GB)]),HostBuild[Recommended NAS (GB)])+HostBuild[Additional NAS (GB)]</f>
        <v>0</v>
      </c>
      <c r="BV66" s="543"/>
      <c r="BW66" s="543"/>
      <c r="BX66" s="604">
        <f>IFERROR((HostBuild[SAN (GB)
End-State
DO NOT USE TO BUILD]+HostBuild[SAN (GB) Shared])*25%,"")</f>
        <v>0</v>
      </c>
      <c r="BY66" s="608">
        <f>IFERROR(HostBuild[Archive
Full (GB)]*15%,"")</f>
        <v>0</v>
      </c>
      <c r="BZ66" s="544"/>
      <c r="CA66" s="544"/>
      <c r="CB66" s="545"/>
      <c r="CC66" s="546"/>
      <c r="CD66" s="545"/>
      <c r="CE66" s="547"/>
      <c r="CF66" s="539"/>
      <c r="CG66" s="609"/>
      <c r="CH66" s="548"/>
      <c r="CI66" s="549"/>
      <c r="CJ66" s="550"/>
      <c r="CK66" s="551"/>
      <c r="CL66" s="552">
        <f>IFERROR(IF(FIND(CL$1,$W66)&gt;0,IF(INDEX(Product_Pricing_Table[],MATCH(CL$1,Products,0),2)="Cores",IF(HostBuild[Use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6" s="552">
        <f>IFERROR(IF(FIND(CM$1,$W66)&gt;0,IF(INDEX(Product_Pricing_Table[],MATCH(CM$1,Products,0),2)="Cores",IF(HostBuild[Use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6" s="552">
        <f>IFERROR(IF(FIND(CN$1,$W66)&gt;0,IF(INDEX(Product_Pricing_Table[],MATCH(CN$1,Products,0),2)="Cores",IF(HostBuild[Use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6" s="552">
        <f>IFERROR(IF(FIND(CO$1,$W66)&gt;0,IF(INDEX(Product_Pricing_Table[],MATCH(CO$1,Products,0),2)="Cores",IF(HostBuild[Use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6" s="552">
        <f>IFERROR(IF(FIND(CP$1,$W66)&gt;0,IF(INDEX(Product_Pricing_Table[],MATCH(CP$1,Products,0),2)="Cores",IF(HostBuild[Use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6" s="552">
        <f>IFERROR(IF(FIND(CQ$1,$W66)&gt;0,IF(INDEX(Product_Pricing_Table[],MATCH(CQ$1,Products,0),2)="Cores",IF(HostBuild[Use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6" s="552">
        <f>IFERROR(IF(FIND(CR$1,$W66)&gt;0,IF(INDEX(Product_Pricing_Table[],MATCH(CR$1,Products,0),2)="Cores",IF(HostBuild[Use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6" s="552">
        <f>IFERROR(IF(FIND(CS$1,$W66)&gt;0,IF(INDEX(Product_Pricing_Table[],MATCH(CS$1,Products,0),2)="Cores",IF(HostBuild[Use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6" s="552">
        <f>IFERROR(IF(FIND(CT$1,$W66)&gt;0,IF(INDEX(Product_Pricing_Table[],MATCH(CT$1,Products,0),2)="Cores",IF(HostBuild[Use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6" s="552">
        <f>IFERROR(IF(FIND(CU$1,$W66)&gt;0,IF(INDEX(Product_Pricing_Table[],MATCH(CU$1,Products,0),2)="Cores",IF(HostBuild[Use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6" s="552">
        <f>IFERROR(IF(FIND(CV$1,$W66)&gt;0,IF(INDEX(Product_Pricing_Table[],MATCH(CV$1,Products,0),2)="Cores",IF(HostBuild[Use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6" s="552">
        <f>IFERROR(IF(FIND(CW$1,$W66)&gt;0,IF(INDEX(Product_Pricing_Table[],MATCH(CW$1,Products,0),2)="Cores",IF(HostBuild[Use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6" s="552">
        <f>IFERROR(IF(FIND(CX$1,$W66)&gt;0,IF(INDEX(Product_Pricing_Table[],MATCH(CX$1,Products,0),2)="Cores",IF(HostBuild[Use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6" s="552">
        <f>IFERROR(IF(FIND(CY$1,$W66)&gt;0,IF(INDEX(Product_Pricing_Table[],MATCH(CY$1,Products,0),2)="Cores",IF(HostBuild[Use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6" s="552">
        <f>IFERROR(IF(FIND(CZ$1,$W66)&gt;0,IF(INDEX(Product_Pricing_Table[],MATCH(CZ$1,Products,0),2)="Cores",IF(HostBuild[Use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6" s="552">
        <f>IFERROR(IF(FIND(DA$1,$W66)&gt;0,IF(INDEX(Product_Pricing_Table[],MATCH(DA$1,Products,0),2)="Cores",IF(HostBuild[Use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6" s="552">
        <f>IFERROR(IF(FIND(DB$1,$W66)&gt;0,IF(INDEX(Product_Pricing_Table[],MATCH(DB$1,Products,0),2)="Cores",IF(HostBuild[Use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6" s="552">
        <f>IFERROR(IF(FIND(DC$1,$W66)&gt;0,IF(INDEX(Product_Pricing_Table[],MATCH(DC$1,Products,0),2)="Cores",IF(HostBuild[Use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6" s="552">
        <f>IFERROR(IF(FIND(DD$1,$W66)&gt;0,IF(INDEX(Product_Pricing_Table[],MATCH(DD$1,Products,0),2)="Cores",IF(HostBuild[Use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6" s="552">
        <f>IFERROR(IF(FIND(DE$1,$W66)&gt;0,IF(INDEX(Product_Pricing_Table[],MATCH(DE$1,Products,0),2)="Cores",IF(HostBuild[Use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6" s="553">
        <f>IFERROR(IF(FIND(DF$1,$W66)&gt;0,IF(INDEX(Product_Pricing_Table[],MATCH(DF$1,Products,0),2)="Cores",IF(HostBuild[Use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6" s="553">
        <f>IFERROR(IF(FIND(DG$1,$W66)&gt;0,IF(INDEX(Product_Pricing_Table[],MATCH(DG$1,Products,0),2)="Cores",IF(HostBuild[Use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6" s="552">
        <f>IFERROR(IF(FIND(DH$1,$W66)&gt;0,IF(INDEX(Product_Pricing_Table[],MATCH(DH$1,Products,0),2)="Cores",IF(HostBuild[Use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6" s="553">
        <f>IFERROR(IF(FIND(DI$1,$W66)&gt;0,IF(INDEX(Product_Pricing_Table[],MATCH(DI$1,Products,0),2)="Cores",IF(HostBuild[Use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6" s="552">
        <f>IFERROR(IF(FIND(DJ$1,$W66)&gt;0,IF(INDEX(Product_Pricing_Table[],MATCH(DJ$1,Products,0),2)="Cores",IF(HostBuild[Use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6" s="552">
        <f>IFERROR(IF(FIND(DK$1,$W66)&gt;0,IF(INDEX(Product_Pricing_Table[],MATCH(DK$1,Products,0),2)="Cores",IF(HostBuild[Use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6" s="552">
        <f>IFERROR(IF(FIND(DL$1,$W66)&gt;0,IF(INDEX(Product_Pricing_Table[],MATCH(DL$1,Products,0),2)="Cores",IF(HostBuild[Use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6" s="552">
        <f>IFERROR(IF(FIND(DM$1,$W66)&gt;0,IF(INDEX(Product_Pricing_Table[],MATCH(DM$1,Products,0),2)="Cores",IF(HostBuild[Use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6" s="552">
        <f>IFERROR(IF(FIND(DN$1,$W66)&gt;0,IF(INDEX(Product_Pricing_Table[],MATCH(DN$1,Products,0),2)="Cores",IF(HostBuild[Use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6" s="552">
        <f>IFERROR(IF(FIND(DO$1,$W66)&gt;0,IF(INDEX(Product_Pricing_Table[],MATCH(DO$1,Products,0),2)="Cores",IF(HostBuild[Use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6" s="552">
        <f>IFERROR(IF(FIND(DP$1,$W66)&gt;0,IF(INDEX(Product_Pricing_Table[],MATCH(DP$1,Products,0),2)="Cores",IF(HostBuild[Use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6" s="552">
        <f>IFERROR(IF(FIND(DQ$1,$W66)&gt;0,IF(INDEX(Product_Pricing_Table[],MATCH(DQ$1,Products,0),2)="Cores",IF(HostBuild[Use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6" s="552">
        <f>IFERROR(IF(FIND(DR$1,$W66)&gt;0,IF(INDEX(Product_Pricing_Table[],MATCH(DR$1,Products,0),2)="Cores",IF(HostBuild[Use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6" s="552">
        <f>IFERROR(IF(FIND(DS$1,$W66)&gt;0,IF(INDEX(Product_Pricing_Table[],MATCH(DS$1,Products,0),2)="Cores",IF(HostBuild[Use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6" s="552">
        <f>IFERROR(IF(FIND(DT$1,$W66)&gt;0,IF(INDEX(Product_Pricing_Table[],MATCH(DT$1,Products,0),2)="Cores",IF(HostBuild[Use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6" s="552">
        <f>IFERROR(IF(FIND(DU$1,$W66)&gt;0,IF(INDEX(Product_Pricing_Table[],MATCH(DU$1,Products,0),2)="Cores",IF(HostBuild[Use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6" s="552">
        <f>IFERROR(IF(FIND(DV$1,$W66)&gt;0,IF(INDEX(Product_Pricing_Table[],MATCH(DV$1,Products,0),2)="Cores",IF(HostBuild[Use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6" s="552">
        <f>IFERROR(IF(FIND(DW$1,$W66)&gt;0,IF(INDEX(Product_Pricing_Table[],MATCH(DW$1,Products,0),2)="Cores",IF(HostBuild[Use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6" s="552">
        <f>IFERROR(IF(FIND(DX$1,$W66)&gt;0,IF(INDEX(Product_Pricing_Table[],MATCH(DX$1,Products,0),2)="Cores",IF(HostBuild[Use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6" s="552">
        <f>IFERROR(IF(FIND(DY$1,$W66)&gt;0,IF(INDEX(Product_Pricing_Table[],MATCH(DY$1,Products,0),2)="Cores",IF(HostBuild[Use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6" s="552">
        <f>IFERROR(IF(FIND(DZ$1,$W66)&gt;0,IF(INDEX(Product_Pricing_Table[],MATCH(DZ$1,Products,0),2)="Cores",IF(HostBuild[Use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6" s="552">
        <f>IFERROR(IF(FIND(EA$1,$W66)&gt;0,IF(INDEX(Product_Pricing_Table[],MATCH(EA$1,Products,0),2)="Cores",IF(HostBuild[Use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6" s="552">
        <f>IFERROR(IF(FIND(EB$1,$W66)&gt;0,IF(INDEX(Product_Pricing_Table[],MATCH(EB$1,Products,0),2)="Cores",IF(HostBuild[Use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6" s="553">
        <f>IFERROR(IF(FIND(EC$1,$W66)&gt;0,IF(INDEX(Product_Pricing_Table[],MATCH(EC$1,Products,0),2)="Cores",IF(HostBuild[Use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6" s="552">
        <f>IFERROR(IF(FIND(ED$1,$W66)&gt;0,IF(INDEX(Product_Pricing_Table[],MATCH(ED$1,Products,0),2)="Cores",IF(HostBuild[Use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6" s="552">
        <f>IFERROR(IF(FIND(EE$1,$W66)&gt;0,IF(INDEX(Product_Pricing_Table[],MATCH(EE$1,Products,0),2)="Cores",IF(HostBuild[Use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6" s="552">
        <f>IFERROR(IF(FIND(EF$1,$W66)&gt;0,IF(INDEX(Product_Pricing_Table[],MATCH(EF$1,Products,0),2)="Cores",IF(HostBuild[Use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6" s="552">
        <f>IFERROR(IF(FIND(EG$1,$W66)&gt;0,IF(INDEX(Product_Pricing_Table[],MATCH(EG$1,Products,0),2)="Cores",IF(HostBuild[Use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6" s="552">
        <f>IFERROR(IF(FIND(EH$1,$W66)&gt;0,IF(INDEX(Product_Pricing_Table[],MATCH(EH$1,Products,0),2)="Cores",IF(HostBuild[Use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6" s="552">
        <f>IFERROR(IF(FIND(EI$1,$W66)&gt;0,IF(INDEX(Product_Pricing_Table[],MATCH(EI$1,Products,0),2)="Cores",IF(HostBuild[Use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6" s="552">
        <f>IFERROR(IF(FIND(EJ$1,$W66)&gt;0,IF(INDEX(Product_Pricing_Table[],MATCH(EJ$1,Products,0),2)="Cores",IF(HostBuild[Use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6" s="553">
        <f>IFERROR(IF(FIND(EK$1,$W66)&gt;0,IF(INDEX(Product_Pricing_Table[],MATCH(EK$1,Products,0),2)="Cores",IF(HostBuild[Use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6" s="554"/>
      <c r="EM66" s="555"/>
      <c r="EN66" s="556"/>
      <c r="EO6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6" s="558">
        <f>(HostBuild[Archive
Full (GB)]+HostBuild[Archive
Incr (GB)])*Storage_DC_Dist_Tape_2014</f>
        <v>0</v>
      </c>
      <c r="ER66" s="558">
        <f>IF(ISNUMBER(HostBuild[Server HW Costs
(Monthly)]),SUM(HostBuild[[#This Row],[Server HW Costs
(Monthly)]:[Tape Costs
(Monthly)]]),0)</f>
        <v>0</v>
      </c>
      <c r="ES66" s="559">
        <f>HostBuild[Software Costs
'[Year 1']
(Monthly)]+HostBuild[Total Hardware Costs
(Monthly)]</f>
        <v>0</v>
      </c>
      <c r="ET66" s="559">
        <f>IFERROR(IF(FIND("Safenet",HostBuild[Server Model]),Safenet_PSE_PL600_Maint,0),0)+IFERROR(IF(FIND("XI52",HostBuild[Server Model]),IBM_DIA_XI52_Maint,0),0)+HostBuild[Software Costs
'[After Year 1']
(Monthly)]+HostBuild[Total Hardware Costs
(Monthly)]</f>
        <v>0</v>
      </c>
      <c r="EU66" s="560">
        <f>SUM(HostBuild[[#This Row],[Server Cost Breakdown]:[Network Cost]])</f>
        <v>0</v>
      </c>
      <c r="EV66" s="561">
        <f>IF(HostBuild[Existing Server?]="Yes - Inside this BoM",0,SUMIF(HostBuild[Alias],HostBuild[Alias],HostBuild[CPU])+SUMIF(HostBuild[Alias],HostBuild[Alias],HostBuild[Existing CPUs]))</f>
        <v>0</v>
      </c>
      <c r="EW66" s="561">
        <f>IF(HostBuild[Existing Server?]="Yes - Inside this BoM",0,SUMIF(HostBuild[Alias],HostBuild[Alias],HostBuild[Cores 
(Licensed Units)])+SUMIF(HostBuild[Alias],HostBuild[Alias],HostBuild[Existing Cores]))</f>
        <v>0</v>
      </c>
      <c r="EX66" s="561">
        <f>IF(HostBuild[Existing Server?]="Yes - Inside this BoM",0,SUMIF(HostBuild[Alias],HostBuild[Alias],HostBuild[RAM 
(GB)])+SUMIF(HostBuild[Alias],HostBuild[Alias],HostBuild[Existing RAM (GB)]))</f>
        <v>0</v>
      </c>
      <c r="EY6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6" s="560">
        <f>IF(ISBLANK(HostBuild[Server Model]),0,IF(HostBuild[Server Tier]="VMware",0,VLOOKUP(HostBuild[Server Tier],ServerTierRates[#Data],2,0))*HostBuild[CPU]*IF(AND(HostBuild[Server Type]="pSeries",HostBuild[Virtual Platform Storage Type]="Cloud-SAN"),0.25,1))</f>
        <v>0</v>
      </c>
      <c r="FD66" s="560">
        <f>0</f>
        <v>0</v>
      </c>
      <c r="FE66" s="560">
        <f>IF(HostBuild[Server Type]="VMware",HostBuild[RAM 
(GB)]*IF(ISERROR(FIND("DevCloud", HostBuild[Server Model])&gt;0),vRAM_per_vCPU_2014_Monthly,vRAM_per_vCPU_2014_Daily*30),0)</f>
        <v>0</v>
      </c>
      <c r="FF6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6" s="563">
        <f>IF(HostBuild[Server Tier]="VMware",0,IF(LEFT(HostBuild[Existing Server?],3)="Yes",0,IF(OR(HostBuild[Server Type]="Sun",HostBuild[Server Type]="pSeries"),Support_Direct_Server_Sun_per_OS_2014,IF(HostBuild[Server Type]="x86",Support_Direct_Server_x86_Wintel_per_OS_2014,0))))</f>
        <v>0</v>
      </c>
      <c r="FI6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7" spans="1:165" s="262" customFormat="1" ht="15" customHeight="1">
      <c r="A67" s="360" t="s">
        <v>3942</v>
      </c>
      <c r="B67" s="521"/>
      <c r="C67" s="521"/>
      <c r="D67" s="521"/>
      <c r="E67" s="522"/>
      <c r="F67" s="522"/>
      <c r="G67" s="597"/>
      <c r="H67" s="597"/>
      <c r="I67" s="523"/>
      <c r="J67" s="522"/>
      <c r="K67" s="522"/>
      <c r="L67" s="522"/>
      <c r="M67" s="597" t="e">
        <f ca="1">IF(rngIsDate(HostBuild[CTO Acceptance]),"Y","N")</f>
        <v>#NAME?</v>
      </c>
      <c r="N67" s="361" t="s">
        <v>3939</v>
      </c>
      <c r="O67" s="525"/>
      <c r="P67" s="525"/>
      <c r="Q67" s="361" t="s">
        <v>211</v>
      </c>
      <c r="R67" s="526" t="str">
        <f>IF(NOT(ISBLANK(HostBuild[Env Label])),IFERROR(VLOOKUP(HostBuild[Env Label],tEnv[],3,FALSE),""),"")</f>
        <v>COB</v>
      </c>
      <c r="S67" s="598"/>
      <c r="T67" s="527"/>
      <c r="U67" s="599"/>
      <c r="V67" s="524" t="s">
        <v>3984</v>
      </c>
      <c r="W67" s="524" t="s">
        <v>483</v>
      </c>
      <c r="X67" s="524" t="s">
        <v>32</v>
      </c>
      <c r="Y67" s="361" t="s">
        <v>481</v>
      </c>
      <c r="Z67" s="526" t="str">
        <f>IF(NOT(ISBLANK(HostBuild[[#This Row],[Product 
(Acronym)]])),CONCATENATE(HostBuild[[#This Row],[Type]],"-",HostBuild[[#This Row],[Product 
(Acronym)]]),"")</f>
        <v>DB-ESB</v>
      </c>
      <c r="AA67" s="600"/>
      <c r="AB67" s="600" t="s">
        <v>3985</v>
      </c>
      <c r="AC67" s="528"/>
      <c r="AD67" s="529"/>
      <c r="AE67" s="529"/>
      <c r="AF67" s="530"/>
      <c r="AG67" s="531"/>
      <c r="AH67" s="601"/>
      <c r="AI67" s="362" t="s">
        <v>3991</v>
      </c>
      <c r="AJ67" s="524">
        <f>IF(COUNTIF(HostBuild[Alias],HostBuild[Alias]),1/COUNTIF(HostBuild[Alias],HostBuild[Alias]),0)</f>
        <v>1</v>
      </c>
      <c r="AK67" s="531"/>
      <c r="AL67" s="531"/>
      <c r="AM67" s="532" t="s">
        <v>314</v>
      </c>
      <c r="AN67" s="533" t="str">
        <f>IF(NOT(ISBLANK(HostBuild[Server Model])),VLOOKUP(HostBuild[Server Model],ServerModelsTier[],2,FALSE),"")</f>
        <v>IBM P-Series Tier 2</v>
      </c>
      <c r="AO67" s="533" t="str">
        <f>IF(NOT(ISBLANK(HostBuild[Server Model])),VLOOKUP(HostBuild[Server Model],ServerModelsTier[],5,FALSE),"")</f>
        <v>pSeries</v>
      </c>
      <c r="AP67" s="532"/>
      <c r="AQ67" s="532" t="s">
        <v>24</v>
      </c>
      <c r="AR67" s="535"/>
      <c r="AS67" s="602"/>
      <c r="AT67" s="535"/>
      <c r="AU67" s="603"/>
      <c r="AV67" s="536"/>
      <c r="AW67" s="531"/>
      <c r="AX67" s="531"/>
      <c r="AY67" s="531"/>
      <c r="AZ67" s="537"/>
      <c r="BA67" s="531"/>
      <c r="BB67" s="531"/>
      <c r="BC67" s="529"/>
      <c r="BD67" s="531"/>
      <c r="BE67" s="531"/>
      <c r="BF67" s="531"/>
      <c r="BG67" s="531"/>
      <c r="BH67" s="531"/>
      <c r="BI67" s="531"/>
      <c r="BJ67" s="531"/>
      <c r="BK67" s="604"/>
      <c r="BL67" s="538"/>
      <c r="BM67" s="540"/>
      <c r="BN67" s="539"/>
      <c r="BO67" s="540"/>
      <c r="BP67" s="541"/>
      <c r="BQ67" s="542"/>
      <c r="BR67" s="432" t="s">
        <v>106</v>
      </c>
      <c r="BS67" s="605">
        <f>IF(HostBuild[Existing Server?]&lt;&gt;"Yes - Inside this BoM",IF(ISNUMBER(HostBuild[RAM 
(GB)]),IF(HostBuild[Existing RAM (GB)]+HostBuild[RAM 
(GB)]&gt;0,IF(HostBuild[Virtual Platform Storage Type]="NAS",110+HostBuild[Existing RAM (GB)]+HostBuild[RAM 
(GB)]*1.75,0),0),0),0)</f>
        <v>0</v>
      </c>
      <c r="BT67" s="606"/>
      <c r="BU67" s="607">
        <f>IF(ISNUMBER(HostBuild[Recommended NAS (GB)]),HostBuild[Recommended NAS (GB)])+HostBuild[Additional NAS (GB)]</f>
        <v>0</v>
      </c>
      <c r="BV67" s="543"/>
      <c r="BW67" s="543"/>
      <c r="BX67" s="604">
        <f>IFERROR((HostBuild[SAN (GB)
End-State
DO NOT USE TO BUILD]+HostBuild[SAN (GB) Shared])*25%,"")</f>
        <v>0</v>
      </c>
      <c r="BY67" s="608">
        <f>IFERROR(HostBuild[Archive
Full (GB)]*15%,"")</f>
        <v>0</v>
      </c>
      <c r="BZ67" s="544"/>
      <c r="CA67" s="544"/>
      <c r="CB67" s="545"/>
      <c r="CC67" s="546"/>
      <c r="CD67" s="545"/>
      <c r="CE67" s="547"/>
      <c r="CF67" s="539"/>
      <c r="CG67" s="609"/>
      <c r="CH67" s="548"/>
      <c r="CI67" s="549"/>
      <c r="CJ67" s="550"/>
      <c r="CK67" s="551"/>
      <c r="CL67" s="552">
        <f>IFERROR(IF(FIND(CL$1,$W67)&gt;0,IF(INDEX(Product_Pricing_Table[],MATCH(CL$1,Products,0),2)="Cores",IF(HostBuild[Use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7" s="552">
        <f>IFERROR(IF(FIND(CM$1,$W67)&gt;0,IF(INDEX(Product_Pricing_Table[],MATCH(CM$1,Products,0),2)="Cores",IF(HostBuild[Use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7" s="552">
        <f>IFERROR(IF(FIND(CN$1,$W67)&gt;0,IF(INDEX(Product_Pricing_Table[],MATCH(CN$1,Products,0),2)="Cores",IF(HostBuild[Use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7" s="552">
        <f>IFERROR(IF(FIND(CO$1,$W67)&gt;0,IF(INDEX(Product_Pricing_Table[],MATCH(CO$1,Products,0),2)="Cores",IF(HostBuild[Use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7" s="552">
        <f>IFERROR(IF(FIND(CP$1,$W67)&gt;0,IF(INDEX(Product_Pricing_Table[],MATCH(CP$1,Products,0),2)="Cores",IF(HostBuild[Use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7" s="552">
        <f>IFERROR(IF(FIND(CQ$1,$W67)&gt;0,IF(INDEX(Product_Pricing_Table[],MATCH(CQ$1,Products,0),2)="Cores",IF(HostBuild[Use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7" s="552">
        <f>IFERROR(IF(FIND(CR$1,$W67)&gt;0,IF(INDEX(Product_Pricing_Table[],MATCH(CR$1,Products,0),2)="Cores",IF(HostBuild[Use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7" s="552">
        <f>IFERROR(IF(FIND(CS$1,$W67)&gt;0,IF(INDEX(Product_Pricing_Table[],MATCH(CS$1,Products,0),2)="Cores",IF(HostBuild[Use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7" s="552">
        <f>IFERROR(IF(FIND(CT$1,$W67)&gt;0,IF(INDEX(Product_Pricing_Table[],MATCH(CT$1,Products,0),2)="Cores",IF(HostBuild[Use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7" s="552">
        <f>IFERROR(IF(FIND(CU$1,$W67)&gt;0,IF(INDEX(Product_Pricing_Table[],MATCH(CU$1,Products,0),2)="Cores",IF(HostBuild[Use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7" s="552">
        <f>IFERROR(IF(FIND(CV$1,$W67)&gt;0,IF(INDEX(Product_Pricing_Table[],MATCH(CV$1,Products,0),2)="Cores",IF(HostBuild[Use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7" s="552">
        <f>IFERROR(IF(FIND(CW$1,$W67)&gt;0,IF(INDEX(Product_Pricing_Table[],MATCH(CW$1,Products,0),2)="Cores",IF(HostBuild[Use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7" s="552">
        <f>IFERROR(IF(FIND(CX$1,$W67)&gt;0,IF(INDEX(Product_Pricing_Table[],MATCH(CX$1,Products,0),2)="Cores",IF(HostBuild[Use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7" s="552">
        <f>IFERROR(IF(FIND(CY$1,$W67)&gt;0,IF(INDEX(Product_Pricing_Table[],MATCH(CY$1,Products,0),2)="Cores",IF(HostBuild[Use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7" s="552">
        <f>IFERROR(IF(FIND(CZ$1,$W67)&gt;0,IF(INDEX(Product_Pricing_Table[],MATCH(CZ$1,Products,0),2)="Cores",IF(HostBuild[Use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7" s="552">
        <f>IFERROR(IF(FIND(DA$1,$W67)&gt;0,IF(INDEX(Product_Pricing_Table[],MATCH(DA$1,Products,0),2)="Cores",IF(HostBuild[Use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7" s="552">
        <f>IFERROR(IF(FIND(DB$1,$W67)&gt;0,IF(INDEX(Product_Pricing_Table[],MATCH(DB$1,Products,0),2)="Cores",IF(HostBuild[Use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7" s="552">
        <f>IFERROR(IF(FIND(DC$1,$W67)&gt;0,IF(INDEX(Product_Pricing_Table[],MATCH(DC$1,Products,0),2)="Cores",IF(HostBuild[Use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7" s="552">
        <f>IFERROR(IF(FIND(DD$1,$W67)&gt;0,IF(INDEX(Product_Pricing_Table[],MATCH(DD$1,Products,0),2)="Cores",IF(HostBuild[Use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7" s="552">
        <f>IFERROR(IF(FIND(DE$1,$W67)&gt;0,IF(INDEX(Product_Pricing_Table[],MATCH(DE$1,Products,0),2)="Cores",IF(HostBuild[Use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7" s="553">
        <f>IFERROR(IF(FIND(DF$1,$W67)&gt;0,IF(INDEX(Product_Pricing_Table[],MATCH(DF$1,Products,0),2)="Cores",IF(HostBuild[Use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7" s="553">
        <f>IFERROR(IF(FIND(DG$1,$W67)&gt;0,IF(INDEX(Product_Pricing_Table[],MATCH(DG$1,Products,0),2)="Cores",IF(HostBuild[Use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7" s="552">
        <f>IFERROR(IF(FIND(DH$1,$W67)&gt;0,IF(INDEX(Product_Pricing_Table[],MATCH(DH$1,Products,0),2)="Cores",IF(HostBuild[Use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7" s="553">
        <f>IFERROR(IF(FIND(DI$1,$W67)&gt;0,IF(INDEX(Product_Pricing_Table[],MATCH(DI$1,Products,0),2)="Cores",IF(HostBuild[Use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7" s="552">
        <f>IFERROR(IF(FIND(DJ$1,$W67)&gt;0,IF(INDEX(Product_Pricing_Table[],MATCH(DJ$1,Products,0),2)="Cores",IF(HostBuild[Use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7" s="552">
        <f>IFERROR(IF(FIND(DK$1,$W67)&gt;0,IF(INDEX(Product_Pricing_Table[],MATCH(DK$1,Products,0),2)="Cores",IF(HostBuild[Use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7" s="552">
        <f>IFERROR(IF(FIND(DL$1,$W67)&gt;0,IF(INDEX(Product_Pricing_Table[],MATCH(DL$1,Products,0),2)="Cores",IF(HostBuild[Use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7" s="552">
        <f>IFERROR(IF(FIND(DM$1,$W67)&gt;0,IF(INDEX(Product_Pricing_Table[],MATCH(DM$1,Products,0),2)="Cores",IF(HostBuild[Use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7" s="552">
        <f>IFERROR(IF(FIND(DN$1,$W67)&gt;0,IF(INDEX(Product_Pricing_Table[],MATCH(DN$1,Products,0),2)="Cores",IF(HostBuild[Use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7" s="552">
        <f>IFERROR(IF(FIND(DO$1,$W67)&gt;0,IF(INDEX(Product_Pricing_Table[],MATCH(DO$1,Products,0),2)="Cores",IF(HostBuild[Use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7" s="552">
        <f>IFERROR(IF(FIND(DP$1,$W67)&gt;0,IF(INDEX(Product_Pricing_Table[],MATCH(DP$1,Products,0),2)="Cores",IF(HostBuild[Use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7" s="552">
        <f>IFERROR(IF(FIND(DQ$1,$W67)&gt;0,IF(INDEX(Product_Pricing_Table[],MATCH(DQ$1,Products,0),2)="Cores",IF(HostBuild[Use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7" s="552">
        <f>IFERROR(IF(FIND(DR$1,$W67)&gt;0,IF(INDEX(Product_Pricing_Table[],MATCH(DR$1,Products,0),2)="Cores",IF(HostBuild[Use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7" s="552">
        <f>IFERROR(IF(FIND(DS$1,$W67)&gt;0,IF(INDEX(Product_Pricing_Table[],MATCH(DS$1,Products,0),2)="Cores",IF(HostBuild[Use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7" s="552">
        <f>IFERROR(IF(FIND(DT$1,$W67)&gt;0,IF(INDEX(Product_Pricing_Table[],MATCH(DT$1,Products,0),2)="Cores",IF(HostBuild[Use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7" s="552">
        <f>IFERROR(IF(FIND(DU$1,$W67)&gt;0,IF(INDEX(Product_Pricing_Table[],MATCH(DU$1,Products,0),2)="Cores",IF(HostBuild[Use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7" s="552">
        <f>IFERROR(IF(FIND(DV$1,$W67)&gt;0,IF(INDEX(Product_Pricing_Table[],MATCH(DV$1,Products,0),2)="Cores",IF(HostBuild[Use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7" s="552">
        <f>IFERROR(IF(FIND(DW$1,$W67)&gt;0,IF(INDEX(Product_Pricing_Table[],MATCH(DW$1,Products,0),2)="Cores",IF(HostBuild[Use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7" s="552">
        <f>IFERROR(IF(FIND(DX$1,$W67)&gt;0,IF(INDEX(Product_Pricing_Table[],MATCH(DX$1,Products,0),2)="Cores",IF(HostBuild[Use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7" s="552">
        <f>IFERROR(IF(FIND(DY$1,$W67)&gt;0,IF(INDEX(Product_Pricing_Table[],MATCH(DY$1,Products,0),2)="Cores",IF(HostBuild[Use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7" s="552">
        <f>IFERROR(IF(FIND(DZ$1,$W67)&gt;0,IF(INDEX(Product_Pricing_Table[],MATCH(DZ$1,Products,0),2)="Cores",IF(HostBuild[Use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7" s="552">
        <f>IFERROR(IF(FIND(EA$1,$W67)&gt;0,IF(INDEX(Product_Pricing_Table[],MATCH(EA$1,Products,0),2)="Cores",IF(HostBuild[Use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7" s="552">
        <f>IFERROR(IF(FIND(EB$1,$W67)&gt;0,IF(INDEX(Product_Pricing_Table[],MATCH(EB$1,Products,0),2)="Cores",IF(HostBuild[Use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7" s="553">
        <f>IFERROR(IF(FIND(EC$1,$W67)&gt;0,IF(INDEX(Product_Pricing_Table[],MATCH(EC$1,Products,0),2)="Cores",IF(HostBuild[Use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7" s="552">
        <f>IFERROR(IF(FIND(ED$1,$W67)&gt;0,IF(INDEX(Product_Pricing_Table[],MATCH(ED$1,Products,0),2)="Cores",IF(HostBuild[Use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7" s="552">
        <f>IFERROR(IF(FIND(EE$1,$W67)&gt;0,IF(INDEX(Product_Pricing_Table[],MATCH(EE$1,Products,0),2)="Cores",IF(HostBuild[Use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7" s="552">
        <f>IFERROR(IF(FIND(EF$1,$W67)&gt;0,IF(INDEX(Product_Pricing_Table[],MATCH(EF$1,Products,0),2)="Cores",IF(HostBuild[Use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7" s="552">
        <f>IFERROR(IF(FIND(EG$1,$W67)&gt;0,IF(INDEX(Product_Pricing_Table[],MATCH(EG$1,Products,0),2)="Cores",IF(HostBuild[Use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7" s="552">
        <f>IFERROR(IF(FIND(EH$1,$W67)&gt;0,IF(INDEX(Product_Pricing_Table[],MATCH(EH$1,Products,0),2)="Cores",IF(HostBuild[Use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7" s="552">
        <f>IFERROR(IF(FIND(EI$1,$W67)&gt;0,IF(INDEX(Product_Pricing_Table[],MATCH(EI$1,Products,0),2)="Cores",IF(HostBuild[Use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7" s="552">
        <f>IFERROR(IF(FIND(EJ$1,$W67)&gt;0,IF(INDEX(Product_Pricing_Table[],MATCH(EJ$1,Products,0),2)="Cores",IF(HostBuild[Use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7" s="553">
        <f>IFERROR(IF(FIND(EK$1,$W67)&gt;0,IF(INDEX(Product_Pricing_Table[],MATCH(EK$1,Products,0),2)="Cores",IF(HostBuild[Use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7" s="554"/>
      <c r="EM67" s="555"/>
      <c r="EN67" s="556"/>
      <c r="EO67"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67" s="558">
        <f>(HostBuild[Archive
Full (GB)]+HostBuild[Archive
Incr (GB)])*Storage_DC_Dist_Tape_2014</f>
        <v>0</v>
      </c>
      <c r="ER67" s="558">
        <f>IF(ISNUMBER(HostBuild[Server HW Costs
(Monthly)]),SUM(HostBuild[[#This Row],[Server HW Costs
(Monthly)]:[Tape Costs
(Monthly)]]),0)</f>
        <v>0</v>
      </c>
      <c r="ES67" s="559">
        <f>HostBuild[Software Costs
'[Year 1']
(Monthly)]+HostBuild[Total Hardware Costs
(Monthly)]</f>
        <v>0</v>
      </c>
      <c r="ET67" s="559">
        <f>IFERROR(IF(FIND("Safenet",HostBuild[Server Model]),Safenet_PSE_PL600_Maint,0),0)+IFERROR(IF(FIND("XI52",HostBuild[Server Model]),IBM_DIA_XI52_Maint,0),0)+HostBuild[Software Costs
'[After Year 1']
(Monthly)]+HostBuild[Total Hardware Costs
(Monthly)]</f>
        <v>0</v>
      </c>
      <c r="EU67" s="560">
        <f>SUM(HostBuild[[#This Row],[Server Cost Breakdown]:[Network Cost]])</f>
        <v>0</v>
      </c>
      <c r="EV67" s="561">
        <f>IF(HostBuild[Existing Server?]="Yes - Inside this BoM",0,SUMIF(HostBuild[Alias],HostBuild[Alias],HostBuild[CPU])+SUMIF(HostBuild[Alias],HostBuild[Alias],HostBuild[Existing CPUs]))</f>
        <v>0</v>
      </c>
      <c r="EW67" s="561">
        <f>IF(HostBuild[Existing Server?]="Yes - Inside this BoM",0,SUMIF(HostBuild[Alias],HostBuild[Alias],HostBuild[Cores 
(Licensed Units)])+SUMIF(HostBuild[Alias],HostBuild[Alias],HostBuild[Existing Cores]))</f>
        <v>0</v>
      </c>
      <c r="EX67" s="561">
        <f>IF(HostBuild[Existing Server?]="Yes - Inside this BoM",0,SUMIF(HostBuild[Alias],HostBuild[Alias],HostBuild[RAM 
(GB)])+SUMIF(HostBuild[Alias],HostBuild[Alias],HostBuild[Existing RAM (GB)]))</f>
        <v>0</v>
      </c>
      <c r="EY6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7" s="560">
        <f>IF(ISBLANK(HostBuild[Server Model]),0,IF(HostBuild[Server Tier]="VMware",0,VLOOKUP(HostBuild[Server Tier],ServerTierRates[#Data],2,0))*HostBuild[CPU]*IF(AND(HostBuild[Server Type]="pSeries",HostBuild[Virtual Platform Storage Type]="Cloud-SAN"),0.25,1))</f>
        <v>0</v>
      </c>
      <c r="FD67" s="560">
        <f>0</f>
        <v>0</v>
      </c>
      <c r="FE67" s="560">
        <f>IF(HostBuild[Server Type]="VMware",HostBuild[RAM 
(GB)]*IF(ISERROR(FIND("DevCloud", HostBuild[Server Model])&gt;0),vRAM_per_vCPU_2014_Monthly,vRAM_per_vCPU_2014_Daily*30),0)</f>
        <v>0</v>
      </c>
      <c r="FF6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7" s="563">
        <f>IF(HostBuild[Server Tier]="VMware",0,IF(LEFT(HostBuild[Existing Server?],3)="Yes",0,IF(OR(HostBuild[Server Type]="Sun",HostBuild[Server Type]="pSeries"),Support_Direct_Server_Sun_per_OS_2014,IF(HostBuild[Server Type]="x86",Support_Direct_Server_x86_Wintel_per_OS_2014,0))))</f>
        <v>0</v>
      </c>
      <c r="FI6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8" spans="1:165" s="262" customFormat="1">
      <c r="A68" s="360" t="s">
        <v>3942</v>
      </c>
      <c r="B68" s="521"/>
      <c r="C68" s="521"/>
      <c r="D68" s="521"/>
      <c r="E68" s="522"/>
      <c r="F68" s="522"/>
      <c r="G68" s="597"/>
      <c r="H68" s="597"/>
      <c r="I68" s="523"/>
      <c r="J68" s="522"/>
      <c r="K68" s="522"/>
      <c r="L68" s="522"/>
      <c r="M68" s="597" t="e">
        <f ca="1">IF(rngIsDate(HostBuild[CTO Acceptance]),"Y","N")</f>
        <v>#NAME?</v>
      </c>
      <c r="N68" s="361" t="s">
        <v>3939</v>
      </c>
      <c r="O68" s="525"/>
      <c r="P68" s="525"/>
      <c r="Q68" s="361" t="s">
        <v>212</v>
      </c>
      <c r="R68" s="526" t="str">
        <f>IF(NOT(ISBLANK(HostBuild[Env Label])),IFERROR(VLOOKUP(HostBuild[Env Label],tEnv[],3,FALSE),""),"")</f>
        <v>UAT</v>
      </c>
      <c r="S68" s="598"/>
      <c r="T68" s="527"/>
      <c r="U68" s="599"/>
      <c r="V68" s="524" t="s">
        <v>206</v>
      </c>
      <c r="W68" s="524" t="s">
        <v>3999</v>
      </c>
      <c r="X68" s="524" t="s">
        <v>35</v>
      </c>
      <c r="Y68" s="361" t="s">
        <v>481</v>
      </c>
      <c r="Z68" s="526" t="str">
        <f>IF(NOT(ISBLANK(HostBuild[[#This Row],[Product 
(Acronym)]])),CONCATENATE(HostBuild[[#This Row],[Type]],"-",HostBuild[[#This Row],[Product 
(Acronym)]]),"")</f>
        <v>AP-ESB</v>
      </c>
      <c r="AA68" s="600"/>
      <c r="AB68" s="600" t="s">
        <v>3985</v>
      </c>
      <c r="AC68" s="528"/>
      <c r="AD68" s="529"/>
      <c r="AE68" s="529"/>
      <c r="AF68" s="530" t="s">
        <v>3986</v>
      </c>
      <c r="AG68" s="531"/>
      <c r="AH68" s="601"/>
      <c r="AI68" s="362" t="s">
        <v>4109</v>
      </c>
      <c r="AJ68" s="524">
        <f>IF(COUNTIF(HostBuild[Alias],HostBuild[Alias]),1/COUNTIF(HostBuild[Alias],HostBuild[Alias]),0)</f>
        <v>1</v>
      </c>
      <c r="AK68" s="531"/>
      <c r="AL68" s="531"/>
      <c r="AM68" s="532" t="s">
        <v>2173</v>
      </c>
      <c r="AN68" s="533" t="str">
        <f>IF(NOT(ISBLANK(HostBuild[Server Model])),VLOOKUP(HostBuild[Server Model],ServerModelsTier[],2,FALSE),"")</f>
        <v>x86 Tier 3</v>
      </c>
      <c r="AO68" s="533" t="str">
        <f>IF(NOT(ISBLANK(HostBuild[Server Model])),VLOOKUP(HostBuild[Server Model],ServerModelsTier[],5,FALSE),"")</f>
        <v>x86</v>
      </c>
      <c r="AP68" s="532"/>
      <c r="AQ68" s="532" t="s">
        <v>2337</v>
      </c>
      <c r="AR68" s="534"/>
      <c r="AS68" s="602"/>
      <c r="AT68" s="535"/>
      <c r="AU68" s="603" t="str">
        <f>IF(IFERROR(FIND("P-Series",HostBuild[Server Tier]),0),CEILING((HostBuild[Existing CPUs]+HostBuild[CPU])*16,8),"")</f>
        <v/>
      </c>
      <c r="AV68" s="536"/>
      <c r="AW68" s="531"/>
      <c r="AX68" s="531"/>
      <c r="AY68" s="531"/>
      <c r="AZ68" s="537"/>
      <c r="BA68" s="531"/>
      <c r="BB68" s="531"/>
      <c r="BC68" s="529"/>
      <c r="BD68" s="531"/>
      <c r="BE68" s="531"/>
      <c r="BF68" s="531"/>
      <c r="BG68" s="531"/>
      <c r="BH68" s="531"/>
      <c r="BI68" s="531"/>
      <c r="BJ68" s="531"/>
      <c r="BK68"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68" s="538">
        <v>60</v>
      </c>
      <c r="BM68" s="540">
        <f>IF(ISNUMBER(HostBuild[Recommended SAN (GB)]),HostBuild[Recommended SAN (GB)])+IF(HostBuild[Additional SAN (GB)]&gt;0,CEILING(HostBuild[Additional SAN (GB)],LUN),-(CEILING(-HostBuild[Additional SAN (GB)],LUN)))</f>
        <v>67.400000000000006</v>
      </c>
      <c r="BN68" s="539"/>
      <c r="BO68" s="540">
        <f>HostBuild[SAN (GB)
NEEDED TODAY]+CEILING(HostBuild[SAN (GB)
RESERVED
DO NOT USE TO BUILD], LUN)</f>
        <v>67.400000000000006</v>
      </c>
      <c r="BP68" s="541"/>
      <c r="BQ68" s="542"/>
      <c r="BR68" s="432" t="s">
        <v>106</v>
      </c>
      <c r="BS68" s="605">
        <f>IF(HostBuild[Existing Server?]&lt;&gt;"Yes - Inside this BoM",IF(ISNUMBER(HostBuild[RAM 
(GB)]),IF(HostBuild[Existing RAM (GB)]+HostBuild[RAM 
(GB)]&gt;0,IF(HostBuild[Virtual Platform Storage Type]="NAS",110+HostBuild[Existing RAM (GB)]+HostBuild[RAM 
(GB)]*1.75,0),0),0),0)</f>
        <v>0</v>
      </c>
      <c r="BT68" s="606"/>
      <c r="BU68" s="607">
        <f>IF(ISNUMBER(HostBuild[Recommended NAS (GB)]),HostBuild[Recommended NAS (GB)])+HostBuild[Additional NAS (GB)]</f>
        <v>0</v>
      </c>
      <c r="BV68" s="543"/>
      <c r="BW68" s="543"/>
      <c r="BX68" s="604">
        <f>IFERROR((HostBuild[SAN (GB)
End-State
DO NOT USE TO BUILD]+HostBuild[SAN (GB) Shared])*25%,"")</f>
        <v>16.850000000000001</v>
      </c>
      <c r="BY68" s="608">
        <f>IFERROR(HostBuild[Archive
Full (GB)]*15%,"")</f>
        <v>2.5275000000000003</v>
      </c>
      <c r="BZ68" s="544"/>
      <c r="CA68" s="544"/>
      <c r="CB68" s="545"/>
      <c r="CC68" s="546"/>
      <c r="CD68" s="545"/>
      <c r="CE68" s="547"/>
      <c r="CF68" s="539"/>
      <c r="CG68" s="609"/>
      <c r="CH68" s="548"/>
      <c r="CI68" s="549"/>
      <c r="CJ68" s="550" t="s">
        <v>4127</v>
      </c>
      <c r="CK68" s="551"/>
      <c r="CL68" s="552">
        <f>IFERROR(IF(FIND(CL$1,$W68)&gt;0,IF(INDEX(Product_Pricing_Table[],MATCH(CL$1,Products,0),2)="Cores",IF(HostBuild[Use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8" s="552">
        <f>IFERROR(IF(FIND(CM$1,$W68)&gt;0,IF(INDEX(Product_Pricing_Table[],MATCH(CM$1,Products,0),2)="Cores",IF(HostBuild[Use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8" s="552">
        <f>IFERROR(IF(FIND(CN$1,$W68)&gt;0,IF(INDEX(Product_Pricing_Table[],MATCH(CN$1,Products,0),2)="Cores",IF(HostBuild[Use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8" s="552">
        <f>IFERROR(IF(FIND(CO$1,$W68)&gt;0,IF(INDEX(Product_Pricing_Table[],MATCH(CO$1,Products,0),2)="Cores",IF(HostBuild[Use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8" s="552">
        <f>IFERROR(IF(FIND(CP$1,$W68)&gt;0,IF(INDEX(Product_Pricing_Table[],MATCH(CP$1,Products,0),2)="Cores",IF(HostBuild[Use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8" s="552">
        <f>IFERROR(IF(FIND(CQ$1,$W68)&gt;0,IF(INDEX(Product_Pricing_Table[],MATCH(CQ$1,Products,0),2)="Cores",IF(HostBuild[Use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8" s="552">
        <f>IFERROR(IF(FIND(CR$1,$W68)&gt;0,IF(INDEX(Product_Pricing_Table[],MATCH(CR$1,Products,0),2)="Cores",IF(HostBuild[Use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8" s="552">
        <f>IFERROR(IF(FIND(CS$1,$W68)&gt;0,IF(INDEX(Product_Pricing_Table[],MATCH(CS$1,Products,0),2)="Cores",IF(HostBuild[Use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8" s="552">
        <f>IFERROR(IF(FIND(CT$1,$W68)&gt;0,IF(INDEX(Product_Pricing_Table[],MATCH(CT$1,Products,0),2)="Cores",IF(HostBuild[Use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8" s="552">
        <f>IFERROR(IF(FIND(CU$1,$W68)&gt;0,IF(INDEX(Product_Pricing_Table[],MATCH(CU$1,Products,0),2)="Cores",IF(HostBuild[Use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8" s="552">
        <f>IFERROR(IF(FIND(CV$1,$W68)&gt;0,IF(INDEX(Product_Pricing_Table[],MATCH(CV$1,Products,0),2)="Cores",IF(HostBuild[Use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8" s="552">
        <f>IFERROR(IF(FIND(CW$1,$W68)&gt;0,IF(INDEX(Product_Pricing_Table[],MATCH(CW$1,Products,0),2)="Cores",IF(HostBuild[Use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8" s="552">
        <f>IFERROR(IF(FIND(CX$1,$W68)&gt;0,IF(INDEX(Product_Pricing_Table[],MATCH(CX$1,Products,0),2)="Cores",IF(HostBuild[Use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8" s="552">
        <f>IFERROR(IF(FIND(CY$1,$W68)&gt;0,IF(INDEX(Product_Pricing_Table[],MATCH(CY$1,Products,0),2)="Cores",IF(HostBuild[Use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8" s="552">
        <f>IFERROR(IF(FIND(CZ$1,$W68)&gt;0,IF(INDEX(Product_Pricing_Table[],MATCH(CZ$1,Products,0),2)="Cores",IF(HostBuild[Use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8" s="552">
        <f>IFERROR(IF(FIND(DA$1,$W68)&gt;0,IF(INDEX(Product_Pricing_Table[],MATCH(DA$1,Products,0),2)="Cores",IF(HostBuild[Use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8" s="552">
        <f>IFERROR(IF(FIND(DB$1,$W68)&gt;0,IF(INDEX(Product_Pricing_Table[],MATCH(DB$1,Products,0),2)="Cores",IF(HostBuild[Use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8" s="552">
        <f>IFERROR(IF(FIND(DC$1,$W68)&gt;0,IF(INDEX(Product_Pricing_Table[],MATCH(DC$1,Products,0),2)="Cores",IF(HostBuild[Use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8" s="552">
        <f>IFERROR(IF(FIND(DD$1,$W68)&gt;0,IF(INDEX(Product_Pricing_Table[],MATCH(DD$1,Products,0),2)="Cores",IF(HostBuild[Use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8" s="552">
        <f>IFERROR(IF(FIND(DE$1,$W68)&gt;0,IF(INDEX(Product_Pricing_Table[],MATCH(DE$1,Products,0),2)="Cores",IF(HostBuild[Use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8" s="553">
        <f>IFERROR(IF(FIND(DF$1,$W68)&gt;0,IF(INDEX(Product_Pricing_Table[],MATCH(DF$1,Products,0),2)="Cores",IF(HostBuild[Use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8" s="553">
        <f>IFERROR(IF(FIND(DG$1,$W68)&gt;0,IF(INDEX(Product_Pricing_Table[],MATCH(DG$1,Products,0),2)="Cores",IF(HostBuild[Use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8" s="552">
        <f>IFERROR(IF(FIND(DH$1,$W68)&gt;0,IF(INDEX(Product_Pricing_Table[],MATCH(DH$1,Products,0),2)="Cores",IF(HostBuild[Use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8" s="553">
        <f>IFERROR(IF(FIND(DI$1,$W68)&gt;0,IF(INDEX(Product_Pricing_Table[],MATCH(DI$1,Products,0),2)="Cores",IF(HostBuild[Use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8" s="552">
        <f>IFERROR(IF(FIND(DJ$1,$W68)&gt;0,IF(INDEX(Product_Pricing_Table[],MATCH(DJ$1,Products,0),2)="Cores",IF(HostBuild[Use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8" s="552">
        <f>IFERROR(IF(FIND(DK$1,$W68)&gt;0,IF(INDEX(Product_Pricing_Table[],MATCH(DK$1,Products,0),2)="Cores",IF(HostBuild[Use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8" s="552">
        <f>IFERROR(IF(FIND(DL$1,$W68)&gt;0,IF(INDEX(Product_Pricing_Table[],MATCH(DL$1,Products,0),2)="Cores",IF(HostBuild[Use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8" s="552">
        <f>IFERROR(IF(FIND(DM$1,$W68)&gt;0,IF(INDEX(Product_Pricing_Table[],MATCH(DM$1,Products,0),2)="Cores",IF(HostBuild[Use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8" s="552">
        <f>IFERROR(IF(FIND(DN$1,$W68)&gt;0,IF(INDEX(Product_Pricing_Table[],MATCH(DN$1,Products,0),2)="Cores",IF(HostBuild[Use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8" s="552">
        <f>IFERROR(IF(FIND(DO$1,$W68)&gt;0,IF(INDEX(Product_Pricing_Table[],MATCH(DO$1,Products,0),2)="Cores",IF(HostBuild[Use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8" s="552">
        <f>IFERROR(IF(FIND(DP$1,$W68)&gt;0,IF(INDEX(Product_Pricing_Table[],MATCH(DP$1,Products,0),2)="Cores",IF(HostBuild[Use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8" s="552">
        <f>IFERROR(IF(FIND(DQ$1,$W68)&gt;0,IF(INDEX(Product_Pricing_Table[],MATCH(DQ$1,Products,0),2)="Cores",IF(HostBuild[Use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8" s="552">
        <f>IFERROR(IF(FIND(DR$1,$W68)&gt;0,IF(INDEX(Product_Pricing_Table[],MATCH(DR$1,Products,0),2)="Cores",IF(HostBuild[Use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8" s="552">
        <f>IFERROR(IF(FIND(DS$1,$W68)&gt;0,IF(INDEX(Product_Pricing_Table[],MATCH(DS$1,Products,0),2)="Cores",IF(HostBuild[Use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8" s="552">
        <f>IFERROR(IF(FIND(DT$1,$W68)&gt;0,IF(INDEX(Product_Pricing_Table[],MATCH(DT$1,Products,0),2)="Cores",IF(HostBuild[Use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8" s="552">
        <f>IFERROR(IF(FIND(DU$1,$W68)&gt;0,IF(INDEX(Product_Pricing_Table[],MATCH(DU$1,Products,0),2)="Cores",IF(HostBuild[Use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8" s="552">
        <f>IFERROR(IF(FIND(DV$1,$W68)&gt;0,IF(INDEX(Product_Pricing_Table[],MATCH(DV$1,Products,0),2)="Cores",IF(HostBuild[Use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8" s="552">
        <f>IFERROR(IF(FIND(DW$1,$W68)&gt;0,IF(INDEX(Product_Pricing_Table[],MATCH(DW$1,Products,0),2)="Cores",IF(HostBuild[Use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8" s="552">
        <f>IFERROR(IF(FIND(DX$1,$W68)&gt;0,IF(INDEX(Product_Pricing_Table[],MATCH(DX$1,Products,0),2)="Cores",IF(HostBuild[Use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8" s="552">
        <f>IFERROR(IF(FIND(DY$1,$W68)&gt;0,IF(INDEX(Product_Pricing_Table[],MATCH(DY$1,Products,0),2)="Cores",IF(HostBuild[Use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8" s="552">
        <f>IFERROR(IF(FIND(DZ$1,$W68)&gt;0,IF(INDEX(Product_Pricing_Table[],MATCH(DZ$1,Products,0),2)="Cores",IF(HostBuild[Use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8" s="552">
        <f>IFERROR(IF(FIND(EA$1,$W68)&gt;0,IF(INDEX(Product_Pricing_Table[],MATCH(EA$1,Products,0),2)="Cores",IF(HostBuild[Use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8" s="552">
        <f>IFERROR(IF(FIND(EB$1,$W68)&gt;0,IF(INDEX(Product_Pricing_Table[],MATCH(EB$1,Products,0),2)="Cores",IF(HostBuild[Use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8" s="553">
        <f>IFERROR(IF(FIND(EC$1,$W68)&gt;0,IF(INDEX(Product_Pricing_Table[],MATCH(EC$1,Products,0),2)="Cores",IF(HostBuild[Use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8" s="552">
        <f>IFERROR(IF(FIND(ED$1,$W68)&gt;0,IF(INDEX(Product_Pricing_Table[],MATCH(ED$1,Products,0),2)="Cores",IF(HostBuild[Use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8" s="552">
        <f>IFERROR(IF(FIND(EE$1,$W68)&gt;0,IF(INDEX(Product_Pricing_Table[],MATCH(EE$1,Products,0),2)="Cores",IF(HostBuild[Use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8" s="552">
        <f>IFERROR(IF(FIND(EF$1,$W68)&gt;0,IF(INDEX(Product_Pricing_Table[],MATCH(EF$1,Products,0),2)="Cores",IF(HostBuild[Use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8" s="552">
        <f>IFERROR(IF(FIND(EG$1,$W68)&gt;0,IF(INDEX(Product_Pricing_Table[],MATCH(EG$1,Products,0),2)="Cores",IF(HostBuild[Use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8" s="552">
        <f>IFERROR(IF(FIND(EH$1,$W68)&gt;0,IF(INDEX(Product_Pricing_Table[],MATCH(EH$1,Products,0),2)="Cores",IF(HostBuild[Use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8" s="552">
        <f>IFERROR(IF(FIND(EI$1,$W68)&gt;0,IF(INDEX(Product_Pricing_Table[],MATCH(EI$1,Products,0),2)="Cores",IF(HostBuild[Use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8" s="552">
        <f>IFERROR(IF(FIND(EJ$1,$W68)&gt;0,IF(INDEX(Product_Pricing_Table[],MATCH(EJ$1,Products,0),2)="Cores",IF(HostBuild[Use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8" s="553">
        <f>IFERROR(IF(FIND(EK$1,$W68)&gt;0,IF(INDEX(Product_Pricing_Table[],MATCH(EK$1,Products,0),2)="Cores",IF(HostBuild[Use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8" s="554"/>
      <c r="EM68" s="555"/>
      <c r="EN68" s="556"/>
      <c r="EO6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68" s="558">
        <f>(HostBuild[Archive
Full (GB)]+HostBuild[Archive
Incr (GB)])*Storage_DC_Dist_Tape_2014</f>
        <v>6.7821249999999997</v>
      </c>
      <c r="ER68" s="558">
        <f>IF(ISNUMBER(HostBuild[Server HW Costs
(Monthly)]),SUM(HostBuild[[#This Row],[Server HW Costs
(Monthly)]:[Tape Costs
(Monthly)]]),0)</f>
        <v>78.900125000000003</v>
      </c>
      <c r="ES68" s="559">
        <f>HostBuild[Software Costs
'[Year 1']
(Monthly)]+HostBuild[Total Hardware Costs
(Monthly)]</f>
        <v>78.900125000000003</v>
      </c>
      <c r="ET68" s="559">
        <f>IFERROR(IF(FIND("Safenet",HostBuild[Server Model]),Safenet_PSE_PL600_Maint,0),0)+IFERROR(IF(FIND("XI52",HostBuild[Server Model]),IBM_DIA_XI52_Maint,0),0)+HostBuild[Software Costs
'[After Year 1']
(Monthly)]+HostBuild[Total Hardware Costs
(Monthly)]</f>
        <v>78.900125000000003</v>
      </c>
      <c r="EU68" s="560">
        <f>SUM(HostBuild[[#This Row],[Server Cost Breakdown]:[Network Cost]])</f>
        <v>0</v>
      </c>
      <c r="EV68" s="561">
        <f>IF(HostBuild[Existing Server?]="Yes - Inside this BoM",0,SUMIF(HostBuild[Alias],HostBuild[Alias],HostBuild[CPU])+SUMIF(HostBuild[Alias],HostBuild[Alias],HostBuild[Existing CPUs]))</f>
        <v>0</v>
      </c>
      <c r="EW68" s="561">
        <f>IF(HostBuild[Existing Server?]="Yes - Inside this BoM",0,SUMIF(HostBuild[Alias],HostBuild[Alias],HostBuild[Cores 
(Licensed Units)])+SUMIF(HostBuild[Alias],HostBuild[Alias],HostBuild[Existing Cores]))</f>
        <v>0</v>
      </c>
      <c r="EX68" s="561">
        <f>IF(HostBuild[Existing Server?]="Yes - Inside this BoM",0,SUMIF(HostBuild[Alias],HostBuild[Alias],HostBuild[RAM 
(GB)])+SUMIF(HostBuild[Alias],HostBuild[Alias],HostBuild[Existing RAM (GB)]))</f>
        <v>0</v>
      </c>
      <c r="EY6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8" s="560">
        <f>IF(ISBLANK(HostBuild[Server Model]),0,IF(HostBuild[Server Tier]="VMware",0,VLOOKUP(HostBuild[Server Tier],ServerTierRates[#Data],2,0))*HostBuild[CPU]*IF(AND(HostBuild[Server Type]="pSeries",HostBuild[Virtual Platform Storage Type]="Cloud-SAN"),0.25,1))</f>
        <v>0</v>
      </c>
      <c r="FD68" s="560">
        <f>0</f>
        <v>0</v>
      </c>
      <c r="FE68" s="560">
        <f>IF(HostBuild[Server Type]="VMware",HostBuild[RAM 
(GB)]*IF(ISERROR(FIND("DevCloud", HostBuild[Server Model])&gt;0),vRAM_per_vCPU_2014_Monthly,vRAM_per_vCPU_2014_Daily*30),0)</f>
        <v>0</v>
      </c>
      <c r="FF6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8" s="563">
        <f>IF(HostBuild[Server Tier]="VMware",0,IF(LEFT(HostBuild[Existing Server?],3)="Yes",0,IF(OR(HostBuild[Server Type]="Sun",HostBuild[Server Type]="pSeries"),Support_Direct_Server_Sun_per_OS_2014,IF(HostBuild[Server Type]="x86",Support_Direct_Server_x86_Wintel_per_OS_2014,0))))</f>
        <v>0</v>
      </c>
      <c r="FI6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69" spans="1:165" s="262" customFormat="1">
      <c r="A69" s="360" t="s">
        <v>3942</v>
      </c>
      <c r="B69" s="521"/>
      <c r="C69" s="521"/>
      <c r="D69" s="521"/>
      <c r="E69" s="522"/>
      <c r="F69" s="522"/>
      <c r="G69" s="597"/>
      <c r="H69" s="597"/>
      <c r="I69" s="523"/>
      <c r="J69" s="522"/>
      <c r="K69" s="522"/>
      <c r="L69" s="522"/>
      <c r="M69" s="597" t="e">
        <f ca="1">IF(rngIsDate(HostBuild[CTO Acceptance]),"Y","N")</f>
        <v>#NAME?</v>
      </c>
      <c r="N69" s="361" t="s">
        <v>3939</v>
      </c>
      <c r="O69" s="525"/>
      <c r="P69" s="525"/>
      <c r="Q69" s="361" t="s">
        <v>212</v>
      </c>
      <c r="R69" s="526" t="str">
        <f>IF(NOT(ISBLANK(HostBuild[Env Label])),IFERROR(VLOOKUP(HostBuild[Env Label],tEnv[],3,FALSE),""),"")</f>
        <v>UAT</v>
      </c>
      <c r="S69" s="598"/>
      <c r="T69" s="527"/>
      <c r="U69" s="599"/>
      <c r="V69" s="524" t="s">
        <v>206</v>
      </c>
      <c r="W69" s="524" t="s">
        <v>3999</v>
      </c>
      <c r="X69" s="524" t="s">
        <v>35</v>
      </c>
      <c r="Y69" s="361" t="s">
        <v>481</v>
      </c>
      <c r="Z69" s="526" t="str">
        <f>IF(NOT(ISBLANK(HostBuild[[#This Row],[Product 
(Acronym)]])),CONCATENATE(HostBuild[[#This Row],[Type]],"-",HostBuild[[#This Row],[Product 
(Acronym)]]),"")</f>
        <v>AP-ESB</v>
      </c>
      <c r="AA69" s="600"/>
      <c r="AB69" s="600" t="s">
        <v>3985</v>
      </c>
      <c r="AC69" s="528"/>
      <c r="AD69" s="529"/>
      <c r="AE69" s="529"/>
      <c r="AF69" s="530" t="s">
        <v>3986</v>
      </c>
      <c r="AG69" s="531"/>
      <c r="AH69" s="601"/>
      <c r="AI69" s="362" t="s">
        <v>4110</v>
      </c>
      <c r="AJ69" s="524">
        <f>IF(COUNTIF(HostBuild[Alias],HostBuild[Alias]),1/COUNTIF(HostBuild[Alias],HostBuild[Alias]),0)</f>
        <v>1</v>
      </c>
      <c r="AK69" s="531"/>
      <c r="AL69" s="531"/>
      <c r="AM69" s="532" t="s">
        <v>2173</v>
      </c>
      <c r="AN69" s="533" t="str">
        <f>IF(NOT(ISBLANK(HostBuild[Server Model])),VLOOKUP(HostBuild[Server Model],ServerModelsTier[],2,FALSE),"")</f>
        <v>x86 Tier 3</v>
      </c>
      <c r="AO69" s="533" t="str">
        <f>IF(NOT(ISBLANK(HostBuild[Server Model])),VLOOKUP(HostBuild[Server Model],ServerModelsTier[],5,FALSE),"")</f>
        <v>x86</v>
      </c>
      <c r="AP69" s="532"/>
      <c r="AQ69" s="532" t="s">
        <v>2337</v>
      </c>
      <c r="AR69" s="534"/>
      <c r="AS69" s="602"/>
      <c r="AT69" s="535"/>
      <c r="AU69" s="603" t="str">
        <f>IF(IFERROR(FIND("P-Series",HostBuild[Server Tier]),0),CEILING((HostBuild[Existing CPUs]+HostBuild[CPU])*16,8),"")</f>
        <v/>
      </c>
      <c r="AV69" s="536"/>
      <c r="AW69" s="531"/>
      <c r="AX69" s="531"/>
      <c r="AY69" s="531"/>
      <c r="AZ69" s="537"/>
      <c r="BA69" s="531"/>
      <c r="BB69" s="531"/>
      <c r="BC69" s="529"/>
      <c r="BD69" s="531"/>
      <c r="BE69" s="531"/>
      <c r="BF69" s="531"/>
      <c r="BG69" s="531"/>
      <c r="BH69" s="531"/>
      <c r="BI69" s="531"/>
      <c r="BJ69" s="531"/>
      <c r="BK69"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69" s="538">
        <v>60</v>
      </c>
      <c r="BM69" s="540">
        <f>IF(ISNUMBER(HostBuild[Recommended SAN (GB)]),HostBuild[Recommended SAN (GB)])+IF(HostBuild[Additional SAN (GB)]&gt;0,CEILING(HostBuild[Additional SAN (GB)],LUN),-(CEILING(-HostBuild[Additional SAN (GB)],LUN)))</f>
        <v>67.400000000000006</v>
      </c>
      <c r="BN69" s="539"/>
      <c r="BO69" s="540">
        <f>HostBuild[SAN (GB)
NEEDED TODAY]+CEILING(HostBuild[SAN (GB)
RESERVED
DO NOT USE TO BUILD], LUN)</f>
        <v>67.400000000000006</v>
      </c>
      <c r="BP69" s="541"/>
      <c r="BQ69" s="542"/>
      <c r="BR69" s="432" t="s">
        <v>106</v>
      </c>
      <c r="BS69" s="605">
        <f>IF(HostBuild[Existing Server?]&lt;&gt;"Yes - Inside this BoM",IF(ISNUMBER(HostBuild[RAM 
(GB)]),IF(HostBuild[Existing RAM (GB)]+HostBuild[RAM 
(GB)]&gt;0,IF(HostBuild[Virtual Platform Storage Type]="NAS",110+HostBuild[Existing RAM (GB)]+HostBuild[RAM 
(GB)]*1.75,0),0),0),0)</f>
        <v>0</v>
      </c>
      <c r="BT69" s="606"/>
      <c r="BU69" s="607">
        <f>IF(ISNUMBER(HostBuild[Recommended NAS (GB)]),HostBuild[Recommended NAS (GB)])+HostBuild[Additional NAS (GB)]</f>
        <v>0</v>
      </c>
      <c r="BV69" s="543"/>
      <c r="BW69" s="543"/>
      <c r="BX69" s="604">
        <f>IFERROR((HostBuild[SAN (GB)
End-State
DO NOT USE TO BUILD]+HostBuild[SAN (GB) Shared])*25%,"")</f>
        <v>16.850000000000001</v>
      </c>
      <c r="BY69" s="608">
        <f>IFERROR(HostBuild[Archive
Full (GB)]*15%,"")</f>
        <v>2.5275000000000003</v>
      </c>
      <c r="BZ69" s="544"/>
      <c r="CA69" s="544"/>
      <c r="CB69" s="545"/>
      <c r="CC69" s="546"/>
      <c r="CD69" s="545"/>
      <c r="CE69" s="547"/>
      <c r="CF69" s="539"/>
      <c r="CG69" s="609"/>
      <c r="CH69" s="548"/>
      <c r="CI69" s="549"/>
      <c r="CJ69" s="550" t="s">
        <v>4127</v>
      </c>
      <c r="CK69" s="551"/>
      <c r="CL69" s="552">
        <f>IFERROR(IF(FIND(CL$1,$W69)&gt;0,IF(INDEX(Product_Pricing_Table[],MATCH(CL$1,Products,0),2)="Cores",IF(HostBuild[Use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69" s="552">
        <f>IFERROR(IF(FIND(CM$1,$W69)&gt;0,IF(INDEX(Product_Pricing_Table[],MATCH(CM$1,Products,0),2)="Cores",IF(HostBuild[Use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69" s="552">
        <f>IFERROR(IF(FIND(CN$1,$W69)&gt;0,IF(INDEX(Product_Pricing_Table[],MATCH(CN$1,Products,0),2)="Cores",IF(HostBuild[Use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69" s="552">
        <f>IFERROR(IF(FIND(CO$1,$W69)&gt;0,IF(INDEX(Product_Pricing_Table[],MATCH(CO$1,Products,0),2)="Cores",IF(HostBuild[Use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69" s="552">
        <f>IFERROR(IF(FIND(CP$1,$W69)&gt;0,IF(INDEX(Product_Pricing_Table[],MATCH(CP$1,Products,0),2)="Cores",IF(HostBuild[Use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69" s="552">
        <f>IFERROR(IF(FIND(CQ$1,$W69)&gt;0,IF(INDEX(Product_Pricing_Table[],MATCH(CQ$1,Products,0),2)="Cores",IF(HostBuild[Use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69" s="552">
        <f>IFERROR(IF(FIND(CR$1,$W69)&gt;0,IF(INDEX(Product_Pricing_Table[],MATCH(CR$1,Products,0),2)="Cores",IF(HostBuild[Use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69" s="552">
        <f>IFERROR(IF(FIND(CS$1,$W69)&gt;0,IF(INDEX(Product_Pricing_Table[],MATCH(CS$1,Products,0),2)="Cores",IF(HostBuild[Use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69" s="552">
        <f>IFERROR(IF(FIND(CT$1,$W69)&gt;0,IF(INDEX(Product_Pricing_Table[],MATCH(CT$1,Products,0),2)="Cores",IF(HostBuild[Use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69" s="552">
        <f>IFERROR(IF(FIND(CU$1,$W69)&gt;0,IF(INDEX(Product_Pricing_Table[],MATCH(CU$1,Products,0),2)="Cores",IF(HostBuild[Use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69" s="552">
        <f>IFERROR(IF(FIND(CV$1,$W69)&gt;0,IF(INDEX(Product_Pricing_Table[],MATCH(CV$1,Products,0),2)="Cores",IF(HostBuild[Use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69" s="552">
        <f>IFERROR(IF(FIND(CW$1,$W69)&gt;0,IF(INDEX(Product_Pricing_Table[],MATCH(CW$1,Products,0),2)="Cores",IF(HostBuild[Use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69" s="552">
        <f>IFERROR(IF(FIND(CX$1,$W69)&gt;0,IF(INDEX(Product_Pricing_Table[],MATCH(CX$1,Products,0),2)="Cores",IF(HostBuild[Use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69" s="552">
        <f>IFERROR(IF(FIND(CY$1,$W69)&gt;0,IF(INDEX(Product_Pricing_Table[],MATCH(CY$1,Products,0),2)="Cores",IF(HostBuild[Use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69" s="552">
        <f>IFERROR(IF(FIND(CZ$1,$W69)&gt;0,IF(INDEX(Product_Pricing_Table[],MATCH(CZ$1,Products,0),2)="Cores",IF(HostBuild[Use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69" s="552">
        <f>IFERROR(IF(FIND(DA$1,$W69)&gt;0,IF(INDEX(Product_Pricing_Table[],MATCH(DA$1,Products,0),2)="Cores",IF(HostBuild[Use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69" s="552">
        <f>IFERROR(IF(FIND(DB$1,$W69)&gt;0,IF(INDEX(Product_Pricing_Table[],MATCH(DB$1,Products,0),2)="Cores",IF(HostBuild[Use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69" s="552">
        <f>IFERROR(IF(FIND(DC$1,$W69)&gt;0,IF(INDEX(Product_Pricing_Table[],MATCH(DC$1,Products,0),2)="Cores",IF(HostBuild[Use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69" s="552">
        <f>IFERROR(IF(FIND(DD$1,$W69)&gt;0,IF(INDEX(Product_Pricing_Table[],MATCH(DD$1,Products,0),2)="Cores",IF(HostBuild[Use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69" s="552">
        <f>IFERROR(IF(FIND(DE$1,$W69)&gt;0,IF(INDEX(Product_Pricing_Table[],MATCH(DE$1,Products,0),2)="Cores",IF(HostBuild[Use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69" s="553">
        <f>IFERROR(IF(FIND(DF$1,$W69)&gt;0,IF(INDEX(Product_Pricing_Table[],MATCH(DF$1,Products,0),2)="Cores",IF(HostBuild[Use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69" s="553">
        <f>IFERROR(IF(FIND(DG$1,$W69)&gt;0,IF(INDEX(Product_Pricing_Table[],MATCH(DG$1,Products,0),2)="Cores",IF(HostBuild[Use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69" s="552">
        <f>IFERROR(IF(FIND(DH$1,$W69)&gt;0,IF(INDEX(Product_Pricing_Table[],MATCH(DH$1,Products,0),2)="Cores",IF(HostBuild[Use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69" s="553">
        <f>IFERROR(IF(FIND(DI$1,$W69)&gt;0,IF(INDEX(Product_Pricing_Table[],MATCH(DI$1,Products,0),2)="Cores",IF(HostBuild[Use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69" s="552">
        <f>IFERROR(IF(FIND(DJ$1,$W69)&gt;0,IF(INDEX(Product_Pricing_Table[],MATCH(DJ$1,Products,0),2)="Cores",IF(HostBuild[Use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69" s="552">
        <f>IFERROR(IF(FIND(DK$1,$W69)&gt;0,IF(INDEX(Product_Pricing_Table[],MATCH(DK$1,Products,0),2)="Cores",IF(HostBuild[Use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69" s="552">
        <f>IFERROR(IF(FIND(DL$1,$W69)&gt;0,IF(INDEX(Product_Pricing_Table[],MATCH(DL$1,Products,0),2)="Cores",IF(HostBuild[Use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69" s="552">
        <f>IFERROR(IF(FIND(DM$1,$W69)&gt;0,IF(INDEX(Product_Pricing_Table[],MATCH(DM$1,Products,0),2)="Cores",IF(HostBuild[Use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69" s="552">
        <f>IFERROR(IF(FIND(DN$1,$W69)&gt;0,IF(INDEX(Product_Pricing_Table[],MATCH(DN$1,Products,0),2)="Cores",IF(HostBuild[Use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69" s="552">
        <f>IFERROR(IF(FIND(DO$1,$W69)&gt;0,IF(INDEX(Product_Pricing_Table[],MATCH(DO$1,Products,0),2)="Cores",IF(HostBuild[Use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69" s="552">
        <f>IFERROR(IF(FIND(DP$1,$W69)&gt;0,IF(INDEX(Product_Pricing_Table[],MATCH(DP$1,Products,0),2)="Cores",IF(HostBuild[Use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69" s="552">
        <f>IFERROR(IF(FIND(DQ$1,$W69)&gt;0,IF(INDEX(Product_Pricing_Table[],MATCH(DQ$1,Products,0),2)="Cores",IF(HostBuild[Use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69" s="552">
        <f>IFERROR(IF(FIND(DR$1,$W69)&gt;0,IF(INDEX(Product_Pricing_Table[],MATCH(DR$1,Products,0),2)="Cores",IF(HostBuild[Use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69" s="552">
        <f>IFERROR(IF(FIND(DS$1,$W69)&gt;0,IF(INDEX(Product_Pricing_Table[],MATCH(DS$1,Products,0),2)="Cores",IF(HostBuild[Use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69" s="552">
        <f>IFERROR(IF(FIND(DT$1,$W69)&gt;0,IF(INDEX(Product_Pricing_Table[],MATCH(DT$1,Products,0),2)="Cores",IF(HostBuild[Use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69" s="552">
        <f>IFERROR(IF(FIND(DU$1,$W69)&gt;0,IF(INDEX(Product_Pricing_Table[],MATCH(DU$1,Products,0),2)="Cores",IF(HostBuild[Use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69" s="552">
        <f>IFERROR(IF(FIND(DV$1,$W69)&gt;0,IF(INDEX(Product_Pricing_Table[],MATCH(DV$1,Products,0),2)="Cores",IF(HostBuild[Use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69" s="552">
        <f>IFERROR(IF(FIND(DW$1,$W69)&gt;0,IF(INDEX(Product_Pricing_Table[],MATCH(DW$1,Products,0),2)="Cores",IF(HostBuild[Use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69" s="552">
        <f>IFERROR(IF(FIND(DX$1,$W69)&gt;0,IF(INDEX(Product_Pricing_Table[],MATCH(DX$1,Products,0),2)="Cores",IF(HostBuild[Use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69" s="552">
        <f>IFERROR(IF(FIND(DY$1,$W69)&gt;0,IF(INDEX(Product_Pricing_Table[],MATCH(DY$1,Products,0),2)="Cores",IF(HostBuild[Use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69" s="552">
        <f>IFERROR(IF(FIND(DZ$1,$W69)&gt;0,IF(INDEX(Product_Pricing_Table[],MATCH(DZ$1,Products,0),2)="Cores",IF(HostBuild[Use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69" s="552">
        <f>IFERROR(IF(FIND(EA$1,$W69)&gt;0,IF(INDEX(Product_Pricing_Table[],MATCH(EA$1,Products,0),2)="Cores",IF(HostBuild[Use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69" s="552">
        <f>IFERROR(IF(FIND(EB$1,$W69)&gt;0,IF(INDEX(Product_Pricing_Table[],MATCH(EB$1,Products,0),2)="Cores",IF(HostBuild[Use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69" s="553">
        <f>IFERROR(IF(FIND(EC$1,$W69)&gt;0,IF(INDEX(Product_Pricing_Table[],MATCH(EC$1,Products,0),2)="Cores",IF(HostBuild[Use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69" s="552">
        <f>IFERROR(IF(FIND(ED$1,$W69)&gt;0,IF(INDEX(Product_Pricing_Table[],MATCH(ED$1,Products,0),2)="Cores",IF(HostBuild[Use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69" s="552">
        <f>IFERROR(IF(FIND(EE$1,$W69)&gt;0,IF(INDEX(Product_Pricing_Table[],MATCH(EE$1,Products,0),2)="Cores",IF(HostBuild[Use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69" s="552">
        <f>IFERROR(IF(FIND(EF$1,$W69)&gt;0,IF(INDEX(Product_Pricing_Table[],MATCH(EF$1,Products,0),2)="Cores",IF(HostBuild[Use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69" s="552">
        <f>IFERROR(IF(FIND(EG$1,$W69)&gt;0,IF(INDEX(Product_Pricing_Table[],MATCH(EG$1,Products,0),2)="Cores",IF(HostBuild[Use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69" s="552">
        <f>IFERROR(IF(FIND(EH$1,$W69)&gt;0,IF(INDEX(Product_Pricing_Table[],MATCH(EH$1,Products,0),2)="Cores",IF(HostBuild[Use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69" s="552">
        <f>IFERROR(IF(FIND(EI$1,$W69)&gt;0,IF(INDEX(Product_Pricing_Table[],MATCH(EI$1,Products,0),2)="Cores",IF(HostBuild[Use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69" s="552">
        <f>IFERROR(IF(FIND(EJ$1,$W69)&gt;0,IF(INDEX(Product_Pricing_Table[],MATCH(EJ$1,Products,0),2)="Cores",IF(HostBuild[Use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69" s="553">
        <f>IFERROR(IF(FIND(EK$1,$W69)&gt;0,IF(INDEX(Product_Pricing_Table[],MATCH(EK$1,Products,0),2)="Cores",IF(HostBuild[Use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69" s="554"/>
      <c r="EM69" s="555"/>
      <c r="EN69" s="556"/>
      <c r="EO6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6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69" s="558">
        <f>(HostBuild[Archive
Full (GB)]+HostBuild[Archive
Incr (GB)])*Storage_DC_Dist_Tape_2014</f>
        <v>6.7821249999999997</v>
      </c>
      <c r="ER69" s="558">
        <f>IF(ISNUMBER(HostBuild[Server HW Costs
(Monthly)]),SUM(HostBuild[[#This Row],[Server HW Costs
(Monthly)]:[Tape Costs
(Monthly)]]),0)</f>
        <v>78.900125000000003</v>
      </c>
      <c r="ES69" s="559">
        <f>HostBuild[Software Costs
'[Year 1']
(Monthly)]+HostBuild[Total Hardware Costs
(Monthly)]</f>
        <v>78.900125000000003</v>
      </c>
      <c r="ET69" s="559">
        <f>IFERROR(IF(FIND("Safenet",HostBuild[Server Model]),Safenet_PSE_PL600_Maint,0),0)+IFERROR(IF(FIND("XI52",HostBuild[Server Model]),IBM_DIA_XI52_Maint,0),0)+HostBuild[Software Costs
'[After Year 1']
(Monthly)]+HostBuild[Total Hardware Costs
(Monthly)]</f>
        <v>78.900125000000003</v>
      </c>
      <c r="EU69" s="560">
        <f>SUM(HostBuild[[#This Row],[Server Cost Breakdown]:[Network Cost]])</f>
        <v>0</v>
      </c>
      <c r="EV69" s="561">
        <f>IF(HostBuild[Existing Server?]="Yes - Inside this BoM",0,SUMIF(HostBuild[Alias],HostBuild[Alias],HostBuild[CPU])+SUMIF(HostBuild[Alias],HostBuild[Alias],HostBuild[Existing CPUs]))</f>
        <v>0</v>
      </c>
      <c r="EW69" s="561">
        <f>IF(HostBuild[Existing Server?]="Yes - Inside this BoM",0,SUMIF(HostBuild[Alias],HostBuild[Alias],HostBuild[Cores 
(Licensed Units)])+SUMIF(HostBuild[Alias],HostBuild[Alias],HostBuild[Existing Cores]))</f>
        <v>0</v>
      </c>
      <c r="EX69" s="561">
        <f>IF(HostBuild[Existing Server?]="Yes - Inside this BoM",0,SUMIF(HostBuild[Alias],HostBuild[Alias],HostBuild[RAM 
(GB)])+SUMIF(HostBuild[Alias],HostBuild[Alias],HostBuild[Existing RAM (GB)]))</f>
        <v>0</v>
      </c>
      <c r="EY6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6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6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6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69" s="560">
        <f>IF(ISBLANK(HostBuild[Server Model]),0,IF(HostBuild[Server Tier]="VMware",0,VLOOKUP(HostBuild[Server Tier],ServerTierRates[#Data],2,0))*HostBuild[CPU]*IF(AND(HostBuild[Server Type]="pSeries",HostBuild[Virtual Platform Storage Type]="Cloud-SAN"),0.25,1))</f>
        <v>0</v>
      </c>
      <c r="FD69" s="560">
        <f>0</f>
        <v>0</v>
      </c>
      <c r="FE69" s="560">
        <f>IF(HostBuild[Server Type]="VMware",HostBuild[RAM 
(GB)]*IF(ISERROR(FIND("DevCloud", HostBuild[Server Model])&gt;0),vRAM_per_vCPU_2014_Monthly,vRAM_per_vCPU_2014_Daily*30),0)</f>
        <v>0</v>
      </c>
      <c r="FF6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6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69" s="563">
        <f>IF(HostBuild[Server Tier]="VMware",0,IF(LEFT(HostBuild[Existing Server?],3)="Yes",0,IF(OR(HostBuild[Server Type]="Sun",HostBuild[Server Type]="pSeries"),Support_Direct_Server_Sun_per_OS_2014,IF(HostBuild[Server Type]="x86",Support_Direct_Server_x86_Wintel_per_OS_2014,0))))</f>
        <v>0</v>
      </c>
      <c r="FI6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0" spans="1:165" s="262" customFormat="1">
      <c r="A70" s="360" t="s">
        <v>3942</v>
      </c>
      <c r="B70" s="521"/>
      <c r="C70" s="521"/>
      <c r="D70" s="521"/>
      <c r="E70" s="522"/>
      <c r="F70" s="522"/>
      <c r="G70" s="597"/>
      <c r="H70" s="597"/>
      <c r="I70" s="523"/>
      <c r="J70" s="522"/>
      <c r="K70" s="522"/>
      <c r="L70" s="522"/>
      <c r="M70" s="597" t="e">
        <f ca="1">IF(rngIsDate(HostBuild[CTO Acceptance]),"Y","N")</f>
        <v>#NAME?</v>
      </c>
      <c r="N70" s="361" t="s">
        <v>3939</v>
      </c>
      <c r="O70" s="525"/>
      <c r="P70" s="525"/>
      <c r="Q70" s="361" t="s">
        <v>212</v>
      </c>
      <c r="R70" s="526" t="str">
        <f>IF(NOT(ISBLANK(HostBuild[Env Label])),IFERROR(VLOOKUP(HostBuild[Env Label],tEnv[],3,FALSE),""),"")</f>
        <v>UAT</v>
      </c>
      <c r="S70" s="598"/>
      <c r="T70" s="527"/>
      <c r="U70" s="599"/>
      <c r="V70" s="524" t="s">
        <v>206</v>
      </c>
      <c r="W70" s="524" t="s">
        <v>3999</v>
      </c>
      <c r="X70" s="524" t="s">
        <v>35</v>
      </c>
      <c r="Y70" s="361" t="s">
        <v>481</v>
      </c>
      <c r="Z70" s="526" t="str">
        <f>IF(NOT(ISBLANK(HostBuild[[#This Row],[Product 
(Acronym)]])),CONCATENATE(HostBuild[[#This Row],[Type]],"-",HostBuild[[#This Row],[Product 
(Acronym)]]),"")</f>
        <v>AP-ESB</v>
      </c>
      <c r="AA70" s="600"/>
      <c r="AB70" s="600" t="s">
        <v>3985</v>
      </c>
      <c r="AC70" s="528"/>
      <c r="AD70" s="529"/>
      <c r="AE70" s="529"/>
      <c r="AF70" s="530" t="s">
        <v>3986</v>
      </c>
      <c r="AG70" s="531"/>
      <c r="AH70" s="601"/>
      <c r="AI70" s="362" t="s">
        <v>4111</v>
      </c>
      <c r="AJ70" s="524">
        <f>IF(COUNTIF(HostBuild[Alias],HostBuild[Alias]),1/COUNTIF(HostBuild[Alias],HostBuild[Alias]),0)</f>
        <v>1</v>
      </c>
      <c r="AK70" s="531"/>
      <c r="AL70" s="531"/>
      <c r="AM70" s="532" t="s">
        <v>2173</v>
      </c>
      <c r="AN70" s="533" t="str">
        <f>IF(NOT(ISBLANK(HostBuild[Server Model])),VLOOKUP(HostBuild[Server Model],ServerModelsTier[],2,FALSE),"")</f>
        <v>x86 Tier 3</v>
      </c>
      <c r="AO70" s="533" t="str">
        <f>IF(NOT(ISBLANK(HostBuild[Server Model])),VLOOKUP(HostBuild[Server Model],ServerModelsTier[],5,FALSE),"")</f>
        <v>x86</v>
      </c>
      <c r="AP70" s="532"/>
      <c r="AQ70" s="532" t="s">
        <v>2337</v>
      </c>
      <c r="AR70" s="534"/>
      <c r="AS70" s="602"/>
      <c r="AT70" s="535"/>
      <c r="AU70" s="603" t="str">
        <f>IF(IFERROR(FIND("P-Series",HostBuild[Server Tier]),0),CEILING((HostBuild[Existing CPUs]+HostBuild[CPU])*16,8),"")</f>
        <v/>
      </c>
      <c r="AV70" s="536"/>
      <c r="AW70" s="531"/>
      <c r="AX70" s="531"/>
      <c r="AY70" s="531"/>
      <c r="AZ70" s="537"/>
      <c r="BA70" s="531"/>
      <c r="BB70" s="531"/>
      <c r="BC70" s="529"/>
      <c r="BD70" s="531"/>
      <c r="BE70" s="531"/>
      <c r="BF70" s="531"/>
      <c r="BG70" s="531"/>
      <c r="BH70" s="531"/>
      <c r="BI70" s="531"/>
      <c r="BJ70" s="531"/>
      <c r="BK70"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0" s="538">
        <v>60</v>
      </c>
      <c r="BM70" s="540">
        <f>IF(ISNUMBER(HostBuild[Recommended SAN (GB)]),HostBuild[Recommended SAN (GB)])+IF(HostBuild[Additional SAN (GB)]&gt;0,CEILING(HostBuild[Additional SAN (GB)],LUN),-(CEILING(-HostBuild[Additional SAN (GB)],LUN)))</f>
        <v>67.400000000000006</v>
      </c>
      <c r="BN70" s="539"/>
      <c r="BO70" s="540">
        <f>HostBuild[SAN (GB)
NEEDED TODAY]+CEILING(HostBuild[SAN (GB)
RESERVED
DO NOT USE TO BUILD], LUN)</f>
        <v>67.400000000000006</v>
      </c>
      <c r="BP70" s="541"/>
      <c r="BQ70" s="542"/>
      <c r="BR70" s="432" t="s">
        <v>106</v>
      </c>
      <c r="BS70" s="605">
        <f>IF(HostBuild[Existing Server?]&lt;&gt;"Yes - Inside this BoM",IF(ISNUMBER(HostBuild[RAM 
(GB)]),IF(HostBuild[Existing RAM (GB)]+HostBuild[RAM 
(GB)]&gt;0,IF(HostBuild[Virtual Platform Storage Type]="NAS",110+HostBuild[Existing RAM (GB)]+HostBuild[RAM 
(GB)]*1.75,0),0),0),0)</f>
        <v>0</v>
      </c>
      <c r="BT70" s="606"/>
      <c r="BU70" s="607">
        <f>IF(ISNUMBER(HostBuild[Recommended NAS (GB)]),HostBuild[Recommended NAS (GB)])+HostBuild[Additional NAS (GB)]</f>
        <v>0</v>
      </c>
      <c r="BV70" s="543"/>
      <c r="BW70" s="543"/>
      <c r="BX70" s="604">
        <f>IFERROR((HostBuild[SAN (GB)
End-State
DO NOT USE TO BUILD]+HostBuild[SAN (GB) Shared])*25%,"")</f>
        <v>16.850000000000001</v>
      </c>
      <c r="BY70" s="608">
        <f>IFERROR(HostBuild[Archive
Full (GB)]*15%,"")</f>
        <v>2.5275000000000003</v>
      </c>
      <c r="BZ70" s="544"/>
      <c r="CA70" s="544"/>
      <c r="CB70" s="545"/>
      <c r="CC70" s="546"/>
      <c r="CD70" s="545"/>
      <c r="CE70" s="547"/>
      <c r="CF70" s="539"/>
      <c r="CG70" s="609"/>
      <c r="CH70" s="548"/>
      <c r="CI70" s="549"/>
      <c r="CJ70" s="550" t="s">
        <v>4127</v>
      </c>
      <c r="CK70" s="551"/>
      <c r="CL70" s="552">
        <f>IFERROR(IF(FIND(CL$1,$W70)&gt;0,IF(INDEX(Product_Pricing_Table[],MATCH(CL$1,Products,0),2)="Cores",IF(HostBuild[Use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0" s="552">
        <f>IFERROR(IF(FIND(CM$1,$W70)&gt;0,IF(INDEX(Product_Pricing_Table[],MATCH(CM$1,Products,0),2)="Cores",IF(HostBuild[Use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0" s="552">
        <f>IFERROR(IF(FIND(CN$1,$W70)&gt;0,IF(INDEX(Product_Pricing_Table[],MATCH(CN$1,Products,0),2)="Cores",IF(HostBuild[Use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0" s="552">
        <f>IFERROR(IF(FIND(CO$1,$W70)&gt;0,IF(INDEX(Product_Pricing_Table[],MATCH(CO$1,Products,0),2)="Cores",IF(HostBuild[Use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0" s="552">
        <f>IFERROR(IF(FIND(CP$1,$W70)&gt;0,IF(INDEX(Product_Pricing_Table[],MATCH(CP$1,Products,0),2)="Cores",IF(HostBuild[Use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0" s="552">
        <f>IFERROR(IF(FIND(CQ$1,$W70)&gt;0,IF(INDEX(Product_Pricing_Table[],MATCH(CQ$1,Products,0),2)="Cores",IF(HostBuild[Use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0" s="552">
        <f>IFERROR(IF(FIND(CR$1,$W70)&gt;0,IF(INDEX(Product_Pricing_Table[],MATCH(CR$1,Products,0),2)="Cores",IF(HostBuild[Use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0" s="552">
        <f>IFERROR(IF(FIND(CS$1,$W70)&gt;0,IF(INDEX(Product_Pricing_Table[],MATCH(CS$1,Products,0),2)="Cores",IF(HostBuild[Use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0" s="552">
        <f>IFERROR(IF(FIND(CT$1,$W70)&gt;0,IF(INDEX(Product_Pricing_Table[],MATCH(CT$1,Products,0),2)="Cores",IF(HostBuild[Use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0" s="552">
        <f>IFERROR(IF(FIND(CU$1,$W70)&gt;0,IF(INDEX(Product_Pricing_Table[],MATCH(CU$1,Products,0),2)="Cores",IF(HostBuild[Use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0" s="552">
        <f>IFERROR(IF(FIND(CV$1,$W70)&gt;0,IF(INDEX(Product_Pricing_Table[],MATCH(CV$1,Products,0),2)="Cores",IF(HostBuild[Use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0" s="552">
        <f>IFERROR(IF(FIND(CW$1,$W70)&gt;0,IF(INDEX(Product_Pricing_Table[],MATCH(CW$1,Products,0),2)="Cores",IF(HostBuild[Use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0" s="552">
        <f>IFERROR(IF(FIND(CX$1,$W70)&gt;0,IF(INDEX(Product_Pricing_Table[],MATCH(CX$1,Products,0),2)="Cores",IF(HostBuild[Use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0" s="552">
        <f>IFERROR(IF(FIND(CY$1,$W70)&gt;0,IF(INDEX(Product_Pricing_Table[],MATCH(CY$1,Products,0),2)="Cores",IF(HostBuild[Use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0" s="552">
        <f>IFERROR(IF(FIND(CZ$1,$W70)&gt;0,IF(INDEX(Product_Pricing_Table[],MATCH(CZ$1,Products,0),2)="Cores",IF(HostBuild[Use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0" s="552">
        <f>IFERROR(IF(FIND(DA$1,$W70)&gt;0,IF(INDEX(Product_Pricing_Table[],MATCH(DA$1,Products,0),2)="Cores",IF(HostBuild[Use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0" s="552">
        <f>IFERROR(IF(FIND(DB$1,$W70)&gt;0,IF(INDEX(Product_Pricing_Table[],MATCH(DB$1,Products,0),2)="Cores",IF(HostBuild[Use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0" s="552">
        <f>IFERROR(IF(FIND(DC$1,$W70)&gt;0,IF(INDEX(Product_Pricing_Table[],MATCH(DC$1,Products,0),2)="Cores",IF(HostBuild[Use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0" s="552">
        <f>IFERROR(IF(FIND(DD$1,$W70)&gt;0,IF(INDEX(Product_Pricing_Table[],MATCH(DD$1,Products,0),2)="Cores",IF(HostBuild[Use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0" s="552">
        <f>IFERROR(IF(FIND(DE$1,$W70)&gt;0,IF(INDEX(Product_Pricing_Table[],MATCH(DE$1,Products,0),2)="Cores",IF(HostBuild[Use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0" s="553">
        <f>IFERROR(IF(FIND(DF$1,$W70)&gt;0,IF(INDEX(Product_Pricing_Table[],MATCH(DF$1,Products,0),2)="Cores",IF(HostBuild[Use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0" s="553">
        <f>IFERROR(IF(FIND(DG$1,$W70)&gt;0,IF(INDEX(Product_Pricing_Table[],MATCH(DG$1,Products,0),2)="Cores",IF(HostBuild[Use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0" s="552">
        <f>IFERROR(IF(FIND(DH$1,$W70)&gt;0,IF(INDEX(Product_Pricing_Table[],MATCH(DH$1,Products,0),2)="Cores",IF(HostBuild[Use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0" s="553">
        <f>IFERROR(IF(FIND(DI$1,$W70)&gt;0,IF(INDEX(Product_Pricing_Table[],MATCH(DI$1,Products,0),2)="Cores",IF(HostBuild[Use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0" s="552">
        <f>IFERROR(IF(FIND(DJ$1,$W70)&gt;0,IF(INDEX(Product_Pricing_Table[],MATCH(DJ$1,Products,0),2)="Cores",IF(HostBuild[Use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0" s="552">
        <f>IFERROR(IF(FIND(DK$1,$W70)&gt;0,IF(INDEX(Product_Pricing_Table[],MATCH(DK$1,Products,0),2)="Cores",IF(HostBuild[Use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0" s="552">
        <f>IFERROR(IF(FIND(DL$1,$W70)&gt;0,IF(INDEX(Product_Pricing_Table[],MATCH(DL$1,Products,0),2)="Cores",IF(HostBuild[Use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0" s="552">
        <f>IFERROR(IF(FIND(DM$1,$W70)&gt;0,IF(INDEX(Product_Pricing_Table[],MATCH(DM$1,Products,0),2)="Cores",IF(HostBuild[Use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0" s="552">
        <f>IFERROR(IF(FIND(DN$1,$W70)&gt;0,IF(INDEX(Product_Pricing_Table[],MATCH(DN$1,Products,0),2)="Cores",IF(HostBuild[Use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0" s="552">
        <f>IFERROR(IF(FIND(DO$1,$W70)&gt;0,IF(INDEX(Product_Pricing_Table[],MATCH(DO$1,Products,0),2)="Cores",IF(HostBuild[Use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0" s="552">
        <f>IFERROR(IF(FIND(DP$1,$W70)&gt;0,IF(INDEX(Product_Pricing_Table[],MATCH(DP$1,Products,0),2)="Cores",IF(HostBuild[Use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0" s="552">
        <f>IFERROR(IF(FIND(DQ$1,$W70)&gt;0,IF(INDEX(Product_Pricing_Table[],MATCH(DQ$1,Products,0),2)="Cores",IF(HostBuild[Use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0" s="552">
        <f>IFERROR(IF(FIND(DR$1,$W70)&gt;0,IF(INDEX(Product_Pricing_Table[],MATCH(DR$1,Products,0),2)="Cores",IF(HostBuild[Use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0" s="552">
        <f>IFERROR(IF(FIND(DS$1,$W70)&gt;0,IF(INDEX(Product_Pricing_Table[],MATCH(DS$1,Products,0),2)="Cores",IF(HostBuild[Use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0" s="552">
        <f>IFERROR(IF(FIND(DT$1,$W70)&gt;0,IF(INDEX(Product_Pricing_Table[],MATCH(DT$1,Products,0),2)="Cores",IF(HostBuild[Use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0" s="552">
        <f>IFERROR(IF(FIND(DU$1,$W70)&gt;0,IF(INDEX(Product_Pricing_Table[],MATCH(DU$1,Products,0),2)="Cores",IF(HostBuild[Use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0" s="552">
        <f>IFERROR(IF(FIND(DV$1,$W70)&gt;0,IF(INDEX(Product_Pricing_Table[],MATCH(DV$1,Products,0),2)="Cores",IF(HostBuild[Use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0" s="552">
        <f>IFERROR(IF(FIND(DW$1,$W70)&gt;0,IF(INDEX(Product_Pricing_Table[],MATCH(DW$1,Products,0),2)="Cores",IF(HostBuild[Use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0" s="552">
        <f>IFERROR(IF(FIND(DX$1,$W70)&gt;0,IF(INDEX(Product_Pricing_Table[],MATCH(DX$1,Products,0),2)="Cores",IF(HostBuild[Use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0" s="552">
        <f>IFERROR(IF(FIND(DY$1,$W70)&gt;0,IF(INDEX(Product_Pricing_Table[],MATCH(DY$1,Products,0),2)="Cores",IF(HostBuild[Use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0" s="552">
        <f>IFERROR(IF(FIND(DZ$1,$W70)&gt;0,IF(INDEX(Product_Pricing_Table[],MATCH(DZ$1,Products,0),2)="Cores",IF(HostBuild[Use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0" s="552">
        <f>IFERROR(IF(FIND(EA$1,$W70)&gt;0,IF(INDEX(Product_Pricing_Table[],MATCH(EA$1,Products,0),2)="Cores",IF(HostBuild[Use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0" s="552">
        <f>IFERROR(IF(FIND(EB$1,$W70)&gt;0,IF(INDEX(Product_Pricing_Table[],MATCH(EB$1,Products,0),2)="Cores",IF(HostBuild[Use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0" s="553">
        <f>IFERROR(IF(FIND(EC$1,$W70)&gt;0,IF(INDEX(Product_Pricing_Table[],MATCH(EC$1,Products,0),2)="Cores",IF(HostBuild[Use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0" s="552">
        <f>IFERROR(IF(FIND(ED$1,$W70)&gt;0,IF(INDEX(Product_Pricing_Table[],MATCH(ED$1,Products,0),2)="Cores",IF(HostBuild[Use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0" s="552">
        <f>IFERROR(IF(FIND(EE$1,$W70)&gt;0,IF(INDEX(Product_Pricing_Table[],MATCH(EE$1,Products,0),2)="Cores",IF(HostBuild[Use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0" s="552">
        <f>IFERROR(IF(FIND(EF$1,$W70)&gt;0,IF(INDEX(Product_Pricing_Table[],MATCH(EF$1,Products,0),2)="Cores",IF(HostBuild[Use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0" s="552">
        <f>IFERROR(IF(FIND(EG$1,$W70)&gt;0,IF(INDEX(Product_Pricing_Table[],MATCH(EG$1,Products,0),2)="Cores",IF(HostBuild[Use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0" s="552">
        <f>IFERROR(IF(FIND(EH$1,$W70)&gt;0,IF(INDEX(Product_Pricing_Table[],MATCH(EH$1,Products,0),2)="Cores",IF(HostBuild[Use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0" s="552">
        <f>IFERROR(IF(FIND(EI$1,$W70)&gt;0,IF(INDEX(Product_Pricing_Table[],MATCH(EI$1,Products,0),2)="Cores",IF(HostBuild[Use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0" s="552">
        <f>IFERROR(IF(FIND(EJ$1,$W70)&gt;0,IF(INDEX(Product_Pricing_Table[],MATCH(EJ$1,Products,0),2)="Cores",IF(HostBuild[Use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0" s="553">
        <f>IFERROR(IF(FIND(EK$1,$W70)&gt;0,IF(INDEX(Product_Pricing_Table[],MATCH(EK$1,Products,0),2)="Cores",IF(HostBuild[Use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0" s="554"/>
      <c r="EM70" s="555"/>
      <c r="EN70" s="556"/>
      <c r="EO7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70" s="558">
        <f>(HostBuild[Archive
Full (GB)]+HostBuild[Archive
Incr (GB)])*Storage_DC_Dist_Tape_2014</f>
        <v>6.7821249999999997</v>
      </c>
      <c r="ER70" s="558">
        <f>IF(ISNUMBER(HostBuild[Server HW Costs
(Monthly)]),SUM(HostBuild[[#This Row],[Server HW Costs
(Monthly)]:[Tape Costs
(Monthly)]]),0)</f>
        <v>78.900125000000003</v>
      </c>
      <c r="ES70" s="559">
        <f>HostBuild[Software Costs
'[Year 1']
(Monthly)]+HostBuild[Total Hardware Costs
(Monthly)]</f>
        <v>78.900125000000003</v>
      </c>
      <c r="ET70" s="559">
        <f>IFERROR(IF(FIND("Safenet",HostBuild[Server Model]),Safenet_PSE_PL600_Maint,0),0)+IFERROR(IF(FIND("XI52",HostBuild[Server Model]),IBM_DIA_XI52_Maint,0),0)+HostBuild[Software Costs
'[After Year 1']
(Monthly)]+HostBuild[Total Hardware Costs
(Monthly)]</f>
        <v>78.900125000000003</v>
      </c>
      <c r="EU70" s="560">
        <f>SUM(HostBuild[[#This Row],[Server Cost Breakdown]:[Network Cost]])</f>
        <v>0</v>
      </c>
      <c r="EV70" s="561">
        <f>IF(HostBuild[Existing Server?]="Yes - Inside this BoM",0,SUMIF(HostBuild[Alias],HostBuild[Alias],HostBuild[CPU])+SUMIF(HostBuild[Alias],HostBuild[Alias],HostBuild[Existing CPUs]))</f>
        <v>0</v>
      </c>
      <c r="EW70" s="561">
        <f>IF(HostBuild[Existing Server?]="Yes - Inside this BoM",0,SUMIF(HostBuild[Alias],HostBuild[Alias],HostBuild[Cores 
(Licensed Units)])+SUMIF(HostBuild[Alias],HostBuild[Alias],HostBuild[Existing Cores]))</f>
        <v>0</v>
      </c>
      <c r="EX70" s="561">
        <f>IF(HostBuild[Existing Server?]="Yes - Inside this BoM",0,SUMIF(HostBuild[Alias],HostBuild[Alias],HostBuild[RAM 
(GB)])+SUMIF(HostBuild[Alias],HostBuild[Alias],HostBuild[Existing RAM (GB)]))</f>
        <v>0</v>
      </c>
      <c r="EY7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0" s="560">
        <f>IF(ISBLANK(HostBuild[Server Model]),0,IF(HostBuild[Server Tier]="VMware",0,VLOOKUP(HostBuild[Server Tier],ServerTierRates[#Data],2,0))*HostBuild[CPU]*IF(AND(HostBuild[Server Type]="pSeries",HostBuild[Virtual Platform Storage Type]="Cloud-SAN"),0.25,1))</f>
        <v>0</v>
      </c>
      <c r="FD70" s="560">
        <f>0</f>
        <v>0</v>
      </c>
      <c r="FE70" s="560">
        <f>IF(HostBuild[Server Type]="VMware",HostBuild[RAM 
(GB)]*IF(ISERROR(FIND("DevCloud", HostBuild[Server Model])&gt;0),vRAM_per_vCPU_2014_Monthly,vRAM_per_vCPU_2014_Daily*30),0)</f>
        <v>0</v>
      </c>
      <c r="FF7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0" s="563">
        <f>IF(HostBuild[Server Tier]="VMware",0,IF(LEFT(HostBuild[Existing Server?],3)="Yes",0,IF(OR(HostBuild[Server Type]="Sun",HostBuild[Server Type]="pSeries"),Support_Direct_Server_Sun_per_OS_2014,IF(HostBuild[Server Type]="x86",Support_Direct_Server_x86_Wintel_per_OS_2014,0))))</f>
        <v>0</v>
      </c>
      <c r="FI7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1" spans="1:165" s="262" customFormat="1">
      <c r="A71" s="360" t="s">
        <v>3942</v>
      </c>
      <c r="B71" s="521"/>
      <c r="C71" s="521"/>
      <c r="D71" s="521"/>
      <c r="E71" s="522"/>
      <c r="F71" s="522"/>
      <c r="G71" s="597"/>
      <c r="H71" s="597"/>
      <c r="I71" s="523"/>
      <c r="J71" s="522"/>
      <c r="K71" s="522"/>
      <c r="L71" s="522"/>
      <c r="M71" s="597" t="e">
        <f ca="1">IF(rngIsDate(HostBuild[CTO Acceptance]),"Y","N")</f>
        <v>#NAME?</v>
      </c>
      <c r="N71" s="361" t="s">
        <v>3939</v>
      </c>
      <c r="O71" s="525"/>
      <c r="P71" s="525"/>
      <c r="Q71" s="361" t="s">
        <v>212</v>
      </c>
      <c r="R71" s="526" t="str">
        <f>IF(NOT(ISBLANK(HostBuild[Env Label])),IFERROR(VLOOKUP(HostBuild[Env Label],tEnv[],3,FALSE),""),"")</f>
        <v>UAT</v>
      </c>
      <c r="S71" s="598"/>
      <c r="T71" s="527"/>
      <c r="U71" s="599"/>
      <c r="V71" s="524" t="s">
        <v>206</v>
      </c>
      <c r="W71" s="524" t="s">
        <v>3999</v>
      </c>
      <c r="X71" s="524" t="s">
        <v>35</v>
      </c>
      <c r="Y71" s="361" t="s">
        <v>481</v>
      </c>
      <c r="Z71" s="526" t="str">
        <f>IF(NOT(ISBLANK(HostBuild[[#This Row],[Product 
(Acronym)]])),CONCATENATE(HostBuild[[#This Row],[Type]],"-",HostBuild[[#This Row],[Product 
(Acronym)]]),"")</f>
        <v>AP-ESB</v>
      </c>
      <c r="AA71" s="600"/>
      <c r="AB71" s="600" t="s">
        <v>3985</v>
      </c>
      <c r="AC71" s="528"/>
      <c r="AD71" s="529"/>
      <c r="AE71" s="529"/>
      <c r="AF71" s="530" t="s">
        <v>3986</v>
      </c>
      <c r="AG71" s="531"/>
      <c r="AH71" s="601"/>
      <c r="AI71" s="362" t="s">
        <v>4112</v>
      </c>
      <c r="AJ71" s="524">
        <f>IF(COUNTIF(HostBuild[Alias],HostBuild[Alias]),1/COUNTIF(HostBuild[Alias],HostBuild[Alias]),0)</f>
        <v>1</v>
      </c>
      <c r="AK71" s="531"/>
      <c r="AL71" s="531"/>
      <c r="AM71" s="532" t="s">
        <v>2173</v>
      </c>
      <c r="AN71" s="533" t="str">
        <f>IF(NOT(ISBLANK(HostBuild[Server Model])),VLOOKUP(HostBuild[Server Model],ServerModelsTier[],2,FALSE),"")</f>
        <v>x86 Tier 3</v>
      </c>
      <c r="AO71" s="533" t="str">
        <f>IF(NOT(ISBLANK(HostBuild[Server Model])),VLOOKUP(HostBuild[Server Model],ServerModelsTier[],5,FALSE),"")</f>
        <v>x86</v>
      </c>
      <c r="AP71" s="532"/>
      <c r="AQ71" s="532" t="s">
        <v>2337</v>
      </c>
      <c r="AR71" s="534"/>
      <c r="AS71" s="602"/>
      <c r="AT71" s="535"/>
      <c r="AU71" s="603" t="str">
        <f>IF(IFERROR(FIND("P-Series",HostBuild[Server Tier]),0),CEILING((HostBuild[Existing CPUs]+HostBuild[CPU])*16,8),"")</f>
        <v/>
      </c>
      <c r="AV71" s="536"/>
      <c r="AW71" s="531"/>
      <c r="AX71" s="531"/>
      <c r="AY71" s="531"/>
      <c r="AZ71" s="537"/>
      <c r="BA71" s="531"/>
      <c r="BB71" s="531"/>
      <c r="BC71" s="529"/>
      <c r="BD71" s="531"/>
      <c r="BE71" s="531"/>
      <c r="BF71" s="531"/>
      <c r="BG71" s="531"/>
      <c r="BH71" s="531"/>
      <c r="BI71" s="531"/>
      <c r="BJ71" s="531"/>
      <c r="BK71"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1" s="538">
        <v>60</v>
      </c>
      <c r="BM71" s="540">
        <f>IF(ISNUMBER(HostBuild[Recommended SAN (GB)]),HostBuild[Recommended SAN (GB)])+IF(HostBuild[Additional SAN (GB)]&gt;0,CEILING(HostBuild[Additional SAN (GB)],LUN),-(CEILING(-HostBuild[Additional SAN (GB)],LUN)))</f>
        <v>67.400000000000006</v>
      </c>
      <c r="BN71" s="539"/>
      <c r="BO71" s="540">
        <f>HostBuild[SAN (GB)
NEEDED TODAY]+CEILING(HostBuild[SAN (GB)
RESERVED
DO NOT USE TO BUILD], LUN)</f>
        <v>67.400000000000006</v>
      </c>
      <c r="BP71" s="541"/>
      <c r="BQ71" s="542"/>
      <c r="BR71" s="432" t="s">
        <v>106</v>
      </c>
      <c r="BS71" s="605">
        <f>IF(HostBuild[Existing Server?]&lt;&gt;"Yes - Inside this BoM",IF(ISNUMBER(HostBuild[RAM 
(GB)]),IF(HostBuild[Existing RAM (GB)]+HostBuild[RAM 
(GB)]&gt;0,IF(HostBuild[Virtual Platform Storage Type]="NAS",110+HostBuild[Existing RAM (GB)]+HostBuild[RAM 
(GB)]*1.75,0),0),0),0)</f>
        <v>0</v>
      </c>
      <c r="BT71" s="606"/>
      <c r="BU71" s="607">
        <f>IF(ISNUMBER(HostBuild[Recommended NAS (GB)]),HostBuild[Recommended NAS (GB)])+HostBuild[Additional NAS (GB)]</f>
        <v>0</v>
      </c>
      <c r="BV71" s="543"/>
      <c r="BW71" s="543"/>
      <c r="BX71" s="604">
        <f>IFERROR((HostBuild[SAN (GB)
End-State
DO NOT USE TO BUILD]+HostBuild[SAN (GB) Shared])*25%,"")</f>
        <v>16.850000000000001</v>
      </c>
      <c r="BY71" s="608">
        <f>IFERROR(HostBuild[Archive
Full (GB)]*15%,"")</f>
        <v>2.5275000000000003</v>
      </c>
      <c r="BZ71" s="544"/>
      <c r="CA71" s="544"/>
      <c r="CB71" s="545"/>
      <c r="CC71" s="546"/>
      <c r="CD71" s="545"/>
      <c r="CE71" s="547"/>
      <c r="CF71" s="539"/>
      <c r="CG71" s="609"/>
      <c r="CH71" s="548"/>
      <c r="CI71" s="549"/>
      <c r="CJ71" s="550" t="s">
        <v>4127</v>
      </c>
      <c r="CK71" s="551"/>
      <c r="CL71" s="552">
        <f>IFERROR(IF(FIND(CL$1,$W71)&gt;0,IF(INDEX(Product_Pricing_Table[],MATCH(CL$1,Products,0),2)="Cores",IF(HostBuild[Use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1" s="552">
        <f>IFERROR(IF(FIND(CM$1,$W71)&gt;0,IF(INDEX(Product_Pricing_Table[],MATCH(CM$1,Products,0),2)="Cores",IF(HostBuild[Use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1" s="552">
        <f>IFERROR(IF(FIND(CN$1,$W71)&gt;0,IF(INDEX(Product_Pricing_Table[],MATCH(CN$1,Products,0),2)="Cores",IF(HostBuild[Use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1" s="552">
        <f>IFERROR(IF(FIND(CO$1,$W71)&gt;0,IF(INDEX(Product_Pricing_Table[],MATCH(CO$1,Products,0),2)="Cores",IF(HostBuild[Use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1" s="552">
        <f>IFERROR(IF(FIND(CP$1,$W71)&gt;0,IF(INDEX(Product_Pricing_Table[],MATCH(CP$1,Products,0),2)="Cores",IF(HostBuild[Use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1" s="552">
        <f>IFERROR(IF(FIND(CQ$1,$W71)&gt;0,IF(INDEX(Product_Pricing_Table[],MATCH(CQ$1,Products,0),2)="Cores",IF(HostBuild[Use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1" s="552">
        <f>IFERROR(IF(FIND(CR$1,$W71)&gt;0,IF(INDEX(Product_Pricing_Table[],MATCH(CR$1,Products,0),2)="Cores",IF(HostBuild[Use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1" s="552">
        <f>IFERROR(IF(FIND(CS$1,$W71)&gt;0,IF(INDEX(Product_Pricing_Table[],MATCH(CS$1,Products,0),2)="Cores",IF(HostBuild[Use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1" s="552">
        <f>IFERROR(IF(FIND(CT$1,$W71)&gt;0,IF(INDEX(Product_Pricing_Table[],MATCH(CT$1,Products,0),2)="Cores",IF(HostBuild[Use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1" s="552">
        <f>IFERROR(IF(FIND(CU$1,$W71)&gt;0,IF(INDEX(Product_Pricing_Table[],MATCH(CU$1,Products,0),2)="Cores",IF(HostBuild[Use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1" s="552">
        <f>IFERROR(IF(FIND(CV$1,$W71)&gt;0,IF(INDEX(Product_Pricing_Table[],MATCH(CV$1,Products,0),2)="Cores",IF(HostBuild[Use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1" s="552">
        <f>IFERROR(IF(FIND(CW$1,$W71)&gt;0,IF(INDEX(Product_Pricing_Table[],MATCH(CW$1,Products,0),2)="Cores",IF(HostBuild[Use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1" s="552">
        <f>IFERROR(IF(FIND(CX$1,$W71)&gt;0,IF(INDEX(Product_Pricing_Table[],MATCH(CX$1,Products,0),2)="Cores",IF(HostBuild[Use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1" s="552">
        <f>IFERROR(IF(FIND(CY$1,$W71)&gt;0,IF(INDEX(Product_Pricing_Table[],MATCH(CY$1,Products,0),2)="Cores",IF(HostBuild[Use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1" s="552">
        <f>IFERROR(IF(FIND(CZ$1,$W71)&gt;0,IF(INDEX(Product_Pricing_Table[],MATCH(CZ$1,Products,0),2)="Cores",IF(HostBuild[Use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1" s="552">
        <f>IFERROR(IF(FIND(DA$1,$W71)&gt;0,IF(INDEX(Product_Pricing_Table[],MATCH(DA$1,Products,0),2)="Cores",IF(HostBuild[Use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1" s="552">
        <f>IFERROR(IF(FIND(DB$1,$W71)&gt;0,IF(INDEX(Product_Pricing_Table[],MATCH(DB$1,Products,0),2)="Cores",IF(HostBuild[Use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1" s="552">
        <f>IFERROR(IF(FIND(DC$1,$W71)&gt;0,IF(INDEX(Product_Pricing_Table[],MATCH(DC$1,Products,0),2)="Cores",IF(HostBuild[Use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1" s="552">
        <f>IFERROR(IF(FIND(DD$1,$W71)&gt;0,IF(INDEX(Product_Pricing_Table[],MATCH(DD$1,Products,0),2)="Cores",IF(HostBuild[Use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1" s="552">
        <f>IFERROR(IF(FIND(DE$1,$W71)&gt;0,IF(INDEX(Product_Pricing_Table[],MATCH(DE$1,Products,0),2)="Cores",IF(HostBuild[Use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1" s="553">
        <f>IFERROR(IF(FIND(DF$1,$W71)&gt;0,IF(INDEX(Product_Pricing_Table[],MATCH(DF$1,Products,0),2)="Cores",IF(HostBuild[Use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1" s="553">
        <f>IFERROR(IF(FIND(DG$1,$W71)&gt;0,IF(INDEX(Product_Pricing_Table[],MATCH(DG$1,Products,0),2)="Cores",IF(HostBuild[Use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1" s="552">
        <f>IFERROR(IF(FIND(DH$1,$W71)&gt;0,IF(INDEX(Product_Pricing_Table[],MATCH(DH$1,Products,0),2)="Cores",IF(HostBuild[Use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1" s="553">
        <f>IFERROR(IF(FIND(DI$1,$W71)&gt;0,IF(INDEX(Product_Pricing_Table[],MATCH(DI$1,Products,0),2)="Cores",IF(HostBuild[Use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1" s="552">
        <f>IFERROR(IF(FIND(DJ$1,$W71)&gt;0,IF(INDEX(Product_Pricing_Table[],MATCH(DJ$1,Products,0),2)="Cores",IF(HostBuild[Use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1" s="552">
        <f>IFERROR(IF(FIND(DK$1,$W71)&gt;0,IF(INDEX(Product_Pricing_Table[],MATCH(DK$1,Products,0),2)="Cores",IF(HostBuild[Use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1" s="552">
        <f>IFERROR(IF(FIND(DL$1,$W71)&gt;0,IF(INDEX(Product_Pricing_Table[],MATCH(DL$1,Products,0),2)="Cores",IF(HostBuild[Use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1" s="552">
        <f>IFERROR(IF(FIND(DM$1,$W71)&gt;0,IF(INDEX(Product_Pricing_Table[],MATCH(DM$1,Products,0),2)="Cores",IF(HostBuild[Use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1" s="552">
        <f>IFERROR(IF(FIND(DN$1,$W71)&gt;0,IF(INDEX(Product_Pricing_Table[],MATCH(DN$1,Products,0),2)="Cores",IF(HostBuild[Use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1" s="552">
        <f>IFERROR(IF(FIND(DO$1,$W71)&gt;0,IF(INDEX(Product_Pricing_Table[],MATCH(DO$1,Products,0),2)="Cores",IF(HostBuild[Use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1" s="552">
        <f>IFERROR(IF(FIND(DP$1,$W71)&gt;0,IF(INDEX(Product_Pricing_Table[],MATCH(DP$1,Products,0),2)="Cores",IF(HostBuild[Use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1" s="552">
        <f>IFERROR(IF(FIND(DQ$1,$W71)&gt;0,IF(INDEX(Product_Pricing_Table[],MATCH(DQ$1,Products,0),2)="Cores",IF(HostBuild[Use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1" s="552">
        <f>IFERROR(IF(FIND(DR$1,$W71)&gt;0,IF(INDEX(Product_Pricing_Table[],MATCH(DR$1,Products,0),2)="Cores",IF(HostBuild[Use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1" s="552">
        <f>IFERROR(IF(FIND(DS$1,$W71)&gt;0,IF(INDEX(Product_Pricing_Table[],MATCH(DS$1,Products,0),2)="Cores",IF(HostBuild[Use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1" s="552">
        <f>IFERROR(IF(FIND(DT$1,$W71)&gt;0,IF(INDEX(Product_Pricing_Table[],MATCH(DT$1,Products,0),2)="Cores",IF(HostBuild[Use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1" s="552">
        <f>IFERROR(IF(FIND(DU$1,$W71)&gt;0,IF(INDEX(Product_Pricing_Table[],MATCH(DU$1,Products,0),2)="Cores",IF(HostBuild[Use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1" s="552">
        <f>IFERROR(IF(FIND(DV$1,$W71)&gt;0,IF(INDEX(Product_Pricing_Table[],MATCH(DV$1,Products,0),2)="Cores",IF(HostBuild[Use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1" s="552">
        <f>IFERROR(IF(FIND(DW$1,$W71)&gt;0,IF(INDEX(Product_Pricing_Table[],MATCH(DW$1,Products,0),2)="Cores",IF(HostBuild[Use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1" s="552">
        <f>IFERROR(IF(FIND(DX$1,$W71)&gt;0,IF(INDEX(Product_Pricing_Table[],MATCH(DX$1,Products,0),2)="Cores",IF(HostBuild[Use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1" s="552">
        <f>IFERROR(IF(FIND(DY$1,$W71)&gt;0,IF(INDEX(Product_Pricing_Table[],MATCH(DY$1,Products,0),2)="Cores",IF(HostBuild[Use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1" s="552">
        <f>IFERROR(IF(FIND(DZ$1,$W71)&gt;0,IF(INDEX(Product_Pricing_Table[],MATCH(DZ$1,Products,0),2)="Cores",IF(HostBuild[Use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1" s="552">
        <f>IFERROR(IF(FIND(EA$1,$W71)&gt;0,IF(INDEX(Product_Pricing_Table[],MATCH(EA$1,Products,0),2)="Cores",IF(HostBuild[Use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1" s="552">
        <f>IFERROR(IF(FIND(EB$1,$W71)&gt;0,IF(INDEX(Product_Pricing_Table[],MATCH(EB$1,Products,0),2)="Cores",IF(HostBuild[Use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1" s="553">
        <f>IFERROR(IF(FIND(EC$1,$W71)&gt;0,IF(INDEX(Product_Pricing_Table[],MATCH(EC$1,Products,0),2)="Cores",IF(HostBuild[Use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1" s="552">
        <f>IFERROR(IF(FIND(ED$1,$W71)&gt;0,IF(INDEX(Product_Pricing_Table[],MATCH(ED$1,Products,0),2)="Cores",IF(HostBuild[Use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1" s="552">
        <f>IFERROR(IF(FIND(EE$1,$W71)&gt;0,IF(INDEX(Product_Pricing_Table[],MATCH(EE$1,Products,0),2)="Cores",IF(HostBuild[Use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1" s="552">
        <f>IFERROR(IF(FIND(EF$1,$W71)&gt;0,IF(INDEX(Product_Pricing_Table[],MATCH(EF$1,Products,0),2)="Cores",IF(HostBuild[Use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1" s="552">
        <f>IFERROR(IF(FIND(EG$1,$W71)&gt;0,IF(INDEX(Product_Pricing_Table[],MATCH(EG$1,Products,0),2)="Cores",IF(HostBuild[Use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1" s="552">
        <f>IFERROR(IF(FIND(EH$1,$W71)&gt;0,IF(INDEX(Product_Pricing_Table[],MATCH(EH$1,Products,0),2)="Cores",IF(HostBuild[Use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1" s="552">
        <f>IFERROR(IF(FIND(EI$1,$W71)&gt;0,IF(INDEX(Product_Pricing_Table[],MATCH(EI$1,Products,0),2)="Cores",IF(HostBuild[Use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1" s="552">
        <f>IFERROR(IF(FIND(EJ$1,$W71)&gt;0,IF(INDEX(Product_Pricing_Table[],MATCH(EJ$1,Products,0),2)="Cores",IF(HostBuild[Use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1" s="553">
        <f>IFERROR(IF(FIND(EK$1,$W71)&gt;0,IF(INDEX(Product_Pricing_Table[],MATCH(EK$1,Products,0),2)="Cores",IF(HostBuild[Use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1" s="554"/>
      <c r="EM71" s="555">
        <v>0</v>
      </c>
      <c r="EN71" s="556">
        <v>0</v>
      </c>
      <c r="EO71"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71" s="558">
        <f>(HostBuild[Archive
Full (GB)]+HostBuild[Archive
Incr (GB)])*Storage_DC_Dist_Tape_2014</f>
        <v>6.7821249999999997</v>
      </c>
      <c r="ER71" s="558">
        <f>IF(ISNUMBER(HostBuild[Server HW Costs
(Monthly)]),SUM(HostBuild[[#This Row],[Server HW Costs
(Monthly)]:[Tape Costs
(Monthly)]]),0)</f>
        <v>78.900125000000003</v>
      </c>
      <c r="ES71" s="559">
        <f>HostBuild[Software Costs
'[Year 1']
(Monthly)]+HostBuild[Total Hardware Costs
(Monthly)]</f>
        <v>78.900125000000003</v>
      </c>
      <c r="ET71" s="559">
        <f>IFERROR(IF(FIND("Safenet",HostBuild[Server Model]),Safenet_PSE_PL600_Maint,0),0)+IFERROR(IF(FIND("XI52",HostBuild[Server Model]),IBM_DIA_XI52_Maint,0),0)+HostBuild[Software Costs
'[After Year 1']
(Monthly)]+HostBuild[Total Hardware Costs
(Monthly)]</f>
        <v>78.900125000000003</v>
      </c>
      <c r="EU71" s="560">
        <f>SUM(HostBuild[[#This Row],[Server Cost Breakdown]:[Network Cost]])</f>
        <v>0</v>
      </c>
      <c r="EV71" s="561">
        <f>IF(HostBuild[Existing Server?]="Yes - Inside this BoM",0,SUMIF(HostBuild[Alias],HostBuild[Alias],HostBuild[CPU])+SUMIF(HostBuild[Alias],HostBuild[Alias],HostBuild[Existing CPUs]))</f>
        <v>0</v>
      </c>
      <c r="EW71" s="561">
        <f>IF(HostBuild[Existing Server?]="Yes - Inside this BoM",0,SUMIF(HostBuild[Alias],HostBuild[Alias],HostBuild[Cores 
(Licensed Units)])+SUMIF(HostBuild[Alias],HostBuild[Alias],HostBuild[Existing Cores]))</f>
        <v>0</v>
      </c>
      <c r="EX71" s="561">
        <f>IF(HostBuild[Existing Server?]="Yes - Inside this BoM",0,SUMIF(HostBuild[Alias],HostBuild[Alias],HostBuild[RAM 
(GB)])+SUMIF(HostBuild[Alias],HostBuild[Alias],HostBuild[Existing RAM (GB)]))</f>
        <v>0</v>
      </c>
      <c r="EY7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1" s="560">
        <f>IF(ISBLANK(HostBuild[Server Model]),0,IF(HostBuild[Server Tier]="VMware",0,VLOOKUP(HostBuild[Server Tier],ServerTierRates[#Data],2,0))*HostBuild[CPU]*IF(AND(HostBuild[Server Type]="pSeries",HostBuild[Virtual Platform Storage Type]="Cloud-SAN"),0.25,1))</f>
        <v>0</v>
      </c>
      <c r="FD71" s="560">
        <f>0</f>
        <v>0</v>
      </c>
      <c r="FE71" s="560">
        <f>IF(HostBuild[Server Type]="VMware",HostBuild[RAM 
(GB)]*IF(ISERROR(FIND("DevCloud", HostBuild[Server Model])&gt;0),vRAM_per_vCPU_2014_Monthly,vRAM_per_vCPU_2014_Daily*30),0)</f>
        <v>0</v>
      </c>
      <c r="FF7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1" s="563">
        <f>IF(HostBuild[Server Tier]="VMware",0,IF(LEFT(HostBuild[Existing Server?],3)="Yes",0,IF(OR(HostBuild[Server Type]="Sun",HostBuild[Server Type]="pSeries"),Support_Direct_Server_Sun_per_OS_2014,IF(HostBuild[Server Type]="x86",Support_Direct_Server_x86_Wintel_per_OS_2014,0))))</f>
        <v>0</v>
      </c>
      <c r="FI7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2" spans="1:165" s="262" customFormat="1">
      <c r="A72" s="360" t="s">
        <v>3942</v>
      </c>
      <c r="B72" s="521"/>
      <c r="C72" s="521"/>
      <c r="D72" s="521"/>
      <c r="E72" s="522"/>
      <c r="F72" s="522"/>
      <c r="G72" s="597"/>
      <c r="H72" s="597"/>
      <c r="I72" s="523"/>
      <c r="J72" s="522"/>
      <c r="K72" s="522"/>
      <c r="L72" s="522"/>
      <c r="M72" s="597" t="e">
        <f ca="1">IF(rngIsDate(HostBuild[CTO Acceptance]),"Y","N")</f>
        <v>#NAME?</v>
      </c>
      <c r="N72" s="361" t="s">
        <v>3939</v>
      </c>
      <c r="O72" s="525"/>
      <c r="P72" s="525"/>
      <c r="Q72" s="361" t="s">
        <v>212</v>
      </c>
      <c r="R72" s="526" t="str">
        <f>IF(NOT(ISBLANK(HostBuild[Env Label])),IFERROR(VLOOKUP(HostBuild[Env Label],tEnv[],3,FALSE),""),"")</f>
        <v>UAT</v>
      </c>
      <c r="S72" s="598"/>
      <c r="T72" s="527"/>
      <c r="U72" s="599"/>
      <c r="V72" s="524" t="s">
        <v>4000</v>
      </c>
      <c r="W72" s="524" t="s">
        <v>3940</v>
      </c>
      <c r="X72" s="524" t="s">
        <v>35</v>
      </c>
      <c r="Y72" s="361" t="s">
        <v>481</v>
      </c>
      <c r="Z72" s="526" t="str">
        <f>IF(NOT(ISBLANK(HostBuild[[#This Row],[Product 
(Acronym)]])),CONCATENATE(HostBuild[[#This Row],[Type]],"-",HostBuild[[#This Row],[Product 
(Acronym)]]),"")</f>
        <v>AP-ESB</v>
      </c>
      <c r="AA72" s="600"/>
      <c r="AB72" s="600" t="s">
        <v>3985</v>
      </c>
      <c r="AC72" s="528"/>
      <c r="AD72" s="529"/>
      <c r="AE72" s="529"/>
      <c r="AF72" s="530" t="s">
        <v>3986</v>
      </c>
      <c r="AG72" s="531"/>
      <c r="AH72" s="601"/>
      <c r="AI72" s="362" t="s">
        <v>4113</v>
      </c>
      <c r="AJ72" s="524">
        <f>IF(COUNTIF(HostBuild[Alias],HostBuild[Alias]),1/COUNTIF(HostBuild[Alias],HostBuild[Alias]),0)</f>
        <v>1</v>
      </c>
      <c r="AK72" s="531"/>
      <c r="AL72" s="531"/>
      <c r="AM72" s="532" t="s">
        <v>2173</v>
      </c>
      <c r="AN72" s="533" t="str">
        <f>IF(NOT(ISBLANK(HostBuild[Server Model])),VLOOKUP(HostBuild[Server Model],ServerModelsTier[],2,FALSE),"")</f>
        <v>x86 Tier 3</v>
      </c>
      <c r="AO72" s="533" t="str">
        <f>IF(NOT(ISBLANK(HostBuild[Server Model])),VLOOKUP(HostBuild[Server Model],ServerModelsTier[],5,FALSE),"")</f>
        <v>x86</v>
      </c>
      <c r="AP72" s="532"/>
      <c r="AQ72" s="532" t="s">
        <v>2337</v>
      </c>
      <c r="AR72" s="534"/>
      <c r="AS72" s="602"/>
      <c r="AT72" s="535"/>
      <c r="AU72" s="603" t="str">
        <f>IF(IFERROR(FIND("P-Series",HostBuild[Server Tier]),0),CEILING((HostBuild[Existing CPUs]+HostBuild[CPU])*16,8),"")</f>
        <v/>
      </c>
      <c r="AV72" s="536"/>
      <c r="AW72" s="531"/>
      <c r="AX72" s="531"/>
      <c r="AY72" s="531"/>
      <c r="AZ72" s="537"/>
      <c r="BA72" s="531"/>
      <c r="BB72" s="531"/>
      <c r="BC72" s="529"/>
      <c r="BD72" s="531"/>
      <c r="BE72" s="531"/>
      <c r="BF72" s="531"/>
      <c r="BG72" s="531"/>
      <c r="BH72" s="531"/>
      <c r="BI72" s="531"/>
      <c r="BJ72" s="531"/>
      <c r="BK72"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2" s="538">
        <v>60</v>
      </c>
      <c r="BM72" s="540">
        <f>IF(ISNUMBER(HostBuild[Recommended SAN (GB)]),HostBuild[Recommended SAN (GB)])+IF(HostBuild[Additional SAN (GB)]&gt;0,CEILING(HostBuild[Additional SAN (GB)],LUN),-(CEILING(-HostBuild[Additional SAN (GB)],LUN)))</f>
        <v>67.400000000000006</v>
      </c>
      <c r="BN72" s="539"/>
      <c r="BO72" s="540">
        <f>HostBuild[SAN (GB)
NEEDED TODAY]+CEILING(HostBuild[SAN (GB)
RESERVED
DO NOT USE TO BUILD], LUN)</f>
        <v>67.400000000000006</v>
      </c>
      <c r="BP72" s="541">
        <v>60</v>
      </c>
      <c r="BQ72" s="542"/>
      <c r="BR72" s="432" t="s">
        <v>106</v>
      </c>
      <c r="BS72" s="605">
        <f>IF(HostBuild[Existing Server?]&lt;&gt;"Yes - Inside this BoM",IF(ISNUMBER(HostBuild[RAM 
(GB)]),IF(HostBuild[Existing RAM (GB)]+HostBuild[RAM 
(GB)]&gt;0,IF(HostBuild[Virtual Platform Storage Type]="NAS",110+HostBuild[Existing RAM (GB)]+HostBuild[RAM 
(GB)]*1.75,0),0),0),0)</f>
        <v>0</v>
      </c>
      <c r="BT72" s="606"/>
      <c r="BU72" s="607">
        <f>IF(ISNUMBER(HostBuild[Recommended NAS (GB)]),HostBuild[Recommended NAS (GB)])+HostBuild[Additional NAS (GB)]</f>
        <v>0</v>
      </c>
      <c r="BV72" s="543"/>
      <c r="BW72" s="543"/>
      <c r="BX72" s="604">
        <f>IFERROR((HostBuild[SAN (GB)
End-State
DO NOT USE TO BUILD]+HostBuild[SAN (GB) Shared])*25%,"")</f>
        <v>31.85</v>
      </c>
      <c r="BY72" s="608">
        <f>IFERROR(HostBuild[Archive
Full (GB)]*15%,"")</f>
        <v>4.7774999999999999</v>
      </c>
      <c r="BZ72" s="544"/>
      <c r="CA72" s="544"/>
      <c r="CB72" s="545"/>
      <c r="CC72" s="546"/>
      <c r="CD72" s="545"/>
      <c r="CE72" s="547"/>
      <c r="CF72" s="539"/>
      <c r="CG72" s="609"/>
      <c r="CH72" s="548"/>
      <c r="CI72" s="549"/>
      <c r="CJ72" s="550" t="s">
        <v>4127</v>
      </c>
      <c r="CK72" s="551"/>
      <c r="CL72" s="552">
        <f>IFERROR(IF(FIND(CL$1,$W72)&gt;0,IF(INDEX(Product_Pricing_Table[],MATCH(CL$1,Products,0),2)="Cores",IF(HostBuild[Use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2" s="552">
        <f>IFERROR(IF(FIND(CM$1,$W72)&gt;0,IF(INDEX(Product_Pricing_Table[],MATCH(CM$1,Products,0),2)="Cores",IF(HostBuild[Use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2" s="552">
        <f>IFERROR(IF(FIND(CN$1,$W72)&gt;0,IF(INDEX(Product_Pricing_Table[],MATCH(CN$1,Products,0),2)="Cores",IF(HostBuild[Use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2" s="552">
        <f>IFERROR(IF(FIND(CO$1,$W72)&gt;0,IF(INDEX(Product_Pricing_Table[],MATCH(CO$1,Products,0),2)="Cores",IF(HostBuild[Use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2" s="552">
        <f>IFERROR(IF(FIND(CP$1,$W72)&gt;0,IF(INDEX(Product_Pricing_Table[],MATCH(CP$1,Products,0),2)="Cores",IF(HostBuild[Use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2" s="552">
        <f>IFERROR(IF(FIND(CQ$1,$W72)&gt;0,IF(INDEX(Product_Pricing_Table[],MATCH(CQ$1,Products,0),2)="Cores",IF(HostBuild[Use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2" s="552">
        <f>IFERROR(IF(FIND(CR$1,$W72)&gt;0,IF(INDEX(Product_Pricing_Table[],MATCH(CR$1,Products,0),2)="Cores",IF(HostBuild[Use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2" s="552">
        <f>IFERROR(IF(FIND(CS$1,$W72)&gt;0,IF(INDEX(Product_Pricing_Table[],MATCH(CS$1,Products,0),2)="Cores",IF(HostBuild[Use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2" s="552">
        <f>IFERROR(IF(FIND(CT$1,$W72)&gt;0,IF(INDEX(Product_Pricing_Table[],MATCH(CT$1,Products,0),2)="Cores",IF(HostBuild[Use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2" s="552">
        <f>IFERROR(IF(FIND(CU$1,$W72)&gt;0,IF(INDEX(Product_Pricing_Table[],MATCH(CU$1,Products,0),2)="Cores",IF(HostBuild[Use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2" s="552">
        <f>IFERROR(IF(FIND(CV$1,$W72)&gt;0,IF(INDEX(Product_Pricing_Table[],MATCH(CV$1,Products,0),2)="Cores",IF(HostBuild[Use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2" s="552">
        <f>IFERROR(IF(FIND(CW$1,$W72)&gt;0,IF(INDEX(Product_Pricing_Table[],MATCH(CW$1,Products,0),2)="Cores",IF(HostBuild[Use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2" s="552">
        <f>IFERROR(IF(FIND(CX$1,$W72)&gt;0,IF(INDEX(Product_Pricing_Table[],MATCH(CX$1,Products,0),2)="Cores",IF(HostBuild[Use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2" s="552">
        <f>IFERROR(IF(FIND(CY$1,$W72)&gt;0,IF(INDEX(Product_Pricing_Table[],MATCH(CY$1,Products,0),2)="Cores",IF(HostBuild[Use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2" s="552">
        <f>IFERROR(IF(FIND(CZ$1,$W72)&gt;0,IF(INDEX(Product_Pricing_Table[],MATCH(CZ$1,Products,0),2)="Cores",IF(HostBuild[Use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2" s="552">
        <f>IFERROR(IF(FIND(DA$1,$W72)&gt;0,IF(INDEX(Product_Pricing_Table[],MATCH(DA$1,Products,0),2)="Cores",IF(HostBuild[Use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2" s="552">
        <f>IFERROR(IF(FIND(DB$1,$W72)&gt;0,IF(INDEX(Product_Pricing_Table[],MATCH(DB$1,Products,0),2)="Cores",IF(HostBuild[Use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2" s="552">
        <f>IFERROR(IF(FIND(DC$1,$W72)&gt;0,IF(INDEX(Product_Pricing_Table[],MATCH(DC$1,Products,0),2)="Cores",IF(HostBuild[Use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2" s="552">
        <f>IFERROR(IF(FIND(DD$1,$W72)&gt;0,IF(INDEX(Product_Pricing_Table[],MATCH(DD$1,Products,0),2)="Cores",IF(HostBuild[Use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2" s="552">
        <f>IFERROR(IF(FIND(DE$1,$W72)&gt;0,IF(INDEX(Product_Pricing_Table[],MATCH(DE$1,Products,0),2)="Cores",IF(HostBuild[Use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2" s="553">
        <f>IFERROR(IF(FIND(DF$1,$W72)&gt;0,IF(INDEX(Product_Pricing_Table[],MATCH(DF$1,Products,0),2)="Cores",IF(HostBuild[Use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2" s="553">
        <f>IFERROR(IF(FIND(DG$1,$W72)&gt;0,IF(INDEX(Product_Pricing_Table[],MATCH(DG$1,Products,0),2)="Cores",IF(HostBuild[Use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2" s="552">
        <f>IFERROR(IF(FIND(DH$1,$W72)&gt;0,IF(INDEX(Product_Pricing_Table[],MATCH(DH$1,Products,0),2)="Cores",IF(HostBuild[Use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2" s="553">
        <f>IFERROR(IF(FIND(DI$1,$W72)&gt;0,IF(INDEX(Product_Pricing_Table[],MATCH(DI$1,Products,0),2)="Cores",IF(HostBuild[Use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2" s="552">
        <f>IFERROR(IF(FIND(DJ$1,$W72)&gt;0,IF(INDEX(Product_Pricing_Table[],MATCH(DJ$1,Products,0),2)="Cores",IF(HostBuild[Use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2" s="552">
        <f>IFERROR(IF(FIND(DK$1,$W72)&gt;0,IF(INDEX(Product_Pricing_Table[],MATCH(DK$1,Products,0),2)="Cores",IF(HostBuild[Use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2" s="552">
        <f>IFERROR(IF(FIND(DL$1,$W72)&gt;0,IF(INDEX(Product_Pricing_Table[],MATCH(DL$1,Products,0),2)="Cores",IF(HostBuild[Use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2" s="552">
        <f>IFERROR(IF(FIND(DM$1,$W72)&gt;0,IF(INDEX(Product_Pricing_Table[],MATCH(DM$1,Products,0),2)="Cores",IF(HostBuild[Use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2" s="552">
        <f>IFERROR(IF(FIND(DN$1,$W72)&gt;0,IF(INDEX(Product_Pricing_Table[],MATCH(DN$1,Products,0),2)="Cores",IF(HostBuild[Use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2" s="552">
        <f>IFERROR(IF(FIND(DO$1,$W72)&gt;0,IF(INDEX(Product_Pricing_Table[],MATCH(DO$1,Products,0),2)="Cores",IF(HostBuild[Use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2" s="552">
        <f>IFERROR(IF(FIND(DP$1,$W72)&gt;0,IF(INDEX(Product_Pricing_Table[],MATCH(DP$1,Products,0),2)="Cores",IF(HostBuild[Use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2" s="552">
        <f>IFERROR(IF(FIND(DQ$1,$W72)&gt;0,IF(INDEX(Product_Pricing_Table[],MATCH(DQ$1,Products,0),2)="Cores",IF(HostBuild[Use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2" s="552">
        <f>IFERROR(IF(FIND(DR$1,$W72)&gt;0,IF(INDEX(Product_Pricing_Table[],MATCH(DR$1,Products,0),2)="Cores",IF(HostBuild[Use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2" s="552">
        <f>IFERROR(IF(FIND(DS$1,$W72)&gt;0,IF(INDEX(Product_Pricing_Table[],MATCH(DS$1,Products,0),2)="Cores",IF(HostBuild[Use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2" s="552">
        <f>IFERROR(IF(FIND(DT$1,$W72)&gt;0,IF(INDEX(Product_Pricing_Table[],MATCH(DT$1,Products,0),2)="Cores",IF(HostBuild[Use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2" s="552">
        <f>IFERROR(IF(FIND(DU$1,$W72)&gt;0,IF(INDEX(Product_Pricing_Table[],MATCH(DU$1,Products,0),2)="Cores",IF(HostBuild[Use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2" s="552">
        <f>IFERROR(IF(FIND(DV$1,$W72)&gt;0,IF(INDEX(Product_Pricing_Table[],MATCH(DV$1,Products,0),2)="Cores",IF(HostBuild[Use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2" s="552">
        <f>IFERROR(IF(FIND(DW$1,$W72)&gt;0,IF(INDEX(Product_Pricing_Table[],MATCH(DW$1,Products,0),2)="Cores",IF(HostBuild[Use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2" s="552">
        <f>IFERROR(IF(FIND(DX$1,$W72)&gt;0,IF(INDEX(Product_Pricing_Table[],MATCH(DX$1,Products,0),2)="Cores",IF(HostBuild[Use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2" s="552">
        <f>IFERROR(IF(FIND(DY$1,$W72)&gt;0,IF(INDEX(Product_Pricing_Table[],MATCH(DY$1,Products,0),2)="Cores",IF(HostBuild[Use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2" s="552">
        <f>IFERROR(IF(FIND(DZ$1,$W72)&gt;0,IF(INDEX(Product_Pricing_Table[],MATCH(DZ$1,Products,0),2)="Cores",IF(HostBuild[Use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2" s="552">
        <f>IFERROR(IF(FIND(EA$1,$W72)&gt;0,IF(INDEX(Product_Pricing_Table[],MATCH(EA$1,Products,0),2)="Cores",IF(HostBuild[Use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2" s="552">
        <f>IFERROR(IF(FIND(EB$1,$W72)&gt;0,IF(INDEX(Product_Pricing_Table[],MATCH(EB$1,Products,0),2)="Cores",IF(HostBuild[Use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2" s="553">
        <f>IFERROR(IF(FIND(EC$1,$W72)&gt;0,IF(INDEX(Product_Pricing_Table[],MATCH(EC$1,Products,0),2)="Cores",IF(HostBuild[Use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2" s="552">
        <f>IFERROR(IF(FIND(ED$1,$W72)&gt;0,IF(INDEX(Product_Pricing_Table[],MATCH(ED$1,Products,0),2)="Cores",IF(HostBuild[Use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2" s="552">
        <f>IFERROR(IF(FIND(EE$1,$W72)&gt;0,IF(INDEX(Product_Pricing_Table[],MATCH(EE$1,Products,0),2)="Cores",IF(HostBuild[Use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2" s="552">
        <f>IFERROR(IF(FIND(EF$1,$W72)&gt;0,IF(INDEX(Product_Pricing_Table[],MATCH(EF$1,Products,0),2)="Cores",IF(HostBuild[Use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2" s="552">
        <f>IFERROR(IF(FIND(EG$1,$W72)&gt;0,IF(INDEX(Product_Pricing_Table[],MATCH(EG$1,Products,0),2)="Cores",IF(HostBuild[Use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2" s="552">
        <f>IFERROR(IF(FIND(EH$1,$W72)&gt;0,IF(INDEX(Product_Pricing_Table[],MATCH(EH$1,Products,0),2)="Cores",IF(HostBuild[Use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2" s="552">
        <f>IFERROR(IF(FIND(EI$1,$W72)&gt;0,IF(INDEX(Product_Pricing_Table[],MATCH(EI$1,Products,0),2)="Cores",IF(HostBuild[Use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2" s="552">
        <f>IFERROR(IF(FIND(EJ$1,$W72)&gt;0,IF(INDEX(Product_Pricing_Table[],MATCH(EJ$1,Products,0),2)="Cores",IF(HostBuild[Use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2" s="553">
        <f>IFERROR(IF(FIND(EK$1,$W72)&gt;0,IF(INDEX(Product_Pricing_Table[],MATCH(EK$1,Products,0),2)="Cores",IF(HostBuild[Use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2" s="554"/>
      <c r="EM72" s="555"/>
      <c r="EN72" s="556"/>
      <c r="EO7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181.30600000000001</v>
      </c>
      <c r="EQ72" s="558">
        <f>(HostBuild[Archive
Full (GB)]+HostBuild[Archive
Incr (GB)])*Storage_DC_Dist_Tape_2014</f>
        <v>12.819624999999998</v>
      </c>
      <c r="ER72" s="558">
        <f>IF(ISNUMBER(HostBuild[Server HW Costs
(Monthly)]),SUM(HostBuild[[#This Row],[Server HW Costs
(Monthly)]:[Tape Costs
(Monthly)]]),0)</f>
        <v>194.12562500000001</v>
      </c>
      <c r="ES72" s="559">
        <f>HostBuild[Software Costs
'[Year 1']
(Monthly)]+HostBuild[Total Hardware Costs
(Monthly)]</f>
        <v>194.12562500000001</v>
      </c>
      <c r="ET72" s="559">
        <f>IFERROR(IF(FIND("Safenet",HostBuild[Server Model]),Safenet_PSE_PL600_Maint,0),0)+IFERROR(IF(FIND("XI52",HostBuild[Server Model]),IBM_DIA_XI52_Maint,0),0)+HostBuild[Software Costs
'[After Year 1']
(Monthly)]+HostBuild[Total Hardware Costs
(Monthly)]</f>
        <v>194.12562500000001</v>
      </c>
      <c r="EU72" s="560">
        <f>SUM(HostBuild[[#This Row],[Server Cost Breakdown]:[Network Cost]])</f>
        <v>0</v>
      </c>
      <c r="EV72" s="561">
        <f>IF(HostBuild[Existing Server?]="Yes - Inside this BoM",0,SUMIF(HostBuild[Alias],HostBuild[Alias],HostBuild[CPU])+SUMIF(HostBuild[Alias],HostBuild[Alias],HostBuild[Existing CPUs]))</f>
        <v>0</v>
      </c>
      <c r="EW72" s="561">
        <f>IF(HostBuild[Existing Server?]="Yes - Inside this BoM",0,SUMIF(HostBuild[Alias],HostBuild[Alias],HostBuild[Cores 
(Licensed Units)])+SUMIF(HostBuild[Alias],HostBuild[Alias],HostBuild[Existing Cores]))</f>
        <v>0</v>
      </c>
      <c r="EX72" s="561">
        <f>IF(HostBuild[Existing Server?]="Yes - Inside this BoM",0,SUMIF(HostBuild[Alias],HostBuild[Alias],HostBuild[RAM 
(GB)])+SUMIF(HostBuild[Alias],HostBuild[Alias],HostBuild[Existing RAM (GB)]))</f>
        <v>0</v>
      </c>
      <c r="EY7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2" s="560">
        <f>IF(ISBLANK(HostBuild[Server Model]),0,IF(HostBuild[Server Tier]="VMware",0,VLOOKUP(HostBuild[Server Tier],ServerTierRates[#Data],2,0))*HostBuild[CPU]*IF(AND(HostBuild[Server Type]="pSeries",HostBuild[Virtual Platform Storage Type]="Cloud-SAN"),0.25,1))</f>
        <v>0</v>
      </c>
      <c r="FD72" s="560">
        <f>0</f>
        <v>0</v>
      </c>
      <c r="FE72" s="560">
        <f>IF(HostBuild[Server Type]="VMware",HostBuild[RAM 
(GB)]*IF(ISERROR(FIND("DevCloud", HostBuild[Server Model])&gt;0),vRAM_per_vCPU_2014_Monthly,vRAM_per_vCPU_2014_Daily*30),0)</f>
        <v>0</v>
      </c>
      <c r="FF7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2" s="563">
        <f>IF(HostBuild[Server Tier]="VMware",0,IF(LEFT(HostBuild[Existing Server?],3)="Yes",0,IF(OR(HostBuild[Server Type]="Sun",HostBuild[Server Type]="pSeries"),Support_Direct_Server_Sun_per_OS_2014,IF(HostBuild[Server Type]="x86",Support_Direct_Server_x86_Wintel_per_OS_2014,0))))</f>
        <v>0</v>
      </c>
      <c r="FI7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3" spans="1:165" s="262" customFormat="1">
      <c r="A73" s="360" t="s">
        <v>3942</v>
      </c>
      <c r="B73" s="521"/>
      <c r="C73" s="521"/>
      <c r="D73" s="521"/>
      <c r="E73" s="522"/>
      <c r="F73" s="522"/>
      <c r="G73" s="597"/>
      <c r="H73" s="597"/>
      <c r="I73" s="523"/>
      <c r="J73" s="522"/>
      <c r="K73" s="522"/>
      <c r="L73" s="522"/>
      <c r="M73" s="597" t="e">
        <f ca="1">IF(rngIsDate(HostBuild[CTO Acceptance]),"Y","N")</f>
        <v>#NAME?</v>
      </c>
      <c r="N73" s="361" t="s">
        <v>3939</v>
      </c>
      <c r="O73" s="525"/>
      <c r="P73" s="525"/>
      <c r="Q73" s="361" t="s">
        <v>212</v>
      </c>
      <c r="R73" s="526" t="str">
        <f>IF(NOT(ISBLANK(HostBuild[Env Label])),IFERROR(VLOOKUP(HostBuild[Env Label],tEnv[],3,FALSE),""),"")</f>
        <v>UAT</v>
      </c>
      <c r="S73" s="598"/>
      <c r="T73" s="527"/>
      <c r="U73" s="599"/>
      <c r="V73" s="524" t="s">
        <v>4000</v>
      </c>
      <c r="W73" s="524" t="s">
        <v>3940</v>
      </c>
      <c r="X73" s="524" t="s">
        <v>35</v>
      </c>
      <c r="Y73" s="361" t="s">
        <v>481</v>
      </c>
      <c r="Z73" s="526" t="str">
        <f>IF(NOT(ISBLANK(HostBuild[[#This Row],[Product 
(Acronym)]])),CONCATENATE(HostBuild[[#This Row],[Type]],"-",HostBuild[[#This Row],[Product 
(Acronym)]]),"")</f>
        <v>AP-ESB</v>
      </c>
      <c r="AA73" s="600"/>
      <c r="AB73" s="600" t="s">
        <v>3985</v>
      </c>
      <c r="AC73" s="528"/>
      <c r="AD73" s="529"/>
      <c r="AE73" s="529"/>
      <c r="AF73" s="530" t="s">
        <v>3986</v>
      </c>
      <c r="AG73" s="531"/>
      <c r="AH73" s="601"/>
      <c r="AI73" s="362" t="s">
        <v>4114</v>
      </c>
      <c r="AJ73" s="524">
        <f>IF(COUNTIF(HostBuild[Alias],HostBuild[Alias]),1/COUNTIF(HostBuild[Alias],HostBuild[Alias]),0)</f>
        <v>1</v>
      </c>
      <c r="AK73" s="531"/>
      <c r="AL73" s="531"/>
      <c r="AM73" s="532" t="s">
        <v>2173</v>
      </c>
      <c r="AN73" s="533" t="str">
        <f>IF(NOT(ISBLANK(HostBuild[Server Model])),VLOOKUP(HostBuild[Server Model],ServerModelsTier[],2,FALSE),"")</f>
        <v>x86 Tier 3</v>
      </c>
      <c r="AO73" s="533" t="str">
        <f>IF(NOT(ISBLANK(HostBuild[Server Model])),VLOOKUP(HostBuild[Server Model],ServerModelsTier[],5,FALSE),"")</f>
        <v>x86</v>
      </c>
      <c r="AP73" s="532"/>
      <c r="AQ73" s="532" t="s">
        <v>2337</v>
      </c>
      <c r="AR73" s="534"/>
      <c r="AS73" s="602"/>
      <c r="AT73" s="535"/>
      <c r="AU73" s="603" t="str">
        <f>IF(IFERROR(FIND("P-Series",HostBuild[Server Tier]),0),CEILING((HostBuild[Existing CPUs]+HostBuild[CPU])*16,8),"")</f>
        <v/>
      </c>
      <c r="AV73" s="536"/>
      <c r="AW73" s="531"/>
      <c r="AX73" s="531"/>
      <c r="AY73" s="531"/>
      <c r="AZ73" s="537"/>
      <c r="BA73" s="531"/>
      <c r="BB73" s="531"/>
      <c r="BC73" s="529"/>
      <c r="BD73" s="531"/>
      <c r="BE73" s="531"/>
      <c r="BF73" s="531"/>
      <c r="BG73" s="531"/>
      <c r="BH73" s="531"/>
      <c r="BI73" s="531"/>
      <c r="BJ73" s="531"/>
      <c r="BK73"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3" s="538">
        <v>60</v>
      </c>
      <c r="BM73" s="540">
        <f>IF(ISNUMBER(HostBuild[Recommended SAN (GB)]),HostBuild[Recommended SAN (GB)])+IF(HostBuild[Additional SAN (GB)]&gt;0,CEILING(HostBuild[Additional SAN (GB)],LUN),-(CEILING(-HostBuild[Additional SAN (GB)],LUN)))</f>
        <v>67.400000000000006</v>
      </c>
      <c r="BN73" s="539"/>
      <c r="BO73" s="540">
        <f>HostBuild[SAN (GB)
NEEDED TODAY]+CEILING(HostBuild[SAN (GB)
RESERVED
DO NOT USE TO BUILD], LUN)</f>
        <v>67.400000000000006</v>
      </c>
      <c r="BP73" s="541"/>
      <c r="BQ73" s="542"/>
      <c r="BR73" s="432" t="s">
        <v>106</v>
      </c>
      <c r="BS73" s="605">
        <f>IF(HostBuild[Existing Server?]&lt;&gt;"Yes - Inside this BoM",IF(ISNUMBER(HostBuild[RAM 
(GB)]),IF(HostBuild[Existing RAM (GB)]+HostBuild[RAM 
(GB)]&gt;0,IF(HostBuild[Virtual Platform Storage Type]="NAS",110+HostBuild[Existing RAM (GB)]+HostBuild[RAM 
(GB)]*1.75,0),0),0),0)</f>
        <v>0</v>
      </c>
      <c r="BT73" s="606"/>
      <c r="BU73" s="607">
        <f>IF(ISNUMBER(HostBuild[Recommended NAS (GB)]),HostBuild[Recommended NAS (GB)])+HostBuild[Additional NAS (GB)]</f>
        <v>0</v>
      </c>
      <c r="BV73" s="543"/>
      <c r="BW73" s="543"/>
      <c r="BX73" s="604">
        <f>IFERROR((HostBuild[SAN (GB)
End-State
DO NOT USE TO BUILD]+HostBuild[SAN (GB) Shared])*25%,"")</f>
        <v>16.850000000000001</v>
      </c>
      <c r="BY73" s="608">
        <f>IFERROR(HostBuild[Archive
Full (GB)]*15%,"")</f>
        <v>2.5275000000000003</v>
      </c>
      <c r="BZ73" s="544"/>
      <c r="CA73" s="544"/>
      <c r="CB73" s="545"/>
      <c r="CC73" s="546"/>
      <c r="CD73" s="545"/>
      <c r="CE73" s="547"/>
      <c r="CF73" s="539"/>
      <c r="CG73" s="609"/>
      <c r="CH73" s="548"/>
      <c r="CI73" s="549"/>
      <c r="CJ73" s="550" t="s">
        <v>4127</v>
      </c>
      <c r="CK73" s="551"/>
      <c r="CL73" s="552">
        <f>IFERROR(IF(FIND(CL$1,$W73)&gt;0,IF(INDEX(Product_Pricing_Table[],MATCH(CL$1,Products,0),2)="Cores",IF(HostBuild[Use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3" s="552">
        <f>IFERROR(IF(FIND(CM$1,$W73)&gt;0,IF(INDEX(Product_Pricing_Table[],MATCH(CM$1,Products,0),2)="Cores",IF(HostBuild[Use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3" s="552">
        <f>IFERROR(IF(FIND(CN$1,$W73)&gt;0,IF(INDEX(Product_Pricing_Table[],MATCH(CN$1,Products,0),2)="Cores",IF(HostBuild[Use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3" s="552">
        <f>IFERROR(IF(FIND(CO$1,$W73)&gt;0,IF(INDEX(Product_Pricing_Table[],MATCH(CO$1,Products,0),2)="Cores",IF(HostBuild[Use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3" s="552">
        <f>IFERROR(IF(FIND(CP$1,$W73)&gt;0,IF(INDEX(Product_Pricing_Table[],MATCH(CP$1,Products,0),2)="Cores",IF(HostBuild[Use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3" s="552">
        <f>IFERROR(IF(FIND(CQ$1,$W73)&gt;0,IF(INDEX(Product_Pricing_Table[],MATCH(CQ$1,Products,0),2)="Cores",IF(HostBuild[Use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3" s="552">
        <f>IFERROR(IF(FIND(CR$1,$W73)&gt;0,IF(INDEX(Product_Pricing_Table[],MATCH(CR$1,Products,0),2)="Cores",IF(HostBuild[Use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3" s="552">
        <f>IFERROR(IF(FIND(CS$1,$W73)&gt;0,IF(INDEX(Product_Pricing_Table[],MATCH(CS$1,Products,0),2)="Cores",IF(HostBuild[Use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3" s="552">
        <f>IFERROR(IF(FIND(CT$1,$W73)&gt;0,IF(INDEX(Product_Pricing_Table[],MATCH(CT$1,Products,0),2)="Cores",IF(HostBuild[Use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3" s="552">
        <f>IFERROR(IF(FIND(CU$1,$W73)&gt;0,IF(INDEX(Product_Pricing_Table[],MATCH(CU$1,Products,0),2)="Cores",IF(HostBuild[Use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3" s="552">
        <f>IFERROR(IF(FIND(CV$1,$W73)&gt;0,IF(INDEX(Product_Pricing_Table[],MATCH(CV$1,Products,0),2)="Cores",IF(HostBuild[Use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3" s="552">
        <f>IFERROR(IF(FIND(CW$1,$W73)&gt;0,IF(INDEX(Product_Pricing_Table[],MATCH(CW$1,Products,0),2)="Cores",IF(HostBuild[Use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3" s="552">
        <f>IFERROR(IF(FIND(CX$1,$W73)&gt;0,IF(INDEX(Product_Pricing_Table[],MATCH(CX$1,Products,0),2)="Cores",IF(HostBuild[Use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3" s="552">
        <f>IFERROR(IF(FIND(CY$1,$W73)&gt;0,IF(INDEX(Product_Pricing_Table[],MATCH(CY$1,Products,0),2)="Cores",IF(HostBuild[Use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3" s="552">
        <f>IFERROR(IF(FIND(CZ$1,$W73)&gt;0,IF(INDEX(Product_Pricing_Table[],MATCH(CZ$1,Products,0),2)="Cores",IF(HostBuild[Use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3" s="552">
        <f>IFERROR(IF(FIND(DA$1,$W73)&gt;0,IF(INDEX(Product_Pricing_Table[],MATCH(DA$1,Products,0),2)="Cores",IF(HostBuild[Use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3" s="552">
        <f>IFERROR(IF(FIND(DB$1,$W73)&gt;0,IF(INDEX(Product_Pricing_Table[],MATCH(DB$1,Products,0),2)="Cores",IF(HostBuild[Use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3" s="552">
        <f>IFERROR(IF(FIND(DC$1,$W73)&gt;0,IF(INDEX(Product_Pricing_Table[],MATCH(DC$1,Products,0),2)="Cores",IF(HostBuild[Use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3" s="552">
        <f>IFERROR(IF(FIND(DD$1,$W73)&gt;0,IF(INDEX(Product_Pricing_Table[],MATCH(DD$1,Products,0),2)="Cores",IF(HostBuild[Use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3" s="552">
        <f>IFERROR(IF(FIND(DE$1,$W73)&gt;0,IF(INDEX(Product_Pricing_Table[],MATCH(DE$1,Products,0),2)="Cores",IF(HostBuild[Use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3" s="553">
        <f>IFERROR(IF(FIND(DF$1,$W73)&gt;0,IF(INDEX(Product_Pricing_Table[],MATCH(DF$1,Products,0),2)="Cores",IF(HostBuild[Use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3" s="553">
        <f>IFERROR(IF(FIND(DG$1,$W73)&gt;0,IF(INDEX(Product_Pricing_Table[],MATCH(DG$1,Products,0),2)="Cores",IF(HostBuild[Use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3" s="552">
        <f>IFERROR(IF(FIND(DH$1,$W73)&gt;0,IF(INDEX(Product_Pricing_Table[],MATCH(DH$1,Products,0),2)="Cores",IF(HostBuild[Use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3" s="553">
        <f>IFERROR(IF(FIND(DI$1,$W73)&gt;0,IF(INDEX(Product_Pricing_Table[],MATCH(DI$1,Products,0),2)="Cores",IF(HostBuild[Use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3" s="552">
        <f>IFERROR(IF(FIND(DJ$1,$W73)&gt;0,IF(INDEX(Product_Pricing_Table[],MATCH(DJ$1,Products,0),2)="Cores",IF(HostBuild[Use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3" s="552">
        <f>IFERROR(IF(FIND(DK$1,$W73)&gt;0,IF(INDEX(Product_Pricing_Table[],MATCH(DK$1,Products,0),2)="Cores",IF(HostBuild[Use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3" s="552">
        <f>IFERROR(IF(FIND(DL$1,$W73)&gt;0,IF(INDEX(Product_Pricing_Table[],MATCH(DL$1,Products,0),2)="Cores",IF(HostBuild[Use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3" s="552">
        <f>IFERROR(IF(FIND(DM$1,$W73)&gt;0,IF(INDEX(Product_Pricing_Table[],MATCH(DM$1,Products,0),2)="Cores",IF(HostBuild[Use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3" s="552">
        <f>IFERROR(IF(FIND(DN$1,$W73)&gt;0,IF(INDEX(Product_Pricing_Table[],MATCH(DN$1,Products,0),2)="Cores",IF(HostBuild[Use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3" s="552">
        <f>IFERROR(IF(FIND(DO$1,$W73)&gt;0,IF(INDEX(Product_Pricing_Table[],MATCH(DO$1,Products,0),2)="Cores",IF(HostBuild[Use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3" s="552">
        <f>IFERROR(IF(FIND(DP$1,$W73)&gt;0,IF(INDEX(Product_Pricing_Table[],MATCH(DP$1,Products,0),2)="Cores",IF(HostBuild[Use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3" s="552">
        <f>IFERROR(IF(FIND(DQ$1,$W73)&gt;0,IF(INDEX(Product_Pricing_Table[],MATCH(DQ$1,Products,0),2)="Cores",IF(HostBuild[Use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3" s="552">
        <f>IFERROR(IF(FIND(DR$1,$W73)&gt;0,IF(INDEX(Product_Pricing_Table[],MATCH(DR$1,Products,0),2)="Cores",IF(HostBuild[Use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3" s="552">
        <f>IFERROR(IF(FIND(DS$1,$W73)&gt;0,IF(INDEX(Product_Pricing_Table[],MATCH(DS$1,Products,0),2)="Cores",IF(HostBuild[Use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3" s="552">
        <f>IFERROR(IF(FIND(DT$1,$W73)&gt;0,IF(INDEX(Product_Pricing_Table[],MATCH(DT$1,Products,0),2)="Cores",IF(HostBuild[Use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3" s="552">
        <f>IFERROR(IF(FIND(DU$1,$W73)&gt;0,IF(INDEX(Product_Pricing_Table[],MATCH(DU$1,Products,0),2)="Cores",IF(HostBuild[Use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3" s="552">
        <f>IFERROR(IF(FIND(DV$1,$W73)&gt;0,IF(INDEX(Product_Pricing_Table[],MATCH(DV$1,Products,0),2)="Cores",IF(HostBuild[Use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3" s="552">
        <f>IFERROR(IF(FIND(DW$1,$W73)&gt;0,IF(INDEX(Product_Pricing_Table[],MATCH(DW$1,Products,0),2)="Cores",IF(HostBuild[Use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3" s="552">
        <f>IFERROR(IF(FIND(DX$1,$W73)&gt;0,IF(INDEX(Product_Pricing_Table[],MATCH(DX$1,Products,0),2)="Cores",IF(HostBuild[Use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3" s="552">
        <f>IFERROR(IF(FIND(DY$1,$W73)&gt;0,IF(INDEX(Product_Pricing_Table[],MATCH(DY$1,Products,0),2)="Cores",IF(HostBuild[Use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3" s="552">
        <f>IFERROR(IF(FIND(DZ$1,$W73)&gt;0,IF(INDEX(Product_Pricing_Table[],MATCH(DZ$1,Products,0),2)="Cores",IF(HostBuild[Use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3" s="552">
        <f>IFERROR(IF(FIND(EA$1,$W73)&gt;0,IF(INDEX(Product_Pricing_Table[],MATCH(EA$1,Products,0),2)="Cores",IF(HostBuild[Use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3" s="552">
        <f>IFERROR(IF(FIND(EB$1,$W73)&gt;0,IF(INDEX(Product_Pricing_Table[],MATCH(EB$1,Products,0),2)="Cores",IF(HostBuild[Use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3" s="553">
        <f>IFERROR(IF(FIND(EC$1,$W73)&gt;0,IF(INDEX(Product_Pricing_Table[],MATCH(EC$1,Products,0),2)="Cores",IF(HostBuild[Use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3" s="552">
        <f>IFERROR(IF(FIND(ED$1,$W73)&gt;0,IF(INDEX(Product_Pricing_Table[],MATCH(ED$1,Products,0),2)="Cores",IF(HostBuild[Use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3" s="552">
        <f>IFERROR(IF(FIND(EE$1,$W73)&gt;0,IF(INDEX(Product_Pricing_Table[],MATCH(EE$1,Products,0),2)="Cores",IF(HostBuild[Use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3" s="552">
        <f>IFERROR(IF(FIND(EF$1,$W73)&gt;0,IF(INDEX(Product_Pricing_Table[],MATCH(EF$1,Products,0),2)="Cores",IF(HostBuild[Use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3" s="552">
        <f>IFERROR(IF(FIND(EG$1,$W73)&gt;0,IF(INDEX(Product_Pricing_Table[],MATCH(EG$1,Products,0),2)="Cores",IF(HostBuild[Use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3" s="552">
        <f>IFERROR(IF(FIND(EH$1,$W73)&gt;0,IF(INDEX(Product_Pricing_Table[],MATCH(EH$1,Products,0),2)="Cores",IF(HostBuild[Use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3" s="552">
        <f>IFERROR(IF(FIND(EI$1,$W73)&gt;0,IF(INDEX(Product_Pricing_Table[],MATCH(EI$1,Products,0),2)="Cores",IF(HostBuild[Use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3" s="552">
        <f>IFERROR(IF(FIND(EJ$1,$W73)&gt;0,IF(INDEX(Product_Pricing_Table[],MATCH(EJ$1,Products,0),2)="Cores",IF(HostBuild[Use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3" s="553">
        <f>IFERROR(IF(FIND(EK$1,$W73)&gt;0,IF(INDEX(Product_Pricing_Table[],MATCH(EK$1,Products,0),2)="Cores",IF(HostBuild[Use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3" s="554"/>
      <c r="EM73" s="555"/>
      <c r="EN73" s="556"/>
      <c r="EO7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73" s="558">
        <f>(HostBuild[Archive
Full (GB)]+HostBuild[Archive
Incr (GB)])*Storage_DC_Dist_Tape_2014</f>
        <v>6.7821249999999997</v>
      </c>
      <c r="ER73" s="558">
        <f>IF(ISNUMBER(HostBuild[Server HW Costs
(Monthly)]),SUM(HostBuild[[#This Row],[Server HW Costs
(Monthly)]:[Tape Costs
(Monthly)]]),0)</f>
        <v>78.900125000000003</v>
      </c>
      <c r="ES73" s="559">
        <f>HostBuild[Software Costs
'[Year 1']
(Monthly)]+HostBuild[Total Hardware Costs
(Monthly)]</f>
        <v>78.900125000000003</v>
      </c>
      <c r="ET73" s="559">
        <f>IFERROR(IF(FIND("Safenet",HostBuild[Server Model]),Safenet_PSE_PL600_Maint,0),0)+IFERROR(IF(FIND("XI52",HostBuild[Server Model]),IBM_DIA_XI52_Maint,0),0)+HostBuild[Software Costs
'[After Year 1']
(Monthly)]+HostBuild[Total Hardware Costs
(Monthly)]</f>
        <v>78.900125000000003</v>
      </c>
      <c r="EU73" s="560">
        <f>SUM(HostBuild[[#This Row],[Server Cost Breakdown]:[Network Cost]])</f>
        <v>0</v>
      </c>
      <c r="EV73" s="561">
        <f>IF(HostBuild[Existing Server?]="Yes - Inside this BoM",0,SUMIF(HostBuild[Alias],HostBuild[Alias],HostBuild[CPU])+SUMIF(HostBuild[Alias],HostBuild[Alias],HostBuild[Existing CPUs]))</f>
        <v>0</v>
      </c>
      <c r="EW73" s="561">
        <f>IF(HostBuild[Existing Server?]="Yes - Inside this BoM",0,SUMIF(HostBuild[Alias],HostBuild[Alias],HostBuild[Cores 
(Licensed Units)])+SUMIF(HostBuild[Alias],HostBuild[Alias],HostBuild[Existing Cores]))</f>
        <v>0</v>
      </c>
      <c r="EX73" s="561">
        <f>IF(HostBuild[Existing Server?]="Yes - Inside this BoM",0,SUMIF(HostBuild[Alias],HostBuild[Alias],HostBuild[RAM 
(GB)])+SUMIF(HostBuild[Alias],HostBuild[Alias],HostBuild[Existing RAM (GB)]))</f>
        <v>0</v>
      </c>
      <c r="EY7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3" s="560">
        <f>IF(ISBLANK(HostBuild[Server Model]),0,IF(HostBuild[Server Tier]="VMware",0,VLOOKUP(HostBuild[Server Tier],ServerTierRates[#Data],2,0))*HostBuild[CPU]*IF(AND(HostBuild[Server Type]="pSeries",HostBuild[Virtual Platform Storage Type]="Cloud-SAN"),0.25,1))</f>
        <v>0</v>
      </c>
      <c r="FD73" s="560">
        <f>0</f>
        <v>0</v>
      </c>
      <c r="FE73" s="560">
        <f>IF(HostBuild[Server Type]="VMware",HostBuild[RAM 
(GB)]*IF(ISERROR(FIND("DevCloud", HostBuild[Server Model])&gt;0),vRAM_per_vCPU_2014_Monthly,vRAM_per_vCPU_2014_Daily*30),0)</f>
        <v>0</v>
      </c>
      <c r="FF7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3" s="563">
        <f>IF(HostBuild[Server Tier]="VMware",0,IF(LEFT(HostBuild[Existing Server?],3)="Yes",0,IF(OR(HostBuild[Server Type]="Sun",HostBuild[Server Type]="pSeries"),Support_Direct_Server_Sun_per_OS_2014,IF(HostBuild[Server Type]="x86",Support_Direct_Server_x86_Wintel_per_OS_2014,0))))</f>
        <v>0</v>
      </c>
      <c r="FI7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4" spans="1:165" s="262" customFormat="1">
      <c r="A74" s="360" t="s">
        <v>3942</v>
      </c>
      <c r="B74" s="521"/>
      <c r="C74" s="521"/>
      <c r="D74" s="521"/>
      <c r="E74" s="522"/>
      <c r="F74" s="522"/>
      <c r="G74" s="597"/>
      <c r="H74" s="597"/>
      <c r="I74" s="523"/>
      <c r="J74" s="522"/>
      <c r="K74" s="522"/>
      <c r="L74" s="522"/>
      <c r="M74" s="597" t="e">
        <f ca="1">IF(rngIsDate(HostBuild[CTO Acceptance]),"Y","N")</f>
        <v>#NAME?</v>
      </c>
      <c r="N74" s="361" t="s">
        <v>3939</v>
      </c>
      <c r="O74" s="525"/>
      <c r="P74" s="525"/>
      <c r="Q74" s="361" t="s">
        <v>212</v>
      </c>
      <c r="R74" s="526" t="str">
        <f>IF(NOT(ISBLANK(HostBuild[Env Label])),IFERROR(VLOOKUP(HostBuild[Env Label],tEnv[],3,FALSE),""),"")</f>
        <v>UAT</v>
      </c>
      <c r="S74" s="598"/>
      <c r="T74" s="527"/>
      <c r="U74" s="599"/>
      <c r="V74" s="524" t="s">
        <v>4000</v>
      </c>
      <c r="W74" s="524" t="s">
        <v>3940</v>
      </c>
      <c r="X74" s="524" t="s">
        <v>35</v>
      </c>
      <c r="Y74" s="361" t="s">
        <v>481</v>
      </c>
      <c r="Z74" s="526" t="str">
        <f>IF(NOT(ISBLANK(HostBuild[[#This Row],[Product 
(Acronym)]])),CONCATENATE(HostBuild[[#This Row],[Type]],"-",HostBuild[[#This Row],[Product 
(Acronym)]]),"")</f>
        <v>AP-ESB</v>
      </c>
      <c r="AA74" s="600"/>
      <c r="AB74" s="600" t="s">
        <v>3985</v>
      </c>
      <c r="AC74" s="528"/>
      <c r="AD74" s="529"/>
      <c r="AE74" s="529"/>
      <c r="AF74" s="530" t="s">
        <v>3986</v>
      </c>
      <c r="AG74" s="531"/>
      <c r="AH74" s="601"/>
      <c r="AI74" s="362" t="s">
        <v>4115</v>
      </c>
      <c r="AJ74" s="524">
        <f>IF(COUNTIF(HostBuild[Alias],HostBuild[Alias]),1/COUNTIF(HostBuild[Alias],HostBuild[Alias]),0)</f>
        <v>1</v>
      </c>
      <c r="AK74" s="531"/>
      <c r="AL74" s="531"/>
      <c r="AM74" s="532" t="s">
        <v>2173</v>
      </c>
      <c r="AN74" s="533" t="str">
        <f>IF(NOT(ISBLANK(HostBuild[Server Model])),VLOOKUP(HostBuild[Server Model],ServerModelsTier[],2,FALSE),"")</f>
        <v>x86 Tier 3</v>
      </c>
      <c r="AO74" s="533" t="str">
        <f>IF(NOT(ISBLANK(HostBuild[Server Model])),VLOOKUP(HostBuild[Server Model],ServerModelsTier[],5,FALSE),"")</f>
        <v>x86</v>
      </c>
      <c r="AP74" s="532"/>
      <c r="AQ74" s="532" t="s">
        <v>2337</v>
      </c>
      <c r="AR74" s="534"/>
      <c r="AS74" s="602"/>
      <c r="AT74" s="535"/>
      <c r="AU74" s="603" t="str">
        <f>IF(IFERROR(FIND("P-Series",HostBuild[Server Tier]),0),CEILING((HostBuild[Existing CPUs]+HostBuild[CPU])*16,8),"")</f>
        <v/>
      </c>
      <c r="AV74" s="536"/>
      <c r="AW74" s="531"/>
      <c r="AX74" s="531"/>
      <c r="AY74" s="531"/>
      <c r="AZ74" s="537"/>
      <c r="BA74" s="531"/>
      <c r="BB74" s="531"/>
      <c r="BC74" s="529"/>
      <c r="BD74" s="531"/>
      <c r="BE74" s="531"/>
      <c r="BF74" s="531"/>
      <c r="BG74" s="531"/>
      <c r="BH74" s="531"/>
      <c r="BI74" s="531"/>
      <c r="BJ74" s="531"/>
      <c r="BK74"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4" s="538">
        <v>60</v>
      </c>
      <c r="BM74" s="540">
        <f>IF(ISNUMBER(HostBuild[Recommended SAN (GB)]),HostBuild[Recommended SAN (GB)])+IF(HostBuild[Additional SAN (GB)]&gt;0,CEILING(HostBuild[Additional SAN (GB)],LUN),-(CEILING(-HostBuild[Additional SAN (GB)],LUN)))</f>
        <v>67.400000000000006</v>
      </c>
      <c r="BN74" s="539"/>
      <c r="BO74" s="540">
        <f>HostBuild[SAN (GB)
NEEDED TODAY]+CEILING(HostBuild[SAN (GB)
RESERVED
DO NOT USE TO BUILD], LUN)</f>
        <v>67.400000000000006</v>
      </c>
      <c r="BP74" s="541">
        <v>60</v>
      </c>
      <c r="BQ74" s="542"/>
      <c r="BR74" s="432" t="s">
        <v>106</v>
      </c>
      <c r="BS74" s="605">
        <f>IF(HostBuild[Existing Server?]&lt;&gt;"Yes - Inside this BoM",IF(ISNUMBER(HostBuild[RAM 
(GB)]),IF(HostBuild[Existing RAM (GB)]+HostBuild[RAM 
(GB)]&gt;0,IF(HostBuild[Virtual Platform Storage Type]="NAS",110+HostBuild[Existing RAM (GB)]+HostBuild[RAM 
(GB)]*1.75,0),0),0),0)</f>
        <v>0</v>
      </c>
      <c r="BT74" s="606"/>
      <c r="BU74" s="607">
        <f>IF(ISNUMBER(HostBuild[Recommended NAS (GB)]),HostBuild[Recommended NAS (GB)])+HostBuild[Additional NAS (GB)]</f>
        <v>0</v>
      </c>
      <c r="BV74" s="543"/>
      <c r="BW74" s="543"/>
      <c r="BX74" s="604">
        <f>IFERROR((HostBuild[SAN (GB)
End-State
DO NOT USE TO BUILD]+HostBuild[SAN (GB) Shared])*25%,"")</f>
        <v>31.85</v>
      </c>
      <c r="BY74" s="608">
        <f>IFERROR(HostBuild[Archive
Full (GB)]*15%,"")</f>
        <v>4.7774999999999999</v>
      </c>
      <c r="BZ74" s="544"/>
      <c r="CA74" s="544"/>
      <c r="CB74" s="545"/>
      <c r="CC74" s="546"/>
      <c r="CD74" s="545"/>
      <c r="CE74" s="547"/>
      <c r="CF74" s="539"/>
      <c r="CG74" s="609"/>
      <c r="CH74" s="548"/>
      <c r="CI74" s="549"/>
      <c r="CJ74" s="550" t="s">
        <v>4127</v>
      </c>
      <c r="CK74" s="551"/>
      <c r="CL74" s="552">
        <f>IFERROR(IF(FIND(CL$1,$W74)&gt;0,IF(INDEX(Product_Pricing_Table[],MATCH(CL$1,Products,0),2)="Cores",IF(HostBuild[Use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4" s="552">
        <f>IFERROR(IF(FIND(CM$1,$W74)&gt;0,IF(INDEX(Product_Pricing_Table[],MATCH(CM$1,Products,0),2)="Cores",IF(HostBuild[Use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4" s="552">
        <f>IFERROR(IF(FIND(CN$1,$W74)&gt;0,IF(INDEX(Product_Pricing_Table[],MATCH(CN$1,Products,0),2)="Cores",IF(HostBuild[Use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4" s="552">
        <f>IFERROR(IF(FIND(CO$1,$W74)&gt;0,IF(INDEX(Product_Pricing_Table[],MATCH(CO$1,Products,0),2)="Cores",IF(HostBuild[Use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4" s="552">
        <f>IFERROR(IF(FIND(CP$1,$W74)&gt;0,IF(INDEX(Product_Pricing_Table[],MATCH(CP$1,Products,0),2)="Cores",IF(HostBuild[Use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4" s="552">
        <f>IFERROR(IF(FIND(CQ$1,$W74)&gt;0,IF(INDEX(Product_Pricing_Table[],MATCH(CQ$1,Products,0),2)="Cores",IF(HostBuild[Use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4" s="552">
        <f>IFERROR(IF(FIND(CR$1,$W74)&gt;0,IF(INDEX(Product_Pricing_Table[],MATCH(CR$1,Products,0),2)="Cores",IF(HostBuild[Use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4" s="552">
        <f>IFERROR(IF(FIND(CS$1,$W74)&gt;0,IF(INDEX(Product_Pricing_Table[],MATCH(CS$1,Products,0),2)="Cores",IF(HostBuild[Use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4" s="552">
        <f>IFERROR(IF(FIND(CT$1,$W74)&gt;0,IF(INDEX(Product_Pricing_Table[],MATCH(CT$1,Products,0),2)="Cores",IF(HostBuild[Use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4" s="552">
        <f>IFERROR(IF(FIND(CU$1,$W74)&gt;0,IF(INDEX(Product_Pricing_Table[],MATCH(CU$1,Products,0),2)="Cores",IF(HostBuild[Use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4" s="552">
        <f>IFERROR(IF(FIND(CV$1,$W74)&gt;0,IF(INDEX(Product_Pricing_Table[],MATCH(CV$1,Products,0),2)="Cores",IF(HostBuild[Use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4" s="552">
        <f>IFERROR(IF(FIND(CW$1,$W74)&gt;0,IF(INDEX(Product_Pricing_Table[],MATCH(CW$1,Products,0),2)="Cores",IF(HostBuild[Use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4" s="552">
        <f>IFERROR(IF(FIND(CX$1,$W74)&gt;0,IF(INDEX(Product_Pricing_Table[],MATCH(CX$1,Products,0),2)="Cores",IF(HostBuild[Use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4" s="552">
        <f>IFERROR(IF(FIND(CY$1,$W74)&gt;0,IF(INDEX(Product_Pricing_Table[],MATCH(CY$1,Products,0),2)="Cores",IF(HostBuild[Use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4" s="552">
        <f>IFERROR(IF(FIND(CZ$1,$W74)&gt;0,IF(INDEX(Product_Pricing_Table[],MATCH(CZ$1,Products,0),2)="Cores",IF(HostBuild[Use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4" s="552">
        <f>IFERROR(IF(FIND(DA$1,$W74)&gt;0,IF(INDEX(Product_Pricing_Table[],MATCH(DA$1,Products,0),2)="Cores",IF(HostBuild[Use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4" s="552">
        <f>IFERROR(IF(FIND(DB$1,$W74)&gt;0,IF(INDEX(Product_Pricing_Table[],MATCH(DB$1,Products,0),2)="Cores",IF(HostBuild[Use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4" s="552">
        <f>IFERROR(IF(FIND(DC$1,$W74)&gt;0,IF(INDEX(Product_Pricing_Table[],MATCH(DC$1,Products,0),2)="Cores",IF(HostBuild[Use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4" s="552">
        <f>IFERROR(IF(FIND(DD$1,$W74)&gt;0,IF(INDEX(Product_Pricing_Table[],MATCH(DD$1,Products,0),2)="Cores",IF(HostBuild[Use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4" s="552">
        <f>IFERROR(IF(FIND(DE$1,$W74)&gt;0,IF(INDEX(Product_Pricing_Table[],MATCH(DE$1,Products,0),2)="Cores",IF(HostBuild[Use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4" s="553">
        <f>IFERROR(IF(FIND(DF$1,$W74)&gt;0,IF(INDEX(Product_Pricing_Table[],MATCH(DF$1,Products,0),2)="Cores",IF(HostBuild[Use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4" s="553">
        <f>IFERROR(IF(FIND(DG$1,$W74)&gt;0,IF(INDEX(Product_Pricing_Table[],MATCH(DG$1,Products,0),2)="Cores",IF(HostBuild[Use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4" s="552">
        <f>IFERROR(IF(FIND(DH$1,$W74)&gt;0,IF(INDEX(Product_Pricing_Table[],MATCH(DH$1,Products,0),2)="Cores",IF(HostBuild[Use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4" s="553">
        <f>IFERROR(IF(FIND(DI$1,$W74)&gt;0,IF(INDEX(Product_Pricing_Table[],MATCH(DI$1,Products,0),2)="Cores",IF(HostBuild[Use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4" s="552">
        <f>IFERROR(IF(FIND(DJ$1,$W74)&gt;0,IF(INDEX(Product_Pricing_Table[],MATCH(DJ$1,Products,0),2)="Cores",IF(HostBuild[Use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4" s="552">
        <f>IFERROR(IF(FIND(DK$1,$W74)&gt;0,IF(INDEX(Product_Pricing_Table[],MATCH(DK$1,Products,0),2)="Cores",IF(HostBuild[Use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4" s="552">
        <f>IFERROR(IF(FIND(DL$1,$W74)&gt;0,IF(INDEX(Product_Pricing_Table[],MATCH(DL$1,Products,0),2)="Cores",IF(HostBuild[Use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4" s="552">
        <f>IFERROR(IF(FIND(DM$1,$W74)&gt;0,IF(INDEX(Product_Pricing_Table[],MATCH(DM$1,Products,0),2)="Cores",IF(HostBuild[Use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4" s="552">
        <f>IFERROR(IF(FIND(DN$1,$W74)&gt;0,IF(INDEX(Product_Pricing_Table[],MATCH(DN$1,Products,0),2)="Cores",IF(HostBuild[Use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4" s="552">
        <f>IFERROR(IF(FIND(DO$1,$W74)&gt;0,IF(INDEX(Product_Pricing_Table[],MATCH(DO$1,Products,0),2)="Cores",IF(HostBuild[Use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4" s="552">
        <f>IFERROR(IF(FIND(DP$1,$W74)&gt;0,IF(INDEX(Product_Pricing_Table[],MATCH(DP$1,Products,0),2)="Cores",IF(HostBuild[Use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4" s="552">
        <f>IFERROR(IF(FIND(DQ$1,$W74)&gt;0,IF(INDEX(Product_Pricing_Table[],MATCH(DQ$1,Products,0),2)="Cores",IF(HostBuild[Use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4" s="552">
        <f>IFERROR(IF(FIND(DR$1,$W74)&gt;0,IF(INDEX(Product_Pricing_Table[],MATCH(DR$1,Products,0),2)="Cores",IF(HostBuild[Use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4" s="552">
        <f>IFERROR(IF(FIND(DS$1,$W74)&gt;0,IF(INDEX(Product_Pricing_Table[],MATCH(DS$1,Products,0),2)="Cores",IF(HostBuild[Use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4" s="552">
        <f>IFERROR(IF(FIND(DT$1,$W74)&gt;0,IF(INDEX(Product_Pricing_Table[],MATCH(DT$1,Products,0),2)="Cores",IF(HostBuild[Use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4" s="552">
        <f>IFERROR(IF(FIND(DU$1,$W74)&gt;0,IF(INDEX(Product_Pricing_Table[],MATCH(DU$1,Products,0),2)="Cores",IF(HostBuild[Use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4" s="552">
        <f>IFERROR(IF(FIND(DV$1,$W74)&gt;0,IF(INDEX(Product_Pricing_Table[],MATCH(DV$1,Products,0),2)="Cores",IF(HostBuild[Use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4" s="552">
        <f>IFERROR(IF(FIND(DW$1,$W74)&gt;0,IF(INDEX(Product_Pricing_Table[],MATCH(DW$1,Products,0),2)="Cores",IF(HostBuild[Use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4" s="552">
        <f>IFERROR(IF(FIND(DX$1,$W74)&gt;0,IF(INDEX(Product_Pricing_Table[],MATCH(DX$1,Products,0),2)="Cores",IF(HostBuild[Use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4" s="552">
        <f>IFERROR(IF(FIND(DY$1,$W74)&gt;0,IF(INDEX(Product_Pricing_Table[],MATCH(DY$1,Products,0),2)="Cores",IF(HostBuild[Use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4" s="552">
        <f>IFERROR(IF(FIND(DZ$1,$W74)&gt;0,IF(INDEX(Product_Pricing_Table[],MATCH(DZ$1,Products,0),2)="Cores",IF(HostBuild[Use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4" s="552">
        <f>IFERROR(IF(FIND(EA$1,$W74)&gt;0,IF(INDEX(Product_Pricing_Table[],MATCH(EA$1,Products,0),2)="Cores",IF(HostBuild[Use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4" s="552">
        <f>IFERROR(IF(FIND(EB$1,$W74)&gt;0,IF(INDEX(Product_Pricing_Table[],MATCH(EB$1,Products,0),2)="Cores",IF(HostBuild[Use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4" s="553">
        <f>IFERROR(IF(FIND(EC$1,$W74)&gt;0,IF(INDEX(Product_Pricing_Table[],MATCH(EC$1,Products,0),2)="Cores",IF(HostBuild[Use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4" s="552">
        <f>IFERROR(IF(FIND(ED$1,$W74)&gt;0,IF(INDEX(Product_Pricing_Table[],MATCH(ED$1,Products,0),2)="Cores",IF(HostBuild[Use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4" s="552">
        <f>IFERROR(IF(FIND(EE$1,$W74)&gt;0,IF(INDEX(Product_Pricing_Table[],MATCH(EE$1,Products,0),2)="Cores",IF(HostBuild[Use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4" s="552">
        <f>IFERROR(IF(FIND(EF$1,$W74)&gt;0,IF(INDEX(Product_Pricing_Table[],MATCH(EF$1,Products,0),2)="Cores",IF(HostBuild[Use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4" s="552">
        <f>IFERROR(IF(FIND(EG$1,$W74)&gt;0,IF(INDEX(Product_Pricing_Table[],MATCH(EG$1,Products,0),2)="Cores",IF(HostBuild[Use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4" s="552">
        <f>IFERROR(IF(FIND(EH$1,$W74)&gt;0,IF(INDEX(Product_Pricing_Table[],MATCH(EH$1,Products,0),2)="Cores",IF(HostBuild[Use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4" s="552">
        <f>IFERROR(IF(FIND(EI$1,$W74)&gt;0,IF(INDEX(Product_Pricing_Table[],MATCH(EI$1,Products,0),2)="Cores",IF(HostBuild[Use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4" s="552">
        <f>IFERROR(IF(FIND(EJ$1,$W74)&gt;0,IF(INDEX(Product_Pricing_Table[],MATCH(EJ$1,Products,0),2)="Cores",IF(HostBuild[Use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4" s="553">
        <f>IFERROR(IF(FIND(EK$1,$W74)&gt;0,IF(INDEX(Product_Pricing_Table[],MATCH(EK$1,Products,0),2)="Cores",IF(HostBuild[Use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4" s="554"/>
      <c r="EM74" s="555"/>
      <c r="EN74" s="556"/>
      <c r="EO7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181.30600000000001</v>
      </c>
      <c r="EQ74" s="558">
        <f>(HostBuild[Archive
Full (GB)]+HostBuild[Archive
Incr (GB)])*Storage_DC_Dist_Tape_2014</f>
        <v>12.819624999999998</v>
      </c>
      <c r="ER74" s="558">
        <f>IF(ISNUMBER(HostBuild[Server HW Costs
(Monthly)]),SUM(HostBuild[[#This Row],[Server HW Costs
(Monthly)]:[Tape Costs
(Monthly)]]),0)</f>
        <v>194.12562500000001</v>
      </c>
      <c r="ES74" s="559">
        <f>HostBuild[Software Costs
'[Year 1']
(Monthly)]+HostBuild[Total Hardware Costs
(Monthly)]</f>
        <v>194.12562500000001</v>
      </c>
      <c r="ET74" s="559">
        <f>IFERROR(IF(FIND("Safenet",HostBuild[Server Model]),Safenet_PSE_PL600_Maint,0),0)+IFERROR(IF(FIND("XI52",HostBuild[Server Model]),IBM_DIA_XI52_Maint,0),0)+HostBuild[Software Costs
'[After Year 1']
(Monthly)]+HostBuild[Total Hardware Costs
(Monthly)]</f>
        <v>194.12562500000001</v>
      </c>
      <c r="EU74" s="560">
        <f>SUM(HostBuild[[#This Row],[Server Cost Breakdown]:[Network Cost]])</f>
        <v>0</v>
      </c>
      <c r="EV74" s="561">
        <f>IF(HostBuild[Existing Server?]="Yes - Inside this BoM",0,SUMIF(HostBuild[Alias],HostBuild[Alias],HostBuild[CPU])+SUMIF(HostBuild[Alias],HostBuild[Alias],HostBuild[Existing CPUs]))</f>
        <v>0</v>
      </c>
      <c r="EW74" s="561">
        <f>IF(HostBuild[Existing Server?]="Yes - Inside this BoM",0,SUMIF(HostBuild[Alias],HostBuild[Alias],HostBuild[Cores 
(Licensed Units)])+SUMIF(HostBuild[Alias],HostBuild[Alias],HostBuild[Existing Cores]))</f>
        <v>0</v>
      </c>
      <c r="EX74" s="561">
        <f>IF(HostBuild[Existing Server?]="Yes - Inside this BoM",0,SUMIF(HostBuild[Alias],HostBuild[Alias],HostBuild[RAM 
(GB)])+SUMIF(HostBuild[Alias],HostBuild[Alias],HostBuild[Existing RAM (GB)]))</f>
        <v>0</v>
      </c>
      <c r="EY7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4" s="560">
        <f>IF(ISBLANK(HostBuild[Server Model]),0,IF(HostBuild[Server Tier]="VMware",0,VLOOKUP(HostBuild[Server Tier],ServerTierRates[#Data],2,0))*HostBuild[CPU]*IF(AND(HostBuild[Server Type]="pSeries",HostBuild[Virtual Platform Storage Type]="Cloud-SAN"),0.25,1))</f>
        <v>0</v>
      </c>
      <c r="FD74" s="560">
        <f>0</f>
        <v>0</v>
      </c>
      <c r="FE74" s="560">
        <f>IF(HostBuild[Server Type]="VMware",HostBuild[RAM 
(GB)]*IF(ISERROR(FIND("DevCloud", HostBuild[Server Model])&gt;0),vRAM_per_vCPU_2014_Monthly,vRAM_per_vCPU_2014_Daily*30),0)</f>
        <v>0</v>
      </c>
      <c r="FF7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4" s="563">
        <f>IF(HostBuild[Server Tier]="VMware",0,IF(LEFT(HostBuild[Existing Server?],3)="Yes",0,IF(OR(HostBuild[Server Type]="Sun",HostBuild[Server Type]="pSeries"),Support_Direct_Server_Sun_per_OS_2014,IF(HostBuild[Server Type]="x86",Support_Direct_Server_x86_Wintel_per_OS_2014,0))))</f>
        <v>0</v>
      </c>
      <c r="FI7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5" spans="1:165" s="262" customFormat="1">
      <c r="A75" s="360" t="s">
        <v>3942</v>
      </c>
      <c r="B75" s="521"/>
      <c r="C75" s="521"/>
      <c r="D75" s="521"/>
      <c r="E75" s="522"/>
      <c r="F75" s="522"/>
      <c r="G75" s="597"/>
      <c r="H75" s="597"/>
      <c r="I75" s="523"/>
      <c r="J75" s="522"/>
      <c r="K75" s="522"/>
      <c r="L75" s="522"/>
      <c r="M75" s="597" t="e">
        <f ca="1">IF(rngIsDate(HostBuild[CTO Acceptance]),"Y","N")</f>
        <v>#NAME?</v>
      </c>
      <c r="N75" s="361" t="s">
        <v>3939</v>
      </c>
      <c r="O75" s="525"/>
      <c r="P75" s="525"/>
      <c r="Q75" s="361" t="s">
        <v>212</v>
      </c>
      <c r="R75" s="526" t="str">
        <f>IF(NOT(ISBLANK(HostBuild[Env Label])),IFERROR(VLOOKUP(HostBuild[Env Label],tEnv[],3,FALSE),""),"")</f>
        <v>UAT</v>
      </c>
      <c r="S75" s="598"/>
      <c r="T75" s="527"/>
      <c r="U75" s="599"/>
      <c r="V75" s="524" t="s">
        <v>4000</v>
      </c>
      <c r="W75" s="524" t="s">
        <v>3940</v>
      </c>
      <c r="X75" s="524" t="s">
        <v>35</v>
      </c>
      <c r="Y75" s="361" t="s">
        <v>481</v>
      </c>
      <c r="Z75" s="526" t="str">
        <f>IF(NOT(ISBLANK(HostBuild[[#This Row],[Product 
(Acronym)]])),CONCATENATE(HostBuild[[#This Row],[Type]],"-",HostBuild[[#This Row],[Product 
(Acronym)]]),"")</f>
        <v>AP-ESB</v>
      </c>
      <c r="AA75" s="600"/>
      <c r="AB75" s="600" t="s">
        <v>3985</v>
      </c>
      <c r="AC75" s="528"/>
      <c r="AD75" s="529"/>
      <c r="AE75" s="529"/>
      <c r="AF75" s="530" t="s">
        <v>3986</v>
      </c>
      <c r="AG75" s="531"/>
      <c r="AH75" s="601"/>
      <c r="AI75" s="362" t="s">
        <v>4116</v>
      </c>
      <c r="AJ75" s="524">
        <f>IF(COUNTIF(HostBuild[Alias],HostBuild[Alias]),1/COUNTIF(HostBuild[Alias],HostBuild[Alias]),0)</f>
        <v>1</v>
      </c>
      <c r="AK75" s="531"/>
      <c r="AL75" s="531"/>
      <c r="AM75" s="532" t="s">
        <v>2173</v>
      </c>
      <c r="AN75" s="533" t="str">
        <f>IF(NOT(ISBLANK(HostBuild[Server Model])),VLOOKUP(HostBuild[Server Model],ServerModelsTier[],2,FALSE),"")</f>
        <v>x86 Tier 3</v>
      </c>
      <c r="AO75" s="533" t="str">
        <f>IF(NOT(ISBLANK(HostBuild[Server Model])),VLOOKUP(HostBuild[Server Model],ServerModelsTier[],5,FALSE),"")</f>
        <v>x86</v>
      </c>
      <c r="AP75" s="532"/>
      <c r="AQ75" s="532" t="s">
        <v>2337</v>
      </c>
      <c r="AR75" s="534"/>
      <c r="AS75" s="602"/>
      <c r="AT75" s="535"/>
      <c r="AU75" s="603" t="str">
        <f>IF(IFERROR(FIND("P-Series",HostBuild[Server Tier]),0),CEILING((HostBuild[Existing CPUs]+HostBuild[CPU])*16,8),"")</f>
        <v/>
      </c>
      <c r="AV75" s="536"/>
      <c r="AW75" s="531"/>
      <c r="AX75" s="531"/>
      <c r="AY75" s="531"/>
      <c r="AZ75" s="537"/>
      <c r="BA75" s="531"/>
      <c r="BB75" s="531"/>
      <c r="BC75" s="529"/>
      <c r="BD75" s="531"/>
      <c r="BE75" s="531"/>
      <c r="BF75" s="531"/>
      <c r="BG75" s="531"/>
      <c r="BH75" s="531"/>
      <c r="BI75" s="531"/>
      <c r="BJ75" s="531"/>
      <c r="BK75"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5" s="538">
        <v>60</v>
      </c>
      <c r="BM75" s="540">
        <f>IF(ISNUMBER(HostBuild[Recommended SAN (GB)]),HostBuild[Recommended SAN (GB)])+IF(HostBuild[Additional SAN (GB)]&gt;0,CEILING(HostBuild[Additional SAN (GB)],LUN),-(CEILING(-HostBuild[Additional SAN (GB)],LUN)))</f>
        <v>67.400000000000006</v>
      </c>
      <c r="BN75" s="539"/>
      <c r="BO75" s="540">
        <f>HostBuild[SAN (GB)
NEEDED TODAY]+CEILING(HostBuild[SAN (GB)
RESERVED
DO NOT USE TO BUILD], LUN)</f>
        <v>67.400000000000006</v>
      </c>
      <c r="BP75" s="541"/>
      <c r="BQ75" s="542"/>
      <c r="BR75" s="432" t="s">
        <v>106</v>
      </c>
      <c r="BS75" s="605">
        <f>IF(HostBuild[Existing Server?]&lt;&gt;"Yes - Inside this BoM",IF(ISNUMBER(HostBuild[RAM 
(GB)]),IF(HostBuild[Existing RAM (GB)]+HostBuild[RAM 
(GB)]&gt;0,IF(HostBuild[Virtual Platform Storage Type]="NAS",110+HostBuild[Existing RAM (GB)]+HostBuild[RAM 
(GB)]*1.75,0),0),0),0)</f>
        <v>0</v>
      </c>
      <c r="BT75" s="606"/>
      <c r="BU75" s="607">
        <f>IF(ISNUMBER(HostBuild[Recommended NAS (GB)]),HostBuild[Recommended NAS (GB)])+HostBuild[Additional NAS (GB)]</f>
        <v>0</v>
      </c>
      <c r="BV75" s="543"/>
      <c r="BW75" s="543"/>
      <c r="BX75" s="604">
        <f>IFERROR((HostBuild[SAN (GB)
End-State
DO NOT USE TO BUILD]+HostBuild[SAN (GB) Shared])*25%,"")</f>
        <v>16.850000000000001</v>
      </c>
      <c r="BY75" s="608">
        <f>IFERROR(HostBuild[Archive
Full (GB)]*15%,"")</f>
        <v>2.5275000000000003</v>
      </c>
      <c r="BZ75" s="544"/>
      <c r="CA75" s="544"/>
      <c r="CB75" s="545"/>
      <c r="CC75" s="546"/>
      <c r="CD75" s="545"/>
      <c r="CE75" s="547"/>
      <c r="CF75" s="539"/>
      <c r="CG75" s="609"/>
      <c r="CH75" s="548"/>
      <c r="CI75" s="549"/>
      <c r="CJ75" s="550" t="s">
        <v>4127</v>
      </c>
      <c r="CK75" s="551"/>
      <c r="CL75" s="552">
        <f>IFERROR(IF(FIND(CL$1,$W75)&gt;0,IF(INDEX(Product_Pricing_Table[],MATCH(CL$1,Products,0),2)="Cores",IF(HostBuild[Use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5" s="552">
        <f>IFERROR(IF(FIND(CM$1,$W75)&gt;0,IF(INDEX(Product_Pricing_Table[],MATCH(CM$1,Products,0),2)="Cores",IF(HostBuild[Use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5" s="552">
        <f>IFERROR(IF(FIND(CN$1,$W75)&gt;0,IF(INDEX(Product_Pricing_Table[],MATCH(CN$1,Products,0),2)="Cores",IF(HostBuild[Use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5" s="552">
        <f>IFERROR(IF(FIND(CO$1,$W75)&gt;0,IF(INDEX(Product_Pricing_Table[],MATCH(CO$1,Products,0),2)="Cores",IF(HostBuild[Use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5" s="552">
        <f>IFERROR(IF(FIND(CP$1,$W75)&gt;0,IF(INDEX(Product_Pricing_Table[],MATCH(CP$1,Products,0),2)="Cores",IF(HostBuild[Use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5" s="552">
        <f>IFERROR(IF(FIND(CQ$1,$W75)&gt;0,IF(INDEX(Product_Pricing_Table[],MATCH(CQ$1,Products,0),2)="Cores",IF(HostBuild[Use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5" s="552">
        <f>IFERROR(IF(FIND(CR$1,$W75)&gt;0,IF(INDEX(Product_Pricing_Table[],MATCH(CR$1,Products,0),2)="Cores",IF(HostBuild[Use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5" s="552">
        <f>IFERROR(IF(FIND(CS$1,$W75)&gt;0,IF(INDEX(Product_Pricing_Table[],MATCH(CS$1,Products,0),2)="Cores",IF(HostBuild[Use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5" s="552">
        <f>IFERROR(IF(FIND(CT$1,$W75)&gt;0,IF(INDEX(Product_Pricing_Table[],MATCH(CT$1,Products,0),2)="Cores",IF(HostBuild[Use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5" s="552">
        <f>IFERROR(IF(FIND(CU$1,$W75)&gt;0,IF(INDEX(Product_Pricing_Table[],MATCH(CU$1,Products,0),2)="Cores",IF(HostBuild[Use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5" s="552">
        <f>IFERROR(IF(FIND(CV$1,$W75)&gt;0,IF(INDEX(Product_Pricing_Table[],MATCH(CV$1,Products,0),2)="Cores",IF(HostBuild[Use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5" s="552">
        <f>IFERROR(IF(FIND(CW$1,$W75)&gt;0,IF(INDEX(Product_Pricing_Table[],MATCH(CW$1,Products,0),2)="Cores",IF(HostBuild[Use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5" s="552">
        <f>IFERROR(IF(FIND(CX$1,$W75)&gt;0,IF(INDEX(Product_Pricing_Table[],MATCH(CX$1,Products,0),2)="Cores",IF(HostBuild[Use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5" s="552">
        <f>IFERROR(IF(FIND(CY$1,$W75)&gt;0,IF(INDEX(Product_Pricing_Table[],MATCH(CY$1,Products,0),2)="Cores",IF(HostBuild[Use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5" s="552">
        <f>IFERROR(IF(FIND(CZ$1,$W75)&gt;0,IF(INDEX(Product_Pricing_Table[],MATCH(CZ$1,Products,0),2)="Cores",IF(HostBuild[Use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5" s="552">
        <f>IFERROR(IF(FIND(DA$1,$W75)&gt;0,IF(INDEX(Product_Pricing_Table[],MATCH(DA$1,Products,0),2)="Cores",IF(HostBuild[Use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5" s="552">
        <f>IFERROR(IF(FIND(DB$1,$W75)&gt;0,IF(INDEX(Product_Pricing_Table[],MATCH(DB$1,Products,0),2)="Cores",IF(HostBuild[Use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5" s="552">
        <f>IFERROR(IF(FIND(DC$1,$W75)&gt;0,IF(INDEX(Product_Pricing_Table[],MATCH(DC$1,Products,0),2)="Cores",IF(HostBuild[Use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5" s="552">
        <f>IFERROR(IF(FIND(DD$1,$W75)&gt;0,IF(INDEX(Product_Pricing_Table[],MATCH(DD$1,Products,0),2)="Cores",IF(HostBuild[Use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5" s="552">
        <f>IFERROR(IF(FIND(DE$1,$W75)&gt;0,IF(INDEX(Product_Pricing_Table[],MATCH(DE$1,Products,0),2)="Cores",IF(HostBuild[Use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5" s="553">
        <f>IFERROR(IF(FIND(DF$1,$W75)&gt;0,IF(INDEX(Product_Pricing_Table[],MATCH(DF$1,Products,0),2)="Cores",IF(HostBuild[Use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5" s="553">
        <f>IFERROR(IF(FIND(DG$1,$W75)&gt;0,IF(INDEX(Product_Pricing_Table[],MATCH(DG$1,Products,0),2)="Cores",IF(HostBuild[Use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5" s="552">
        <f>IFERROR(IF(FIND(DH$1,$W75)&gt;0,IF(INDEX(Product_Pricing_Table[],MATCH(DH$1,Products,0),2)="Cores",IF(HostBuild[Use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5" s="553">
        <f>IFERROR(IF(FIND(DI$1,$W75)&gt;0,IF(INDEX(Product_Pricing_Table[],MATCH(DI$1,Products,0),2)="Cores",IF(HostBuild[Use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5" s="552">
        <f>IFERROR(IF(FIND(DJ$1,$W75)&gt;0,IF(INDEX(Product_Pricing_Table[],MATCH(DJ$1,Products,0),2)="Cores",IF(HostBuild[Use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5" s="552">
        <f>IFERROR(IF(FIND(DK$1,$W75)&gt;0,IF(INDEX(Product_Pricing_Table[],MATCH(DK$1,Products,0),2)="Cores",IF(HostBuild[Use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5" s="552">
        <f>IFERROR(IF(FIND(DL$1,$W75)&gt;0,IF(INDEX(Product_Pricing_Table[],MATCH(DL$1,Products,0),2)="Cores",IF(HostBuild[Use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5" s="552">
        <f>IFERROR(IF(FIND(DM$1,$W75)&gt;0,IF(INDEX(Product_Pricing_Table[],MATCH(DM$1,Products,0),2)="Cores",IF(HostBuild[Use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5" s="552">
        <f>IFERROR(IF(FIND(DN$1,$W75)&gt;0,IF(INDEX(Product_Pricing_Table[],MATCH(DN$1,Products,0),2)="Cores",IF(HostBuild[Use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5" s="552">
        <f>IFERROR(IF(FIND(DO$1,$W75)&gt;0,IF(INDEX(Product_Pricing_Table[],MATCH(DO$1,Products,0),2)="Cores",IF(HostBuild[Use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5" s="552">
        <f>IFERROR(IF(FIND(DP$1,$W75)&gt;0,IF(INDEX(Product_Pricing_Table[],MATCH(DP$1,Products,0),2)="Cores",IF(HostBuild[Use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5" s="552">
        <f>IFERROR(IF(FIND(DQ$1,$W75)&gt;0,IF(INDEX(Product_Pricing_Table[],MATCH(DQ$1,Products,0),2)="Cores",IF(HostBuild[Use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5" s="552">
        <f>IFERROR(IF(FIND(DR$1,$W75)&gt;0,IF(INDEX(Product_Pricing_Table[],MATCH(DR$1,Products,0),2)="Cores",IF(HostBuild[Use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5" s="552">
        <f>IFERROR(IF(FIND(DS$1,$W75)&gt;0,IF(INDEX(Product_Pricing_Table[],MATCH(DS$1,Products,0),2)="Cores",IF(HostBuild[Use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5" s="552">
        <f>IFERROR(IF(FIND(DT$1,$W75)&gt;0,IF(INDEX(Product_Pricing_Table[],MATCH(DT$1,Products,0),2)="Cores",IF(HostBuild[Use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5" s="552">
        <f>IFERROR(IF(FIND(DU$1,$W75)&gt;0,IF(INDEX(Product_Pricing_Table[],MATCH(DU$1,Products,0),2)="Cores",IF(HostBuild[Use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5" s="552">
        <f>IFERROR(IF(FIND(DV$1,$W75)&gt;0,IF(INDEX(Product_Pricing_Table[],MATCH(DV$1,Products,0),2)="Cores",IF(HostBuild[Use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5" s="552">
        <f>IFERROR(IF(FIND(DW$1,$W75)&gt;0,IF(INDEX(Product_Pricing_Table[],MATCH(DW$1,Products,0),2)="Cores",IF(HostBuild[Use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5" s="552">
        <f>IFERROR(IF(FIND(DX$1,$W75)&gt;0,IF(INDEX(Product_Pricing_Table[],MATCH(DX$1,Products,0),2)="Cores",IF(HostBuild[Use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5" s="552">
        <f>IFERROR(IF(FIND(DY$1,$W75)&gt;0,IF(INDEX(Product_Pricing_Table[],MATCH(DY$1,Products,0),2)="Cores",IF(HostBuild[Use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5" s="552">
        <f>IFERROR(IF(FIND(DZ$1,$W75)&gt;0,IF(INDEX(Product_Pricing_Table[],MATCH(DZ$1,Products,0),2)="Cores",IF(HostBuild[Use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5" s="552">
        <f>IFERROR(IF(FIND(EA$1,$W75)&gt;0,IF(INDEX(Product_Pricing_Table[],MATCH(EA$1,Products,0),2)="Cores",IF(HostBuild[Use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5" s="552">
        <f>IFERROR(IF(FIND(EB$1,$W75)&gt;0,IF(INDEX(Product_Pricing_Table[],MATCH(EB$1,Products,0),2)="Cores",IF(HostBuild[Use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5" s="553">
        <f>IFERROR(IF(FIND(EC$1,$W75)&gt;0,IF(INDEX(Product_Pricing_Table[],MATCH(EC$1,Products,0),2)="Cores",IF(HostBuild[Use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5" s="552">
        <f>IFERROR(IF(FIND(ED$1,$W75)&gt;0,IF(INDEX(Product_Pricing_Table[],MATCH(ED$1,Products,0),2)="Cores",IF(HostBuild[Use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5" s="552">
        <f>IFERROR(IF(FIND(EE$1,$W75)&gt;0,IF(INDEX(Product_Pricing_Table[],MATCH(EE$1,Products,0),2)="Cores",IF(HostBuild[Use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5" s="552">
        <f>IFERROR(IF(FIND(EF$1,$W75)&gt;0,IF(INDEX(Product_Pricing_Table[],MATCH(EF$1,Products,0),2)="Cores",IF(HostBuild[Use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5" s="552">
        <f>IFERROR(IF(FIND(EG$1,$W75)&gt;0,IF(INDEX(Product_Pricing_Table[],MATCH(EG$1,Products,0),2)="Cores",IF(HostBuild[Use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5" s="552">
        <f>IFERROR(IF(FIND(EH$1,$W75)&gt;0,IF(INDEX(Product_Pricing_Table[],MATCH(EH$1,Products,0),2)="Cores",IF(HostBuild[Use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5" s="552">
        <f>IFERROR(IF(FIND(EI$1,$W75)&gt;0,IF(INDEX(Product_Pricing_Table[],MATCH(EI$1,Products,0),2)="Cores",IF(HostBuild[Use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75" s="552">
        <f>IFERROR(IF(FIND(EJ$1,$W75)&gt;0,IF(INDEX(Product_Pricing_Table[],MATCH(EJ$1,Products,0),2)="Cores",IF(HostBuild[Use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5" s="553">
        <f>IFERROR(IF(FIND(EK$1,$W75)&gt;0,IF(INDEX(Product_Pricing_Table[],MATCH(EK$1,Products,0),2)="Cores",IF(HostBuild[Use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5" s="554"/>
      <c r="EM75" s="555"/>
      <c r="EN75" s="556"/>
      <c r="EO7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7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72.118000000000009</v>
      </c>
      <c r="EQ75" s="558">
        <f>(HostBuild[Archive
Full (GB)]+HostBuild[Archive
Incr (GB)])*Storage_DC_Dist_Tape_2014</f>
        <v>6.7821249999999997</v>
      </c>
      <c r="ER75" s="558">
        <f>IF(ISNUMBER(HostBuild[Server HW Costs
(Monthly)]),SUM(HostBuild[[#This Row],[Server HW Costs
(Monthly)]:[Tape Costs
(Monthly)]]),0)</f>
        <v>78.900125000000003</v>
      </c>
      <c r="ES75" s="559">
        <f>HostBuild[Software Costs
'[Year 1']
(Monthly)]+HostBuild[Total Hardware Costs
(Monthly)]</f>
        <v>78.900125000000003</v>
      </c>
      <c r="ET75" s="559">
        <f>IFERROR(IF(FIND("Safenet",HostBuild[Server Model]),Safenet_PSE_PL600_Maint,0),0)+IFERROR(IF(FIND("XI52",HostBuild[Server Model]),IBM_DIA_XI52_Maint,0),0)+HostBuild[Software Costs
'[After Year 1']
(Monthly)]+HostBuild[Total Hardware Costs
(Monthly)]</f>
        <v>78.900125000000003</v>
      </c>
      <c r="EU75" s="560">
        <f>SUM(HostBuild[[#This Row],[Server Cost Breakdown]:[Network Cost]])</f>
        <v>0</v>
      </c>
      <c r="EV75" s="561">
        <f>IF(HostBuild[Existing Server?]="Yes - Inside this BoM",0,SUMIF(HostBuild[Alias],HostBuild[Alias],HostBuild[CPU])+SUMIF(HostBuild[Alias],HostBuild[Alias],HostBuild[Existing CPUs]))</f>
        <v>0</v>
      </c>
      <c r="EW75" s="561">
        <f>IF(HostBuild[Existing Server?]="Yes - Inside this BoM",0,SUMIF(HostBuild[Alias],HostBuild[Alias],HostBuild[Cores 
(Licensed Units)])+SUMIF(HostBuild[Alias],HostBuild[Alias],HostBuild[Existing Cores]))</f>
        <v>0</v>
      </c>
      <c r="EX75" s="561">
        <f>IF(HostBuild[Existing Server?]="Yes - Inside this BoM",0,SUMIF(HostBuild[Alias],HostBuild[Alias],HostBuild[RAM 
(GB)])+SUMIF(HostBuild[Alias],HostBuild[Alias],HostBuild[Existing RAM (GB)]))</f>
        <v>0</v>
      </c>
      <c r="EY7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5" s="560">
        <f>IF(ISBLANK(HostBuild[Server Model]),0,IF(HostBuild[Server Tier]="VMware",0,VLOOKUP(HostBuild[Server Tier],ServerTierRates[#Data],2,0))*HostBuild[CPU]*IF(AND(HostBuild[Server Type]="pSeries",HostBuild[Virtual Platform Storage Type]="Cloud-SAN"),0.25,1))</f>
        <v>0</v>
      </c>
      <c r="FD75" s="560">
        <f>0</f>
        <v>0</v>
      </c>
      <c r="FE75" s="560">
        <f>IF(HostBuild[Server Type]="VMware",HostBuild[RAM 
(GB)]*IF(ISERROR(FIND("DevCloud", HostBuild[Server Model])&gt;0),vRAM_per_vCPU_2014_Monthly,vRAM_per_vCPU_2014_Daily*30),0)</f>
        <v>0</v>
      </c>
      <c r="FF7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5" s="563">
        <f>IF(HostBuild[Server Tier]="VMware",0,IF(LEFT(HostBuild[Existing Server?],3)="Yes",0,IF(OR(HostBuild[Server Type]="Sun",HostBuild[Server Type]="pSeries"),Support_Direct_Server_Sun_per_OS_2014,IF(HostBuild[Server Type]="x86",Support_Direct_Server_x86_Wintel_per_OS_2014,0))))</f>
        <v>0</v>
      </c>
      <c r="FI7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6" spans="1:165" s="139" customFormat="1" ht="15" customHeight="1">
      <c r="A76" s="360" t="s">
        <v>3942</v>
      </c>
      <c r="B76" s="521"/>
      <c r="C76" s="521"/>
      <c r="D76" s="521"/>
      <c r="E76" s="522"/>
      <c r="F76" s="522"/>
      <c r="G76" s="597"/>
      <c r="H76" s="597"/>
      <c r="I76" s="523"/>
      <c r="J76" s="522"/>
      <c r="K76" s="522"/>
      <c r="L76" s="522"/>
      <c r="M76" s="597" t="e">
        <f ca="1">IF(rngIsDate(HostBuild[CTO Acceptance]),"Y","N")</f>
        <v>#NAME?</v>
      </c>
      <c r="N76" s="361" t="s">
        <v>3939</v>
      </c>
      <c r="O76" s="525"/>
      <c r="P76" s="525"/>
      <c r="Q76" s="361" t="s">
        <v>212</v>
      </c>
      <c r="R76" s="526" t="str">
        <f>IF(NOT(ISBLANK(HostBuild[Env Label])),IFERROR(VLOOKUP(HostBuild[Env Label],tEnv[],3,FALSE),""),"")</f>
        <v>UAT</v>
      </c>
      <c r="S76" s="598"/>
      <c r="T76" s="527"/>
      <c r="U76" s="599"/>
      <c r="V76" s="524" t="s">
        <v>3937</v>
      </c>
      <c r="W76" s="524" t="s">
        <v>3940</v>
      </c>
      <c r="X76" s="524" t="s">
        <v>35</v>
      </c>
      <c r="Y76" s="361" t="s">
        <v>481</v>
      </c>
      <c r="Z76" s="526" t="str">
        <f>IF(NOT(ISBLANK(HostBuild[[#This Row],[Product 
(Acronym)]])),CONCATENATE(HostBuild[[#This Row],[Type]],"-",HostBuild[[#This Row],[Product 
(Acronym)]]),"")</f>
        <v>AP-ESB</v>
      </c>
      <c r="AA76" s="600"/>
      <c r="AB76" s="600" t="s">
        <v>105</v>
      </c>
      <c r="AC76" s="528"/>
      <c r="AD76" s="529"/>
      <c r="AE76" s="529"/>
      <c r="AF76" s="530"/>
      <c r="AG76" s="531"/>
      <c r="AH76" s="601"/>
      <c r="AI76" s="362" t="s">
        <v>4092</v>
      </c>
      <c r="AJ76" s="524">
        <f>IF(COUNTIF(HostBuild[Alias],HostBuild[Alias]),1/COUNTIF(HostBuild[Alias],HostBuild[Alias]),0)</f>
        <v>1</v>
      </c>
      <c r="AK76" s="531"/>
      <c r="AL76" s="531"/>
      <c r="AM76" s="532" t="s">
        <v>2173</v>
      </c>
      <c r="AN76" s="533" t="str">
        <f>IF(NOT(ISBLANK(HostBuild[Server Model])),VLOOKUP(HostBuild[Server Model],ServerModelsTier[],2,FALSE),"")</f>
        <v>x86 Tier 3</v>
      </c>
      <c r="AO76" s="533" t="str">
        <f>IF(NOT(ISBLANK(HostBuild[Server Model])),VLOOKUP(HostBuild[Server Model],ServerModelsTier[],5,FALSE),"")</f>
        <v>x86</v>
      </c>
      <c r="AP76" s="532"/>
      <c r="AQ76" s="532" t="s">
        <v>2337</v>
      </c>
      <c r="AR76" s="534"/>
      <c r="AS76" s="602"/>
      <c r="AT76" s="535">
        <v>16</v>
      </c>
      <c r="AU76" s="603" t="str">
        <f>IF(IFERROR(FIND("P-Series",HostBuild[Server Tier]),0),CEILING((HostBuild[Existing CPUs]+HostBuild[CPU])*16,8),"")</f>
        <v/>
      </c>
      <c r="AV76" s="536"/>
      <c r="AW76" s="531"/>
      <c r="AX76" s="531"/>
      <c r="AY76" s="531"/>
      <c r="AZ76" s="537"/>
      <c r="BA76" s="531"/>
      <c r="BB76" s="531"/>
      <c r="BC76" s="529"/>
      <c r="BD76" s="531"/>
      <c r="BE76" s="531"/>
      <c r="BF76" s="531"/>
      <c r="BG76" s="531"/>
      <c r="BH76" s="531"/>
      <c r="BI76" s="531"/>
      <c r="BJ76" s="531"/>
      <c r="BK76"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6" s="538">
        <v>270</v>
      </c>
      <c r="BM76" s="540">
        <f>IF(ISNUMBER(HostBuild[Recommended SAN (GB)]),HostBuild[Recommended SAN (GB)])+IF(HostBuild[Additional SAN (GB)]&gt;0,CEILING(HostBuild[Additional SAN (GB)],LUN),-(CEILING(-HostBuild[Additional SAN (GB)],LUN)))</f>
        <v>303.3</v>
      </c>
      <c r="BN76" s="539"/>
      <c r="BO76" s="540">
        <f>HostBuild[SAN (GB)
NEEDED TODAY]+CEILING(HostBuild[SAN (GB)
RESERVED
DO NOT USE TO BUILD], LUN)</f>
        <v>303.3</v>
      </c>
      <c r="BP76" s="541">
        <v>120</v>
      </c>
      <c r="BQ76" s="542"/>
      <c r="BR76" s="432" t="s">
        <v>105</v>
      </c>
      <c r="BS76" s="605">
        <f>IF(HostBuild[Existing Server?]&lt;&gt;"Yes - Inside this BoM",IF(ISNUMBER(HostBuild[RAM 
(GB)]),IF(HostBuild[Existing RAM (GB)]+HostBuild[RAM 
(GB)]&gt;0,IF(HostBuild[Virtual Platform Storage Type]="NAS",110+HostBuild[Existing RAM (GB)]+HostBuild[RAM 
(GB)]*1.75,0),0),0),0)</f>
        <v>0</v>
      </c>
      <c r="BT76" s="606"/>
      <c r="BU76" s="607">
        <f>IF(ISNUMBER(HostBuild[Recommended NAS (GB)]),HostBuild[Recommended NAS (GB)])+HostBuild[Additional NAS (GB)]</f>
        <v>0</v>
      </c>
      <c r="BV76" s="543"/>
      <c r="BW76" s="543"/>
      <c r="BX76" s="604">
        <f>IFERROR((HostBuild[SAN (GB)
End-State
DO NOT USE TO BUILD]+HostBuild[SAN (GB) Shared])*25%,"")</f>
        <v>105.825</v>
      </c>
      <c r="BY76" s="608">
        <f>IFERROR(HostBuild[Archive
Full (GB)]*15%,"")</f>
        <v>15.873749999999999</v>
      </c>
      <c r="BZ76" s="544"/>
      <c r="CA76" s="544"/>
      <c r="CB76" s="545"/>
      <c r="CC76" s="546"/>
      <c r="CD76" s="545"/>
      <c r="CE76" s="547"/>
      <c r="CF76" s="539"/>
      <c r="CG76" s="609"/>
      <c r="CH76" s="548"/>
      <c r="CI76" s="549"/>
      <c r="CJ76" s="550" t="s">
        <v>4126</v>
      </c>
      <c r="CK76" s="551"/>
      <c r="CL76" s="552">
        <f>IFERROR(IF(FIND(CL$1,$W76)&gt;0,IF(INDEX(Product_Pricing_Table[],MATCH(CL$1,Products,0),2)="Cores",IF(HostBuild[Use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6" s="552">
        <f>IFERROR(IF(FIND(CM$1,$W76)&gt;0,IF(INDEX(Product_Pricing_Table[],MATCH(CM$1,Products,0),2)="Cores",IF(HostBuild[Use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6" s="552">
        <f>IFERROR(IF(FIND(CN$1,$W76)&gt;0,IF(INDEX(Product_Pricing_Table[],MATCH(CN$1,Products,0),2)="Cores",IF(HostBuild[Use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6" s="552">
        <f>IFERROR(IF(FIND(CO$1,$W76)&gt;0,IF(INDEX(Product_Pricing_Table[],MATCH(CO$1,Products,0),2)="Cores",IF(HostBuild[Use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6" s="552">
        <f>IFERROR(IF(FIND(CP$1,$W76)&gt;0,IF(INDEX(Product_Pricing_Table[],MATCH(CP$1,Products,0),2)="Cores",IF(HostBuild[Use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6" s="552">
        <f>IFERROR(IF(FIND(CQ$1,$W76)&gt;0,IF(INDEX(Product_Pricing_Table[],MATCH(CQ$1,Products,0),2)="Cores",IF(HostBuild[Use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6" s="552">
        <f>IFERROR(IF(FIND(CR$1,$W76)&gt;0,IF(INDEX(Product_Pricing_Table[],MATCH(CR$1,Products,0),2)="Cores",IF(HostBuild[Use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6" s="552">
        <f>IFERROR(IF(FIND(CS$1,$W76)&gt;0,IF(INDEX(Product_Pricing_Table[],MATCH(CS$1,Products,0),2)="Cores",IF(HostBuild[Use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6" s="552">
        <f>IFERROR(IF(FIND(CT$1,$W76)&gt;0,IF(INDEX(Product_Pricing_Table[],MATCH(CT$1,Products,0),2)="Cores",IF(HostBuild[Use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6" s="552">
        <f>IFERROR(IF(FIND(CU$1,$W76)&gt;0,IF(INDEX(Product_Pricing_Table[],MATCH(CU$1,Products,0),2)="Cores",IF(HostBuild[Use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6" s="552">
        <f>IFERROR(IF(FIND(CV$1,$W76)&gt;0,IF(INDEX(Product_Pricing_Table[],MATCH(CV$1,Products,0),2)="Cores",IF(HostBuild[Use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6" s="552">
        <f>IFERROR(IF(FIND(CW$1,$W76)&gt;0,IF(INDEX(Product_Pricing_Table[],MATCH(CW$1,Products,0),2)="Cores",IF(HostBuild[Use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6" s="552">
        <f>IFERROR(IF(FIND(CX$1,$W76)&gt;0,IF(INDEX(Product_Pricing_Table[],MATCH(CX$1,Products,0),2)="Cores",IF(HostBuild[Use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6" s="552">
        <f>IFERROR(IF(FIND(CY$1,$W76)&gt;0,IF(INDEX(Product_Pricing_Table[],MATCH(CY$1,Products,0),2)="Cores",IF(HostBuild[Use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6" s="552">
        <f>IFERROR(IF(FIND(CZ$1,$W76)&gt;0,IF(INDEX(Product_Pricing_Table[],MATCH(CZ$1,Products,0),2)="Cores",IF(HostBuild[Use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6" s="552">
        <f>IFERROR(IF(FIND(DA$1,$W76)&gt;0,IF(INDEX(Product_Pricing_Table[],MATCH(DA$1,Products,0),2)="Cores",IF(HostBuild[Use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6" s="552">
        <f>IFERROR(IF(FIND(DB$1,$W76)&gt;0,IF(INDEX(Product_Pricing_Table[],MATCH(DB$1,Products,0),2)="Cores",IF(HostBuild[Use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6" s="552">
        <f>IFERROR(IF(FIND(DC$1,$W76)&gt;0,IF(INDEX(Product_Pricing_Table[],MATCH(DC$1,Products,0),2)="Cores",IF(HostBuild[Use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6" s="552">
        <f>IFERROR(IF(FIND(DD$1,$W76)&gt;0,IF(INDEX(Product_Pricing_Table[],MATCH(DD$1,Products,0),2)="Cores",IF(HostBuild[Use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6" s="552">
        <f>IFERROR(IF(FIND(DE$1,$W76)&gt;0,IF(INDEX(Product_Pricing_Table[],MATCH(DE$1,Products,0),2)="Cores",IF(HostBuild[Use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6" s="553">
        <f>IFERROR(IF(FIND(DF$1,$W76)&gt;0,IF(INDEX(Product_Pricing_Table[],MATCH(DF$1,Products,0),2)="Cores",IF(HostBuild[Use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6" s="553">
        <f>IFERROR(IF(FIND(DG$1,$W76)&gt;0,IF(INDEX(Product_Pricing_Table[],MATCH(DG$1,Products,0),2)="Cores",IF(HostBuild[Use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6" s="552">
        <f>IFERROR(IF(FIND(DH$1,$W76)&gt;0,IF(INDEX(Product_Pricing_Table[],MATCH(DH$1,Products,0),2)="Cores",IF(HostBuild[Use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6" s="553">
        <f>IFERROR(IF(FIND(DI$1,$W76)&gt;0,IF(INDEX(Product_Pricing_Table[],MATCH(DI$1,Products,0),2)="Cores",IF(HostBuild[Use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6" s="552">
        <f>IFERROR(IF(FIND(DJ$1,$W76)&gt;0,IF(INDEX(Product_Pricing_Table[],MATCH(DJ$1,Products,0),2)="Cores",IF(HostBuild[Use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6" s="552">
        <f>IFERROR(IF(FIND(DK$1,$W76)&gt;0,IF(INDEX(Product_Pricing_Table[],MATCH(DK$1,Products,0),2)="Cores",IF(HostBuild[Use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6" s="552">
        <f>IFERROR(IF(FIND(DL$1,$W76)&gt;0,IF(INDEX(Product_Pricing_Table[],MATCH(DL$1,Products,0),2)="Cores",IF(HostBuild[Use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6" s="552">
        <f>IFERROR(IF(FIND(DM$1,$W76)&gt;0,IF(INDEX(Product_Pricing_Table[],MATCH(DM$1,Products,0),2)="Cores",IF(HostBuild[Use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6" s="552">
        <f>IFERROR(IF(FIND(DN$1,$W76)&gt;0,IF(INDEX(Product_Pricing_Table[],MATCH(DN$1,Products,0),2)="Cores",IF(HostBuild[Use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6" s="552">
        <f>IFERROR(IF(FIND(DO$1,$W76)&gt;0,IF(INDEX(Product_Pricing_Table[],MATCH(DO$1,Products,0),2)="Cores",IF(HostBuild[Use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6" s="552">
        <f>IFERROR(IF(FIND(DP$1,$W76)&gt;0,IF(INDEX(Product_Pricing_Table[],MATCH(DP$1,Products,0),2)="Cores",IF(HostBuild[Use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6" s="552">
        <f>IFERROR(IF(FIND(DQ$1,$W76)&gt;0,IF(INDEX(Product_Pricing_Table[],MATCH(DQ$1,Products,0),2)="Cores",IF(HostBuild[Use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6" s="552">
        <f>IFERROR(IF(FIND(DR$1,$W76)&gt;0,IF(INDEX(Product_Pricing_Table[],MATCH(DR$1,Products,0),2)="Cores",IF(HostBuild[Use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6" s="552">
        <f>IFERROR(IF(FIND(DS$1,$W76)&gt;0,IF(INDEX(Product_Pricing_Table[],MATCH(DS$1,Products,0),2)="Cores",IF(HostBuild[Use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6" s="552">
        <f>IFERROR(IF(FIND(DT$1,$W76)&gt;0,IF(INDEX(Product_Pricing_Table[],MATCH(DT$1,Products,0),2)="Cores",IF(HostBuild[Use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6" s="552">
        <f>IFERROR(IF(FIND(DU$1,$W76)&gt;0,IF(INDEX(Product_Pricing_Table[],MATCH(DU$1,Products,0),2)="Cores",IF(HostBuild[Use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6" s="552">
        <f>IFERROR(IF(FIND(DV$1,$W76)&gt;0,IF(INDEX(Product_Pricing_Table[],MATCH(DV$1,Products,0),2)="Cores",IF(HostBuild[Use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6" s="552">
        <f>IFERROR(IF(FIND(DW$1,$W76)&gt;0,IF(INDEX(Product_Pricing_Table[],MATCH(DW$1,Products,0),2)="Cores",IF(HostBuild[Use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6" s="552">
        <f>IFERROR(IF(FIND(DX$1,$W76)&gt;0,IF(INDEX(Product_Pricing_Table[],MATCH(DX$1,Products,0),2)="Cores",IF(HostBuild[Use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6" s="552">
        <f>IFERROR(IF(FIND(DY$1,$W76)&gt;0,IF(INDEX(Product_Pricing_Table[],MATCH(DY$1,Products,0),2)="Cores",IF(HostBuild[Use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6" s="552">
        <f>IFERROR(IF(FIND(DZ$1,$W76)&gt;0,IF(INDEX(Product_Pricing_Table[],MATCH(DZ$1,Products,0),2)="Cores",IF(HostBuild[Use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6" s="552">
        <f>IFERROR(IF(FIND(EA$1,$W76)&gt;0,IF(INDEX(Product_Pricing_Table[],MATCH(EA$1,Products,0),2)="Cores",IF(HostBuild[Use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6" s="552">
        <f>IFERROR(IF(FIND(EB$1,$W76)&gt;0,IF(INDEX(Product_Pricing_Table[],MATCH(EB$1,Products,0),2)="Cores",IF(HostBuild[Use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6" s="553">
        <f>IFERROR(IF(FIND(EC$1,$W76)&gt;0,IF(INDEX(Product_Pricing_Table[],MATCH(EC$1,Products,0),2)="Cores",IF(HostBuild[Use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6" s="552">
        <f>IFERROR(IF(FIND(ED$1,$W76)&gt;0,IF(INDEX(Product_Pricing_Table[],MATCH(ED$1,Products,0),2)="Cores",IF(HostBuild[Use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6" s="552">
        <f>IFERROR(IF(FIND(EE$1,$W76)&gt;0,IF(INDEX(Product_Pricing_Table[],MATCH(EE$1,Products,0),2)="Cores",IF(HostBuild[Use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6" s="552">
        <f>IFERROR(IF(FIND(EF$1,$W76)&gt;0,IF(INDEX(Product_Pricing_Table[],MATCH(EF$1,Products,0),2)="Cores",IF(HostBuild[Use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6" s="552">
        <f>IFERROR(IF(FIND(EG$1,$W76)&gt;0,IF(INDEX(Product_Pricing_Table[],MATCH(EG$1,Products,0),2)="Cores",IF(HostBuild[Use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6" s="552">
        <f>IFERROR(IF(FIND(EH$1,$W76)&gt;0,IF(INDEX(Product_Pricing_Table[],MATCH(EH$1,Products,0),2)="Cores",IF(HostBuild[Use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6" s="552">
        <f>IFERROR(IF(FIND(EI$1,$W76)&gt;0,IF(INDEX(Product_Pricing_Table[],MATCH(EI$1,Products,0),2)="Cores",IF(HostBuild[Use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76" s="552">
        <f>IFERROR(IF(FIND(EJ$1,$W76)&gt;0,IF(INDEX(Product_Pricing_Table[],MATCH(EJ$1,Products,0),2)="Cores",IF(HostBuild[Use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6" s="553">
        <f>IFERROR(IF(FIND(EK$1,$W76)&gt;0,IF(INDEX(Product_Pricing_Table[],MATCH(EK$1,Products,0),2)="Cores",IF(HostBuild[Use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6" s="554"/>
      <c r="EM76" s="555">
        <v>3000</v>
      </c>
      <c r="EN76" s="556">
        <v>420</v>
      </c>
      <c r="EO76"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7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271.28500000000003</v>
      </c>
      <c r="EQ76" s="558">
        <f>(HostBuild[Archive
Full (GB)]+HostBuild[Archive
Incr (GB)])*Storage_DC_Dist_Tape_2014</f>
        <v>42.594562500000002</v>
      </c>
      <c r="ER76" s="558">
        <f>IF(ISNUMBER(HostBuild[Server HW Costs
(Monthly)]),SUM(HostBuild[[#This Row],[Server HW Costs
(Monthly)]:[Tape Costs
(Monthly)]]),0)</f>
        <v>500.97956249999999</v>
      </c>
      <c r="ES76" s="559">
        <f>HostBuild[Software Costs
'[Year 1']
(Monthly)]+HostBuild[Total Hardware Costs
(Monthly)]</f>
        <v>3500.9795625000002</v>
      </c>
      <c r="ET76" s="559">
        <f>IFERROR(IF(FIND("Safenet",HostBuild[Server Model]),Safenet_PSE_PL600_Maint,0),0)+IFERROR(IF(FIND("XI52",HostBuild[Server Model]),IBM_DIA_XI52_Maint,0),0)+HostBuild[Software Costs
'[After Year 1']
(Monthly)]+HostBuild[Total Hardware Costs
(Monthly)]</f>
        <v>920.97956249999993</v>
      </c>
      <c r="EU76" s="560">
        <f>SUM(HostBuild[[#This Row],[Server Cost Breakdown]:[Network Cost]])</f>
        <v>187.1</v>
      </c>
      <c r="EV76" s="561">
        <f>IF(HostBuild[Existing Server?]="Yes - Inside this BoM",0,SUMIF(HostBuild[Alias],HostBuild[Alias],HostBuild[CPU])+SUMIF(HostBuild[Alias],HostBuild[Alias],HostBuild[Existing CPUs]))</f>
        <v>0</v>
      </c>
      <c r="EW76" s="561">
        <f>IF(HostBuild[Existing Server?]="Yes - Inside this BoM",0,SUMIF(HostBuild[Alias],HostBuild[Alias],HostBuild[Cores 
(Licensed Units)])+SUMIF(HostBuild[Alias],HostBuild[Alias],HostBuild[Existing Cores]))</f>
        <v>16</v>
      </c>
      <c r="EX76" s="561">
        <f>IF(HostBuild[Existing Server?]="Yes - Inside this BoM",0,SUMIF(HostBuild[Alias],HostBuild[Alias],HostBuild[RAM 
(GB)])+SUMIF(HostBuild[Alias],HostBuild[Alias],HostBuild[Existing RAM (GB)]))</f>
        <v>0</v>
      </c>
      <c r="EY7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6" s="560">
        <f>IF(ISBLANK(HostBuild[Server Model]),0,IF(HostBuild[Server Tier]="VMware",0,VLOOKUP(HostBuild[Server Tier],ServerTierRates[#Data],2,0))*HostBuild[CPU]*IF(AND(HostBuild[Server Type]="pSeries",HostBuild[Virtual Platform Storage Type]="Cloud-SAN"),0.25,1))</f>
        <v>0</v>
      </c>
      <c r="FD76" s="560">
        <f>0</f>
        <v>0</v>
      </c>
      <c r="FE76" s="560">
        <f>IF(HostBuild[Server Type]="VMware",HostBuild[RAM 
(GB)]*IF(ISERROR(FIND("DevCloud", HostBuild[Server Model])&gt;0),vRAM_per_vCPU_2014_Monthly,vRAM_per_vCPU_2014_Daily*30),0)</f>
        <v>0</v>
      </c>
      <c r="FF7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6" s="563">
        <f>IF(HostBuild[Server Tier]="VMware",0,IF(LEFT(HostBuild[Existing Server?],3)="Yes",0,IF(OR(HostBuild[Server Type]="Sun",HostBuild[Server Type]="pSeries"),Support_Direct_Server_Sun_per_OS_2014,IF(HostBuild[Server Type]="x86",Support_Direct_Server_x86_Wintel_per_OS_2014,0))))</f>
        <v>187.1</v>
      </c>
      <c r="FI7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7" spans="1:165" s="139" customFormat="1" ht="15" customHeight="1">
      <c r="A77" s="360" t="s">
        <v>3942</v>
      </c>
      <c r="B77" s="521"/>
      <c r="C77" s="521"/>
      <c r="D77" s="521"/>
      <c r="E77" s="522"/>
      <c r="F77" s="522"/>
      <c r="G77" s="597"/>
      <c r="H77" s="597"/>
      <c r="I77" s="523"/>
      <c r="J77" s="522"/>
      <c r="K77" s="522"/>
      <c r="L77" s="522"/>
      <c r="M77" s="597" t="e">
        <f ca="1">IF(rngIsDate(HostBuild[CTO Acceptance]),"Y","N")</f>
        <v>#NAME?</v>
      </c>
      <c r="N77" s="361" t="s">
        <v>3939</v>
      </c>
      <c r="O77" s="525"/>
      <c r="P77" s="525"/>
      <c r="Q77" s="361" t="s">
        <v>212</v>
      </c>
      <c r="R77" s="526" t="str">
        <f>IF(NOT(ISBLANK(HostBuild[Env Label])),IFERROR(VLOOKUP(HostBuild[Env Label],tEnv[],3,FALSE),""),"")</f>
        <v>UAT</v>
      </c>
      <c r="S77" s="598"/>
      <c r="T77" s="527"/>
      <c r="U77" s="599"/>
      <c r="V77" s="524" t="s">
        <v>3937</v>
      </c>
      <c r="W77" s="524" t="s">
        <v>3940</v>
      </c>
      <c r="X77" s="524" t="s">
        <v>35</v>
      </c>
      <c r="Y77" s="361" t="s">
        <v>481</v>
      </c>
      <c r="Z77" s="526" t="str">
        <f>IF(NOT(ISBLANK(HostBuild[[#This Row],[Product 
(Acronym)]])),CONCATENATE(HostBuild[[#This Row],[Type]],"-",HostBuild[[#This Row],[Product 
(Acronym)]]),"")</f>
        <v>AP-ESB</v>
      </c>
      <c r="AA77" s="600"/>
      <c r="AB77" s="600" t="s">
        <v>105</v>
      </c>
      <c r="AC77" s="528"/>
      <c r="AD77" s="529"/>
      <c r="AE77" s="529"/>
      <c r="AF77" s="530"/>
      <c r="AG77" s="531"/>
      <c r="AH77" s="601"/>
      <c r="AI77" s="362" t="s">
        <v>4093</v>
      </c>
      <c r="AJ77" s="524">
        <f>IF(COUNTIF(HostBuild[Alias],HostBuild[Alias]),1/COUNTIF(HostBuild[Alias],HostBuild[Alias]),0)</f>
        <v>1</v>
      </c>
      <c r="AK77" s="531"/>
      <c r="AL77" s="531"/>
      <c r="AM77" s="532" t="s">
        <v>2173</v>
      </c>
      <c r="AN77" s="533" t="str">
        <f>IF(NOT(ISBLANK(HostBuild[Server Model])),VLOOKUP(HostBuild[Server Model],ServerModelsTier[],2,FALSE),"")</f>
        <v>x86 Tier 3</v>
      </c>
      <c r="AO77" s="533" t="str">
        <f>IF(NOT(ISBLANK(HostBuild[Server Model])),VLOOKUP(HostBuild[Server Model],ServerModelsTier[],5,FALSE),"")</f>
        <v>x86</v>
      </c>
      <c r="AP77" s="532"/>
      <c r="AQ77" s="532" t="s">
        <v>2337</v>
      </c>
      <c r="AR77" s="534"/>
      <c r="AS77" s="602"/>
      <c r="AT77" s="535">
        <v>16</v>
      </c>
      <c r="AU77" s="603" t="str">
        <f>IF(IFERROR(FIND("P-Series",HostBuild[Server Tier]),0),CEILING((HostBuild[Existing CPUs]+HostBuild[CPU])*16,8),"")</f>
        <v/>
      </c>
      <c r="AV77" s="536"/>
      <c r="AW77" s="531"/>
      <c r="AX77" s="531"/>
      <c r="AY77" s="531"/>
      <c r="AZ77" s="537"/>
      <c r="BA77" s="531"/>
      <c r="BB77" s="531"/>
      <c r="BC77" s="529"/>
      <c r="BD77" s="531"/>
      <c r="BE77" s="531"/>
      <c r="BF77" s="531"/>
      <c r="BG77" s="531"/>
      <c r="BH77" s="531"/>
      <c r="BI77" s="531"/>
      <c r="BJ77" s="531"/>
      <c r="BK77"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7" s="538">
        <v>150</v>
      </c>
      <c r="BM77" s="540">
        <f>IF(ISNUMBER(HostBuild[Recommended SAN (GB)]),HostBuild[Recommended SAN (GB)])+IF(HostBuild[Additional SAN (GB)]&gt;0,CEILING(HostBuild[Additional SAN (GB)],LUN),-(CEILING(-HostBuild[Additional SAN (GB)],LUN)))</f>
        <v>168.5</v>
      </c>
      <c r="BN77" s="539"/>
      <c r="BO77" s="540">
        <f>HostBuild[SAN (GB)
NEEDED TODAY]+CEILING(HostBuild[SAN (GB)
RESERVED
DO NOT USE TO BUILD], LUN)</f>
        <v>168.5</v>
      </c>
      <c r="BP77" s="541"/>
      <c r="BQ77" s="542"/>
      <c r="BR77" s="432" t="s">
        <v>105</v>
      </c>
      <c r="BS77" s="605">
        <f>IF(HostBuild[Existing Server?]&lt;&gt;"Yes - Inside this BoM",IF(ISNUMBER(HostBuild[RAM 
(GB)]),IF(HostBuild[Existing RAM (GB)]+HostBuild[RAM 
(GB)]&gt;0,IF(HostBuild[Virtual Platform Storage Type]="NAS",110+HostBuild[Existing RAM (GB)]+HostBuild[RAM 
(GB)]*1.75,0),0),0),0)</f>
        <v>0</v>
      </c>
      <c r="BT77" s="606"/>
      <c r="BU77" s="607">
        <f>IF(ISNUMBER(HostBuild[Recommended NAS (GB)]),HostBuild[Recommended NAS (GB)])+HostBuild[Additional NAS (GB)]</f>
        <v>0</v>
      </c>
      <c r="BV77" s="543"/>
      <c r="BW77" s="543"/>
      <c r="BX77" s="604">
        <f>IFERROR((HostBuild[SAN (GB)
End-State
DO NOT USE TO BUILD]+HostBuild[SAN (GB) Shared])*25%,"")</f>
        <v>42.125</v>
      </c>
      <c r="BY77" s="608">
        <f>IFERROR(HostBuild[Archive
Full (GB)]*15%,"")</f>
        <v>6.3187499999999996</v>
      </c>
      <c r="BZ77" s="544"/>
      <c r="CA77" s="544"/>
      <c r="CB77" s="545"/>
      <c r="CC77" s="546"/>
      <c r="CD77" s="545"/>
      <c r="CE77" s="547"/>
      <c r="CF77" s="539"/>
      <c r="CG77" s="609"/>
      <c r="CH77" s="548"/>
      <c r="CI77" s="549"/>
      <c r="CJ77" s="550" t="s">
        <v>4126</v>
      </c>
      <c r="CK77" s="551"/>
      <c r="CL77" s="552">
        <f>IFERROR(IF(FIND(CL$1,$W77)&gt;0,IF(INDEX(Product_Pricing_Table[],MATCH(CL$1,Products,0),2)="Cores",IF(HostBuild[Use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7" s="552">
        <f>IFERROR(IF(FIND(CM$1,$W77)&gt;0,IF(INDEX(Product_Pricing_Table[],MATCH(CM$1,Products,0),2)="Cores",IF(HostBuild[Use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7" s="552">
        <f>IFERROR(IF(FIND(CN$1,$W77)&gt;0,IF(INDEX(Product_Pricing_Table[],MATCH(CN$1,Products,0),2)="Cores",IF(HostBuild[Use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7" s="552">
        <f>IFERROR(IF(FIND(CO$1,$W77)&gt;0,IF(INDEX(Product_Pricing_Table[],MATCH(CO$1,Products,0),2)="Cores",IF(HostBuild[Use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7" s="552">
        <f>IFERROR(IF(FIND(CP$1,$W77)&gt;0,IF(INDEX(Product_Pricing_Table[],MATCH(CP$1,Products,0),2)="Cores",IF(HostBuild[Use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7" s="552">
        <f>IFERROR(IF(FIND(CQ$1,$W77)&gt;0,IF(INDEX(Product_Pricing_Table[],MATCH(CQ$1,Products,0),2)="Cores",IF(HostBuild[Use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7" s="552">
        <f>IFERROR(IF(FIND(CR$1,$W77)&gt;0,IF(INDEX(Product_Pricing_Table[],MATCH(CR$1,Products,0),2)="Cores",IF(HostBuild[Use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7" s="552">
        <f>IFERROR(IF(FIND(CS$1,$W77)&gt;0,IF(INDEX(Product_Pricing_Table[],MATCH(CS$1,Products,0),2)="Cores",IF(HostBuild[Use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7" s="552">
        <f>IFERROR(IF(FIND(CT$1,$W77)&gt;0,IF(INDEX(Product_Pricing_Table[],MATCH(CT$1,Products,0),2)="Cores",IF(HostBuild[Use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7" s="552">
        <f>IFERROR(IF(FIND(CU$1,$W77)&gt;0,IF(INDEX(Product_Pricing_Table[],MATCH(CU$1,Products,0),2)="Cores",IF(HostBuild[Use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7" s="552">
        <f>IFERROR(IF(FIND(CV$1,$W77)&gt;0,IF(INDEX(Product_Pricing_Table[],MATCH(CV$1,Products,0),2)="Cores",IF(HostBuild[Use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7" s="552">
        <f>IFERROR(IF(FIND(CW$1,$W77)&gt;0,IF(INDEX(Product_Pricing_Table[],MATCH(CW$1,Products,0),2)="Cores",IF(HostBuild[Use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7" s="552">
        <f>IFERROR(IF(FIND(CX$1,$W77)&gt;0,IF(INDEX(Product_Pricing_Table[],MATCH(CX$1,Products,0),2)="Cores",IF(HostBuild[Use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7" s="552">
        <f>IFERROR(IF(FIND(CY$1,$W77)&gt;0,IF(INDEX(Product_Pricing_Table[],MATCH(CY$1,Products,0),2)="Cores",IF(HostBuild[Use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7" s="552">
        <f>IFERROR(IF(FIND(CZ$1,$W77)&gt;0,IF(INDEX(Product_Pricing_Table[],MATCH(CZ$1,Products,0),2)="Cores",IF(HostBuild[Use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7" s="552">
        <f>IFERROR(IF(FIND(DA$1,$W77)&gt;0,IF(INDEX(Product_Pricing_Table[],MATCH(DA$1,Products,0),2)="Cores",IF(HostBuild[Use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7" s="552">
        <f>IFERROR(IF(FIND(DB$1,$W77)&gt;0,IF(INDEX(Product_Pricing_Table[],MATCH(DB$1,Products,0),2)="Cores",IF(HostBuild[Use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7" s="552">
        <f>IFERROR(IF(FIND(DC$1,$W77)&gt;0,IF(INDEX(Product_Pricing_Table[],MATCH(DC$1,Products,0),2)="Cores",IF(HostBuild[Use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7" s="552">
        <f>IFERROR(IF(FIND(DD$1,$W77)&gt;0,IF(INDEX(Product_Pricing_Table[],MATCH(DD$1,Products,0),2)="Cores",IF(HostBuild[Use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7" s="552">
        <f>IFERROR(IF(FIND(DE$1,$W77)&gt;0,IF(INDEX(Product_Pricing_Table[],MATCH(DE$1,Products,0),2)="Cores",IF(HostBuild[Use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7" s="553">
        <f>IFERROR(IF(FIND(DF$1,$W77)&gt;0,IF(INDEX(Product_Pricing_Table[],MATCH(DF$1,Products,0),2)="Cores",IF(HostBuild[Use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7" s="553">
        <f>IFERROR(IF(FIND(DG$1,$W77)&gt;0,IF(INDEX(Product_Pricing_Table[],MATCH(DG$1,Products,0),2)="Cores",IF(HostBuild[Use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7" s="552">
        <f>IFERROR(IF(FIND(DH$1,$W77)&gt;0,IF(INDEX(Product_Pricing_Table[],MATCH(DH$1,Products,0),2)="Cores",IF(HostBuild[Use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7" s="553">
        <f>IFERROR(IF(FIND(DI$1,$W77)&gt;0,IF(INDEX(Product_Pricing_Table[],MATCH(DI$1,Products,0),2)="Cores",IF(HostBuild[Use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7" s="552">
        <f>IFERROR(IF(FIND(DJ$1,$W77)&gt;0,IF(INDEX(Product_Pricing_Table[],MATCH(DJ$1,Products,0),2)="Cores",IF(HostBuild[Use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7" s="552">
        <f>IFERROR(IF(FIND(DK$1,$W77)&gt;0,IF(INDEX(Product_Pricing_Table[],MATCH(DK$1,Products,0),2)="Cores",IF(HostBuild[Use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7" s="552">
        <f>IFERROR(IF(FIND(DL$1,$W77)&gt;0,IF(INDEX(Product_Pricing_Table[],MATCH(DL$1,Products,0),2)="Cores",IF(HostBuild[Use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7" s="552">
        <f>IFERROR(IF(FIND(DM$1,$W77)&gt;0,IF(INDEX(Product_Pricing_Table[],MATCH(DM$1,Products,0),2)="Cores",IF(HostBuild[Use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7" s="552">
        <f>IFERROR(IF(FIND(DN$1,$W77)&gt;0,IF(INDEX(Product_Pricing_Table[],MATCH(DN$1,Products,0),2)="Cores",IF(HostBuild[Use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7" s="552">
        <f>IFERROR(IF(FIND(DO$1,$W77)&gt;0,IF(INDEX(Product_Pricing_Table[],MATCH(DO$1,Products,0),2)="Cores",IF(HostBuild[Use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7" s="552">
        <f>IFERROR(IF(FIND(DP$1,$W77)&gt;0,IF(INDEX(Product_Pricing_Table[],MATCH(DP$1,Products,0),2)="Cores",IF(HostBuild[Use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7" s="552">
        <f>IFERROR(IF(FIND(DQ$1,$W77)&gt;0,IF(INDEX(Product_Pricing_Table[],MATCH(DQ$1,Products,0),2)="Cores",IF(HostBuild[Use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7" s="552">
        <f>IFERROR(IF(FIND(DR$1,$W77)&gt;0,IF(INDEX(Product_Pricing_Table[],MATCH(DR$1,Products,0),2)="Cores",IF(HostBuild[Use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7" s="552">
        <f>IFERROR(IF(FIND(DS$1,$W77)&gt;0,IF(INDEX(Product_Pricing_Table[],MATCH(DS$1,Products,0),2)="Cores",IF(HostBuild[Use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7" s="552">
        <f>IFERROR(IF(FIND(DT$1,$W77)&gt;0,IF(INDEX(Product_Pricing_Table[],MATCH(DT$1,Products,0),2)="Cores",IF(HostBuild[Use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7" s="552">
        <f>IFERROR(IF(FIND(DU$1,$W77)&gt;0,IF(INDEX(Product_Pricing_Table[],MATCH(DU$1,Products,0),2)="Cores",IF(HostBuild[Use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7" s="552">
        <f>IFERROR(IF(FIND(DV$1,$W77)&gt;0,IF(INDEX(Product_Pricing_Table[],MATCH(DV$1,Products,0),2)="Cores",IF(HostBuild[Use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7" s="552">
        <f>IFERROR(IF(FIND(DW$1,$W77)&gt;0,IF(INDEX(Product_Pricing_Table[],MATCH(DW$1,Products,0),2)="Cores",IF(HostBuild[Use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7" s="552">
        <f>IFERROR(IF(FIND(DX$1,$W77)&gt;0,IF(INDEX(Product_Pricing_Table[],MATCH(DX$1,Products,0),2)="Cores",IF(HostBuild[Use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7" s="552">
        <f>IFERROR(IF(FIND(DY$1,$W77)&gt;0,IF(INDEX(Product_Pricing_Table[],MATCH(DY$1,Products,0),2)="Cores",IF(HostBuild[Use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7" s="552">
        <f>IFERROR(IF(FIND(DZ$1,$W77)&gt;0,IF(INDEX(Product_Pricing_Table[],MATCH(DZ$1,Products,0),2)="Cores",IF(HostBuild[Use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7" s="552">
        <f>IFERROR(IF(FIND(EA$1,$W77)&gt;0,IF(INDEX(Product_Pricing_Table[],MATCH(EA$1,Products,0),2)="Cores",IF(HostBuild[Use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7" s="552">
        <f>IFERROR(IF(FIND(EB$1,$W77)&gt;0,IF(INDEX(Product_Pricing_Table[],MATCH(EB$1,Products,0),2)="Cores",IF(HostBuild[Use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7" s="553">
        <f>IFERROR(IF(FIND(EC$1,$W77)&gt;0,IF(INDEX(Product_Pricing_Table[],MATCH(EC$1,Products,0),2)="Cores",IF(HostBuild[Use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7" s="552">
        <f>IFERROR(IF(FIND(ED$1,$W77)&gt;0,IF(INDEX(Product_Pricing_Table[],MATCH(ED$1,Products,0),2)="Cores",IF(HostBuild[Use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7" s="552">
        <f>IFERROR(IF(FIND(EE$1,$W77)&gt;0,IF(INDEX(Product_Pricing_Table[],MATCH(EE$1,Products,0),2)="Cores",IF(HostBuild[Use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7" s="552">
        <f>IFERROR(IF(FIND(EF$1,$W77)&gt;0,IF(INDEX(Product_Pricing_Table[],MATCH(EF$1,Products,0),2)="Cores",IF(HostBuild[Use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7" s="552">
        <f>IFERROR(IF(FIND(EG$1,$W77)&gt;0,IF(INDEX(Product_Pricing_Table[],MATCH(EG$1,Products,0),2)="Cores",IF(HostBuild[Use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7" s="552">
        <f>IFERROR(IF(FIND(EH$1,$W77)&gt;0,IF(INDEX(Product_Pricing_Table[],MATCH(EH$1,Products,0),2)="Cores",IF(HostBuild[Use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7" s="552">
        <f>IFERROR(IF(FIND(EI$1,$W77)&gt;0,IF(INDEX(Product_Pricing_Table[],MATCH(EI$1,Products,0),2)="Cores",IF(HostBuild[Use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77" s="552">
        <f>IFERROR(IF(FIND(EJ$1,$W77)&gt;0,IF(INDEX(Product_Pricing_Table[],MATCH(EJ$1,Products,0),2)="Cores",IF(HostBuild[Use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7" s="553">
        <f>IFERROR(IF(FIND(EK$1,$W77)&gt;0,IF(INDEX(Product_Pricing_Table[],MATCH(EK$1,Products,0),2)="Cores",IF(HostBuild[Use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7" s="554"/>
      <c r="EM77" s="555"/>
      <c r="EN77" s="556"/>
      <c r="EO77"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7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77" s="558">
        <f>(HostBuild[Archive
Full (GB)]+HostBuild[Archive
Incr (GB)])*Storage_DC_Dist_Tape_2014</f>
        <v>16.955312499999998</v>
      </c>
      <c r="ER77" s="558">
        <f>IF(ISNUMBER(HostBuild[Server HW Costs
(Monthly)]),SUM(HostBuild[[#This Row],[Server HW Costs
(Monthly)]:[Tape Costs
(Monthly)]]),0)</f>
        <v>279.8803125</v>
      </c>
      <c r="ES77" s="559">
        <f>HostBuild[Software Costs
'[Year 1']
(Monthly)]+HostBuild[Total Hardware Costs
(Monthly)]</f>
        <v>279.8803125</v>
      </c>
      <c r="ET77" s="559">
        <f>IFERROR(IF(FIND("Safenet",HostBuild[Server Model]),Safenet_PSE_PL600_Maint,0),0)+IFERROR(IF(FIND("XI52",HostBuild[Server Model]),IBM_DIA_XI52_Maint,0),0)+HostBuild[Software Costs
'[After Year 1']
(Monthly)]+HostBuild[Total Hardware Costs
(Monthly)]</f>
        <v>279.8803125</v>
      </c>
      <c r="EU77" s="560">
        <f>SUM(HostBuild[[#This Row],[Server Cost Breakdown]:[Network Cost]])</f>
        <v>187.1</v>
      </c>
      <c r="EV77" s="561">
        <f>IF(HostBuild[Existing Server?]="Yes - Inside this BoM",0,SUMIF(HostBuild[Alias],HostBuild[Alias],HostBuild[CPU])+SUMIF(HostBuild[Alias],HostBuild[Alias],HostBuild[Existing CPUs]))</f>
        <v>0</v>
      </c>
      <c r="EW77" s="561">
        <f>IF(HostBuild[Existing Server?]="Yes - Inside this BoM",0,SUMIF(HostBuild[Alias],HostBuild[Alias],HostBuild[Cores 
(Licensed Units)])+SUMIF(HostBuild[Alias],HostBuild[Alias],HostBuild[Existing Cores]))</f>
        <v>16</v>
      </c>
      <c r="EX77" s="561">
        <f>IF(HostBuild[Existing Server?]="Yes - Inside this BoM",0,SUMIF(HostBuild[Alias],HostBuild[Alias],HostBuild[RAM 
(GB)])+SUMIF(HostBuild[Alias],HostBuild[Alias],HostBuild[Existing RAM (GB)]))</f>
        <v>0</v>
      </c>
      <c r="EY7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7" s="560">
        <f>IF(ISBLANK(HostBuild[Server Model]),0,IF(HostBuild[Server Tier]="VMware",0,VLOOKUP(HostBuild[Server Tier],ServerTierRates[#Data],2,0))*HostBuild[CPU]*IF(AND(HostBuild[Server Type]="pSeries",HostBuild[Virtual Platform Storage Type]="Cloud-SAN"),0.25,1))</f>
        <v>0</v>
      </c>
      <c r="FD77" s="560">
        <f>0</f>
        <v>0</v>
      </c>
      <c r="FE77" s="560">
        <f>IF(HostBuild[Server Type]="VMware",HostBuild[RAM 
(GB)]*IF(ISERROR(FIND("DevCloud", HostBuild[Server Model])&gt;0),vRAM_per_vCPU_2014_Monthly,vRAM_per_vCPU_2014_Daily*30),0)</f>
        <v>0</v>
      </c>
      <c r="FF7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7" s="563">
        <f>IF(HostBuild[Server Tier]="VMware",0,IF(LEFT(HostBuild[Existing Server?],3)="Yes",0,IF(OR(HostBuild[Server Type]="Sun",HostBuild[Server Type]="pSeries"),Support_Direct_Server_Sun_per_OS_2014,IF(HostBuild[Server Type]="x86",Support_Direct_Server_x86_Wintel_per_OS_2014,0))))</f>
        <v>187.1</v>
      </c>
      <c r="FI7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8" spans="1:165" s="139" customFormat="1" ht="15" customHeight="1">
      <c r="A78" s="360" t="s">
        <v>3942</v>
      </c>
      <c r="B78" s="521"/>
      <c r="C78" s="521"/>
      <c r="D78" s="521"/>
      <c r="E78" s="522"/>
      <c r="F78" s="522"/>
      <c r="G78" s="597"/>
      <c r="H78" s="597"/>
      <c r="I78" s="523"/>
      <c r="J78" s="522"/>
      <c r="K78" s="522"/>
      <c r="L78" s="522"/>
      <c r="M78" s="597" t="e">
        <f ca="1">IF(rngIsDate(HostBuild[CTO Acceptance]),"Y","N")</f>
        <v>#NAME?</v>
      </c>
      <c r="N78" s="361" t="s">
        <v>3939</v>
      </c>
      <c r="O78" s="525"/>
      <c r="P78" s="525"/>
      <c r="Q78" s="361" t="s">
        <v>212</v>
      </c>
      <c r="R78" s="526" t="str">
        <f>IF(NOT(ISBLANK(HostBuild[Env Label])),IFERROR(VLOOKUP(HostBuild[Env Label],tEnv[],3,FALSE),""),"")</f>
        <v>UAT</v>
      </c>
      <c r="S78" s="598"/>
      <c r="T78" s="527"/>
      <c r="U78" s="599"/>
      <c r="V78" s="524" t="s">
        <v>3937</v>
      </c>
      <c r="W78" s="524" t="s">
        <v>3940</v>
      </c>
      <c r="X78" s="524" t="s">
        <v>35</v>
      </c>
      <c r="Y78" s="361" t="s">
        <v>481</v>
      </c>
      <c r="Z78" s="526" t="str">
        <f>IF(NOT(ISBLANK(HostBuild[[#This Row],[Product 
(Acronym)]])),CONCATENATE(HostBuild[[#This Row],[Type]],"-",HostBuild[[#This Row],[Product 
(Acronym)]]),"")</f>
        <v>AP-ESB</v>
      </c>
      <c r="AA78" s="600"/>
      <c r="AB78" s="600" t="s">
        <v>105</v>
      </c>
      <c r="AC78" s="528"/>
      <c r="AD78" s="529"/>
      <c r="AE78" s="529"/>
      <c r="AF78" s="530"/>
      <c r="AG78" s="531"/>
      <c r="AH78" s="601"/>
      <c r="AI78" s="362" t="s">
        <v>4094</v>
      </c>
      <c r="AJ78" s="524">
        <f>IF(COUNTIF(HostBuild[Alias],HostBuild[Alias]),1/COUNTIF(HostBuild[Alias],HostBuild[Alias]),0)</f>
        <v>1</v>
      </c>
      <c r="AK78" s="531"/>
      <c r="AL78" s="531"/>
      <c r="AM78" s="532" t="s">
        <v>2173</v>
      </c>
      <c r="AN78" s="533" t="str">
        <f>IF(NOT(ISBLANK(HostBuild[Server Model])),VLOOKUP(HostBuild[Server Model],ServerModelsTier[],2,FALSE),"")</f>
        <v>x86 Tier 3</v>
      </c>
      <c r="AO78" s="533" t="str">
        <f>IF(NOT(ISBLANK(HostBuild[Server Model])),VLOOKUP(HostBuild[Server Model],ServerModelsTier[],5,FALSE),"")</f>
        <v>x86</v>
      </c>
      <c r="AP78" s="532"/>
      <c r="AQ78" s="532" t="s">
        <v>2337</v>
      </c>
      <c r="AR78" s="534"/>
      <c r="AS78" s="602"/>
      <c r="AT78" s="535">
        <v>16</v>
      </c>
      <c r="AU78" s="603" t="str">
        <f>IF(IFERROR(FIND("P-Series",HostBuild[Server Tier]),0),CEILING((HostBuild[Existing CPUs]+HostBuild[CPU])*16,8),"")</f>
        <v/>
      </c>
      <c r="AV78" s="536"/>
      <c r="AW78" s="531"/>
      <c r="AX78" s="531"/>
      <c r="AY78" s="531"/>
      <c r="AZ78" s="537"/>
      <c r="BA78" s="531"/>
      <c r="BB78" s="531"/>
      <c r="BC78" s="529"/>
      <c r="BD78" s="531"/>
      <c r="BE78" s="531"/>
      <c r="BF78" s="531"/>
      <c r="BG78" s="531"/>
      <c r="BH78" s="531"/>
      <c r="BI78" s="531"/>
      <c r="BJ78" s="531"/>
      <c r="BK78"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8" s="538">
        <v>270</v>
      </c>
      <c r="BM78" s="540">
        <f>IF(ISNUMBER(HostBuild[Recommended SAN (GB)]),HostBuild[Recommended SAN (GB)])+IF(HostBuild[Additional SAN (GB)]&gt;0,CEILING(HostBuild[Additional SAN (GB)],LUN),-(CEILING(-HostBuild[Additional SAN (GB)],LUN)))</f>
        <v>303.3</v>
      </c>
      <c r="BN78" s="539"/>
      <c r="BO78" s="540">
        <f>HostBuild[SAN (GB)
NEEDED TODAY]+CEILING(HostBuild[SAN (GB)
RESERVED
DO NOT USE TO BUILD], LUN)</f>
        <v>303.3</v>
      </c>
      <c r="BP78" s="541">
        <v>120</v>
      </c>
      <c r="BQ78" s="542"/>
      <c r="BR78" s="432" t="s">
        <v>105</v>
      </c>
      <c r="BS78" s="605">
        <f>IF(HostBuild[Existing Server?]&lt;&gt;"Yes - Inside this BoM",IF(ISNUMBER(HostBuild[RAM 
(GB)]),IF(HostBuild[Existing RAM (GB)]+HostBuild[RAM 
(GB)]&gt;0,IF(HostBuild[Virtual Platform Storage Type]="NAS",110+HostBuild[Existing RAM (GB)]+HostBuild[RAM 
(GB)]*1.75,0),0),0),0)</f>
        <v>0</v>
      </c>
      <c r="BT78" s="606"/>
      <c r="BU78" s="607">
        <f>IF(ISNUMBER(HostBuild[Recommended NAS (GB)]),HostBuild[Recommended NAS (GB)])+HostBuild[Additional NAS (GB)]</f>
        <v>0</v>
      </c>
      <c r="BV78" s="543"/>
      <c r="BW78" s="543"/>
      <c r="BX78" s="604">
        <f>IFERROR((HostBuild[SAN (GB)
End-State
DO NOT USE TO BUILD]+HostBuild[SAN (GB) Shared])*25%,"")</f>
        <v>105.825</v>
      </c>
      <c r="BY78" s="608">
        <f>IFERROR(HostBuild[Archive
Full (GB)]*15%,"")</f>
        <v>15.873749999999999</v>
      </c>
      <c r="BZ78" s="544"/>
      <c r="CA78" s="544"/>
      <c r="CB78" s="545"/>
      <c r="CC78" s="546"/>
      <c r="CD78" s="545"/>
      <c r="CE78" s="547"/>
      <c r="CF78" s="539"/>
      <c r="CG78" s="609"/>
      <c r="CH78" s="548"/>
      <c r="CI78" s="549"/>
      <c r="CJ78" s="550" t="s">
        <v>4126</v>
      </c>
      <c r="CK78" s="551"/>
      <c r="CL78" s="552">
        <f>IFERROR(IF(FIND(CL$1,$W78)&gt;0,IF(INDEX(Product_Pricing_Table[],MATCH(CL$1,Products,0),2)="Cores",IF(HostBuild[Use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8" s="552">
        <f>IFERROR(IF(FIND(CM$1,$W78)&gt;0,IF(INDEX(Product_Pricing_Table[],MATCH(CM$1,Products,0),2)="Cores",IF(HostBuild[Use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8" s="552">
        <f>IFERROR(IF(FIND(CN$1,$W78)&gt;0,IF(INDEX(Product_Pricing_Table[],MATCH(CN$1,Products,0),2)="Cores",IF(HostBuild[Use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8" s="552">
        <f>IFERROR(IF(FIND(CO$1,$W78)&gt;0,IF(INDEX(Product_Pricing_Table[],MATCH(CO$1,Products,0),2)="Cores",IF(HostBuild[Use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8" s="552">
        <f>IFERROR(IF(FIND(CP$1,$W78)&gt;0,IF(INDEX(Product_Pricing_Table[],MATCH(CP$1,Products,0),2)="Cores",IF(HostBuild[Use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8" s="552">
        <f>IFERROR(IF(FIND(CQ$1,$W78)&gt;0,IF(INDEX(Product_Pricing_Table[],MATCH(CQ$1,Products,0),2)="Cores",IF(HostBuild[Use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8" s="552">
        <f>IFERROR(IF(FIND(CR$1,$W78)&gt;0,IF(INDEX(Product_Pricing_Table[],MATCH(CR$1,Products,0),2)="Cores",IF(HostBuild[Use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8" s="552">
        <f>IFERROR(IF(FIND(CS$1,$W78)&gt;0,IF(INDEX(Product_Pricing_Table[],MATCH(CS$1,Products,0),2)="Cores",IF(HostBuild[Use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8" s="552">
        <f>IFERROR(IF(FIND(CT$1,$W78)&gt;0,IF(INDEX(Product_Pricing_Table[],MATCH(CT$1,Products,0),2)="Cores",IF(HostBuild[Use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8" s="552">
        <f>IFERROR(IF(FIND(CU$1,$W78)&gt;0,IF(INDEX(Product_Pricing_Table[],MATCH(CU$1,Products,0),2)="Cores",IF(HostBuild[Use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8" s="552">
        <f>IFERROR(IF(FIND(CV$1,$W78)&gt;0,IF(INDEX(Product_Pricing_Table[],MATCH(CV$1,Products,0),2)="Cores",IF(HostBuild[Use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8" s="552">
        <f>IFERROR(IF(FIND(CW$1,$W78)&gt;0,IF(INDEX(Product_Pricing_Table[],MATCH(CW$1,Products,0),2)="Cores",IF(HostBuild[Use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8" s="552">
        <f>IFERROR(IF(FIND(CX$1,$W78)&gt;0,IF(INDEX(Product_Pricing_Table[],MATCH(CX$1,Products,0),2)="Cores",IF(HostBuild[Use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8" s="552">
        <f>IFERROR(IF(FIND(CY$1,$W78)&gt;0,IF(INDEX(Product_Pricing_Table[],MATCH(CY$1,Products,0),2)="Cores",IF(HostBuild[Use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8" s="552">
        <f>IFERROR(IF(FIND(CZ$1,$W78)&gt;0,IF(INDEX(Product_Pricing_Table[],MATCH(CZ$1,Products,0),2)="Cores",IF(HostBuild[Use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8" s="552">
        <f>IFERROR(IF(FIND(DA$1,$W78)&gt;0,IF(INDEX(Product_Pricing_Table[],MATCH(DA$1,Products,0),2)="Cores",IF(HostBuild[Use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8" s="552">
        <f>IFERROR(IF(FIND(DB$1,$W78)&gt;0,IF(INDEX(Product_Pricing_Table[],MATCH(DB$1,Products,0),2)="Cores",IF(HostBuild[Use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8" s="552">
        <f>IFERROR(IF(FIND(DC$1,$W78)&gt;0,IF(INDEX(Product_Pricing_Table[],MATCH(DC$1,Products,0),2)="Cores",IF(HostBuild[Use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8" s="552">
        <f>IFERROR(IF(FIND(DD$1,$W78)&gt;0,IF(INDEX(Product_Pricing_Table[],MATCH(DD$1,Products,0),2)="Cores",IF(HostBuild[Use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8" s="552">
        <f>IFERROR(IF(FIND(DE$1,$W78)&gt;0,IF(INDEX(Product_Pricing_Table[],MATCH(DE$1,Products,0),2)="Cores",IF(HostBuild[Use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8" s="553">
        <f>IFERROR(IF(FIND(DF$1,$W78)&gt;0,IF(INDEX(Product_Pricing_Table[],MATCH(DF$1,Products,0),2)="Cores",IF(HostBuild[Use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8" s="553">
        <f>IFERROR(IF(FIND(DG$1,$W78)&gt;0,IF(INDEX(Product_Pricing_Table[],MATCH(DG$1,Products,0),2)="Cores",IF(HostBuild[Use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8" s="552">
        <f>IFERROR(IF(FIND(DH$1,$W78)&gt;0,IF(INDEX(Product_Pricing_Table[],MATCH(DH$1,Products,0),2)="Cores",IF(HostBuild[Use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8" s="553">
        <f>IFERROR(IF(FIND(DI$1,$W78)&gt;0,IF(INDEX(Product_Pricing_Table[],MATCH(DI$1,Products,0),2)="Cores",IF(HostBuild[Use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8" s="552">
        <f>IFERROR(IF(FIND(DJ$1,$W78)&gt;0,IF(INDEX(Product_Pricing_Table[],MATCH(DJ$1,Products,0),2)="Cores",IF(HostBuild[Use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8" s="552">
        <f>IFERROR(IF(FIND(DK$1,$W78)&gt;0,IF(INDEX(Product_Pricing_Table[],MATCH(DK$1,Products,0),2)="Cores",IF(HostBuild[Use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8" s="552">
        <f>IFERROR(IF(FIND(DL$1,$W78)&gt;0,IF(INDEX(Product_Pricing_Table[],MATCH(DL$1,Products,0),2)="Cores",IF(HostBuild[Use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8" s="552">
        <f>IFERROR(IF(FIND(DM$1,$W78)&gt;0,IF(INDEX(Product_Pricing_Table[],MATCH(DM$1,Products,0),2)="Cores",IF(HostBuild[Use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8" s="552">
        <f>IFERROR(IF(FIND(DN$1,$W78)&gt;0,IF(INDEX(Product_Pricing_Table[],MATCH(DN$1,Products,0),2)="Cores",IF(HostBuild[Use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8" s="552">
        <f>IFERROR(IF(FIND(DO$1,$W78)&gt;0,IF(INDEX(Product_Pricing_Table[],MATCH(DO$1,Products,0),2)="Cores",IF(HostBuild[Use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8" s="552">
        <f>IFERROR(IF(FIND(DP$1,$W78)&gt;0,IF(INDEX(Product_Pricing_Table[],MATCH(DP$1,Products,0),2)="Cores",IF(HostBuild[Use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8" s="552">
        <f>IFERROR(IF(FIND(DQ$1,$W78)&gt;0,IF(INDEX(Product_Pricing_Table[],MATCH(DQ$1,Products,0),2)="Cores",IF(HostBuild[Use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8" s="552">
        <f>IFERROR(IF(FIND(DR$1,$W78)&gt;0,IF(INDEX(Product_Pricing_Table[],MATCH(DR$1,Products,0),2)="Cores",IF(HostBuild[Use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8" s="552">
        <f>IFERROR(IF(FIND(DS$1,$W78)&gt;0,IF(INDEX(Product_Pricing_Table[],MATCH(DS$1,Products,0),2)="Cores",IF(HostBuild[Use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8" s="552">
        <f>IFERROR(IF(FIND(DT$1,$W78)&gt;0,IF(INDEX(Product_Pricing_Table[],MATCH(DT$1,Products,0),2)="Cores",IF(HostBuild[Use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8" s="552">
        <f>IFERROR(IF(FIND(DU$1,$W78)&gt;0,IF(INDEX(Product_Pricing_Table[],MATCH(DU$1,Products,0),2)="Cores",IF(HostBuild[Use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8" s="552">
        <f>IFERROR(IF(FIND(DV$1,$W78)&gt;0,IF(INDEX(Product_Pricing_Table[],MATCH(DV$1,Products,0),2)="Cores",IF(HostBuild[Use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8" s="552">
        <f>IFERROR(IF(FIND(DW$1,$W78)&gt;0,IF(INDEX(Product_Pricing_Table[],MATCH(DW$1,Products,0),2)="Cores",IF(HostBuild[Use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8" s="552">
        <f>IFERROR(IF(FIND(DX$1,$W78)&gt;0,IF(INDEX(Product_Pricing_Table[],MATCH(DX$1,Products,0),2)="Cores",IF(HostBuild[Use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8" s="552">
        <f>IFERROR(IF(FIND(DY$1,$W78)&gt;0,IF(INDEX(Product_Pricing_Table[],MATCH(DY$1,Products,0),2)="Cores",IF(HostBuild[Use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8" s="552">
        <f>IFERROR(IF(FIND(DZ$1,$W78)&gt;0,IF(INDEX(Product_Pricing_Table[],MATCH(DZ$1,Products,0),2)="Cores",IF(HostBuild[Use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8" s="552">
        <f>IFERROR(IF(FIND(EA$1,$W78)&gt;0,IF(INDEX(Product_Pricing_Table[],MATCH(EA$1,Products,0),2)="Cores",IF(HostBuild[Use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8" s="552">
        <f>IFERROR(IF(FIND(EB$1,$W78)&gt;0,IF(INDEX(Product_Pricing_Table[],MATCH(EB$1,Products,0),2)="Cores",IF(HostBuild[Use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8" s="553">
        <f>IFERROR(IF(FIND(EC$1,$W78)&gt;0,IF(INDEX(Product_Pricing_Table[],MATCH(EC$1,Products,0),2)="Cores",IF(HostBuild[Use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8" s="552">
        <f>IFERROR(IF(FIND(ED$1,$W78)&gt;0,IF(INDEX(Product_Pricing_Table[],MATCH(ED$1,Products,0),2)="Cores",IF(HostBuild[Use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8" s="552">
        <f>IFERROR(IF(FIND(EE$1,$W78)&gt;0,IF(INDEX(Product_Pricing_Table[],MATCH(EE$1,Products,0),2)="Cores",IF(HostBuild[Use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8" s="552">
        <f>IFERROR(IF(FIND(EF$1,$W78)&gt;0,IF(INDEX(Product_Pricing_Table[],MATCH(EF$1,Products,0),2)="Cores",IF(HostBuild[Use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8" s="552">
        <f>IFERROR(IF(FIND(EG$1,$W78)&gt;0,IF(INDEX(Product_Pricing_Table[],MATCH(EG$1,Products,0),2)="Cores",IF(HostBuild[Use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8" s="552">
        <f>IFERROR(IF(FIND(EH$1,$W78)&gt;0,IF(INDEX(Product_Pricing_Table[],MATCH(EH$1,Products,0),2)="Cores",IF(HostBuild[Use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8" s="552">
        <f>IFERROR(IF(FIND(EI$1,$W78)&gt;0,IF(INDEX(Product_Pricing_Table[],MATCH(EI$1,Products,0),2)="Cores",IF(HostBuild[Use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78" s="552">
        <f>IFERROR(IF(FIND(EJ$1,$W78)&gt;0,IF(INDEX(Product_Pricing_Table[],MATCH(EJ$1,Products,0),2)="Cores",IF(HostBuild[Use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8" s="553">
        <f>IFERROR(IF(FIND(EK$1,$W78)&gt;0,IF(INDEX(Product_Pricing_Table[],MATCH(EK$1,Products,0),2)="Cores",IF(HostBuild[Use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8" s="554"/>
      <c r="EM78" s="555"/>
      <c r="EN78" s="556"/>
      <c r="EO78"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7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271.28500000000003</v>
      </c>
      <c r="EQ78" s="558">
        <f>(HostBuild[Archive
Full (GB)]+HostBuild[Archive
Incr (GB)])*Storage_DC_Dist_Tape_2014</f>
        <v>42.594562500000002</v>
      </c>
      <c r="ER78" s="558">
        <f>IF(ISNUMBER(HostBuild[Server HW Costs
(Monthly)]),SUM(HostBuild[[#This Row],[Server HW Costs
(Monthly)]:[Tape Costs
(Monthly)]]),0)</f>
        <v>500.97956249999999</v>
      </c>
      <c r="ES78" s="559">
        <f>HostBuild[Software Costs
'[Year 1']
(Monthly)]+HostBuild[Total Hardware Costs
(Monthly)]</f>
        <v>500.97956249999999</v>
      </c>
      <c r="ET78" s="559">
        <f>IFERROR(IF(FIND("Safenet",HostBuild[Server Model]),Safenet_PSE_PL600_Maint,0),0)+IFERROR(IF(FIND("XI52",HostBuild[Server Model]),IBM_DIA_XI52_Maint,0),0)+HostBuild[Software Costs
'[After Year 1']
(Monthly)]+HostBuild[Total Hardware Costs
(Monthly)]</f>
        <v>500.97956249999999</v>
      </c>
      <c r="EU78" s="560">
        <f>SUM(HostBuild[[#This Row],[Server Cost Breakdown]:[Network Cost]])</f>
        <v>187.1</v>
      </c>
      <c r="EV78" s="561">
        <f>IF(HostBuild[Existing Server?]="Yes - Inside this BoM",0,SUMIF(HostBuild[Alias],HostBuild[Alias],HostBuild[CPU])+SUMIF(HostBuild[Alias],HostBuild[Alias],HostBuild[Existing CPUs]))</f>
        <v>0</v>
      </c>
      <c r="EW78" s="561">
        <f>IF(HostBuild[Existing Server?]="Yes - Inside this BoM",0,SUMIF(HostBuild[Alias],HostBuild[Alias],HostBuild[Cores 
(Licensed Units)])+SUMIF(HostBuild[Alias],HostBuild[Alias],HostBuild[Existing Cores]))</f>
        <v>16</v>
      </c>
      <c r="EX78" s="561">
        <f>IF(HostBuild[Existing Server?]="Yes - Inside this BoM",0,SUMIF(HostBuild[Alias],HostBuild[Alias],HostBuild[RAM 
(GB)])+SUMIF(HostBuild[Alias],HostBuild[Alias],HostBuild[Existing RAM (GB)]))</f>
        <v>0</v>
      </c>
      <c r="EY7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8" s="560">
        <f>IF(ISBLANK(HostBuild[Server Model]),0,IF(HostBuild[Server Tier]="VMware",0,VLOOKUP(HostBuild[Server Tier],ServerTierRates[#Data],2,0))*HostBuild[CPU]*IF(AND(HostBuild[Server Type]="pSeries",HostBuild[Virtual Platform Storage Type]="Cloud-SAN"),0.25,1))</f>
        <v>0</v>
      </c>
      <c r="FD78" s="560">
        <f>0</f>
        <v>0</v>
      </c>
      <c r="FE78" s="560">
        <f>IF(HostBuild[Server Type]="VMware",HostBuild[RAM 
(GB)]*IF(ISERROR(FIND("DevCloud", HostBuild[Server Model])&gt;0),vRAM_per_vCPU_2014_Monthly,vRAM_per_vCPU_2014_Daily*30),0)</f>
        <v>0</v>
      </c>
      <c r="FF7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8" s="563">
        <f>IF(HostBuild[Server Tier]="VMware",0,IF(LEFT(HostBuild[Existing Server?],3)="Yes",0,IF(OR(HostBuild[Server Type]="Sun",HostBuild[Server Type]="pSeries"),Support_Direct_Server_Sun_per_OS_2014,IF(HostBuild[Server Type]="x86",Support_Direct_Server_x86_Wintel_per_OS_2014,0))))</f>
        <v>187.1</v>
      </c>
      <c r="FI7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79" spans="1:165" s="139" customFormat="1" ht="15" customHeight="1">
      <c r="A79" s="360" t="s">
        <v>3942</v>
      </c>
      <c r="B79" s="521"/>
      <c r="C79" s="521"/>
      <c r="D79" s="521"/>
      <c r="E79" s="522"/>
      <c r="F79" s="522"/>
      <c r="G79" s="597"/>
      <c r="H79" s="597"/>
      <c r="I79" s="523"/>
      <c r="J79" s="522"/>
      <c r="K79" s="522"/>
      <c r="L79" s="522"/>
      <c r="M79" s="597" t="e">
        <f ca="1">IF(rngIsDate(HostBuild[CTO Acceptance]),"Y","N")</f>
        <v>#NAME?</v>
      </c>
      <c r="N79" s="361" t="s">
        <v>3939</v>
      </c>
      <c r="O79" s="525"/>
      <c r="P79" s="525"/>
      <c r="Q79" s="361" t="s">
        <v>212</v>
      </c>
      <c r="R79" s="526" t="str">
        <f>IF(NOT(ISBLANK(HostBuild[Env Label])),IFERROR(VLOOKUP(HostBuild[Env Label],tEnv[],3,FALSE),""),"")</f>
        <v>UAT</v>
      </c>
      <c r="S79" s="598"/>
      <c r="T79" s="527"/>
      <c r="U79" s="599"/>
      <c r="V79" s="524" t="s">
        <v>3937</v>
      </c>
      <c r="W79" s="524" t="s">
        <v>3940</v>
      </c>
      <c r="X79" s="524" t="s">
        <v>35</v>
      </c>
      <c r="Y79" s="361" t="s">
        <v>481</v>
      </c>
      <c r="Z79" s="526" t="str">
        <f>IF(NOT(ISBLANK(HostBuild[[#This Row],[Product 
(Acronym)]])),CONCATENATE(HostBuild[[#This Row],[Type]],"-",HostBuild[[#This Row],[Product 
(Acronym)]]),"")</f>
        <v>AP-ESB</v>
      </c>
      <c r="AA79" s="600"/>
      <c r="AB79" s="600" t="s">
        <v>105</v>
      </c>
      <c r="AC79" s="528"/>
      <c r="AD79" s="529"/>
      <c r="AE79" s="529"/>
      <c r="AF79" s="530"/>
      <c r="AG79" s="531"/>
      <c r="AH79" s="601"/>
      <c r="AI79" s="362" t="s">
        <v>4095</v>
      </c>
      <c r="AJ79" s="524">
        <f>IF(COUNTIF(HostBuild[Alias],HostBuild[Alias]),1/COUNTIF(HostBuild[Alias],HostBuild[Alias]),0)</f>
        <v>1</v>
      </c>
      <c r="AK79" s="531"/>
      <c r="AL79" s="531"/>
      <c r="AM79" s="532" t="s">
        <v>2173</v>
      </c>
      <c r="AN79" s="533" t="str">
        <f>IF(NOT(ISBLANK(HostBuild[Server Model])),VLOOKUP(HostBuild[Server Model],ServerModelsTier[],2,FALSE),"")</f>
        <v>x86 Tier 3</v>
      </c>
      <c r="AO79" s="533" t="str">
        <f>IF(NOT(ISBLANK(HostBuild[Server Model])),VLOOKUP(HostBuild[Server Model],ServerModelsTier[],5,FALSE),"")</f>
        <v>x86</v>
      </c>
      <c r="AP79" s="532"/>
      <c r="AQ79" s="532" t="s">
        <v>2337</v>
      </c>
      <c r="AR79" s="534"/>
      <c r="AS79" s="602"/>
      <c r="AT79" s="535">
        <v>16</v>
      </c>
      <c r="AU79" s="603" t="str">
        <f>IF(IFERROR(FIND("P-Series",HostBuild[Server Tier]),0),CEILING((HostBuild[Existing CPUs]+HostBuild[CPU])*16,8),"")</f>
        <v/>
      </c>
      <c r="AV79" s="536"/>
      <c r="AW79" s="531"/>
      <c r="AX79" s="531"/>
      <c r="AY79" s="531"/>
      <c r="AZ79" s="537"/>
      <c r="BA79" s="531"/>
      <c r="BB79" s="531"/>
      <c r="BC79" s="529"/>
      <c r="BD79" s="531"/>
      <c r="BE79" s="531"/>
      <c r="BF79" s="531"/>
      <c r="BG79" s="531"/>
      <c r="BH79" s="531"/>
      <c r="BI79" s="531"/>
      <c r="BJ79" s="531"/>
      <c r="BK79"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79" s="538">
        <v>150</v>
      </c>
      <c r="BM79" s="540">
        <f>IF(ISNUMBER(HostBuild[Recommended SAN (GB)]),HostBuild[Recommended SAN (GB)])+IF(HostBuild[Additional SAN (GB)]&gt;0,CEILING(HostBuild[Additional SAN (GB)],LUN),-(CEILING(-HostBuild[Additional SAN (GB)],LUN)))</f>
        <v>168.5</v>
      </c>
      <c r="BN79" s="539"/>
      <c r="BO79" s="540">
        <f>HostBuild[SAN (GB)
NEEDED TODAY]+CEILING(HostBuild[SAN (GB)
RESERVED
DO NOT USE TO BUILD], LUN)</f>
        <v>168.5</v>
      </c>
      <c r="BP79" s="541"/>
      <c r="BQ79" s="542"/>
      <c r="BR79" s="432" t="s">
        <v>105</v>
      </c>
      <c r="BS79" s="605">
        <f>IF(HostBuild[Existing Server?]&lt;&gt;"Yes - Inside this BoM",IF(ISNUMBER(HostBuild[RAM 
(GB)]),IF(HostBuild[Existing RAM (GB)]+HostBuild[RAM 
(GB)]&gt;0,IF(HostBuild[Virtual Platform Storage Type]="NAS",110+HostBuild[Existing RAM (GB)]+HostBuild[RAM 
(GB)]*1.75,0),0),0),0)</f>
        <v>0</v>
      </c>
      <c r="BT79" s="606"/>
      <c r="BU79" s="607">
        <f>IF(ISNUMBER(HostBuild[Recommended NAS (GB)]),HostBuild[Recommended NAS (GB)])+HostBuild[Additional NAS (GB)]</f>
        <v>0</v>
      </c>
      <c r="BV79" s="543"/>
      <c r="BW79" s="543"/>
      <c r="BX79" s="604">
        <f>IFERROR((HostBuild[SAN (GB)
End-State
DO NOT USE TO BUILD]+HostBuild[SAN (GB) Shared])*25%,"")</f>
        <v>42.125</v>
      </c>
      <c r="BY79" s="608">
        <f>IFERROR(HostBuild[Archive
Full (GB)]*15%,"")</f>
        <v>6.3187499999999996</v>
      </c>
      <c r="BZ79" s="544"/>
      <c r="CA79" s="544"/>
      <c r="CB79" s="545"/>
      <c r="CC79" s="546"/>
      <c r="CD79" s="545"/>
      <c r="CE79" s="547"/>
      <c r="CF79" s="539"/>
      <c r="CG79" s="609"/>
      <c r="CH79" s="548"/>
      <c r="CI79" s="549"/>
      <c r="CJ79" s="550" t="s">
        <v>4126</v>
      </c>
      <c r="CK79" s="551"/>
      <c r="CL79" s="552">
        <f>IFERROR(IF(FIND(CL$1,$W79)&gt;0,IF(INDEX(Product_Pricing_Table[],MATCH(CL$1,Products,0),2)="Cores",IF(HostBuild[Use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79" s="552">
        <f>IFERROR(IF(FIND(CM$1,$W79)&gt;0,IF(INDEX(Product_Pricing_Table[],MATCH(CM$1,Products,0),2)="Cores",IF(HostBuild[Use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79" s="552">
        <f>IFERROR(IF(FIND(CN$1,$W79)&gt;0,IF(INDEX(Product_Pricing_Table[],MATCH(CN$1,Products,0),2)="Cores",IF(HostBuild[Use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79" s="552">
        <f>IFERROR(IF(FIND(CO$1,$W79)&gt;0,IF(INDEX(Product_Pricing_Table[],MATCH(CO$1,Products,0),2)="Cores",IF(HostBuild[Use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79" s="552">
        <f>IFERROR(IF(FIND(CP$1,$W79)&gt;0,IF(INDEX(Product_Pricing_Table[],MATCH(CP$1,Products,0),2)="Cores",IF(HostBuild[Use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79" s="552">
        <f>IFERROR(IF(FIND(CQ$1,$W79)&gt;0,IF(INDEX(Product_Pricing_Table[],MATCH(CQ$1,Products,0),2)="Cores",IF(HostBuild[Use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79" s="552">
        <f>IFERROR(IF(FIND(CR$1,$W79)&gt;0,IF(INDEX(Product_Pricing_Table[],MATCH(CR$1,Products,0),2)="Cores",IF(HostBuild[Use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79" s="552">
        <f>IFERROR(IF(FIND(CS$1,$W79)&gt;0,IF(INDEX(Product_Pricing_Table[],MATCH(CS$1,Products,0),2)="Cores",IF(HostBuild[Use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79" s="552">
        <f>IFERROR(IF(FIND(CT$1,$W79)&gt;0,IF(INDEX(Product_Pricing_Table[],MATCH(CT$1,Products,0),2)="Cores",IF(HostBuild[Use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79" s="552">
        <f>IFERROR(IF(FIND(CU$1,$W79)&gt;0,IF(INDEX(Product_Pricing_Table[],MATCH(CU$1,Products,0),2)="Cores",IF(HostBuild[Use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79" s="552">
        <f>IFERROR(IF(FIND(CV$1,$W79)&gt;0,IF(INDEX(Product_Pricing_Table[],MATCH(CV$1,Products,0),2)="Cores",IF(HostBuild[Use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79" s="552">
        <f>IFERROR(IF(FIND(CW$1,$W79)&gt;0,IF(INDEX(Product_Pricing_Table[],MATCH(CW$1,Products,0),2)="Cores",IF(HostBuild[Use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79" s="552">
        <f>IFERROR(IF(FIND(CX$1,$W79)&gt;0,IF(INDEX(Product_Pricing_Table[],MATCH(CX$1,Products,0),2)="Cores",IF(HostBuild[Use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79" s="552">
        <f>IFERROR(IF(FIND(CY$1,$W79)&gt;0,IF(INDEX(Product_Pricing_Table[],MATCH(CY$1,Products,0),2)="Cores",IF(HostBuild[Use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79" s="552">
        <f>IFERROR(IF(FIND(CZ$1,$W79)&gt;0,IF(INDEX(Product_Pricing_Table[],MATCH(CZ$1,Products,0),2)="Cores",IF(HostBuild[Use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79" s="552">
        <f>IFERROR(IF(FIND(DA$1,$W79)&gt;0,IF(INDEX(Product_Pricing_Table[],MATCH(DA$1,Products,0),2)="Cores",IF(HostBuild[Use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79" s="552">
        <f>IFERROR(IF(FIND(DB$1,$W79)&gt;0,IF(INDEX(Product_Pricing_Table[],MATCH(DB$1,Products,0),2)="Cores",IF(HostBuild[Use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79" s="552">
        <f>IFERROR(IF(FIND(DC$1,$W79)&gt;0,IF(INDEX(Product_Pricing_Table[],MATCH(DC$1,Products,0),2)="Cores",IF(HostBuild[Use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79" s="552">
        <f>IFERROR(IF(FIND(DD$1,$W79)&gt;0,IF(INDEX(Product_Pricing_Table[],MATCH(DD$1,Products,0),2)="Cores",IF(HostBuild[Use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79" s="552">
        <f>IFERROR(IF(FIND(DE$1,$W79)&gt;0,IF(INDEX(Product_Pricing_Table[],MATCH(DE$1,Products,0),2)="Cores",IF(HostBuild[Use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79" s="553">
        <f>IFERROR(IF(FIND(DF$1,$W79)&gt;0,IF(INDEX(Product_Pricing_Table[],MATCH(DF$1,Products,0),2)="Cores",IF(HostBuild[Use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79" s="553">
        <f>IFERROR(IF(FIND(DG$1,$W79)&gt;0,IF(INDEX(Product_Pricing_Table[],MATCH(DG$1,Products,0),2)="Cores",IF(HostBuild[Use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79" s="552">
        <f>IFERROR(IF(FIND(DH$1,$W79)&gt;0,IF(INDEX(Product_Pricing_Table[],MATCH(DH$1,Products,0),2)="Cores",IF(HostBuild[Use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79" s="553">
        <f>IFERROR(IF(FIND(DI$1,$W79)&gt;0,IF(INDEX(Product_Pricing_Table[],MATCH(DI$1,Products,0),2)="Cores",IF(HostBuild[Use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79" s="552">
        <f>IFERROR(IF(FIND(DJ$1,$W79)&gt;0,IF(INDEX(Product_Pricing_Table[],MATCH(DJ$1,Products,0),2)="Cores",IF(HostBuild[Use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79" s="552">
        <f>IFERROR(IF(FIND(DK$1,$W79)&gt;0,IF(INDEX(Product_Pricing_Table[],MATCH(DK$1,Products,0),2)="Cores",IF(HostBuild[Use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79" s="552">
        <f>IFERROR(IF(FIND(DL$1,$W79)&gt;0,IF(INDEX(Product_Pricing_Table[],MATCH(DL$1,Products,0),2)="Cores",IF(HostBuild[Use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79" s="552">
        <f>IFERROR(IF(FIND(DM$1,$W79)&gt;0,IF(INDEX(Product_Pricing_Table[],MATCH(DM$1,Products,0),2)="Cores",IF(HostBuild[Use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79" s="552">
        <f>IFERROR(IF(FIND(DN$1,$W79)&gt;0,IF(INDEX(Product_Pricing_Table[],MATCH(DN$1,Products,0),2)="Cores",IF(HostBuild[Use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79" s="552">
        <f>IFERROR(IF(FIND(DO$1,$W79)&gt;0,IF(INDEX(Product_Pricing_Table[],MATCH(DO$1,Products,0),2)="Cores",IF(HostBuild[Use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79" s="552">
        <f>IFERROR(IF(FIND(DP$1,$W79)&gt;0,IF(INDEX(Product_Pricing_Table[],MATCH(DP$1,Products,0),2)="Cores",IF(HostBuild[Use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79" s="552">
        <f>IFERROR(IF(FIND(DQ$1,$W79)&gt;0,IF(INDEX(Product_Pricing_Table[],MATCH(DQ$1,Products,0),2)="Cores",IF(HostBuild[Use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79" s="552">
        <f>IFERROR(IF(FIND(DR$1,$W79)&gt;0,IF(INDEX(Product_Pricing_Table[],MATCH(DR$1,Products,0),2)="Cores",IF(HostBuild[Use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79" s="552">
        <f>IFERROR(IF(FIND(DS$1,$W79)&gt;0,IF(INDEX(Product_Pricing_Table[],MATCH(DS$1,Products,0),2)="Cores",IF(HostBuild[Use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79" s="552">
        <f>IFERROR(IF(FIND(DT$1,$W79)&gt;0,IF(INDEX(Product_Pricing_Table[],MATCH(DT$1,Products,0),2)="Cores",IF(HostBuild[Use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79" s="552">
        <f>IFERROR(IF(FIND(DU$1,$W79)&gt;0,IF(INDEX(Product_Pricing_Table[],MATCH(DU$1,Products,0),2)="Cores",IF(HostBuild[Use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79" s="552">
        <f>IFERROR(IF(FIND(DV$1,$W79)&gt;0,IF(INDEX(Product_Pricing_Table[],MATCH(DV$1,Products,0),2)="Cores",IF(HostBuild[Use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79" s="552">
        <f>IFERROR(IF(FIND(DW$1,$W79)&gt;0,IF(INDEX(Product_Pricing_Table[],MATCH(DW$1,Products,0),2)="Cores",IF(HostBuild[Use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79" s="552">
        <f>IFERROR(IF(FIND(DX$1,$W79)&gt;0,IF(INDEX(Product_Pricing_Table[],MATCH(DX$1,Products,0),2)="Cores",IF(HostBuild[Use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79" s="552">
        <f>IFERROR(IF(FIND(DY$1,$W79)&gt;0,IF(INDEX(Product_Pricing_Table[],MATCH(DY$1,Products,0),2)="Cores",IF(HostBuild[Use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79" s="552">
        <f>IFERROR(IF(FIND(DZ$1,$W79)&gt;0,IF(INDEX(Product_Pricing_Table[],MATCH(DZ$1,Products,0),2)="Cores",IF(HostBuild[Use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79" s="552">
        <f>IFERROR(IF(FIND(EA$1,$W79)&gt;0,IF(INDEX(Product_Pricing_Table[],MATCH(EA$1,Products,0),2)="Cores",IF(HostBuild[Use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79" s="552">
        <f>IFERROR(IF(FIND(EB$1,$W79)&gt;0,IF(INDEX(Product_Pricing_Table[],MATCH(EB$1,Products,0),2)="Cores",IF(HostBuild[Use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79" s="553">
        <f>IFERROR(IF(FIND(EC$1,$W79)&gt;0,IF(INDEX(Product_Pricing_Table[],MATCH(EC$1,Products,0),2)="Cores",IF(HostBuild[Use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79" s="552">
        <f>IFERROR(IF(FIND(ED$1,$W79)&gt;0,IF(INDEX(Product_Pricing_Table[],MATCH(ED$1,Products,0),2)="Cores",IF(HostBuild[Use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79" s="552">
        <f>IFERROR(IF(FIND(EE$1,$W79)&gt;0,IF(INDEX(Product_Pricing_Table[],MATCH(EE$1,Products,0),2)="Cores",IF(HostBuild[Use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79" s="552">
        <f>IFERROR(IF(FIND(EF$1,$W79)&gt;0,IF(INDEX(Product_Pricing_Table[],MATCH(EF$1,Products,0),2)="Cores",IF(HostBuild[Use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79" s="552">
        <f>IFERROR(IF(FIND(EG$1,$W79)&gt;0,IF(INDEX(Product_Pricing_Table[],MATCH(EG$1,Products,0),2)="Cores",IF(HostBuild[Use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79" s="552">
        <f>IFERROR(IF(FIND(EH$1,$W79)&gt;0,IF(INDEX(Product_Pricing_Table[],MATCH(EH$1,Products,0),2)="Cores",IF(HostBuild[Use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79" s="552">
        <f>IFERROR(IF(FIND(EI$1,$W79)&gt;0,IF(INDEX(Product_Pricing_Table[],MATCH(EI$1,Products,0),2)="Cores",IF(HostBuild[Use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16</v>
      </c>
      <c r="EJ79" s="552">
        <f>IFERROR(IF(FIND(EJ$1,$W79)&gt;0,IF(INDEX(Product_Pricing_Table[],MATCH(EJ$1,Products,0),2)="Cores",IF(HostBuild[Use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79" s="553">
        <f>IFERROR(IF(FIND(EK$1,$W79)&gt;0,IF(INDEX(Product_Pricing_Table[],MATCH(EK$1,Products,0),2)="Cores",IF(HostBuild[Use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79" s="554"/>
      <c r="EM79" s="555"/>
      <c r="EN79" s="556"/>
      <c r="EO79"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7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79" s="558">
        <f>(HostBuild[Archive
Full (GB)]+HostBuild[Archive
Incr (GB)])*Storage_DC_Dist_Tape_2014</f>
        <v>16.955312499999998</v>
      </c>
      <c r="ER79" s="558">
        <f>IF(ISNUMBER(HostBuild[Server HW Costs
(Monthly)]),SUM(HostBuild[[#This Row],[Server HW Costs
(Monthly)]:[Tape Costs
(Monthly)]]),0)</f>
        <v>279.8803125</v>
      </c>
      <c r="ES79" s="559">
        <f>HostBuild[Software Costs
'[Year 1']
(Monthly)]+HostBuild[Total Hardware Costs
(Monthly)]</f>
        <v>279.8803125</v>
      </c>
      <c r="ET79" s="559">
        <f>IFERROR(IF(FIND("Safenet",HostBuild[Server Model]),Safenet_PSE_PL600_Maint,0),0)+IFERROR(IF(FIND("XI52",HostBuild[Server Model]),IBM_DIA_XI52_Maint,0),0)+HostBuild[Software Costs
'[After Year 1']
(Monthly)]+HostBuild[Total Hardware Costs
(Monthly)]</f>
        <v>279.8803125</v>
      </c>
      <c r="EU79" s="560">
        <f>SUM(HostBuild[[#This Row],[Server Cost Breakdown]:[Network Cost]])</f>
        <v>187.1</v>
      </c>
      <c r="EV79" s="561">
        <f>IF(HostBuild[Existing Server?]="Yes - Inside this BoM",0,SUMIF(HostBuild[Alias],HostBuild[Alias],HostBuild[CPU])+SUMIF(HostBuild[Alias],HostBuild[Alias],HostBuild[Existing CPUs]))</f>
        <v>0</v>
      </c>
      <c r="EW79" s="561">
        <f>IF(HostBuild[Existing Server?]="Yes - Inside this BoM",0,SUMIF(HostBuild[Alias],HostBuild[Alias],HostBuild[Cores 
(Licensed Units)])+SUMIF(HostBuild[Alias],HostBuild[Alias],HostBuild[Existing Cores]))</f>
        <v>16</v>
      </c>
      <c r="EX79" s="561">
        <f>IF(HostBuild[Existing Server?]="Yes - Inside this BoM",0,SUMIF(HostBuild[Alias],HostBuild[Alias],HostBuild[RAM 
(GB)])+SUMIF(HostBuild[Alias],HostBuild[Alias],HostBuild[Existing RAM (GB)]))</f>
        <v>0</v>
      </c>
      <c r="EY7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7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7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7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79" s="560">
        <f>IF(ISBLANK(HostBuild[Server Model]),0,IF(HostBuild[Server Tier]="VMware",0,VLOOKUP(HostBuild[Server Tier],ServerTierRates[#Data],2,0))*HostBuild[CPU]*IF(AND(HostBuild[Server Type]="pSeries",HostBuild[Virtual Platform Storage Type]="Cloud-SAN"),0.25,1))</f>
        <v>0</v>
      </c>
      <c r="FD79" s="560">
        <f>0</f>
        <v>0</v>
      </c>
      <c r="FE79" s="560">
        <f>IF(HostBuild[Server Type]="VMware",HostBuild[RAM 
(GB)]*IF(ISERROR(FIND("DevCloud", HostBuild[Server Model])&gt;0),vRAM_per_vCPU_2014_Monthly,vRAM_per_vCPU_2014_Daily*30),0)</f>
        <v>0</v>
      </c>
      <c r="FF7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7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79" s="563">
        <f>IF(HostBuild[Server Tier]="VMware",0,IF(LEFT(HostBuild[Existing Server?],3)="Yes",0,IF(OR(HostBuild[Server Type]="Sun",HostBuild[Server Type]="pSeries"),Support_Direct_Server_Sun_per_OS_2014,IF(HostBuild[Server Type]="x86",Support_Direct_Server_x86_Wintel_per_OS_2014,0))))</f>
        <v>187.1</v>
      </c>
      <c r="FI7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0" spans="1:165" s="139" customFormat="1" ht="15" customHeight="1">
      <c r="A80" s="360" t="s">
        <v>3942</v>
      </c>
      <c r="B80" s="521"/>
      <c r="C80" s="521"/>
      <c r="D80" s="521"/>
      <c r="E80" s="522"/>
      <c r="F80" s="522"/>
      <c r="G80" s="597"/>
      <c r="H80" s="597"/>
      <c r="I80" s="523"/>
      <c r="J80" s="522"/>
      <c r="K80" s="522"/>
      <c r="L80" s="522"/>
      <c r="M80" s="597" t="e">
        <f ca="1">IF(rngIsDate(HostBuild[CTO Acceptance]),"Y","N")</f>
        <v>#NAME?</v>
      </c>
      <c r="N80" s="361" t="s">
        <v>3939</v>
      </c>
      <c r="O80" s="525"/>
      <c r="P80" s="525"/>
      <c r="Q80" s="361" t="s">
        <v>212</v>
      </c>
      <c r="R80" s="526" t="str">
        <f>IF(NOT(ISBLANK(HostBuild[Env Label])),IFERROR(VLOOKUP(HostBuild[Env Label],tEnv[],3,FALSE),""),"")</f>
        <v>UAT</v>
      </c>
      <c r="S80" s="598"/>
      <c r="T80" s="527"/>
      <c r="U80" s="599"/>
      <c r="V80" s="524" t="s">
        <v>4006</v>
      </c>
      <c r="W80" s="524" t="s">
        <v>3941</v>
      </c>
      <c r="X80" s="524" t="s">
        <v>35</v>
      </c>
      <c r="Y80" s="361" t="s">
        <v>481</v>
      </c>
      <c r="Z80" s="526" t="str">
        <f>IF(NOT(ISBLANK(HostBuild[[#This Row],[Product 
(Acronym)]])),CONCATENATE(HostBuild[[#This Row],[Type]],"-",HostBuild[[#This Row],[Product 
(Acronym)]]),"")</f>
        <v>AP-ESB</v>
      </c>
      <c r="AA80" s="600"/>
      <c r="AB80" s="600" t="s">
        <v>105</v>
      </c>
      <c r="AC80" s="528"/>
      <c r="AD80" s="529"/>
      <c r="AE80" s="529"/>
      <c r="AF80" s="530"/>
      <c r="AG80" s="531"/>
      <c r="AH80" s="601"/>
      <c r="AI80" s="362" t="s">
        <v>4096</v>
      </c>
      <c r="AJ80" s="524">
        <f>IF(COUNTIF(HostBuild[Alias],HostBuild[Alias]),1/COUNTIF(HostBuild[Alias],HostBuild[Alias]),0)</f>
        <v>1</v>
      </c>
      <c r="AK80" s="531"/>
      <c r="AL80" s="531"/>
      <c r="AM80" s="532" t="s">
        <v>2173</v>
      </c>
      <c r="AN80" s="533" t="str">
        <f>IF(NOT(ISBLANK(HostBuild[Server Model])),VLOOKUP(HostBuild[Server Model],ServerModelsTier[],2,FALSE),"")</f>
        <v>x86 Tier 3</v>
      </c>
      <c r="AO80" s="533" t="str">
        <f>IF(NOT(ISBLANK(HostBuild[Server Model])),VLOOKUP(HostBuild[Server Model],ServerModelsTier[],5,FALSE),"")</f>
        <v>x86</v>
      </c>
      <c r="AP80" s="532"/>
      <c r="AQ80" s="532" t="s">
        <v>2337</v>
      </c>
      <c r="AR80" s="534"/>
      <c r="AS80" s="602"/>
      <c r="AT80" s="535">
        <v>16</v>
      </c>
      <c r="AU80" s="603" t="str">
        <f>IF(IFERROR(FIND("P-Series",HostBuild[Server Tier]),0),CEILING((HostBuild[Existing CPUs]+HostBuild[CPU])*16,8),"")</f>
        <v/>
      </c>
      <c r="AV80" s="536"/>
      <c r="AW80" s="531"/>
      <c r="AX80" s="531"/>
      <c r="AY80" s="531"/>
      <c r="AZ80" s="537"/>
      <c r="BA80" s="531"/>
      <c r="BB80" s="531"/>
      <c r="BC80" s="529"/>
      <c r="BD80" s="531"/>
      <c r="BE80" s="531"/>
      <c r="BF80" s="531"/>
      <c r="BG80" s="531"/>
      <c r="BH80" s="531"/>
      <c r="BI80" s="531"/>
      <c r="BJ80" s="531"/>
      <c r="BK80"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0" s="538">
        <v>150</v>
      </c>
      <c r="BM80" s="540">
        <f>IF(ISNUMBER(HostBuild[Recommended SAN (GB)]),HostBuild[Recommended SAN (GB)])+IF(HostBuild[Additional SAN (GB)]&gt;0,CEILING(HostBuild[Additional SAN (GB)],LUN),-(CEILING(-HostBuild[Additional SAN (GB)],LUN)))</f>
        <v>168.5</v>
      </c>
      <c r="BN80" s="539"/>
      <c r="BO80" s="540">
        <f>HostBuild[SAN (GB)
NEEDED TODAY]+CEILING(HostBuild[SAN (GB)
RESERVED
DO NOT USE TO BUILD], LUN)</f>
        <v>168.5</v>
      </c>
      <c r="BP80" s="541"/>
      <c r="BQ80" s="542"/>
      <c r="BR80" s="432" t="s">
        <v>105</v>
      </c>
      <c r="BS80" s="605">
        <f>IF(HostBuild[Existing Server?]&lt;&gt;"Yes - Inside this BoM",IF(ISNUMBER(HostBuild[RAM 
(GB)]),IF(HostBuild[Existing RAM (GB)]+HostBuild[RAM 
(GB)]&gt;0,IF(HostBuild[Virtual Platform Storage Type]="NAS",110+HostBuild[Existing RAM (GB)]+HostBuild[RAM 
(GB)]*1.75,0),0),0),0)</f>
        <v>0</v>
      </c>
      <c r="BT80" s="606"/>
      <c r="BU80" s="607">
        <f>IF(ISNUMBER(HostBuild[Recommended NAS (GB)]),HostBuild[Recommended NAS (GB)])+HostBuild[Additional NAS (GB)]</f>
        <v>0</v>
      </c>
      <c r="BV80" s="543"/>
      <c r="BW80" s="543"/>
      <c r="BX80" s="604">
        <f>IFERROR((HostBuild[SAN (GB)
End-State
DO NOT USE TO BUILD]+HostBuild[SAN (GB) Shared])*25%,"")</f>
        <v>42.125</v>
      </c>
      <c r="BY80" s="608">
        <f>IFERROR(HostBuild[Archive
Full (GB)]*15%,"")</f>
        <v>6.3187499999999996</v>
      </c>
      <c r="BZ80" s="544"/>
      <c r="CA80" s="544"/>
      <c r="CB80" s="545"/>
      <c r="CC80" s="546"/>
      <c r="CD80" s="545"/>
      <c r="CE80" s="547"/>
      <c r="CF80" s="539"/>
      <c r="CG80" s="609"/>
      <c r="CH80" s="548"/>
      <c r="CI80" s="549"/>
      <c r="CJ80" s="550" t="s">
        <v>4128</v>
      </c>
      <c r="CK80" s="551"/>
      <c r="CL80" s="552">
        <f>IFERROR(IF(FIND(CL$1,$W80)&gt;0,IF(INDEX(Product_Pricing_Table[],MATCH(CL$1,Products,0),2)="Cores",IF(HostBuild[Use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0" s="552">
        <f>IFERROR(IF(FIND(CM$1,$W80)&gt;0,IF(INDEX(Product_Pricing_Table[],MATCH(CM$1,Products,0),2)="Cores",IF(HostBuild[Use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0" s="552">
        <f>IFERROR(IF(FIND(CN$1,$W80)&gt;0,IF(INDEX(Product_Pricing_Table[],MATCH(CN$1,Products,0),2)="Cores",IF(HostBuild[Use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0" s="552">
        <f>IFERROR(IF(FIND(CO$1,$W80)&gt;0,IF(INDEX(Product_Pricing_Table[],MATCH(CO$1,Products,0),2)="Cores",IF(HostBuild[Use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0" s="552">
        <f>IFERROR(IF(FIND(CP$1,$W80)&gt;0,IF(INDEX(Product_Pricing_Table[],MATCH(CP$1,Products,0),2)="Cores",IF(HostBuild[Use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0" s="552">
        <f>IFERROR(IF(FIND(CQ$1,$W80)&gt;0,IF(INDEX(Product_Pricing_Table[],MATCH(CQ$1,Products,0),2)="Cores",IF(HostBuild[Use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0" s="552">
        <f>IFERROR(IF(FIND(CR$1,$W80)&gt;0,IF(INDEX(Product_Pricing_Table[],MATCH(CR$1,Products,0),2)="Cores",IF(HostBuild[Use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0" s="552">
        <f>IFERROR(IF(FIND(CS$1,$W80)&gt;0,IF(INDEX(Product_Pricing_Table[],MATCH(CS$1,Products,0),2)="Cores",IF(HostBuild[Use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0" s="552">
        <f>IFERROR(IF(FIND(CT$1,$W80)&gt;0,IF(INDEX(Product_Pricing_Table[],MATCH(CT$1,Products,0),2)="Cores",IF(HostBuild[Use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0" s="552">
        <f>IFERROR(IF(FIND(CU$1,$W80)&gt;0,IF(INDEX(Product_Pricing_Table[],MATCH(CU$1,Products,0),2)="Cores",IF(HostBuild[Use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0" s="552">
        <f>IFERROR(IF(FIND(CV$1,$W80)&gt;0,IF(INDEX(Product_Pricing_Table[],MATCH(CV$1,Products,0),2)="Cores",IF(HostBuild[Use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0" s="552">
        <f>IFERROR(IF(FIND(CW$1,$W80)&gt;0,IF(INDEX(Product_Pricing_Table[],MATCH(CW$1,Products,0),2)="Cores",IF(HostBuild[Use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0" s="552">
        <f>IFERROR(IF(FIND(CX$1,$W80)&gt;0,IF(INDEX(Product_Pricing_Table[],MATCH(CX$1,Products,0),2)="Cores",IF(HostBuild[Use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0" s="552">
        <f>IFERROR(IF(FIND(CY$1,$W80)&gt;0,IF(INDEX(Product_Pricing_Table[],MATCH(CY$1,Products,0),2)="Cores",IF(HostBuild[Use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0" s="552">
        <f>IFERROR(IF(FIND(CZ$1,$W80)&gt;0,IF(INDEX(Product_Pricing_Table[],MATCH(CZ$1,Products,0),2)="Cores",IF(HostBuild[Use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0" s="552">
        <f>IFERROR(IF(FIND(DA$1,$W80)&gt;0,IF(INDEX(Product_Pricing_Table[],MATCH(DA$1,Products,0),2)="Cores",IF(HostBuild[Use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0" s="552">
        <f>IFERROR(IF(FIND(DB$1,$W80)&gt;0,IF(INDEX(Product_Pricing_Table[],MATCH(DB$1,Products,0),2)="Cores",IF(HostBuild[Use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0" s="552">
        <f>IFERROR(IF(FIND(DC$1,$W80)&gt;0,IF(INDEX(Product_Pricing_Table[],MATCH(DC$1,Products,0),2)="Cores",IF(HostBuild[Use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0" s="552">
        <f>IFERROR(IF(FIND(DD$1,$W80)&gt;0,IF(INDEX(Product_Pricing_Table[],MATCH(DD$1,Products,0),2)="Cores",IF(HostBuild[Use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0" s="552">
        <f>IFERROR(IF(FIND(DE$1,$W80)&gt;0,IF(INDEX(Product_Pricing_Table[],MATCH(DE$1,Products,0),2)="Cores",IF(HostBuild[Use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0" s="553">
        <f>IFERROR(IF(FIND(DF$1,$W80)&gt;0,IF(INDEX(Product_Pricing_Table[],MATCH(DF$1,Products,0),2)="Cores",IF(HostBuild[Use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0" s="553">
        <f>IFERROR(IF(FIND(DG$1,$W80)&gt;0,IF(INDEX(Product_Pricing_Table[],MATCH(DG$1,Products,0),2)="Cores",IF(HostBuild[Use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0" s="552">
        <f>IFERROR(IF(FIND(DH$1,$W80)&gt;0,IF(INDEX(Product_Pricing_Table[],MATCH(DH$1,Products,0),2)="Cores",IF(HostBuild[Use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0" s="553">
        <f>IFERROR(IF(FIND(DI$1,$W80)&gt;0,IF(INDEX(Product_Pricing_Table[],MATCH(DI$1,Products,0),2)="Cores",IF(HostBuild[Use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0" s="552">
        <f>IFERROR(IF(FIND(DJ$1,$W80)&gt;0,IF(INDEX(Product_Pricing_Table[],MATCH(DJ$1,Products,0),2)="Cores",IF(HostBuild[Use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0" s="552">
        <f>IFERROR(IF(FIND(DK$1,$W80)&gt;0,IF(INDEX(Product_Pricing_Table[],MATCH(DK$1,Products,0),2)="Cores",IF(HostBuild[Use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0" s="552">
        <f>IFERROR(IF(FIND(DL$1,$W80)&gt;0,IF(INDEX(Product_Pricing_Table[],MATCH(DL$1,Products,0),2)="Cores",IF(HostBuild[Use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0" s="552">
        <f>IFERROR(IF(FIND(DM$1,$W80)&gt;0,IF(INDEX(Product_Pricing_Table[],MATCH(DM$1,Products,0),2)="Cores",IF(HostBuild[Use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0" s="552">
        <f>IFERROR(IF(FIND(DN$1,$W80)&gt;0,IF(INDEX(Product_Pricing_Table[],MATCH(DN$1,Products,0),2)="Cores",IF(HostBuild[Use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0" s="552">
        <f>IFERROR(IF(FIND(DO$1,$W80)&gt;0,IF(INDEX(Product_Pricing_Table[],MATCH(DO$1,Products,0),2)="Cores",IF(HostBuild[Use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0" s="552">
        <f>IFERROR(IF(FIND(DP$1,$W80)&gt;0,IF(INDEX(Product_Pricing_Table[],MATCH(DP$1,Products,0),2)="Cores",IF(HostBuild[Use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0" s="552">
        <f>IFERROR(IF(FIND(DQ$1,$W80)&gt;0,IF(INDEX(Product_Pricing_Table[],MATCH(DQ$1,Products,0),2)="Cores",IF(HostBuild[Use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0" s="552">
        <f>IFERROR(IF(FIND(DR$1,$W80)&gt;0,IF(INDEX(Product_Pricing_Table[],MATCH(DR$1,Products,0),2)="Cores",IF(HostBuild[Use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0" s="552">
        <f>IFERROR(IF(FIND(DS$1,$W80)&gt;0,IF(INDEX(Product_Pricing_Table[],MATCH(DS$1,Products,0),2)="Cores",IF(HostBuild[Use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0" s="552">
        <f>IFERROR(IF(FIND(DT$1,$W80)&gt;0,IF(INDEX(Product_Pricing_Table[],MATCH(DT$1,Products,0),2)="Cores",IF(HostBuild[Use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0" s="552">
        <f>IFERROR(IF(FIND(DU$1,$W80)&gt;0,IF(INDEX(Product_Pricing_Table[],MATCH(DU$1,Products,0),2)="Cores",IF(HostBuild[Use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0" s="552">
        <f>IFERROR(IF(FIND(DV$1,$W80)&gt;0,IF(INDEX(Product_Pricing_Table[],MATCH(DV$1,Products,0),2)="Cores",IF(HostBuild[Use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0" s="552">
        <f>IFERROR(IF(FIND(DW$1,$W80)&gt;0,IF(INDEX(Product_Pricing_Table[],MATCH(DW$1,Products,0),2)="Cores",IF(HostBuild[Use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0" s="552">
        <f>IFERROR(IF(FIND(DX$1,$W80)&gt;0,IF(INDEX(Product_Pricing_Table[],MATCH(DX$1,Products,0),2)="Cores",IF(HostBuild[Use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0" s="552">
        <f>IFERROR(IF(FIND(DY$1,$W80)&gt;0,IF(INDEX(Product_Pricing_Table[],MATCH(DY$1,Products,0),2)="Cores",IF(HostBuild[Use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0" s="552">
        <f>IFERROR(IF(FIND(DZ$1,$W80)&gt;0,IF(INDEX(Product_Pricing_Table[],MATCH(DZ$1,Products,0),2)="Cores",IF(HostBuild[Use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0" s="552">
        <f>IFERROR(IF(FIND(EA$1,$W80)&gt;0,IF(INDEX(Product_Pricing_Table[],MATCH(EA$1,Products,0),2)="Cores",IF(HostBuild[Use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0" s="552">
        <f>IFERROR(IF(FIND(EB$1,$W80)&gt;0,IF(INDEX(Product_Pricing_Table[],MATCH(EB$1,Products,0),2)="Cores",IF(HostBuild[Use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0" s="553">
        <f>IFERROR(IF(FIND(EC$1,$W80)&gt;0,IF(INDEX(Product_Pricing_Table[],MATCH(EC$1,Products,0),2)="Cores",IF(HostBuild[Use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0" s="552">
        <f>IFERROR(IF(FIND(ED$1,$W80)&gt;0,IF(INDEX(Product_Pricing_Table[],MATCH(ED$1,Products,0),2)="Cores",IF(HostBuild[Use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0" s="552">
        <f>IFERROR(IF(FIND(EE$1,$W80)&gt;0,IF(INDEX(Product_Pricing_Table[],MATCH(EE$1,Products,0),2)="Cores",IF(HostBuild[Use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0" s="552">
        <f>IFERROR(IF(FIND(EF$1,$W80)&gt;0,IF(INDEX(Product_Pricing_Table[],MATCH(EF$1,Products,0),2)="Cores",IF(HostBuild[Use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0" s="552">
        <f>IFERROR(IF(FIND(EG$1,$W80)&gt;0,IF(INDEX(Product_Pricing_Table[],MATCH(EG$1,Products,0),2)="Cores",IF(HostBuild[Use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0" s="552">
        <f>IFERROR(IF(FIND(EH$1,$W80)&gt;0,IF(INDEX(Product_Pricing_Table[],MATCH(EH$1,Products,0),2)="Cores",IF(HostBuild[Use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0" s="552">
        <f>IFERROR(IF(FIND(EI$1,$W80)&gt;0,IF(INDEX(Product_Pricing_Table[],MATCH(EI$1,Products,0),2)="Cores",IF(HostBuild[Use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0" s="552">
        <f>IFERROR(IF(FIND(EJ$1,$W80)&gt;0,IF(INDEX(Product_Pricing_Table[],MATCH(EJ$1,Products,0),2)="Cores",IF(HostBuild[Use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0" s="553">
        <f>IFERROR(IF(FIND(EK$1,$W80)&gt;0,IF(INDEX(Product_Pricing_Table[],MATCH(EK$1,Products,0),2)="Cores",IF(HostBuild[Use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0" s="554"/>
      <c r="EM80" s="555">
        <v>0</v>
      </c>
      <c r="EN80" s="556">
        <v>0</v>
      </c>
      <c r="EO80"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8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0" s="558">
        <f>(HostBuild[Archive
Full (GB)]+HostBuild[Archive
Incr (GB)])*Storage_DC_Dist_Tape_2014</f>
        <v>16.955312499999998</v>
      </c>
      <c r="ER80" s="558">
        <f>IF(ISNUMBER(HostBuild[Server HW Costs
(Monthly)]),SUM(HostBuild[[#This Row],[Server HW Costs
(Monthly)]:[Tape Costs
(Monthly)]]),0)</f>
        <v>279.8803125</v>
      </c>
      <c r="ES80" s="559">
        <f>HostBuild[Software Costs
'[Year 1']
(Monthly)]+HostBuild[Total Hardware Costs
(Monthly)]</f>
        <v>279.8803125</v>
      </c>
      <c r="ET80" s="559">
        <f>IFERROR(IF(FIND("Safenet",HostBuild[Server Model]),Safenet_PSE_PL600_Maint,0),0)+IFERROR(IF(FIND("XI52",HostBuild[Server Model]),IBM_DIA_XI52_Maint,0),0)+HostBuild[Software Costs
'[After Year 1']
(Monthly)]+HostBuild[Total Hardware Costs
(Monthly)]</f>
        <v>279.8803125</v>
      </c>
      <c r="EU80" s="560">
        <f>SUM(HostBuild[[#This Row],[Server Cost Breakdown]:[Network Cost]])</f>
        <v>187.1</v>
      </c>
      <c r="EV80" s="561">
        <f>IF(HostBuild[Existing Server?]="Yes - Inside this BoM",0,SUMIF(HostBuild[Alias],HostBuild[Alias],HostBuild[CPU])+SUMIF(HostBuild[Alias],HostBuild[Alias],HostBuild[Existing CPUs]))</f>
        <v>0</v>
      </c>
      <c r="EW80" s="561">
        <f>IF(HostBuild[Existing Server?]="Yes - Inside this BoM",0,SUMIF(HostBuild[Alias],HostBuild[Alias],HostBuild[Cores 
(Licensed Units)])+SUMIF(HostBuild[Alias],HostBuild[Alias],HostBuild[Existing Cores]))</f>
        <v>16</v>
      </c>
      <c r="EX80" s="561">
        <f>IF(HostBuild[Existing Server?]="Yes - Inside this BoM",0,SUMIF(HostBuild[Alias],HostBuild[Alias],HostBuild[RAM 
(GB)])+SUMIF(HostBuild[Alias],HostBuild[Alias],HostBuild[Existing RAM (GB)]))</f>
        <v>0</v>
      </c>
      <c r="EY8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0" s="560">
        <f>IF(ISBLANK(HostBuild[Server Model]),0,IF(HostBuild[Server Tier]="VMware",0,VLOOKUP(HostBuild[Server Tier],ServerTierRates[#Data],2,0))*HostBuild[CPU]*IF(AND(HostBuild[Server Type]="pSeries",HostBuild[Virtual Platform Storage Type]="Cloud-SAN"),0.25,1))</f>
        <v>0</v>
      </c>
      <c r="FD80" s="560">
        <f>0</f>
        <v>0</v>
      </c>
      <c r="FE80" s="560">
        <f>IF(HostBuild[Server Type]="VMware",HostBuild[RAM 
(GB)]*IF(ISERROR(FIND("DevCloud", HostBuild[Server Model])&gt;0),vRAM_per_vCPU_2014_Monthly,vRAM_per_vCPU_2014_Daily*30),0)</f>
        <v>0</v>
      </c>
      <c r="FF8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0" s="563">
        <f>IF(HostBuild[Server Tier]="VMware",0,IF(LEFT(HostBuild[Existing Server?],3)="Yes",0,IF(OR(HostBuild[Server Type]="Sun",HostBuild[Server Type]="pSeries"),Support_Direct_Server_Sun_per_OS_2014,IF(HostBuild[Server Type]="x86",Support_Direct_Server_x86_Wintel_per_OS_2014,0))))</f>
        <v>187.1</v>
      </c>
      <c r="FI8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1" spans="1:165" s="139" customFormat="1" ht="15" customHeight="1">
      <c r="A81" s="360" t="s">
        <v>3942</v>
      </c>
      <c r="B81" s="521"/>
      <c r="C81" s="521"/>
      <c r="D81" s="521"/>
      <c r="E81" s="522"/>
      <c r="F81" s="522"/>
      <c r="G81" s="597"/>
      <c r="H81" s="597"/>
      <c r="I81" s="523"/>
      <c r="J81" s="522"/>
      <c r="K81" s="522"/>
      <c r="L81" s="522"/>
      <c r="M81" s="597" t="e">
        <f ca="1">IF(rngIsDate(HostBuild[CTO Acceptance]),"Y","N")</f>
        <v>#NAME?</v>
      </c>
      <c r="N81" s="361" t="s">
        <v>3939</v>
      </c>
      <c r="O81" s="525"/>
      <c r="P81" s="525"/>
      <c r="Q81" s="361" t="s">
        <v>212</v>
      </c>
      <c r="R81" s="526" t="str">
        <f>IF(NOT(ISBLANK(HostBuild[Env Label])),IFERROR(VLOOKUP(HostBuild[Env Label],tEnv[],3,FALSE),""),"")</f>
        <v>UAT</v>
      </c>
      <c r="S81" s="598"/>
      <c r="T81" s="527"/>
      <c r="U81" s="599"/>
      <c r="V81" s="524" t="s">
        <v>4006</v>
      </c>
      <c r="W81" s="524" t="s">
        <v>3941</v>
      </c>
      <c r="X81" s="524" t="s">
        <v>35</v>
      </c>
      <c r="Y81" s="361" t="s">
        <v>481</v>
      </c>
      <c r="Z81" s="526" t="str">
        <f>IF(NOT(ISBLANK(HostBuild[[#This Row],[Product 
(Acronym)]])),CONCATENATE(HostBuild[[#This Row],[Type]],"-",HostBuild[[#This Row],[Product 
(Acronym)]]),"")</f>
        <v>AP-ESB</v>
      </c>
      <c r="AA81" s="600"/>
      <c r="AB81" s="600" t="s">
        <v>105</v>
      </c>
      <c r="AC81" s="528"/>
      <c r="AD81" s="529"/>
      <c r="AE81" s="529"/>
      <c r="AF81" s="530"/>
      <c r="AG81" s="531"/>
      <c r="AH81" s="601"/>
      <c r="AI81" s="362" t="s">
        <v>4097</v>
      </c>
      <c r="AJ81" s="524">
        <f>IF(COUNTIF(HostBuild[Alias],HostBuild[Alias]),1/COUNTIF(HostBuild[Alias],HostBuild[Alias]),0)</f>
        <v>1</v>
      </c>
      <c r="AK81" s="531"/>
      <c r="AL81" s="531"/>
      <c r="AM81" s="532" t="s">
        <v>2173</v>
      </c>
      <c r="AN81" s="533" t="str">
        <f>IF(NOT(ISBLANK(HostBuild[Server Model])),VLOOKUP(HostBuild[Server Model],ServerModelsTier[],2,FALSE),"")</f>
        <v>x86 Tier 3</v>
      </c>
      <c r="AO81" s="533" t="str">
        <f>IF(NOT(ISBLANK(HostBuild[Server Model])),VLOOKUP(HostBuild[Server Model],ServerModelsTier[],5,FALSE),"")</f>
        <v>x86</v>
      </c>
      <c r="AP81" s="532"/>
      <c r="AQ81" s="532" t="s">
        <v>2337</v>
      </c>
      <c r="AR81" s="534"/>
      <c r="AS81" s="602"/>
      <c r="AT81" s="535">
        <v>16</v>
      </c>
      <c r="AU81" s="603" t="str">
        <f>IF(IFERROR(FIND("P-Series",HostBuild[Server Tier]),0),CEILING((HostBuild[Existing CPUs]+HostBuild[CPU])*16,8),"")</f>
        <v/>
      </c>
      <c r="AV81" s="536"/>
      <c r="AW81" s="531"/>
      <c r="AX81" s="531"/>
      <c r="AY81" s="531"/>
      <c r="AZ81" s="537"/>
      <c r="BA81" s="531"/>
      <c r="BB81" s="531"/>
      <c r="BC81" s="529"/>
      <c r="BD81" s="531"/>
      <c r="BE81" s="531"/>
      <c r="BF81" s="531"/>
      <c r="BG81" s="531"/>
      <c r="BH81" s="531"/>
      <c r="BI81" s="531"/>
      <c r="BJ81" s="531"/>
      <c r="BK81"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1" s="538">
        <v>150</v>
      </c>
      <c r="BM81" s="540">
        <f>IF(ISNUMBER(HostBuild[Recommended SAN (GB)]),HostBuild[Recommended SAN (GB)])+IF(HostBuild[Additional SAN (GB)]&gt;0,CEILING(HostBuild[Additional SAN (GB)],LUN),-(CEILING(-HostBuild[Additional SAN (GB)],LUN)))</f>
        <v>168.5</v>
      </c>
      <c r="BN81" s="539"/>
      <c r="BO81" s="540">
        <f>HostBuild[SAN (GB)
NEEDED TODAY]+CEILING(HostBuild[SAN (GB)
RESERVED
DO NOT USE TO BUILD], LUN)</f>
        <v>168.5</v>
      </c>
      <c r="BP81" s="541"/>
      <c r="BQ81" s="542"/>
      <c r="BR81" s="432" t="s">
        <v>105</v>
      </c>
      <c r="BS81" s="605">
        <f>IF(HostBuild[Existing Server?]&lt;&gt;"Yes - Inside this BoM",IF(ISNUMBER(HostBuild[RAM 
(GB)]),IF(HostBuild[Existing RAM (GB)]+HostBuild[RAM 
(GB)]&gt;0,IF(HostBuild[Virtual Platform Storage Type]="NAS",110+HostBuild[Existing RAM (GB)]+HostBuild[RAM 
(GB)]*1.75,0),0),0),0)</f>
        <v>0</v>
      </c>
      <c r="BT81" s="606"/>
      <c r="BU81" s="607">
        <f>IF(ISNUMBER(HostBuild[Recommended NAS (GB)]),HostBuild[Recommended NAS (GB)])+HostBuild[Additional NAS (GB)]</f>
        <v>0</v>
      </c>
      <c r="BV81" s="543"/>
      <c r="BW81" s="543"/>
      <c r="BX81" s="604">
        <f>IFERROR((HostBuild[SAN (GB)
End-State
DO NOT USE TO BUILD]+HostBuild[SAN (GB) Shared])*25%,"")</f>
        <v>42.125</v>
      </c>
      <c r="BY81" s="608">
        <f>IFERROR(HostBuild[Archive
Full (GB)]*15%,"")</f>
        <v>6.3187499999999996</v>
      </c>
      <c r="BZ81" s="544"/>
      <c r="CA81" s="544"/>
      <c r="CB81" s="545"/>
      <c r="CC81" s="546"/>
      <c r="CD81" s="545"/>
      <c r="CE81" s="547"/>
      <c r="CF81" s="539"/>
      <c r="CG81" s="609"/>
      <c r="CH81" s="548"/>
      <c r="CI81" s="549"/>
      <c r="CJ81" s="550" t="s">
        <v>4128</v>
      </c>
      <c r="CK81" s="551"/>
      <c r="CL81" s="552">
        <f>IFERROR(IF(FIND(CL$1,$W81)&gt;0,IF(INDEX(Product_Pricing_Table[],MATCH(CL$1,Products,0),2)="Cores",IF(HostBuild[Use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1" s="552">
        <f>IFERROR(IF(FIND(CM$1,$W81)&gt;0,IF(INDEX(Product_Pricing_Table[],MATCH(CM$1,Products,0),2)="Cores",IF(HostBuild[Use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1" s="552">
        <f>IFERROR(IF(FIND(CN$1,$W81)&gt;0,IF(INDEX(Product_Pricing_Table[],MATCH(CN$1,Products,0),2)="Cores",IF(HostBuild[Use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1" s="552">
        <f>IFERROR(IF(FIND(CO$1,$W81)&gt;0,IF(INDEX(Product_Pricing_Table[],MATCH(CO$1,Products,0),2)="Cores",IF(HostBuild[Use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1" s="552">
        <f>IFERROR(IF(FIND(CP$1,$W81)&gt;0,IF(INDEX(Product_Pricing_Table[],MATCH(CP$1,Products,0),2)="Cores",IF(HostBuild[Use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1" s="552">
        <f>IFERROR(IF(FIND(CQ$1,$W81)&gt;0,IF(INDEX(Product_Pricing_Table[],MATCH(CQ$1,Products,0),2)="Cores",IF(HostBuild[Use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1" s="552">
        <f>IFERROR(IF(FIND(CR$1,$W81)&gt;0,IF(INDEX(Product_Pricing_Table[],MATCH(CR$1,Products,0),2)="Cores",IF(HostBuild[Use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1" s="552">
        <f>IFERROR(IF(FIND(CS$1,$W81)&gt;0,IF(INDEX(Product_Pricing_Table[],MATCH(CS$1,Products,0),2)="Cores",IF(HostBuild[Use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1" s="552">
        <f>IFERROR(IF(FIND(CT$1,$W81)&gt;0,IF(INDEX(Product_Pricing_Table[],MATCH(CT$1,Products,0),2)="Cores",IF(HostBuild[Use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1" s="552">
        <f>IFERROR(IF(FIND(CU$1,$W81)&gt;0,IF(INDEX(Product_Pricing_Table[],MATCH(CU$1,Products,0),2)="Cores",IF(HostBuild[Use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1" s="552">
        <f>IFERROR(IF(FIND(CV$1,$W81)&gt;0,IF(INDEX(Product_Pricing_Table[],MATCH(CV$1,Products,0),2)="Cores",IF(HostBuild[Use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1" s="552">
        <f>IFERROR(IF(FIND(CW$1,$W81)&gt;0,IF(INDEX(Product_Pricing_Table[],MATCH(CW$1,Products,0),2)="Cores",IF(HostBuild[Use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1" s="552">
        <f>IFERROR(IF(FIND(CX$1,$W81)&gt;0,IF(INDEX(Product_Pricing_Table[],MATCH(CX$1,Products,0),2)="Cores",IF(HostBuild[Use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1" s="552">
        <f>IFERROR(IF(FIND(CY$1,$W81)&gt;0,IF(INDEX(Product_Pricing_Table[],MATCH(CY$1,Products,0),2)="Cores",IF(HostBuild[Use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1" s="552">
        <f>IFERROR(IF(FIND(CZ$1,$W81)&gt;0,IF(INDEX(Product_Pricing_Table[],MATCH(CZ$1,Products,0),2)="Cores",IF(HostBuild[Use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1" s="552">
        <f>IFERROR(IF(FIND(DA$1,$W81)&gt;0,IF(INDEX(Product_Pricing_Table[],MATCH(DA$1,Products,0),2)="Cores",IF(HostBuild[Use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1" s="552">
        <f>IFERROR(IF(FIND(DB$1,$W81)&gt;0,IF(INDEX(Product_Pricing_Table[],MATCH(DB$1,Products,0),2)="Cores",IF(HostBuild[Use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1" s="552">
        <f>IFERROR(IF(FIND(DC$1,$W81)&gt;0,IF(INDEX(Product_Pricing_Table[],MATCH(DC$1,Products,0),2)="Cores",IF(HostBuild[Use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1" s="552">
        <f>IFERROR(IF(FIND(DD$1,$W81)&gt;0,IF(INDEX(Product_Pricing_Table[],MATCH(DD$1,Products,0),2)="Cores",IF(HostBuild[Use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1" s="552">
        <f>IFERROR(IF(FIND(DE$1,$W81)&gt;0,IF(INDEX(Product_Pricing_Table[],MATCH(DE$1,Products,0),2)="Cores",IF(HostBuild[Use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1" s="553">
        <f>IFERROR(IF(FIND(DF$1,$W81)&gt;0,IF(INDEX(Product_Pricing_Table[],MATCH(DF$1,Products,0),2)="Cores",IF(HostBuild[Use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1" s="553">
        <f>IFERROR(IF(FIND(DG$1,$W81)&gt;0,IF(INDEX(Product_Pricing_Table[],MATCH(DG$1,Products,0),2)="Cores",IF(HostBuild[Use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1" s="552">
        <f>IFERROR(IF(FIND(DH$1,$W81)&gt;0,IF(INDEX(Product_Pricing_Table[],MATCH(DH$1,Products,0),2)="Cores",IF(HostBuild[Use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1" s="553">
        <f>IFERROR(IF(FIND(DI$1,$W81)&gt;0,IF(INDEX(Product_Pricing_Table[],MATCH(DI$1,Products,0),2)="Cores",IF(HostBuild[Use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1" s="552">
        <f>IFERROR(IF(FIND(DJ$1,$W81)&gt;0,IF(INDEX(Product_Pricing_Table[],MATCH(DJ$1,Products,0),2)="Cores",IF(HostBuild[Use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1" s="552">
        <f>IFERROR(IF(FIND(DK$1,$W81)&gt;0,IF(INDEX(Product_Pricing_Table[],MATCH(DK$1,Products,0),2)="Cores",IF(HostBuild[Use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1" s="552">
        <f>IFERROR(IF(FIND(DL$1,$W81)&gt;0,IF(INDEX(Product_Pricing_Table[],MATCH(DL$1,Products,0),2)="Cores",IF(HostBuild[Use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1" s="552">
        <f>IFERROR(IF(FIND(DM$1,$W81)&gt;0,IF(INDEX(Product_Pricing_Table[],MATCH(DM$1,Products,0),2)="Cores",IF(HostBuild[Use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1" s="552">
        <f>IFERROR(IF(FIND(DN$1,$W81)&gt;0,IF(INDEX(Product_Pricing_Table[],MATCH(DN$1,Products,0),2)="Cores",IF(HostBuild[Use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1" s="552">
        <f>IFERROR(IF(FIND(DO$1,$W81)&gt;0,IF(INDEX(Product_Pricing_Table[],MATCH(DO$1,Products,0),2)="Cores",IF(HostBuild[Use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1" s="552">
        <f>IFERROR(IF(FIND(DP$1,$W81)&gt;0,IF(INDEX(Product_Pricing_Table[],MATCH(DP$1,Products,0),2)="Cores",IF(HostBuild[Use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1" s="552">
        <f>IFERROR(IF(FIND(DQ$1,$W81)&gt;0,IF(INDEX(Product_Pricing_Table[],MATCH(DQ$1,Products,0),2)="Cores",IF(HostBuild[Use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1" s="552">
        <f>IFERROR(IF(FIND(DR$1,$W81)&gt;0,IF(INDEX(Product_Pricing_Table[],MATCH(DR$1,Products,0),2)="Cores",IF(HostBuild[Use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1" s="552">
        <f>IFERROR(IF(FIND(DS$1,$W81)&gt;0,IF(INDEX(Product_Pricing_Table[],MATCH(DS$1,Products,0),2)="Cores",IF(HostBuild[Use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1" s="552">
        <f>IFERROR(IF(FIND(DT$1,$W81)&gt;0,IF(INDEX(Product_Pricing_Table[],MATCH(DT$1,Products,0),2)="Cores",IF(HostBuild[Use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1" s="552">
        <f>IFERROR(IF(FIND(DU$1,$W81)&gt;0,IF(INDEX(Product_Pricing_Table[],MATCH(DU$1,Products,0),2)="Cores",IF(HostBuild[Use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1" s="552">
        <f>IFERROR(IF(FIND(DV$1,$W81)&gt;0,IF(INDEX(Product_Pricing_Table[],MATCH(DV$1,Products,0),2)="Cores",IF(HostBuild[Use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1" s="552">
        <f>IFERROR(IF(FIND(DW$1,$W81)&gt;0,IF(INDEX(Product_Pricing_Table[],MATCH(DW$1,Products,0),2)="Cores",IF(HostBuild[Use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1" s="552">
        <f>IFERROR(IF(FIND(DX$1,$W81)&gt;0,IF(INDEX(Product_Pricing_Table[],MATCH(DX$1,Products,0),2)="Cores",IF(HostBuild[Use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1" s="552">
        <f>IFERROR(IF(FIND(DY$1,$W81)&gt;0,IF(INDEX(Product_Pricing_Table[],MATCH(DY$1,Products,0),2)="Cores",IF(HostBuild[Use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1" s="552">
        <f>IFERROR(IF(FIND(DZ$1,$W81)&gt;0,IF(INDEX(Product_Pricing_Table[],MATCH(DZ$1,Products,0),2)="Cores",IF(HostBuild[Use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1" s="552">
        <f>IFERROR(IF(FIND(EA$1,$W81)&gt;0,IF(INDEX(Product_Pricing_Table[],MATCH(EA$1,Products,0),2)="Cores",IF(HostBuild[Use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1" s="552">
        <f>IFERROR(IF(FIND(EB$1,$W81)&gt;0,IF(INDEX(Product_Pricing_Table[],MATCH(EB$1,Products,0),2)="Cores",IF(HostBuild[Use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1" s="553">
        <f>IFERROR(IF(FIND(EC$1,$W81)&gt;0,IF(INDEX(Product_Pricing_Table[],MATCH(EC$1,Products,0),2)="Cores",IF(HostBuild[Use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1" s="552">
        <f>IFERROR(IF(FIND(ED$1,$W81)&gt;0,IF(INDEX(Product_Pricing_Table[],MATCH(ED$1,Products,0),2)="Cores",IF(HostBuild[Use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1" s="552">
        <f>IFERROR(IF(FIND(EE$1,$W81)&gt;0,IF(INDEX(Product_Pricing_Table[],MATCH(EE$1,Products,0),2)="Cores",IF(HostBuild[Use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1" s="552">
        <f>IFERROR(IF(FIND(EF$1,$W81)&gt;0,IF(INDEX(Product_Pricing_Table[],MATCH(EF$1,Products,0),2)="Cores",IF(HostBuild[Use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1" s="552">
        <f>IFERROR(IF(FIND(EG$1,$W81)&gt;0,IF(INDEX(Product_Pricing_Table[],MATCH(EG$1,Products,0),2)="Cores",IF(HostBuild[Use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1" s="552">
        <f>IFERROR(IF(FIND(EH$1,$W81)&gt;0,IF(INDEX(Product_Pricing_Table[],MATCH(EH$1,Products,0),2)="Cores",IF(HostBuild[Use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1" s="552">
        <f>IFERROR(IF(FIND(EI$1,$W81)&gt;0,IF(INDEX(Product_Pricing_Table[],MATCH(EI$1,Products,0),2)="Cores",IF(HostBuild[Use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1" s="552">
        <f>IFERROR(IF(FIND(EJ$1,$W81)&gt;0,IF(INDEX(Product_Pricing_Table[],MATCH(EJ$1,Products,0),2)="Cores",IF(HostBuild[Use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1" s="553">
        <f>IFERROR(IF(FIND(EK$1,$W81)&gt;0,IF(INDEX(Product_Pricing_Table[],MATCH(EK$1,Products,0),2)="Cores",IF(HostBuild[Use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1" s="554"/>
      <c r="EM81" s="555"/>
      <c r="EN81" s="556"/>
      <c r="EO81"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8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1" s="558">
        <f>(HostBuild[Archive
Full (GB)]+HostBuild[Archive
Incr (GB)])*Storage_DC_Dist_Tape_2014</f>
        <v>16.955312499999998</v>
      </c>
      <c r="ER81" s="558">
        <f>IF(ISNUMBER(HostBuild[Server HW Costs
(Monthly)]),SUM(HostBuild[[#This Row],[Server HW Costs
(Monthly)]:[Tape Costs
(Monthly)]]),0)</f>
        <v>279.8803125</v>
      </c>
      <c r="ES81" s="559">
        <f>HostBuild[Software Costs
'[Year 1']
(Monthly)]+HostBuild[Total Hardware Costs
(Monthly)]</f>
        <v>279.8803125</v>
      </c>
      <c r="ET81" s="559">
        <f>IFERROR(IF(FIND("Safenet",HostBuild[Server Model]),Safenet_PSE_PL600_Maint,0),0)+IFERROR(IF(FIND("XI52",HostBuild[Server Model]),IBM_DIA_XI52_Maint,0),0)+HostBuild[Software Costs
'[After Year 1']
(Monthly)]+HostBuild[Total Hardware Costs
(Monthly)]</f>
        <v>279.8803125</v>
      </c>
      <c r="EU81" s="560">
        <f>SUM(HostBuild[[#This Row],[Server Cost Breakdown]:[Network Cost]])</f>
        <v>187.1</v>
      </c>
      <c r="EV81" s="561">
        <f>IF(HostBuild[Existing Server?]="Yes - Inside this BoM",0,SUMIF(HostBuild[Alias],HostBuild[Alias],HostBuild[CPU])+SUMIF(HostBuild[Alias],HostBuild[Alias],HostBuild[Existing CPUs]))</f>
        <v>0</v>
      </c>
      <c r="EW81" s="561">
        <f>IF(HostBuild[Existing Server?]="Yes - Inside this BoM",0,SUMIF(HostBuild[Alias],HostBuild[Alias],HostBuild[Cores 
(Licensed Units)])+SUMIF(HostBuild[Alias],HostBuild[Alias],HostBuild[Existing Cores]))</f>
        <v>16</v>
      </c>
      <c r="EX81" s="561">
        <f>IF(HostBuild[Existing Server?]="Yes - Inside this BoM",0,SUMIF(HostBuild[Alias],HostBuild[Alias],HostBuild[RAM 
(GB)])+SUMIF(HostBuild[Alias],HostBuild[Alias],HostBuild[Existing RAM (GB)]))</f>
        <v>0</v>
      </c>
      <c r="EY8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1" s="560">
        <f>IF(ISBLANK(HostBuild[Server Model]),0,IF(HostBuild[Server Tier]="VMware",0,VLOOKUP(HostBuild[Server Tier],ServerTierRates[#Data],2,0))*HostBuild[CPU]*IF(AND(HostBuild[Server Type]="pSeries",HostBuild[Virtual Platform Storage Type]="Cloud-SAN"),0.25,1))</f>
        <v>0</v>
      </c>
      <c r="FD81" s="560">
        <f>0</f>
        <v>0</v>
      </c>
      <c r="FE81" s="560">
        <f>IF(HostBuild[Server Type]="VMware",HostBuild[RAM 
(GB)]*IF(ISERROR(FIND("DevCloud", HostBuild[Server Model])&gt;0),vRAM_per_vCPU_2014_Monthly,vRAM_per_vCPU_2014_Daily*30),0)</f>
        <v>0</v>
      </c>
      <c r="FF8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1" s="563">
        <f>IF(HostBuild[Server Tier]="VMware",0,IF(LEFT(HostBuild[Existing Server?],3)="Yes",0,IF(OR(HostBuild[Server Type]="Sun",HostBuild[Server Type]="pSeries"),Support_Direct_Server_Sun_per_OS_2014,IF(HostBuild[Server Type]="x86",Support_Direct_Server_x86_Wintel_per_OS_2014,0))))</f>
        <v>187.1</v>
      </c>
      <c r="FI8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2" spans="1:165" s="139" customFormat="1" ht="15" customHeight="1">
      <c r="A82" s="360" t="s">
        <v>3942</v>
      </c>
      <c r="B82" s="521"/>
      <c r="C82" s="521"/>
      <c r="D82" s="521"/>
      <c r="E82" s="522"/>
      <c r="F82" s="522"/>
      <c r="G82" s="597"/>
      <c r="H82" s="597"/>
      <c r="I82" s="523"/>
      <c r="J82" s="522"/>
      <c r="K82" s="522"/>
      <c r="L82" s="522"/>
      <c r="M82" s="597" t="e">
        <f ca="1">IF(rngIsDate(HostBuild[CTO Acceptance]),"Y","N")</f>
        <v>#NAME?</v>
      </c>
      <c r="N82" s="361" t="s">
        <v>3939</v>
      </c>
      <c r="O82" s="525"/>
      <c r="P82" s="525"/>
      <c r="Q82" s="361" t="s">
        <v>212</v>
      </c>
      <c r="R82" s="526" t="str">
        <f>IF(NOT(ISBLANK(HostBuild[Env Label])),IFERROR(VLOOKUP(HostBuild[Env Label],tEnv[],3,FALSE),""),"")</f>
        <v>UAT</v>
      </c>
      <c r="S82" s="598"/>
      <c r="T82" s="527"/>
      <c r="U82" s="599"/>
      <c r="V82" s="524" t="s">
        <v>4006</v>
      </c>
      <c r="W82" s="524" t="s">
        <v>3941</v>
      </c>
      <c r="X82" s="524" t="s">
        <v>35</v>
      </c>
      <c r="Y82" s="361" t="s">
        <v>481</v>
      </c>
      <c r="Z82" s="526" t="str">
        <f>IF(NOT(ISBLANK(HostBuild[[#This Row],[Product 
(Acronym)]])),CONCATENATE(HostBuild[[#This Row],[Type]],"-",HostBuild[[#This Row],[Product 
(Acronym)]]),"")</f>
        <v>AP-ESB</v>
      </c>
      <c r="AA82" s="600"/>
      <c r="AB82" s="600" t="s">
        <v>105</v>
      </c>
      <c r="AC82" s="528"/>
      <c r="AD82" s="529"/>
      <c r="AE82" s="529"/>
      <c r="AF82" s="530"/>
      <c r="AG82" s="531"/>
      <c r="AH82" s="601"/>
      <c r="AI82" s="362" t="s">
        <v>4098</v>
      </c>
      <c r="AJ82" s="524">
        <f>IF(COUNTIF(HostBuild[Alias],HostBuild[Alias]),1/COUNTIF(HostBuild[Alias],HostBuild[Alias]),0)</f>
        <v>1</v>
      </c>
      <c r="AK82" s="531"/>
      <c r="AL82" s="531"/>
      <c r="AM82" s="532" t="s">
        <v>2173</v>
      </c>
      <c r="AN82" s="533" t="str">
        <f>IF(NOT(ISBLANK(HostBuild[Server Model])),VLOOKUP(HostBuild[Server Model],ServerModelsTier[],2,FALSE),"")</f>
        <v>x86 Tier 3</v>
      </c>
      <c r="AO82" s="533" t="str">
        <f>IF(NOT(ISBLANK(HostBuild[Server Model])),VLOOKUP(HostBuild[Server Model],ServerModelsTier[],5,FALSE),"")</f>
        <v>x86</v>
      </c>
      <c r="AP82" s="532"/>
      <c r="AQ82" s="532" t="s">
        <v>2337</v>
      </c>
      <c r="AR82" s="534"/>
      <c r="AS82" s="602"/>
      <c r="AT82" s="535">
        <v>16</v>
      </c>
      <c r="AU82" s="603" t="str">
        <f>IF(IFERROR(FIND("P-Series",HostBuild[Server Tier]),0),CEILING((HostBuild[Existing CPUs]+HostBuild[CPU])*16,8),"")</f>
        <v/>
      </c>
      <c r="AV82" s="536"/>
      <c r="AW82" s="531"/>
      <c r="AX82" s="531"/>
      <c r="AY82" s="531"/>
      <c r="AZ82" s="537"/>
      <c r="BA82" s="531"/>
      <c r="BB82" s="531"/>
      <c r="BC82" s="529"/>
      <c r="BD82" s="531"/>
      <c r="BE82" s="531"/>
      <c r="BF82" s="531"/>
      <c r="BG82" s="531"/>
      <c r="BH82" s="531"/>
      <c r="BI82" s="531"/>
      <c r="BJ82" s="531"/>
      <c r="BK82"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2" s="538">
        <v>150</v>
      </c>
      <c r="BM82" s="540">
        <f>IF(ISNUMBER(HostBuild[Recommended SAN (GB)]),HostBuild[Recommended SAN (GB)])+IF(HostBuild[Additional SAN (GB)]&gt;0,CEILING(HostBuild[Additional SAN (GB)],LUN),-(CEILING(-HostBuild[Additional SAN (GB)],LUN)))</f>
        <v>168.5</v>
      </c>
      <c r="BN82" s="539"/>
      <c r="BO82" s="540">
        <f>HostBuild[SAN (GB)
NEEDED TODAY]+CEILING(HostBuild[SAN (GB)
RESERVED
DO NOT USE TO BUILD], LUN)</f>
        <v>168.5</v>
      </c>
      <c r="BP82" s="541"/>
      <c r="BQ82" s="542"/>
      <c r="BR82" s="432" t="s">
        <v>105</v>
      </c>
      <c r="BS82" s="605">
        <f>IF(HostBuild[Existing Server?]&lt;&gt;"Yes - Inside this BoM",IF(ISNUMBER(HostBuild[RAM 
(GB)]),IF(HostBuild[Existing RAM (GB)]+HostBuild[RAM 
(GB)]&gt;0,IF(HostBuild[Virtual Platform Storage Type]="NAS",110+HostBuild[Existing RAM (GB)]+HostBuild[RAM 
(GB)]*1.75,0),0),0),0)</f>
        <v>0</v>
      </c>
      <c r="BT82" s="606"/>
      <c r="BU82" s="607">
        <f>IF(ISNUMBER(HostBuild[Recommended NAS (GB)]),HostBuild[Recommended NAS (GB)])+HostBuild[Additional NAS (GB)]</f>
        <v>0</v>
      </c>
      <c r="BV82" s="543"/>
      <c r="BW82" s="543"/>
      <c r="BX82" s="604">
        <f>IFERROR((HostBuild[SAN (GB)
End-State
DO NOT USE TO BUILD]+HostBuild[SAN (GB) Shared])*25%,"")</f>
        <v>42.125</v>
      </c>
      <c r="BY82" s="608">
        <f>IFERROR(HostBuild[Archive
Full (GB)]*15%,"")</f>
        <v>6.3187499999999996</v>
      </c>
      <c r="BZ82" s="544"/>
      <c r="CA82" s="544"/>
      <c r="CB82" s="545"/>
      <c r="CC82" s="546"/>
      <c r="CD82" s="545"/>
      <c r="CE82" s="547"/>
      <c r="CF82" s="539"/>
      <c r="CG82" s="609"/>
      <c r="CH82" s="548"/>
      <c r="CI82" s="549"/>
      <c r="CJ82" s="550" t="s">
        <v>4128</v>
      </c>
      <c r="CK82" s="551"/>
      <c r="CL82" s="552">
        <f>IFERROR(IF(FIND(CL$1,$W82)&gt;0,IF(INDEX(Product_Pricing_Table[],MATCH(CL$1,Products,0),2)="Cores",IF(HostBuild[Use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2" s="552">
        <f>IFERROR(IF(FIND(CM$1,$W82)&gt;0,IF(INDEX(Product_Pricing_Table[],MATCH(CM$1,Products,0),2)="Cores",IF(HostBuild[Use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2" s="552">
        <f>IFERROR(IF(FIND(CN$1,$W82)&gt;0,IF(INDEX(Product_Pricing_Table[],MATCH(CN$1,Products,0),2)="Cores",IF(HostBuild[Use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2" s="552">
        <f>IFERROR(IF(FIND(CO$1,$W82)&gt;0,IF(INDEX(Product_Pricing_Table[],MATCH(CO$1,Products,0),2)="Cores",IF(HostBuild[Use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2" s="552">
        <f>IFERROR(IF(FIND(CP$1,$W82)&gt;0,IF(INDEX(Product_Pricing_Table[],MATCH(CP$1,Products,0),2)="Cores",IF(HostBuild[Use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2" s="552">
        <f>IFERROR(IF(FIND(CQ$1,$W82)&gt;0,IF(INDEX(Product_Pricing_Table[],MATCH(CQ$1,Products,0),2)="Cores",IF(HostBuild[Use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2" s="552">
        <f>IFERROR(IF(FIND(CR$1,$W82)&gt;0,IF(INDEX(Product_Pricing_Table[],MATCH(CR$1,Products,0),2)="Cores",IF(HostBuild[Use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2" s="552">
        <f>IFERROR(IF(FIND(CS$1,$W82)&gt;0,IF(INDEX(Product_Pricing_Table[],MATCH(CS$1,Products,0),2)="Cores",IF(HostBuild[Use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2" s="552">
        <f>IFERROR(IF(FIND(CT$1,$W82)&gt;0,IF(INDEX(Product_Pricing_Table[],MATCH(CT$1,Products,0),2)="Cores",IF(HostBuild[Use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2" s="552">
        <f>IFERROR(IF(FIND(CU$1,$W82)&gt;0,IF(INDEX(Product_Pricing_Table[],MATCH(CU$1,Products,0),2)="Cores",IF(HostBuild[Use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2" s="552">
        <f>IFERROR(IF(FIND(CV$1,$W82)&gt;0,IF(INDEX(Product_Pricing_Table[],MATCH(CV$1,Products,0),2)="Cores",IF(HostBuild[Use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2" s="552">
        <f>IFERROR(IF(FIND(CW$1,$W82)&gt;0,IF(INDEX(Product_Pricing_Table[],MATCH(CW$1,Products,0),2)="Cores",IF(HostBuild[Use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2" s="552">
        <f>IFERROR(IF(FIND(CX$1,$W82)&gt;0,IF(INDEX(Product_Pricing_Table[],MATCH(CX$1,Products,0),2)="Cores",IF(HostBuild[Use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2" s="552">
        <f>IFERROR(IF(FIND(CY$1,$W82)&gt;0,IF(INDEX(Product_Pricing_Table[],MATCH(CY$1,Products,0),2)="Cores",IF(HostBuild[Use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2" s="552">
        <f>IFERROR(IF(FIND(CZ$1,$W82)&gt;0,IF(INDEX(Product_Pricing_Table[],MATCH(CZ$1,Products,0),2)="Cores",IF(HostBuild[Use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2" s="552">
        <f>IFERROR(IF(FIND(DA$1,$W82)&gt;0,IF(INDEX(Product_Pricing_Table[],MATCH(DA$1,Products,0),2)="Cores",IF(HostBuild[Use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2" s="552">
        <f>IFERROR(IF(FIND(DB$1,$W82)&gt;0,IF(INDEX(Product_Pricing_Table[],MATCH(DB$1,Products,0),2)="Cores",IF(HostBuild[Use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2" s="552">
        <f>IFERROR(IF(FIND(DC$1,$W82)&gt;0,IF(INDEX(Product_Pricing_Table[],MATCH(DC$1,Products,0),2)="Cores",IF(HostBuild[Use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2" s="552">
        <f>IFERROR(IF(FIND(DD$1,$W82)&gt;0,IF(INDEX(Product_Pricing_Table[],MATCH(DD$1,Products,0),2)="Cores",IF(HostBuild[Use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2" s="552">
        <f>IFERROR(IF(FIND(DE$1,$W82)&gt;0,IF(INDEX(Product_Pricing_Table[],MATCH(DE$1,Products,0),2)="Cores",IF(HostBuild[Use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2" s="553">
        <f>IFERROR(IF(FIND(DF$1,$W82)&gt;0,IF(INDEX(Product_Pricing_Table[],MATCH(DF$1,Products,0),2)="Cores",IF(HostBuild[Use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2" s="553">
        <f>IFERROR(IF(FIND(DG$1,$W82)&gt;0,IF(INDEX(Product_Pricing_Table[],MATCH(DG$1,Products,0),2)="Cores",IF(HostBuild[Use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2" s="552">
        <f>IFERROR(IF(FIND(DH$1,$W82)&gt;0,IF(INDEX(Product_Pricing_Table[],MATCH(DH$1,Products,0),2)="Cores",IF(HostBuild[Use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2" s="553">
        <f>IFERROR(IF(FIND(DI$1,$W82)&gt;0,IF(INDEX(Product_Pricing_Table[],MATCH(DI$1,Products,0),2)="Cores",IF(HostBuild[Use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2" s="552">
        <f>IFERROR(IF(FIND(DJ$1,$W82)&gt;0,IF(INDEX(Product_Pricing_Table[],MATCH(DJ$1,Products,0),2)="Cores",IF(HostBuild[Use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2" s="552">
        <f>IFERROR(IF(FIND(DK$1,$W82)&gt;0,IF(INDEX(Product_Pricing_Table[],MATCH(DK$1,Products,0),2)="Cores",IF(HostBuild[Use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2" s="552">
        <f>IFERROR(IF(FIND(DL$1,$W82)&gt;0,IF(INDEX(Product_Pricing_Table[],MATCH(DL$1,Products,0),2)="Cores",IF(HostBuild[Use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2" s="552">
        <f>IFERROR(IF(FIND(DM$1,$W82)&gt;0,IF(INDEX(Product_Pricing_Table[],MATCH(DM$1,Products,0),2)="Cores",IF(HostBuild[Use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2" s="552">
        <f>IFERROR(IF(FIND(DN$1,$W82)&gt;0,IF(INDEX(Product_Pricing_Table[],MATCH(DN$1,Products,0),2)="Cores",IF(HostBuild[Use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2" s="552">
        <f>IFERROR(IF(FIND(DO$1,$W82)&gt;0,IF(INDEX(Product_Pricing_Table[],MATCH(DO$1,Products,0),2)="Cores",IF(HostBuild[Use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2" s="552">
        <f>IFERROR(IF(FIND(DP$1,$W82)&gt;0,IF(INDEX(Product_Pricing_Table[],MATCH(DP$1,Products,0),2)="Cores",IF(HostBuild[Use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2" s="552">
        <f>IFERROR(IF(FIND(DQ$1,$W82)&gt;0,IF(INDEX(Product_Pricing_Table[],MATCH(DQ$1,Products,0),2)="Cores",IF(HostBuild[Use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2" s="552">
        <f>IFERROR(IF(FIND(DR$1,$W82)&gt;0,IF(INDEX(Product_Pricing_Table[],MATCH(DR$1,Products,0),2)="Cores",IF(HostBuild[Use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2" s="552">
        <f>IFERROR(IF(FIND(DS$1,$W82)&gt;0,IF(INDEX(Product_Pricing_Table[],MATCH(DS$1,Products,0),2)="Cores",IF(HostBuild[Use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2" s="552">
        <f>IFERROR(IF(FIND(DT$1,$W82)&gt;0,IF(INDEX(Product_Pricing_Table[],MATCH(DT$1,Products,0),2)="Cores",IF(HostBuild[Use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2" s="552">
        <f>IFERROR(IF(FIND(DU$1,$W82)&gt;0,IF(INDEX(Product_Pricing_Table[],MATCH(DU$1,Products,0),2)="Cores",IF(HostBuild[Use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2" s="552">
        <f>IFERROR(IF(FIND(DV$1,$W82)&gt;0,IF(INDEX(Product_Pricing_Table[],MATCH(DV$1,Products,0),2)="Cores",IF(HostBuild[Use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2" s="552">
        <f>IFERROR(IF(FIND(DW$1,$W82)&gt;0,IF(INDEX(Product_Pricing_Table[],MATCH(DW$1,Products,0),2)="Cores",IF(HostBuild[Use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2" s="552">
        <f>IFERROR(IF(FIND(DX$1,$W82)&gt;0,IF(INDEX(Product_Pricing_Table[],MATCH(DX$1,Products,0),2)="Cores",IF(HostBuild[Use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2" s="552">
        <f>IFERROR(IF(FIND(DY$1,$W82)&gt;0,IF(INDEX(Product_Pricing_Table[],MATCH(DY$1,Products,0),2)="Cores",IF(HostBuild[Use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2" s="552">
        <f>IFERROR(IF(FIND(DZ$1,$W82)&gt;0,IF(INDEX(Product_Pricing_Table[],MATCH(DZ$1,Products,0),2)="Cores",IF(HostBuild[Use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2" s="552">
        <f>IFERROR(IF(FIND(EA$1,$W82)&gt;0,IF(INDEX(Product_Pricing_Table[],MATCH(EA$1,Products,0),2)="Cores",IF(HostBuild[Use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2" s="552">
        <f>IFERROR(IF(FIND(EB$1,$W82)&gt;0,IF(INDEX(Product_Pricing_Table[],MATCH(EB$1,Products,0),2)="Cores",IF(HostBuild[Use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2" s="553">
        <f>IFERROR(IF(FIND(EC$1,$W82)&gt;0,IF(INDEX(Product_Pricing_Table[],MATCH(EC$1,Products,0),2)="Cores",IF(HostBuild[Use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2" s="552">
        <f>IFERROR(IF(FIND(ED$1,$W82)&gt;0,IF(INDEX(Product_Pricing_Table[],MATCH(ED$1,Products,0),2)="Cores",IF(HostBuild[Use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2" s="552">
        <f>IFERROR(IF(FIND(EE$1,$W82)&gt;0,IF(INDEX(Product_Pricing_Table[],MATCH(EE$1,Products,0),2)="Cores",IF(HostBuild[Use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2" s="552">
        <f>IFERROR(IF(FIND(EF$1,$W82)&gt;0,IF(INDEX(Product_Pricing_Table[],MATCH(EF$1,Products,0),2)="Cores",IF(HostBuild[Use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2" s="552">
        <f>IFERROR(IF(FIND(EG$1,$W82)&gt;0,IF(INDEX(Product_Pricing_Table[],MATCH(EG$1,Products,0),2)="Cores",IF(HostBuild[Use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2" s="552">
        <f>IFERROR(IF(FIND(EH$1,$W82)&gt;0,IF(INDEX(Product_Pricing_Table[],MATCH(EH$1,Products,0),2)="Cores",IF(HostBuild[Use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2" s="552">
        <f>IFERROR(IF(FIND(EI$1,$W82)&gt;0,IF(INDEX(Product_Pricing_Table[],MATCH(EI$1,Products,0),2)="Cores",IF(HostBuild[Use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2" s="552">
        <f>IFERROR(IF(FIND(EJ$1,$W82)&gt;0,IF(INDEX(Product_Pricing_Table[],MATCH(EJ$1,Products,0),2)="Cores",IF(HostBuild[Use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2" s="553">
        <f>IFERROR(IF(FIND(EK$1,$W82)&gt;0,IF(INDEX(Product_Pricing_Table[],MATCH(EK$1,Products,0),2)="Cores",IF(HostBuild[Use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2" s="554"/>
      <c r="EM82" s="555"/>
      <c r="EN82" s="556"/>
      <c r="EO82"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8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2" s="558">
        <f>(HostBuild[Archive
Full (GB)]+HostBuild[Archive
Incr (GB)])*Storage_DC_Dist_Tape_2014</f>
        <v>16.955312499999998</v>
      </c>
      <c r="ER82" s="558">
        <f>IF(ISNUMBER(HostBuild[Server HW Costs
(Monthly)]),SUM(HostBuild[[#This Row],[Server HW Costs
(Monthly)]:[Tape Costs
(Monthly)]]),0)</f>
        <v>279.8803125</v>
      </c>
      <c r="ES82" s="559">
        <f>HostBuild[Software Costs
'[Year 1']
(Monthly)]+HostBuild[Total Hardware Costs
(Monthly)]</f>
        <v>279.8803125</v>
      </c>
      <c r="ET82" s="559">
        <f>IFERROR(IF(FIND("Safenet",HostBuild[Server Model]),Safenet_PSE_PL600_Maint,0),0)+IFERROR(IF(FIND("XI52",HostBuild[Server Model]),IBM_DIA_XI52_Maint,0),0)+HostBuild[Software Costs
'[After Year 1']
(Monthly)]+HostBuild[Total Hardware Costs
(Monthly)]</f>
        <v>279.8803125</v>
      </c>
      <c r="EU82" s="560">
        <f>SUM(HostBuild[[#This Row],[Server Cost Breakdown]:[Network Cost]])</f>
        <v>187.1</v>
      </c>
      <c r="EV82" s="561">
        <f>IF(HostBuild[Existing Server?]="Yes - Inside this BoM",0,SUMIF(HostBuild[Alias],HostBuild[Alias],HostBuild[CPU])+SUMIF(HostBuild[Alias],HostBuild[Alias],HostBuild[Existing CPUs]))</f>
        <v>0</v>
      </c>
      <c r="EW82" s="561">
        <f>IF(HostBuild[Existing Server?]="Yes - Inside this BoM",0,SUMIF(HostBuild[Alias],HostBuild[Alias],HostBuild[Cores 
(Licensed Units)])+SUMIF(HostBuild[Alias],HostBuild[Alias],HostBuild[Existing Cores]))</f>
        <v>16</v>
      </c>
      <c r="EX82" s="561">
        <f>IF(HostBuild[Existing Server?]="Yes - Inside this BoM",0,SUMIF(HostBuild[Alias],HostBuild[Alias],HostBuild[RAM 
(GB)])+SUMIF(HostBuild[Alias],HostBuild[Alias],HostBuild[Existing RAM (GB)]))</f>
        <v>0</v>
      </c>
      <c r="EY8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2" s="560">
        <f>IF(ISBLANK(HostBuild[Server Model]),0,IF(HostBuild[Server Tier]="VMware",0,VLOOKUP(HostBuild[Server Tier],ServerTierRates[#Data],2,0))*HostBuild[CPU]*IF(AND(HostBuild[Server Type]="pSeries",HostBuild[Virtual Platform Storage Type]="Cloud-SAN"),0.25,1))</f>
        <v>0</v>
      </c>
      <c r="FD82" s="560">
        <f>0</f>
        <v>0</v>
      </c>
      <c r="FE82" s="560">
        <f>IF(HostBuild[Server Type]="VMware",HostBuild[RAM 
(GB)]*IF(ISERROR(FIND("DevCloud", HostBuild[Server Model])&gt;0),vRAM_per_vCPU_2014_Monthly,vRAM_per_vCPU_2014_Daily*30),0)</f>
        <v>0</v>
      </c>
      <c r="FF8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2" s="563">
        <f>IF(HostBuild[Server Tier]="VMware",0,IF(LEFT(HostBuild[Existing Server?],3)="Yes",0,IF(OR(HostBuild[Server Type]="Sun",HostBuild[Server Type]="pSeries"),Support_Direct_Server_Sun_per_OS_2014,IF(HostBuild[Server Type]="x86",Support_Direct_Server_x86_Wintel_per_OS_2014,0))))</f>
        <v>187.1</v>
      </c>
      <c r="FI8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3" spans="1:165" s="139" customFormat="1" ht="15" customHeight="1">
      <c r="A83" s="360" t="s">
        <v>3942</v>
      </c>
      <c r="B83" s="521"/>
      <c r="C83" s="521"/>
      <c r="D83" s="521"/>
      <c r="E83" s="522"/>
      <c r="F83" s="522"/>
      <c r="G83" s="597"/>
      <c r="H83" s="597"/>
      <c r="I83" s="523"/>
      <c r="J83" s="522"/>
      <c r="K83" s="522"/>
      <c r="L83" s="522"/>
      <c r="M83" s="597" t="e">
        <f ca="1">IF(rngIsDate(HostBuild[CTO Acceptance]),"Y","N")</f>
        <v>#NAME?</v>
      </c>
      <c r="N83" s="361" t="s">
        <v>3939</v>
      </c>
      <c r="O83" s="525"/>
      <c r="P83" s="525"/>
      <c r="Q83" s="361" t="s">
        <v>212</v>
      </c>
      <c r="R83" s="526" t="str">
        <f>IF(NOT(ISBLANK(HostBuild[Env Label])),IFERROR(VLOOKUP(HostBuild[Env Label],tEnv[],3,FALSE),""),"")</f>
        <v>UAT</v>
      </c>
      <c r="S83" s="598"/>
      <c r="T83" s="527"/>
      <c r="U83" s="599"/>
      <c r="V83" s="524" t="s">
        <v>4006</v>
      </c>
      <c r="W83" s="524" t="s">
        <v>3941</v>
      </c>
      <c r="X83" s="524" t="s">
        <v>35</v>
      </c>
      <c r="Y83" s="361" t="s">
        <v>481</v>
      </c>
      <c r="Z83" s="526" t="str">
        <f>IF(NOT(ISBLANK(HostBuild[[#This Row],[Product 
(Acronym)]])),CONCATENATE(HostBuild[[#This Row],[Type]],"-",HostBuild[[#This Row],[Product 
(Acronym)]]),"")</f>
        <v>AP-ESB</v>
      </c>
      <c r="AA83" s="600"/>
      <c r="AB83" s="600" t="s">
        <v>105</v>
      </c>
      <c r="AC83" s="528"/>
      <c r="AD83" s="529"/>
      <c r="AE83" s="529"/>
      <c r="AF83" s="530"/>
      <c r="AG83" s="531"/>
      <c r="AH83" s="601"/>
      <c r="AI83" s="362" t="s">
        <v>4099</v>
      </c>
      <c r="AJ83" s="524">
        <f>IF(COUNTIF(HostBuild[Alias],HostBuild[Alias]),1/COUNTIF(HostBuild[Alias],HostBuild[Alias]),0)</f>
        <v>1</v>
      </c>
      <c r="AK83" s="531"/>
      <c r="AL83" s="531"/>
      <c r="AM83" s="532" t="s">
        <v>2173</v>
      </c>
      <c r="AN83" s="533" t="str">
        <f>IF(NOT(ISBLANK(HostBuild[Server Model])),VLOOKUP(HostBuild[Server Model],ServerModelsTier[],2,FALSE),"")</f>
        <v>x86 Tier 3</v>
      </c>
      <c r="AO83" s="533" t="str">
        <f>IF(NOT(ISBLANK(HostBuild[Server Model])),VLOOKUP(HostBuild[Server Model],ServerModelsTier[],5,FALSE),"")</f>
        <v>x86</v>
      </c>
      <c r="AP83" s="532"/>
      <c r="AQ83" s="532" t="s">
        <v>2337</v>
      </c>
      <c r="AR83" s="534"/>
      <c r="AS83" s="602"/>
      <c r="AT83" s="535">
        <v>16</v>
      </c>
      <c r="AU83" s="603" t="str">
        <f>IF(IFERROR(FIND("P-Series",HostBuild[Server Tier]),0),CEILING((HostBuild[Existing CPUs]+HostBuild[CPU])*16,8),"")</f>
        <v/>
      </c>
      <c r="AV83" s="536"/>
      <c r="AW83" s="531"/>
      <c r="AX83" s="531"/>
      <c r="AY83" s="531"/>
      <c r="AZ83" s="537"/>
      <c r="BA83" s="531"/>
      <c r="BB83" s="531"/>
      <c r="BC83" s="529"/>
      <c r="BD83" s="531"/>
      <c r="BE83" s="531"/>
      <c r="BF83" s="531"/>
      <c r="BG83" s="531"/>
      <c r="BH83" s="531"/>
      <c r="BI83" s="531"/>
      <c r="BJ83" s="531"/>
      <c r="BK83"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3" s="538">
        <v>150</v>
      </c>
      <c r="BM83" s="540">
        <f>IF(ISNUMBER(HostBuild[Recommended SAN (GB)]),HostBuild[Recommended SAN (GB)])+IF(HostBuild[Additional SAN (GB)]&gt;0,CEILING(HostBuild[Additional SAN (GB)],LUN),-(CEILING(-HostBuild[Additional SAN (GB)],LUN)))</f>
        <v>168.5</v>
      </c>
      <c r="BN83" s="539"/>
      <c r="BO83" s="540">
        <f>HostBuild[SAN (GB)
NEEDED TODAY]+CEILING(HostBuild[SAN (GB)
RESERVED
DO NOT USE TO BUILD], LUN)</f>
        <v>168.5</v>
      </c>
      <c r="BP83" s="541"/>
      <c r="BQ83" s="542"/>
      <c r="BR83" s="432" t="s">
        <v>105</v>
      </c>
      <c r="BS83" s="605">
        <f>IF(HostBuild[Existing Server?]&lt;&gt;"Yes - Inside this BoM",IF(ISNUMBER(HostBuild[RAM 
(GB)]),IF(HostBuild[Existing RAM (GB)]+HostBuild[RAM 
(GB)]&gt;0,IF(HostBuild[Virtual Platform Storage Type]="NAS",110+HostBuild[Existing RAM (GB)]+HostBuild[RAM 
(GB)]*1.75,0),0),0),0)</f>
        <v>0</v>
      </c>
      <c r="BT83" s="606"/>
      <c r="BU83" s="607">
        <f>IF(ISNUMBER(HostBuild[Recommended NAS (GB)]),HostBuild[Recommended NAS (GB)])+HostBuild[Additional NAS (GB)]</f>
        <v>0</v>
      </c>
      <c r="BV83" s="543"/>
      <c r="BW83" s="543"/>
      <c r="BX83" s="604">
        <f>IFERROR((HostBuild[SAN (GB)
End-State
DO NOT USE TO BUILD]+HostBuild[SAN (GB) Shared])*25%,"")</f>
        <v>42.125</v>
      </c>
      <c r="BY83" s="608">
        <f>IFERROR(HostBuild[Archive
Full (GB)]*15%,"")</f>
        <v>6.3187499999999996</v>
      </c>
      <c r="BZ83" s="544"/>
      <c r="CA83" s="544"/>
      <c r="CB83" s="545"/>
      <c r="CC83" s="546"/>
      <c r="CD83" s="545"/>
      <c r="CE83" s="547"/>
      <c r="CF83" s="539"/>
      <c r="CG83" s="609"/>
      <c r="CH83" s="548"/>
      <c r="CI83" s="549"/>
      <c r="CJ83" s="550" t="s">
        <v>4128</v>
      </c>
      <c r="CK83" s="551"/>
      <c r="CL83" s="552">
        <f>IFERROR(IF(FIND(CL$1,$W83)&gt;0,IF(INDEX(Product_Pricing_Table[],MATCH(CL$1,Products,0),2)="Cores",IF(HostBuild[Use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3" s="552">
        <f>IFERROR(IF(FIND(CM$1,$W83)&gt;0,IF(INDEX(Product_Pricing_Table[],MATCH(CM$1,Products,0),2)="Cores",IF(HostBuild[Use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3" s="552">
        <f>IFERROR(IF(FIND(CN$1,$W83)&gt;0,IF(INDEX(Product_Pricing_Table[],MATCH(CN$1,Products,0),2)="Cores",IF(HostBuild[Use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3" s="552">
        <f>IFERROR(IF(FIND(CO$1,$W83)&gt;0,IF(INDEX(Product_Pricing_Table[],MATCH(CO$1,Products,0),2)="Cores",IF(HostBuild[Use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3" s="552">
        <f>IFERROR(IF(FIND(CP$1,$W83)&gt;0,IF(INDEX(Product_Pricing_Table[],MATCH(CP$1,Products,0),2)="Cores",IF(HostBuild[Use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3" s="552">
        <f>IFERROR(IF(FIND(CQ$1,$W83)&gt;0,IF(INDEX(Product_Pricing_Table[],MATCH(CQ$1,Products,0),2)="Cores",IF(HostBuild[Use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3" s="552">
        <f>IFERROR(IF(FIND(CR$1,$W83)&gt;0,IF(INDEX(Product_Pricing_Table[],MATCH(CR$1,Products,0),2)="Cores",IF(HostBuild[Use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3" s="552">
        <f>IFERROR(IF(FIND(CS$1,$W83)&gt;0,IF(INDEX(Product_Pricing_Table[],MATCH(CS$1,Products,0),2)="Cores",IF(HostBuild[Use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3" s="552">
        <f>IFERROR(IF(FIND(CT$1,$W83)&gt;0,IF(INDEX(Product_Pricing_Table[],MATCH(CT$1,Products,0),2)="Cores",IF(HostBuild[Use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3" s="552">
        <f>IFERROR(IF(FIND(CU$1,$W83)&gt;0,IF(INDEX(Product_Pricing_Table[],MATCH(CU$1,Products,0),2)="Cores",IF(HostBuild[Use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3" s="552">
        <f>IFERROR(IF(FIND(CV$1,$W83)&gt;0,IF(INDEX(Product_Pricing_Table[],MATCH(CV$1,Products,0),2)="Cores",IF(HostBuild[Use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3" s="552">
        <f>IFERROR(IF(FIND(CW$1,$W83)&gt;0,IF(INDEX(Product_Pricing_Table[],MATCH(CW$1,Products,0),2)="Cores",IF(HostBuild[Use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3" s="552">
        <f>IFERROR(IF(FIND(CX$1,$W83)&gt;0,IF(INDEX(Product_Pricing_Table[],MATCH(CX$1,Products,0),2)="Cores",IF(HostBuild[Use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3" s="552">
        <f>IFERROR(IF(FIND(CY$1,$W83)&gt;0,IF(INDEX(Product_Pricing_Table[],MATCH(CY$1,Products,0),2)="Cores",IF(HostBuild[Use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3" s="552">
        <f>IFERROR(IF(FIND(CZ$1,$W83)&gt;0,IF(INDEX(Product_Pricing_Table[],MATCH(CZ$1,Products,0),2)="Cores",IF(HostBuild[Use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3" s="552">
        <f>IFERROR(IF(FIND(DA$1,$W83)&gt;0,IF(INDEX(Product_Pricing_Table[],MATCH(DA$1,Products,0),2)="Cores",IF(HostBuild[Use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3" s="552">
        <f>IFERROR(IF(FIND(DB$1,$W83)&gt;0,IF(INDEX(Product_Pricing_Table[],MATCH(DB$1,Products,0),2)="Cores",IF(HostBuild[Use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3" s="552">
        <f>IFERROR(IF(FIND(DC$1,$W83)&gt;0,IF(INDEX(Product_Pricing_Table[],MATCH(DC$1,Products,0),2)="Cores",IF(HostBuild[Use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3" s="552">
        <f>IFERROR(IF(FIND(DD$1,$W83)&gt;0,IF(INDEX(Product_Pricing_Table[],MATCH(DD$1,Products,0),2)="Cores",IF(HostBuild[Use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3" s="552">
        <f>IFERROR(IF(FIND(DE$1,$W83)&gt;0,IF(INDEX(Product_Pricing_Table[],MATCH(DE$1,Products,0),2)="Cores",IF(HostBuild[Use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3" s="553">
        <f>IFERROR(IF(FIND(DF$1,$W83)&gt;0,IF(INDEX(Product_Pricing_Table[],MATCH(DF$1,Products,0),2)="Cores",IF(HostBuild[Use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3" s="553">
        <f>IFERROR(IF(FIND(DG$1,$W83)&gt;0,IF(INDEX(Product_Pricing_Table[],MATCH(DG$1,Products,0),2)="Cores",IF(HostBuild[Use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3" s="552">
        <f>IFERROR(IF(FIND(DH$1,$W83)&gt;0,IF(INDEX(Product_Pricing_Table[],MATCH(DH$1,Products,0),2)="Cores",IF(HostBuild[Use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3" s="553">
        <f>IFERROR(IF(FIND(DI$1,$W83)&gt;0,IF(INDEX(Product_Pricing_Table[],MATCH(DI$1,Products,0),2)="Cores",IF(HostBuild[Use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3" s="552">
        <f>IFERROR(IF(FIND(DJ$1,$W83)&gt;0,IF(INDEX(Product_Pricing_Table[],MATCH(DJ$1,Products,0),2)="Cores",IF(HostBuild[Use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3" s="552">
        <f>IFERROR(IF(FIND(DK$1,$W83)&gt;0,IF(INDEX(Product_Pricing_Table[],MATCH(DK$1,Products,0),2)="Cores",IF(HostBuild[Use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3" s="552">
        <f>IFERROR(IF(FIND(DL$1,$W83)&gt;0,IF(INDEX(Product_Pricing_Table[],MATCH(DL$1,Products,0),2)="Cores",IF(HostBuild[Use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3" s="552">
        <f>IFERROR(IF(FIND(DM$1,$W83)&gt;0,IF(INDEX(Product_Pricing_Table[],MATCH(DM$1,Products,0),2)="Cores",IF(HostBuild[Use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3" s="552">
        <f>IFERROR(IF(FIND(DN$1,$W83)&gt;0,IF(INDEX(Product_Pricing_Table[],MATCH(DN$1,Products,0),2)="Cores",IF(HostBuild[Use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3" s="552">
        <f>IFERROR(IF(FIND(DO$1,$W83)&gt;0,IF(INDEX(Product_Pricing_Table[],MATCH(DO$1,Products,0),2)="Cores",IF(HostBuild[Use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3" s="552">
        <f>IFERROR(IF(FIND(DP$1,$W83)&gt;0,IF(INDEX(Product_Pricing_Table[],MATCH(DP$1,Products,0),2)="Cores",IF(HostBuild[Use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3" s="552">
        <f>IFERROR(IF(FIND(DQ$1,$W83)&gt;0,IF(INDEX(Product_Pricing_Table[],MATCH(DQ$1,Products,0),2)="Cores",IF(HostBuild[Use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3" s="552">
        <f>IFERROR(IF(FIND(DR$1,$W83)&gt;0,IF(INDEX(Product_Pricing_Table[],MATCH(DR$1,Products,0),2)="Cores",IF(HostBuild[Use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3" s="552">
        <f>IFERROR(IF(FIND(DS$1,$W83)&gt;0,IF(INDEX(Product_Pricing_Table[],MATCH(DS$1,Products,0),2)="Cores",IF(HostBuild[Use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3" s="552">
        <f>IFERROR(IF(FIND(DT$1,$W83)&gt;0,IF(INDEX(Product_Pricing_Table[],MATCH(DT$1,Products,0),2)="Cores",IF(HostBuild[Use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3" s="552">
        <f>IFERROR(IF(FIND(DU$1,$W83)&gt;0,IF(INDEX(Product_Pricing_Table[],MATCH(DU$1,Products,0),2)="Cores",IF(HostBuild[Use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3" s="552">
        <f>IFERROR(IF(FIND(DV$1,$W83)&gt;0,IF(INDEX(Product_Pricing_Table[],MATCH(DV$1,Products,0),2)="Cores",IF(HostBuild[Use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3" s="552">
        <f>IFERROR(IF(FIND(DW$1,$W83)&gt;0,IF(INDEX(Product_Pricing_Table[],MATCH(DW$1,Products,0),2)="Cores",IF(HostBuild[Use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3" s="552">
        <f>IFERROR(IF(FIND(DX$1,$W83)&gt;0,IF(INDEX(Product_Pricing_Table[],MATCH(DX$1,Products,0),2)="Cores",IF(HostBuild[Use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3" s="552">
        <f>IFERROR(IF(FIND(DY$1,$W83)&gt;0,IF(INDEX(Product_Pricing_Table[],MATCH(DY$1,Products,0),2)="Cores",IF(HostBuild[Use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3" s="552">
        <f>IFERROR(IF(FIND(DZ$1,$W83)&gt;0,IF(INDEX(Product_Pricing_Table[],MATCH(DZ$1,Products,0),2)="Cores",IF(HostBuild[Use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3" s="552">
        <f>IFERROR(IF(FIND(EA$1,$W83)&gt;0,IF(INDEX(Product_Pricing_Table[],MATCH(EA$1,Products,0),2)="Cores",IF(HostBuild[Use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3" s="552">
        <f>IFERROR(IF(FIND(EB$1,$W83)&gt;0,IF(INDEX(Product_Pricing_Table[],MATCH(EB$1,Products,0),2)="Cores",IF(HostBuild[Use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3" s="553">
        <f>IFERROR(IF(FIND(EC$1,$W83)&gt;0,IF(INDEX(Product_Pricing_Table[],MATCH(EC$1,Products,0),2)="Cores",IF(HostBuild[Use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3" s="552">
        <f>IFERROR(IF(FIND(ED$1,$W83)&gt;0,IF(INDEX(Product_Pricing_Table[],MATCH(ED$1,Products,0),2)="Cores",IF(HostBuild[Use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3" s="552">
        <f>IFERROR(IF(FIND(EE$1,$W83)&gt;0,IF(INDEX(Product_Pricing_Table[],MATCH(EE$1,Products,0),2)="Cores",IF(HostBuild[Use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3" s="552">
        <f>IFERROR(IF(FIND(EF$1,$W83)&gt;0,IF(INDEX(Product_Pricing_Table[],MATCH(EF$1,Products,0),2)="Cores",IF(HostBuild[Use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3" s="552">
        <f>IFERROR(IF(FIND(EG$1,$W83)&gt;0,IF(INDEX(Product_Pricing_Table[],MATCH(EG$1,Products,0),2)="Cores",IF(HostBuild[Use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3" s="552">
        <f>IFERROR(IF(FIND(EH$1,$W83)&gt;0,IF(INDEX(Product_Pricing_Table[],MATCH(EH$1,Products,0),2)="Cores",IF(HostBuild[Use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3" s="552">
        <f>IFERROR(IF(FIND(EI$1,$W83)&gt;0,IF(INDEX(Product_Pricing_Table[],MATCH(EI$1,Products,0),2)="Cores",IF(HostBuild[Use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3" s="552">
        <f>IFERROR(IF(FIND(EJ$1,$W83)&gt;0,IF(INDEX(Product_Pricing_Table[],MATCH(EJ$1,Products,0),2)="Cores",IF(HostBuild[Use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3" s="553">
        <f>IFERROR(IF(FIND(EK$1,$W83)&gt;0,IF(INDEX(Product_Pricing_Table[],MATCH(EK$1,Products,0),2)="Cores",IF(HostBuild[Use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3" s="554"/>
      <c r="EM83" s="555"/>
      <c r="EN83" s="556"/>
      <c r="EO83"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8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3" s="558">
        <f>(HostBuild[Archive
Full (GB)]+HostBuild[Archive
Incr (GB)])*Storage_DC_Dist_Tape_2014</f>
        <v>16.955312499999998</v>
      </c>
      <c r="ER83" s="558">
        <f>IF(ISNUMBER(HostBuild[Server HW Costs
(Monthly)]),SUM(HostBuild[[#This Row],[Server HW Costs
(Monthly)]:[Tape Costs
(Monthly)]]),0)</f>
        <v>279.8803125</v>
      </c>
      <c r="ES83" s="559">
        <f>HostBuild[Software Costs
'[Year 1']
(Monthly)]+HostBuild[Total Hardware Costs
(Monthly)]</f>
        <v>279.8803125</v>
      </c>
      <c r="ET83" s="559">
        <f>IFERROR(IF(FIND("Safenet",HostBuild[Server Model]),Safenet_PSE_PL600_Maint,0),0)+IFERROR(IF(FIND("XI52",HostBuild[Server Model]),IBM_DIA_XI52_Maint,0),0)+HostBuild[Software Costs
'[After Year 1']
(Monthly)]+HostBuild[Total Hardware Costs
(Monthly)]</f>
        <v>279.8803125</v>
      </c>
      <c r="EU83" s="560">
        <f>SUM(HostBuild[[#This Row],[Server Cost Breakdown]:[Network Cost]])</f>
        <v>187.1</v>
      </c>
      <c r="EV83" s="561">
        <f>IF(HostBuild[Existing Server?]="Yes - Inside this BoM",0,SUMIF(HostBuild[Alias],HostBuild[Alias],HostBuild[CPU])+SUMIF(HostBuild[Alias],HostBuild[Alias],HostBuild[Existing CPUs]))</f>
        <v>0</v>
      </c>
      <c r="EW83" s="561">
        <f>IF(HostBuild[Existing Server?]="Yes - Inside this BoM",0,SUMIF(HostBuild[Alias],HostBuild[Alias],HostBuild[Cores 
(Licensed Units)])+SUMIF(HostBuild[Alias],HostBuild[Alias],HostBuild[Existing Cores]))</f>
        <v>16</v>
      </c>
      <c r="EX83" s="561">
        <f>IF(HostBuild[Existing Server?]="Yes - Inside this BoM",0,SUMIF(HostBuild[Alias],HostBuild[Alias],HostBuild[RAM 
(GB)])+SUMIF(HostBuild[Alias],HostBuild[Alias],HostBuild[Existing RAM (GB)]))</f>
        <v>0</v>
      </c>
      <c r="EY8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3" s="560">
        <f>IF(ISBLANK(HostBuild[Server Model]),0,IF(HostBuild[Server Tier]="VMware",0,VLOOKUP(HostBuild[Server Tier],ServerTierRates[#Data],2,0))*HostBuild[CPU]*IF(AND(HostBuild[Server Type]="pSeries",HostBuild[Virtual Platform Storage Type]="Cloud-SAN"),0.25,1))</f>
        <v>0</v>
      </c>
      <c r="FD83" s="560">
        <f>0</f>
        <v>0</v>
      </c>
      <c r="FE83" s="560">
        <f>IF(HostBuild[Server Type]="VMware",HostBuild[RAM 
(GB)]*IF(ISERROR(FIND("DevCloud", HostBuild[Server Model])&gt;0),vRAM_per_vCPU_2014_Monthly,vRAM_per_vCPU_2014_Daily*30),0)</f>
        <v>0</v>
      </c>
      <c r="FF8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3" s="563">
        <f>IF(HostBuild[Server Tier]="VMware",0,IF(LEFT(HostBuild[Existing Server?],3)="Yes",0,IF(OR(HostBuild[Server Type]="Sun",HostBuild[Server Type]="pSeries"),Support_Direct_Server_Sun_per_OS_2014,IF(HostBuild[Server Type]="x86",Support_Direct_Server_x86_Wintel_per_OS_2014,0))))</f>
        <v>187.1</v>
      </c>
      <c r="FI8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4" spans="1:165" s="139" customFormat="1" ht="15" customHeight="1">
      <c r="A84" s="360" t="s">
        <v>3942</v>
      </c>
      <c r="B84" s="521"/>
      <c r="C84" s="521"/>
      <c r="D84" s="521"/>
      <c r="E84" s="522"/>
      <c r="F84" s="522"/>
      <c r="G84" s="597"/>
      <c r="H84" s="597"/>
      <c r="I84" s="523"/>
      <c r="J84" s="522"/>
      <c r="K84" s="522"/>
      <c r="L84" s="522"/>
      <c r="M84" s="597" t="e">
        <f ca="1">IF(rngIsDate(HostBuild[CTO Acceptance]),"Y","N")</f>
        <v>#NAME?</v>
      </c>
      <c r="N84" s="361" t="s">
        <v>3939</v>
      </c>
      <c r="O84" s="525"/>
      <c r="P84" s="525"/>
      <c r="Q84" s="361" t="s">
        <v>212</v>
      </c>
      <c r="R84" s="526" t="str">
        <f>IF(NOT(ISBLANK(HostBuild[Env Label])),IFERROR(VLOOKUP(HostBuild[Env Label],tEnv[],3,FALSE),""),"")</f>
        <v>UAT</v>
      </c>
      <c r="S84" s="598"/>
      <c r="T84" s="527"/>
      <c r="U84" s="599"/>
      <c r="V84" s="524" t="s">
        <v>4006</v>
      </c>
      <c r="W84" s="524" t="s">
        <v>3941</v>
      </c>
      <c r="X84" s="524" t="s">
        <v>35</v>
      </c>
      <c r="Y84" s="361" t="s">
        <v>481</v>
      </c>
      <c r="Z84" s="526" t="str">
        <f>IF(NOT(ISBLANK(HostBuild[[#This Row],[Product 
(Acronym)]])),CONCATENATE(HostBuild[[#This Row],[Type]],"-",HostBuild[[#This Row],[Product 
(Acronym)]]),"")</f>
        <v>AP-ESB</v>
      </c>
      <c r="AA84" s="600"/>
      <c r="AB84" s="600" t="s">
        <v>105</v>
      </c>
      <c r="AC84" s="528"/>
      <c r="AD84" s="529"/>
      <c r="AE84" s="529"/>
      <c r="AF84" s="530"/>
      <c r="AG84" s="531"/>
      <c r="AH84" s="601"/>
      <c r="AI84" s="362" t="s">
        <v>4100</v>
      </c>
      <c r="AJ84" s="524">
        <f>IF(COUNTIF(HostBuild[Alias],HostBuild[Alias]),1/COUNTIF(HostBuild[Alias],HostBuild[Alias]),0)</f>
        <v>1</v>
      </c>
      <c r="AK84" s="531"/>
      <c r="AL84" s="531"/>
      <c r="AM84" s="532" t="s">
        <v>2173</v>
      </c>
      <c r="AN84" s="533" t="str">
        <f>IF(NOT(ISBLANK(HostBuild[Server Model])),VLOOKUP(HostBuild[Server Model],ServerModelsTier[],2,FALSE),"")</f>
        <v>x86 Tier 3</v>
      </c>
      <c r="AO84" s="533" t="str">
        <f>IF(NOT(ISBLANK(HostBuild[Server Model])),VLOOKUP(HostBuild[Server Model],ServerModelsTier[],5,FALSE),"")</f>
        <v>x86</v>
      </c>
      <c r="AP84" s="532"/>
      <c r="AQ84" s="532" t="s">
        <v>2337</v>
      </c>
      <c r="AR84" s="534"/>
      <c r="AS84" s="602"/>
      <c r="AT84" s="535">
        <v>16</v>
      </c>
      <c r="AU84" s="603" t="str">
        <f>IF(IFERROR(FIND("P-Series",HostBuild[Server Tier]),0),CEILING((HostBuild[Existing CPUs]+HostBuild[CPU])*16,8),"")</f>
        <v/>
      </c>
      <c r="AV84" s="536"/>
      <c r="AW84" s="531"/>
      <c r="AX84" s="531"/>
      <c r="AY84" s="531"/>
      <c r="AZ84" s="537"/>
      <c r="BA84" s="531"/>
      <c r="BB84" s="531"/>
      <c r="BC84" s="529"/>
      <c r="BD84" s="531"/>
      <c r="BE84" s="531"/>
      <c r="BF84" s="531"/>
      <c r="BG84" s="531"/>
      <c r="BH84" s="531"/>
      <c r="BI84" s="531"/>
      <c r="BJ84" s="531"/>
      <c r="BK84"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4" s="538">
        <v>150</v>
      </c>
      <c r="BM84" s="540">
        <f>IF(ISNUMBER(HostBuild[Recommended SAN (GB)]),HostBuild[Recommended SAN (GB)])+IF(HostBuild[Additional SAN (GB)]&gt;0,CEILING(HostBuild[Additional SAN (GB)],LUN),-(CEILING(-HostBuild[Additional SAN (GB)],LUN)))</f>
        <v>168.5</v>
      </c>
      <c r="BN84" s="539"/>
      <c r="BO84" s="540">
        <f>HostBuild[SAN (GB)
NEEDED TODAY]+CEILING(HostBuild[SAN (GB)
RESERVED
DO NOT USE TO BUILD], LUN)</f>
        <v>168.5</v>
      </c>
      <c r="BP84" s="541"/>
      <c r="BQ84" s="542"/>
      <c r="BR84" s="432" t="s">
        <v>105</v>
      </c>
      <c r="BS84" s="605">
        <f>IF(HostBuild[Existing Server?]&lt;&gt;"Yes - Inside this BoM",IF(ISNUMBER(HostBuild[RAM 
(GB)]),IF(HostBuild[Existing RAM (GB)]+HostBuild[RAM 
(GB)]&gt;0,IF(HostBuild[Virtual Platform Storage Type]="NAS",110+HostBuild[Existing RAM (GB)]+HostBuild[RAM 
(GB)]*1.75,0),0),0),0)</f>
        <v>0</v>
      </c>
      <c r="BT84" s="606"/>
      <c r="BU84" s="607">
        <f>IF(ISNUMBER(HostBuild[Recommended NAS (GB)]),HostBuild[Recommended NAS (GB)])+HostBuild[Additional NAS (GB)]</f>
        <v>0</v>
      </c>
      <c r="BV84" s="543"/>
      <c r="BW84" s="543"/>
      <c r="BX84" s="604">
        <f>IFERROR((HostBuild[SAN (GB)
End-State
DO NOT USE TO BUILD]+HostBuild[SAN (GB) Shared])*25%,"")</f>
        <v>42.125</v>
      </c>
      <c r="BY84" s="608">
        <f>IFERROR(HostBuild[Archive
Full (GB)]*15%,"")</f>
        <v>6.3187499999999996</v>
      </c>
      <c r="BZ84" s="544"/>
      <c r="CA84" s="544"/>
      <c r="CB84" s="545"/>
      <c r="CC84" s="546"/>
      <c r="CD84" s="545"/>
      <c r="CE84" s="547"/>
      <c r="CF84" s="539"/>
      <c r="CG84" s="609"/>
      <c r="CH84" s="548"/>
      <c r="CI84" s="549"/>
      <c r="CJ84" s="550" t="s">
        <v>4128</v>
      </c>
      <c r="CK84" s="551"/>
      <c r="CL84" s="552">
        <f>IFERROR(IF(FIND(CL$1,$W84)&gt;0,IF(INDEX(Product_Pricing_Table[],MATCH(CL$1,Products,0),2)="Cores",IF(HostBuild[Use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4" s="552">
        <f>IFERROR(IF(FIND(CM$1,$W84)&gt;0,IF(INDEX(Product_Pricing_Table[],MATCH(CM$1,Products,0),2)="Cores",IF(HostBuild[Use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4" s="552">
        <f>IFERROR(IF(FIND(CN$1,$W84)&gt;0,IF(INDEX(Product_Pricing_Table[],MATCH(CN$1,Products,0),2)="Cores",IF(HostBuild[Use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4" s="552">
        <f>IFERROR(IF(FIND(CO$1,$W84)&gt;0,IF(INDEX(Product_Pricing_Table[],MATCH(CO$1,Products,0),2)="Cores",IF(HostBuild[Use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4" s="552">
        <f>IFERROR(IF(FIND(CP$1,$W84)&gt;0,IF(INDEX(Product_Pricing_Table[],MATCH(CP$1,Products,0),2)="Cores",IF(HostBuild[Use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4" s="552">
        <f>IFERROR(IF(FIND(CQ$1,$W84)&gt;0,IF(INDEX(Product_Pricing_Table[],MATCH(CQ$1,Products,0),2)="Cores",IF(HostBuild[Use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4" s="552">
        <f>IFERROR(IF(FIND(CR$1,$W84)&gt;0,IF(INDEX(Product_Pricing_Table[],MATCH(CR$1,Products,0),2)="Cores",IF(HostBuild[Use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4" s="552">
        <f>IFERROR(IF(FIND(CS$1,$W84)&gt;0,IF(INDEX(Product_Pricing_Table[],MATCH(CS$1,Products,0),2)="Cores",IF(HostBuild[Use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4" s="552">
        <f>IFERROR(IF(FIND(CT$1,$W84)&gt;0,IF(INDEX(Product_Pricing_Table[],MATCH(CT$1,Products,0),2)="Cores",IF(HostBuild[Use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4" s="552">
        <f>IFERROR(IF(FIND(CU$1,$W84)&gt;0,IF(INDEX(Product_Pricing_Table[],MATCH(CU$1,Products,0),2)="Cores",IF(HostBuild[Use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4" s="552">
        <f>IFERROR(IF(FIND(CV$1,$W84)&gt;0,IF(INDEX(Product_Pricing_Table[],MATCH(CV$1,Products,0),2)="Cores",IF(HostBuild[Use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4" s="552">
        <f>IFERROR(IF(FIND(CW$1,$W84)&gt;0,IF(INDEX(Product_Pricing_Table[],MATCH(CW$1,Products,0),2)="Cores",IF(HostBuild[Use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4" s="552">
        <f>IFERROR(IF(FIND(CX$1,$W84)&gt;0,IF(INDEX(Product_Pricing_Table[],MATCH(CX$1,Products,0),2)="Cores",IF(HostBuild[Use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4" s="552">
        <f>IFERROR(IF(FIND(CY$1,$W84)&gt;0,IF(INDEX(Product_Pricing_Table[],MATCH(CY$1,Products,0),2)="Cores",IF(HostBuild[Use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4" s="552">
        <f>IFERROR(IF(FIND(CZ$1,$W84)&gt;0,IF(INDEX(Product_Pricing_Table[],MATCH(CZ$1,Products,0),2)="Cores",IF(HostBuild[Use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4" s="552">
        <f>IFERROR(IF(FIND(DA$1,$W84)&gt;0,IF(INDEX(Product_Pricing_Table[],MATCH(DA$1,Products,0),2)="Cores",IF(HostBuild[Use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4" s="552">
        <f>IFERROR(IF(FIND(DB$1,$W84)&gt;0,IF(INDEX(Product_Pricing_Table[],MATCH(DB$1,Products,0),2)="Cores",IF(HostBuild[Use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4" s="552">
        <f>IFERROR(IF(FIND(DC$1,$W84)&gt;0,IF(INDEX(Product_Pricing_Table[],MATCH(DC$1,Products,0),2)="Cores",IF(HostBuild[Use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4" s="552">
        <f>IFERROR(IF(FIND(DD$1,$W84)&gt;0,IF(INDEX(Product_Pricing_Table[],MATCH(DD$1,Products,0),2)="Cores",IF(HostBuild[Use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4" s="552">
        <f>IFERROR(IF(FIND(DE$1,$W84)&gt;0,IF(INDEX(Product_Pricing_Table[],MATCH(DE$1,Products,0),2)="Cores",IF(HostBuild[Use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4" s="553">
        <f>IFERROR(IF(FIND(DF$1,$W84)&gt;0,IF(INDEX(Product_Pricing_Table[],MATCH(DF$1,Products,0),2)="Cores",IF(HostBuild[Use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4" s="553">
        <f>IFERROR(IF(FIND(DG$1,$W84)&gt;0,IF(INDEX(Product_Pricing_Table[],MATCH(DG$1,Products,0),2)="Cores",IF(HostBuild[Use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4" s="552">
        <f>IFERROR(IF(FIND(DH$1,$W84)&gt;0,IF(INDEX(Product_Pricing_Table[],MATCH(DH$1,Products,0),2)="Cores",IF(HostBuild[Use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4" s="553">
        <f>IFERROR(IF(FIND(DI$1,$W84)&gt;0,IF(INDEX(Product_Pricing_Table[],MATCH(DI$1,Products,0),2)="Cores",IF(HostBuild[Use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4" s="552">
        <f>IFERROR(IF(FIND(DJ$1,$W84)&gt;0,IF(INDEX(Product_Pricing_Table[],MATCH(DJ$1,Products,0),2)="Cores",IF(HostBuild[Use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4" s="552">
        <f>IFERROR(IF(FIND(DK$1,$W84)&gt;0,IF(INDEX(Product_Pricing_Table[],MATCH(DK$1,Products,0),2)="Cores",IF(HostBuild[Use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4" s="552">
        <f>IFERROR(IF(FIND(DL$1,$W84)&gt;0,IF(INDEX(Product_Pricing_Table[],MATCH(DL$1,Products,0),2)="Cores",IF(HostBuild[Use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4" s="552">
        <f>IFERROR(IF(FIND(DM$1,$W84)&gt;0,IF(INDEX(Product_Pricing_Table[],MATCH(DM$1,Products,0),2)="Cores",IF(HostBuild[Use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4" s="552">
        <f>IFERROR(IF(FIND(DN$1,$W84)&gt;0,IF(INDEX(Product_Pricing_Table[],MATCH(DN$1,Products,0),2)="Cores",IF(HostBuild[Use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4" s="552">
        <f>IFERROR(IF(FIND(DO$1,$W84)&gt;0,IF(INDEX(Product_Pricing_Table[],MATCH(DO$1,Products,0),2)="Cores",IF(HostBuild[Use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4" s="552">
        <f>IFERROR(IF(FIND(DP$1,$W84)&gt;0,IF(INDEX(Product_Pricing_Table[],MATCH(DP$1,Products,0),2)="Cores",IF(HostBuild[Use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4" s="552">
        <f>IFERROR(IF(FIND(DQ$1,$W84)&gt;0,IF(INDEX(Product_Pricing_Table[],MATCH(DQ$1,Products,0),2)="Cores",IF(HostBuild[Use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4" s="552">
        <f>IFERROR(IF(FIND(DR$1,$W84)&gt;0,IF(INDEX(Product_Pricing_Table[],MATCH(DR$1,Products,0),2)="Cores",IF(HostBuild[Use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4" s="552">
        <f>IFERROR(IF(FIND(DS$1,$W84)&gt;0,IF(INDEX(Product_Pricing_Table[],MATCH(DS$1,Products,0),2)="Cores",IF(HostBuild[Use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4" s="552">
        <f>IFERROR(IF(FIND(DT$1,$W84)&gt;0,IF(INDEX(Product_Pricing_Table[],MATCH(DT$1,Products,0),2)="Cores",IF(HostBuild[Use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4" s="552">
        <f>IFERROR(IF(FIND(DU$1,$W84)&gt;0,IF(INDEX(Product_Pricing_Table[],MATCH(DU$1,Products,0),2)="Cores",IF(HostBuild[Use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4" s="552">
        <f>IFERROR(IF(FIND(DV$1,$W84)&gt;0,IF(INDEX(Product_Pricing_Table[],MATCH(DV$1,Products,0),2)="Cores",IF(HostBuild[Use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4" s="552">
        <f>IFERROR(IF(FIND(DW$1,$W84)&gt;0,IF(INDEX(Product_Pricing_Table[],MATCH(DW$1,Products,0),2)="Cores",IF(HostBuild[Use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4" s="552">
        <f>IFERROR(IF(FIND(DX$1,$W84)&gt;0,IF(INDEX(Product_Pricing_Table[],MATCH(DX$1,Products,0),2)="Cores",IF(HostBuild[Use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4" s="552">
        <f>IFERROR(IF(FIND(DY$1,$W84)&gt;0,IF(INDEX(Product_Pricing_Table[],MATCH(DY$1,Products,0),2)="Cores",IF(HostBuild[Use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4" s="552">
        <f>IFERROR(IF(FIND(DZ$1,$W84)&gt;0,IF(INDEX(Product_Pricing_Table[],MATCH(DZ$1,Products,0),2)="Cores",IF(HostBuild[Use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4" s="552">
        <f>IFERROR(IF(FIND(EA$1,$W84)&gt;0,IF(INDEX(Product_Pricing_Table[],MATCH(EA$1,Products,0),2)="Cores",IF(HostBuild[Use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4" s="552">
        <f>IFERROR(IF(FIND(EB$1,$W84)&gt;0,IF(INDEX(Product_Pricing_Table[],MATCH(EB$1,Products,0),2)="Cores",IF(HostBuild[Use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4" s="553">
        <f>IFERROR(IF(FIND(EC$1,$W84)&gt;0,IF(INDEX(Product_Pricing_Table[],MATCH(EC$1,Products,0),2)="Cores",IF(HostBuild[Use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4" s="552">
        <f>IFERROR(IF(FIND(ED$1,$W84)&gt;0,IF(INDEX(Product_Pricing_Table[],MATCH(ED$1,Products,0),2)="Cores",IF(HostBuild[Use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4" s="552">
        <f>IFERROR(IF(FIND(EE$1,$W84)&gt;0,IF(INDEX(Product_Pricing_Table[],MATCH(EE$1,Products,0),2)="Cores",IF(HostBuild[Use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4" s="552">
        <f>IFERROR(IF(FIND(EF$1,$W84)&gt;0,IF(INDEX(Product_Pricing_Table[],MATCH(EF$1,Products,0),2)="Cores",IF(HostBuild[Use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4" s="552">
        <f>IFERROR(IF(FIND(EG$1,$W84)&gt;0,IF(INDEX(Product_Pricing_Table[],MATCH(EG$1,Products,0),2)="Cores",IF(HostBuild[Use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4" s="552">
        <f>IFERROR(IF(FIND(EH$1,$W84)&gt;0,IF(INDEX(Product_Pricing_Table[],MATCH(EH$1,Products,0),2)="Cores",IF(HostBuild[Use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4" s="552">
        <f>IFERROR(IF(FIND(EI$1,$W84)&gt;0,IF(INDEX(Product_Pricing_Table[],MATCH(EI$1,Products,0),2)="Cores",IF(HostBuild[Use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4" s="552">
        <f>IFERROR(IF(FIND(EJ$1,$W84)&gt;0,IF(INDEX(Product_Pricing_Table[],MATCH(EJ$1,Products,0),2)="Cores",IF(HostBuild[Use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4" s="553">
        <f>IFERROR(IF(FIND(EK$1,$W84)&gt;0,IF(INDEX(Product_Pricing_Table[],MATCH(EK$1,Products,0),2)="Cores",IF(HostBuild[Use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4" s="554"/>
      <c r="EM84" s="555">
        <v>0</v>
      </c>
      <c r="EN84" s="556">
        <v>0</v>
      </c>
      <c r="EO84"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8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4" s="558">
        <f>(HostBuild[Archive
Full (GB)]+HostBuild[Archive
Incr (GB)])*Storage_DC_Dist_Tape_2014</f>
        <v>16.955312499999998</v>
      </c>
      <c r="ER84" s="558">
        <f>IF(ISNUMBER(HostBuild[Server HW Costs
(Monthly)]),SUM(HostBuild[[#This Row],[Server HW Costs
(Monthly)]:[Tape Costs
(Monthly)]]),0)</f>
        <v>279.8803125</v>
      </c>
      <c r="ES84" s="559">
        <f>HostBuild[Software Costs
'[Year 1']
(Monthly)]+HostBuild[Total Hardware Costs
(Monthly)]</f>
        <v>279.8803125</v>
      </c>
      <c r="ET84" s="559">
        <f>IFERROR(IF(FIND("Safenet",HostBuild[Server Model]),Safenet_PSE_PL600_Maint,0),0)+IFERROR(IF(FIND("XI52",HostBuild[Server Model]),IBM_DIA_XI52_Maint,0),0)+HostBuild[Software Costs
'[After Year 1']
(Monthly)]+HostBuild[Total Hardware Costs
(Monthly)]</f>
        <v>279.8803125</v>
      </c>
      <c r="EU84" s="560">
        <f>SUM(HostBuild[[#This Row],[Server Cost Breakdown]:[Network Cost]])</f>
        <v>187.1</v>
      </c>
      <c r="EV84" s="561">
        <f>IF(HostBuild[Existing Server?]="Yes - Inside this BoM",0,SUMIF(HostBuild[Alias],HostBuild[Alias],HostBuild[CPU])+SUMIF(HostBuild[Alias],HostBuild[Alias],HostBuild[Existing CPUs]))</f>
        <v>0</v>
      </c>
      <c r="EW84" s="561">
        <f>IF(HostBuild[Existing Server?]="Yes - Inside this BoM",0,SUMIF(HostBuild[Alias],HostBuild[Alias],HostBuild[Cores 
(Licensed Units)])+SUMIF(HostBuild[Alias],HostBuild[Alias],HostBuild[Existing Cores]))</f>
        <v>16</v>
      </c>
      <c r="EX84" s="561">
        <f>IF(HostBuild[Existing Server?]="Yes - Inside this BoM",0,SUMIF(HostBuild[Alias],HostBuild[Alias],HostBuild[RAM 
(GB)])+SUMIF(HostBuild[Alias],HostBuild[Alias],HostBuild[Existing RAM (GB)]))</f>
        <v>0</v>
      </c>
      <c r="EY8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4" s="560">
        <f>IF(ISBLANK(HostBuild[Server Model]),0,IF(HostBuild[Server Tier]="VMware",0,VLOOKUP(HostBuild[Server Tier],ServerTierRates[#Data],2,0))*HostBuild[CPU]*IF(AND(HostBuild[Server Type]="pSeries",HostBuild[Virtual Platform Storage Type]="Cloud-SAN"),0.25,1))</f>
        <v>0</v>
      </c>
      <c r="FD84" s="560">
        <f>0</f>
        <v>0</v>
      </c>
      <c r="FE84" s="560">
        <f>IF(HostBuild[Server Type]="VMware",HostBuild[RAM 
(GB)]*IF(ISERROR(FIND("DevCloud", HostBuild[Server Model])&gt;0),vRAM_per_vCPU_2014_Monthly,vRAM_per_vCPU_2014_Daily*30),0)</f>
        <v>0</v>
      </c>
      <c r="FF8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4" s="563">
        <f>IF(HostBuild[Server Tier]="VMware",0,IF(LEFT(HostBuild[Existing Server?],3)="Yes",0,IF(OR(HostBuild[Server Type]="Sun",HostBuild[Server Type]="pSeries"),Support_Direct_Server_Sun_per_OS_2014,IF(HostBuild[Server Type]="x86",Support_Direct_Server_x86_Wintel_per_OS_2014,0))))</f>
        <v>187.1</v>
      </c>
      <c r="FI8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5" spans="1:165" s="139" customFormat="1" ht="15" customHeight="1">
      <c r="A85" s="360" t="s">
        <v>3942</v>
      </c>
      <c r="B85" s="521"/>
      <c r="C85" s="521"/>
      <c r="D85" s="521"/>
      <c r="E85" s="522"/>
      <c r="F85" s="522"/>
      <c r="G85" s="597"/>
      <c r="H85" s="597"/>
      <c r="I85" s="523"/>
      <c r="J85" s="522"/>
      <c r="K85" s="522"/>
      <c r="L85" s="522"/>
      <c r="M85" s="597" t="e">
        <f ca="1">IF(rngIsDate(HostBuild[CTO Acceptance]),"Y","N")</f>
        <v>#NAME?</v>
      </c>
      <c r="N85" s="361" t="s">
        <v>3939</v>
      </c>
      <c r="O85" s="525"/>
      <c r="P85" s="525"/>
      <c r="Q85" s="361" t="s">
        <v>212</v>
      </c>
      <c r="R85" s="526" t="str">
        <f>IF(NOT(ISBLANK(HostBuild[Env Label])),IFERROR(VLOOKUP(HostBuild[Env Label],tEnv[],3,FALSE),""),"")</f>
        <v>UAT</v>
      </c>
      <c r="S85" s="598"/>
      <c r="T85" s="527"/>
      <c r="U85" s="599"/>
      <c r="V85" s="524" t="s">
        <v>4006</v>
      </c>
      <c r="W85" s="524" t="s">
        <v>3941</v>
      </c>
      <c r="X85" s="524" t="s">
        <v>35</v>
      </c>
      <c r="Y85" s="361" t="s">
        <v>481</v>
      </c>
      <c r="Z85" s="526" t="str">
        <f>IF(NOT(ISBLANK(HostBuild[[#This Row],[Product 
(Acronym)]])),CONCATENATE(HostBuild[[#This Row],[Type]],"-",HostBuild[[#This Row],[Product 
(Acronym)]]),"")</f>
        <v>AP-ESB</v>
      </c>
      <c r="AA85" s="600"/>
      <c r="AB85" s="600" t="s">
        <v>105</v>
      </c>
      <c r="AC85" s="528"/>
      <c r="AD85" s="529"/>
      <c r="AE85" s="529"/>
      <c r="AF85" s="530"/>
      <c r="AG85" s="531"/>
      <c r="AH85" s="601"/>
      <c r="AI85" s="362" t="s">
        <v>4101</v>
      </c>
      <c r="AJ85" s="524">
        <f>IF(COUNTIF(HostBuild[Alias],HostBuild[Alias]),1/COUNTIF(HostBuild[Alias],HostBuild[Alias]),0)</f>
        <v>1</v>
      </c>
      <c r="AK85" s="531"/>
      <c r="AL85" s="531"/>
      <c r="AM85" s="532" t="s">
        <v>2173</v>
      </c>
      <c r="AN85" s="533" t="str">
        <f>IF(NOT(ISBLANK(HostBuild[Server Model])),VLOOKUP(HostBuild[Server Model],ServerModelsTier[],2,FALSE),"")</f>
        <v>x86 Tier 3</v>
      </c>
      <c r="AO85" s="533" t="str">
        <f>IF(NOT(ISBLANK(HostBuild[Server Model])),VLOOKUP(HostBuild[Server Model],ServerModelsTier[],5,FALSE),"")</f>
        <v>x86</v>
      </c>
      <c r="AP85" s="532"/>
      <c r="AQ85" s="532" t="s">
        <v>2337</v>
      </c>
      <c r="AR85" s="534"/>
      <c r="AS85" s="602"/>
      <c r="AT85" s="535">
        <v>16</v>
      </c>
      <c r="AU85" s="603" t="str">
        <f>IF(IFERROR(FIND("P-Series",HostBuild[Server Tier]),0),CEILING((HostBuild[Existing CPUs]+HostBuild[CPU])*16,8),"")</f>
        <v/>
      </c>
      <c r="AV85" s="536"/>
      <c r="AW85" s="531"/>
      <c r="AX85" s="531"/>
      <c r="AY85" s="531"/>
      <c r="AZ85" s="537"/>
      <c r="BA85" s="531"/>
      <c r="BB85" s="531"/>
      <c r="BC85" s="529"/>
      <c r="BD85" s="531"/>
      <c r="BE85" s="531"/>
      <c r="BF85" s="531"/>
      <c r="BG85" s="531"/>
      <c r="BH85" s="531"/>
      <c r="BI85" s="531"/>
      <c r="BJ85" s="531"/>
      <c r="BK85"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5" s="538">
        <v>150</v>
      </c>
      <c r="BM85" s="540">
        <f>IF(ISNUMBER(HostBuild[Recommended SAN (GB)]),HostBuild[Recommended SAN (GB)])+IF(HostBuild[Additional SAN (GB)]&gt;0,CEILING(HostBuild[Additional SAN (GB)],LUN),-(CEILING(-HostBuild[Additional SAN (GB)],LUN)))</f>
        <v>168.5</v>
      </c>
      <c r="BN85" s="539"/>
      <c r="BO85" s="540">
        <f>HostBuild[SAN (GB)
NEEDED TODAY]+CEILING(HostBuild[SAN (GB)
RESERVED
DO NOT USE TO BUILD], LUN)</f>
        <v>168.5</v>
      </c>
      <c r="BP85" s="541"/>
      <c r="BQ85" s="542"/>
      <c r="BR85" s="432" t="s">
        <v>105</v>
      </c>
      <c r="BS85" s="605">
        <f>IF(HostBuild[Existing Server?]&lt;&gt;"Yes - Inside this BoM",IF(ISNUMBER(HostBuild[RAM 
(GB)]),IF(HostBuild[Existing RAM (GB)]+HostBuild[RAM 
(GB)]&gt;0,IF(HostBuild[Virtual Platform Storage Type]="NAS",110+HostBuild[Existing RAM (GB)]+HostBuild[RAM 
(GB)]*1.75,0),0),0),0)</f>
        <v>0</v>
      </c>
      <c r="BT85" s="606"/>
      <c r="BU85" s="607">
        <f>IF(ISNUMBER(HostBuild[Recommended NAS (GB)]),HostBuild[Recommended NAS (GB)])+HostBuild[Additional NAS (GB)]</f>
        <v>0</v>
      </c>
      <c r="BV85" s="543"/>
      <c r="BW85" s="543"/>
      <c r="BX85" s="604">
        <f>IFERROR((HostBuild[SAN (GB)
End-State
DO NOT USE TO BUILD]+HostBuild[SAN (GB) Shared])*25%,"")</f>
        <v>42.125</v>
      </c>
      <c r="BY85" s="608">
        <f>IFERROR(HostBuild[Archive
Full (GB)]*15%,"")</f>
        <v>6.3187499999999996</v>
      </c>
      <c r="BZ85" s="544"/>
      <c r="CA85" s="544"/>
      <c r="CB85" s="545"/>
      <c r="CC85" s="546"/>
      <c r="CD85" s="545"/>
      <c r="CE85" s="547"/>
      <c r="CF85" s="539"/>
      <c r="CG85" s="609"/>
      <c r="CH85" s="548"/>
      <c r="CI85" s="549"/>
      <c r="CJ85" s="550" t="s">
        <v>4128</v>
      </c>
      <c r="CK85" s="551"/>
      <c r="CL85" s="552">
        <f>IFERROR(IF(FIND(CL$1,$W85)&gt;0,IF(INDEX(Product_Pricing_Table[],MATCH(CL$1,Products,0),2)="Cores",IF(HostBuild[Use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5" s="552">
        <f>IFERROR(IF(FIND(CM$1,$W85)&gt;0,IF(INDEX(Product_Pricing_Table[],MATCH(CM$1,Products,0),2)="Cores",IF(HostBuild[Use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5" s="552">
        <f>IFERROR(IF(FIND(CN$1,$W85)&gt;0,IF(INDEX(Product_Pricing_Table[],MATCH(CN$1,Products,0),2)="Cores",IF(HostBuild[Use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5" s="552">
        <f>IFERROR(IF(FIND(CO$1,$W85)&gt;0,IF(INDEX(Product_Pricing_Table[],MATCH(CO$1,Products,0),2)="Cores",IF(HostBuild[Use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5" s="552">
        <f>IFERROR(IF(FIND(CP$1,$W85)&gt;0,IF(INDEX(Product_Pricing_Table[],MATCH(CP$1,Products,0),2)="Cores",IF(HostBuild[Use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5" s="552">
        <f>IFERROR(IF(FIND(CQ$1,$W85)&gt;0,IF(INDEX(Product_Pricing_Table[],MATCH(CQ$1,Products,0),2)="Cores",IF(HostBuild[Use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5" s="552">
        <f>IFERROR(IF(FIND(CR$1,$W85)&gt;0,IF(INDEX(Product_Pricing_Table[],MATCH(CR$1,Products,0),2)="Cores",IF(HostBuild[Use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5" s="552">
        <f>IFERROR(IF(FIND(CS$1,$W85)&gt;0,IF(INDEX(Product_Pricing_Table[],MATCH(CS$1,Products,0),2)="Cores",IF(HostBuild[Use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5" s="552">
        <f>IFERROR(IF(FIND(CT$1,$W85)&gt;0,IF(INDEX(Product_Pricing_Table[],MATCH(CT$1,Products,0),2)="Cores",IF(HostBuild[Use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5" s="552">
        <f>IFERROR(IF(FIND(CU$1,$W85)&gt;0,IF(INDEX(Product_Pricing_Table[],MATCH(CU$1,Products,0),2)="Cores",IF(HostBuild[Use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5" s="552">
        <f>IFERROR(IF(FIND(CV$1,$W85)&gt;0,IF(INDEX(Product_Pricing_Table[],MATCH(CV$1,Products,0),2)="Cores",IF(HostBuild[Use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5" s="552">
        <f>IFERROR(IF(FIND(CW$1,$W85)&gt;0,IF(INDEX(Product_Pricing_Table[],MATCH(CW$1,Products,0),2)="Cores",IF(HostBuild[Use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5" s="552">
        <f>IFERROR(IF(FIND(CX$1,$W85)&gt;0,IF(INDEX(Product_Pricing_Table[],MATCH(CX$1,Products,0),2)="Cores",IF(HostBuild[Use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5" s="552">
        <f>IFERROR(IF(FIND(CY$1,$W85)&gt;0,IF(INDEX(Product_Pricing_Table[],MATCH(CY$1,Products,0),2)="Cores",IF(HostBuild[Use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5" s="552">
        <f>IFERROR(IF(FIND(CZ$1,$W85)&gt;0,IF(INDEX(Product_Pricing_Table[],MATCH(CZ$1,Products,0),2)="Cores",IF(HostBuild[Use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5" s="552">
        <f>IFERROR(IF(FIND(DA$1,$W85)&gt;0,IF(INDEX(Product_Pricing_Table[],MATCH(DA$1,Products,0),2)="Cores",IF(HostBuild[Use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5" s="552">
        <f>IFERROR(IF(FIND(DB$1,$W85)&gt;0,IF(INDEX(Product_Pricing_Table[],MATCH(DB$1,Products,0),2)="Cores",IF(HostBuild[Use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5" s="552">
        <f>IFERROR(IF(FIND(DC$1,$W85)&gt;0,IF(INDEX(Product_Pricing_Table[],MATCH(DC$1,Products,0),2)="Cores",IF(HostBuild[Use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5" s="552">
        <f>IFERROR(IF(FIND(DD$1,$W85)&gt;0,IF(INDEX(Product_Pricing_Table[],MATCH(DD$1,Products,0),2)="Cores",IF(HostBuild[Use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5" s="552">
        <f>IFERROR(IF(FIND(DE$1,$W85)&gt;0,IF(INDEX(Product_Pricing_Table[],MATCH(DE$1,Products,0),2)="Cores",IF(HostBuild[Use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5" s="553">
        <f>IFERROR(IF(FIND(DF$1,$W85)&gt;0,IF(INDEX(Product_Pricing_Table[],MATCH(DF$1,Products,0),2)="Cores",IF(HostBuild[Use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5" s="553">
        <f>IFERROR(IF(FIND(DG$1,$W85)&gt;0,IF(INDEX(Product_Pricing_Table[],MATCH(DG$1,Products,0),2)="Cores",IF(HostBuild[Use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5" s="552">
        <f>IFERROR(IF(FIND(DH$1,$W85)&gt;0,IF(INDEX(Product_Pricing_Table[],MATCH(DH$1,Products,0),2)="Cores",IF(HostBuild[Use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5" s="553">
        <f>IFERROR(IF(FIND(DI$1,$W85)&gt;0,IF(INDEX(Product_Pricing_Table[],MATCH(DI$1,Products,0),2)="Cores",IF(HostBuild[Use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5" s="552">
        <f>IFERROR(IF(FIND(DJ$1,$W85)&gt;0,IF(INDEX(Product_Pricing_Table[],MATCH(DJ$1,Products,0),2)="Cores",IF(HostBuild[Use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5" s="552">
        <f>IFERROR(IF(FIND(DK$1,$W85)&gt;0,IF(INDEX(Product_Pricing_Table[],MATCH(DK$1,Products,0),2)="Cores",IF(HostBuild[Use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5" s="552">
        <f>IFERROR(IF(FIND(DL$1,$W85)&gt;0,IF(INDEX(Product_Pricing_Table[],MATCH(DL$1,Products,0),2)="Cores",IF(HostBuild[Use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5" s="552">
        <f>IFERROR(IF(FIND(DM$1,$W85)&gt;0,IF(INDEX(Product_Pricing_Table[],MATCH(DM$1,Products,0),2)="Cores",IF(HostBuild[Use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5" s="552">
        <f>IFERROR(IF(FIND(DN$1,$W85)&gt;0,IF(INDEX(Product_Pricing_Table[],MATCH(DN$1,Products,0),2)="Cores",IF(HostBuild[Use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5" s="552">
        <f>IFERROR(IF(FIND(DO$1,$W85)&gt;0,IF(INDEX(Product_Pricing_Table[],MATCH(DO$1,Products,0),2)="Cores",IF(HostBuild[Use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5" s="552">
        <f>IFERROR(IF(FIND(DP$1,$W85)&gt;0,IF(INDEX(Product_Pricing_Table[],MATCH(DP$1,Products,0),2)="Cores",IF(HostBuild[Use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5" s="552">
        <f>IFERROR(IF(FIND(DQ$1,$W85)&gt;0,IF(INDEX(Product_Pricing_Table[],MATCH(DQ$1,Products,0),2)="Cores",IF(HostBuild[Use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5" s="552">
        <f>IFERROR(IF(FIND(DR$1,$W85)&gt;0,IF(INDEX(Product_Pricing_Table[],MATCH(DR$1,Products,0),2)="Cores",IF(HostBuild[Use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5" s="552">
        <f>IFERROR(IF(FIND(DS$1,$W85)&gt;0,IF(INDEX(Product_Pricing_Table[],MATCH(DS$1,Products,0),2)="Cores",IF(HostBuild[Use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5" s="552">
        <f>IFERROR(IF(FIND(DT$1,$W85)&gt;0,IF(INDEX(Product_Pricing_Table[],MATCH(DT$1,Products,0),2)="Cores",IF(HostBuild[Use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5" s="552">
        <f>IFERROR(IF(FIND(DU$1,$W85)&gt;0,IF(INDEX(Product_Pricing_Table[],MATCH(DU$1,Products,0),2)="Cores",IF(HostBuild[Use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5" s="552">
        <f>IFERROR(IF(FIND(DV$1,$W85)&gt;0,IF(INDEX(Product_Pricing_Table[],MATCH(DV$1,Products,0),2)="Cores",IF(HostBuild[Use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5" s="552">
        <f>IFERROR(IF(FIND(DW$1,$W85)&gt;0,IF(INDEX(Product_Pricing_Table[],MATCH(DW$1,Products,0),2)="Cores",IF(HostBuild[Use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5" s="552">
        <f>IFERROR(IF(FIND(DX$1,$W85)&gt;0,IF(INDEX(Product_Pricing_Table[],MATCH(DX$1,Products,0),2)="Cores",IF(HostBuild[Use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5" s="552">
        <f>IFERROR(IF(FIND(DY$1,$W85)&gt;0,IF(INDEX(Product_Pricing_Table[],MATCH(DY$1,Products,0),2)="Cores",IF(HostBuild[Use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5" s="552">
        <f>IFERROR(IF(FIND(DZ$1,$W85)&gt;0,IF(INDEX(Product_Pricing_Table[],MATCH(DZ$1,Products,0),2)="Cores",IF(HostBuild[Use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5" s="552">
        <f>IFERROR(IF(FIND(EA$1,$W85)&gt;0,IF(INDEX(Product_Pricing_Table[],MATCH(EA$1,Products,0),2)="Cores",IF(HostBuild[Use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5" s="552">
        <f>IFERROR(IF(FIND(EB$1,$W85)&gt;0,IF(INDEX(Product_Pricing_Table[],MATCH(EB$1,Products,0),2)="Cores",IF(HostBuild[Use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5" s="553">
        <f>IFERROR(IF(FIND(EC$1,$W85)&gt;0,IF(INDEX(Product_Pricing_Table[],MATCH(EC$1,Products,0),2)="Cores",IF(HostBuild[Use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5" s="552">
        <f>IFERROR(IF(FIND(ED$1,$W85)&gt;0,IF(INDEX(Product_Pricing_Table[],MATCH(ED$1,Products,0),2)="Cores",IF(HostBuild[Use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5" s="552">
        <f>IFERROR(IF(FIND(EE$1,$W85)&gt;0,IF(INDEX(Product_Pricing_Table[],MATCH(EE$1,Products,0),2)="Cores",IF(HostBuild[Use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5" s="552">
        <f>IFERROR(IF(FIND(EF$1,$W85)&gt;0,IF(INDEX(Product_Pricing_Table[],MATCH(EF$1,Products,0),2)="Cores",IF(HostBuild[Use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5" s="552">
        <f>IFERROR(IF(FIND(EG$1,$W85)&gt;0,IF(INDEX(Product_Pricing_Table[],MATCH(EG$1,Products,0),2)="Cores",IF(HostBuild[Use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5" s="552">
        <f>IFERROR(IF(FIND(EH$1,$W85)&gt;0,IF(INDEX(Product_Pricing_Table[],MATCH(EH$1,Products,0),2)="Cores",IF(HostBuild[Use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5" s="552">
        <f>IFERROR(IF(FIND(EI$1,$W85)&gt;0,IF(INDEX(Product_Pricing_Table[],MATCH(EI$1,Products,0),2)="Cores",IF(HostBuild[Use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5" s="552">
        <f>IFERROR(IF(FIND(EJ$1,$W85)&gt;0,IF(INDEX(Product_Pricing_Table[],MATCH(EJ$1,Products,0),2)="Cores",IF(HostBuild[Use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5" s="553">
        <f>IFERROR(IF(FIND(EK$1,$W85)&gt;0,IF(INDEX(Product_Pricing_Table[],MATCH(EK$1,Products,0),2)="Cores",IF(HostBuild[Use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5" s="554"/>
      <c r="EM85" s="555">
        <v>0</v>
      </c>
      <c r="EN85" s="556">
        <v>0</v>
      </c>
      <c r="EO85"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8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5" s="558">
        <f>(HostBuild[Archive
Full (GB)]+HostBuild[Archive
Incr (GB)])*Storage_DC_Dist_Tape_2014</f>
        <v>16.955312499999998</v>
      </c>
      <c r="ER85" s="558">
        <f>IF(ISNUMBER(HostBuild[Server HW Costs
(Monthly)]),SUM(HostBuild[[#This Row],[Server HW Costs
(Monthly)]:[Tape Costs
(Monthly)]]),0)</f>
        <v>279.8803125</v>
      </c>
      <c r="ES85" s="559">
        <f>HostBuild[Software Costs
'[Year 1']
(Monthly)]+HostBuild[Total Hardware Costs
(Monthly)]</f>
        <v>279.8803125</v>
      </c>
      <c r="ET85" s="559">
        <f>IFERROR(IF(FIND("Safenet",HostBuild[Server Model]),Safenet_PSE_PL600_Maint,0),0)+IFERROR(IF(FIND("XI52",HostBuild[Server Model]),IBM_DIA_XI52_Maint,0),0)+HostBuild[Software Costs
'[After Year 1']
(Monthly)]+HostBuild[Total Hardware Costs
(Monthly)]</f>
        <v>279.8803125</v>
      </c>
      <c r="EU85" s="560">
        <f>SUM(HostBuild[[#This Row],[Server Cost Breakdown]:[Network Cost]])</f>
        <v>187.1</v>
      </c>
      <c r="EV85" s="561">
        <f>IF(HostBuild[Existing Server?]="Yes - Inside this BoM",0,SUMIF(HostBuild[Alias],HostBuild[Alias],HostBuild[CPU])+SUMIF(HostBuild[Alias],HostBuild[Alias],HostBuild[Existing CPUs]))</f>
        <v>0</v>
      </c>
      <c r="EW85" s="561">
        <f>IF(HostBuild[Existing Server?]="Yes - Inside this BoM",0,SUMIF(HostBuild[Alias],HostBuild[Alias],HostBuild[Cores 
(Licensed Units)])+SUMIF(HostBuild[Alias],HostBuild[Alias],HostBuild[Existing Cores]))</f>
        <v>16</v>
      </c>
      <c r="EX85" s="561">
        <f>IF(HostBuild[Existing Server?]="Yes - Inside this BoM",0,SUMIF(HostBuild[Alias],HostBuild[Alias],HostBuild[RAM 
(GB)])+SUMIF(HostBuild[Alias],HostBuild[Alias],HostBuild[Existing RAM (GB)]))</f>
        <v>0</v>
      </c>
      <c r="EY8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5" s="560">
        <f>IF(ISBLANK(HostBuild[Server Model]),0,IF(HostBuild[Server Tier]="VMware",0,VLOOKUP(HostBuild[Server Tier],ServerTierRates[#Data],2,0))*HostBuild[CPU]*IF(AND(HostBuild[Server Type]="pSeries",HostBuild[Virtual Platform Storage Type]="Cloud-SAN"),0.25,1))</f>
        <v>0</v>
      </c>
      <c r="FD85" s="560">
        <f>0</f>
        <v>0</v>
      </c>
      <c r="FE85" s="560">
        <f>IF(HostBuild[Server Type]="VMware",HostBuild[RAM 
(GB)]*IF(ISERROR(FIND("DevCloud", HostBuild[Server Model])&gt;0),vRAM_per_vCPU_2014_Monthly,vRAM_per_vCPU_2014_Daily*30),0)</f>
        <v>0</v>
      </c>
      <c r="FF8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5" s="563">
        <f>IF(HostBuild[Server Tier]="VMware",0,IF(LEFT(HostBuild[Existing Server?],3)="Yes",0,IF(OR(HostBuild[Server Type]="Sun",HostBuild[Server Type]="pSeries"),Support_Direct_Server_Sun_per_OS_2014,IF(HostBuild[Server Type]="x86",Support_Direct_Server_x86_Wintel_per_OS_2014,0))))</f>
        <v>187.1</v>
      </c>
      <c r="FI8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6" spans="1:165" s="262" customFormat="1" ht="15" customHeight="1">
      <c r="A86" s="360" t="s">
        <v>3942</v>
      </c>
      <c r="B86" s="521"/>
      <c r="C86" s="521"/>
      <c r="D86" s="521"/>
      <c r="E86" s="522"/>
      <c r="F86" s="522"/>
      <c r="G86" s="597"/>
      <c r="H86" s="597"/>
      <c r="I86" s="523"/>
      <c r="J86" s="522"/>
      <c r="K86" s="522"/>
      <c r="L86" s="522"/>
      <c r="M86" s="597" t="e">
        <f ca="1">IF(rngIsDate(HostBuild[CTO Acceptance]),"Y","N")</f>
        <v>#NAME?</v>
      </c>
      <c r="N86" s="361" t="s">
        <v>3939</v>
      </c>
      <c r="O86" s="525"/>
      <c r="P86" s="525"/>
      <c r="Q86" s="361" t="s">
        <v>212</v>
      </c>
      <c r="R86" s="526" t="str">
        <f>IF(NOT(ISBLANK(HostBuild[Env Label])),IFERROR(VLOOKUP(HostBuild[Env Label],tEnv[],3,FALSE),""),"")</f>
        <v>UAT</v>
      </c>
      <c r="S86" s="598"/>
      <c r="T86" s="527"/>
      <c r="U86" s="599"/>
      <c r="V86" s="524" t="s">
        <v>4006</v>
      </c>
      <c r="W86" s="524" t="s">
        <v>3941</v>
      </c>
      <c r="X86" s="524" t="s">
        <v>35</v>
      </c>
      <c r="Y86" s="361" t="s">
        <v>481</v>
      </c>
      <c r="Z86" s="526" t="str">
        <f>IF(NOT(ISBLANK(HostBuild[[#This Row],[Product 
(Acronym)]])),CONCATENATE(HostBuild[[#This Row],[Type]],"-",HostBuild[[#This Row],[Product 
(Acronym)]]),"")</f>
        <v>AP-ESB</v>
      </c>
      <c r="AA86" s="600"/>
      <c r="AB86" s="600" t="s">
        <v>105</v>
      </c>
      <c r="AC86" s="528"/>
      <c r="AD86" s="529"/>
      <c r="AE86" s="529"/>
      <c r="AF86" s="530"/>
      <c r="AG86" s="531"/>
      <c r="AH86" s="601"/>
      <c r="AI86" s="362" t="s">
        <v>4117</v>
      </c>
      <c r="AJ86" s="524">
        <f>IF(COUNTIF(HostBuild[Alias],HostBuild[Alias]),1/COUNTIF(HostBuild[Alias],HostBuild[Alias]),0)</f>
        <v>1</v>
      </c>
      <c r="AK86" s="531"/>
      <c r="AL86" s="531"/>
      <c r="AM86" s="532" t="s">
        <v>2173</v>
      </c>
      <c r="AN86" s="533" t="str">
        <f>IF(NOT(ISBLANK(HostBuild[Server Model])),VLOOKUP(HostBuild[Server Model],ServerModelsTier[],2,FALSE),"")</f>
        <v>x86 Tier 3</v>
      </c>
      <c r="AO86" s="533" t="str">
        <f>IF(NOT(ISBLANK(HostBuild[Server Model])),VLOOKUP(HostBuild[Server Model],ServerModelsTier[],5,FALSE),"")</f>
        <v>x86</v>
      </c>
      <c r="AP86" s="532"/>
      <c r="AQ86" s="532" t="s">
        <v>2337</v>
      </c>
      <c r="AR86" s="534"/>
      <c r="AS86" s="602"/>
      <c r="AT86" s="535">
        <v>16</v>
      </c>
      <c r="AU86" s="603" t="str">
        <f>IF(IFERROR(FIND("P-Series",HostBuild[Server Tier]),0),CEILING((HostBuild[Existing CPUs]+HostBuild[CPU])*16,8),"")</f>
        <v/>
      </c>
      <c r="AV86" s="536"/>
      <c r="AW86" s="531"/>
      <c r="AX86" s="531"/>
      <c r="AY86" s="531"/>
      <c r="AZ86" s="537"/>
      <c r="BA86" s="531"/>
      <c r="BB86" s="531"/>
      <c r="BC86" s="529"/>
      <c r="BD86" s="531"/>
      <c r="BE86" s="531"/>
      <c r="BF86" s="531"/>
      <c r="BG86" s="531"/>
      <c r="BH86" s="531"/>
      <c r="BI86" s="531"/>
      <c r="BJ86" s="531"/>
      <c r="BK86"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6" s="538">
        <v>150</v>
      </c>
      <c r="BM86" s="540">
        <f>IF(ISNUMBER(HostBuild[Recommended SAN (GB)]),HostBuild[Recommended SAN (GB)])+IF(HostBuild[Additional SAN (GB)]&gt;0,CEILING(HostBuild[Additional SAN (GB)],LUN),-(CEILING(-HostBuild[Additional SAN (GB)],LUN)))</f>
        <v>168.5</v>
      </c>
      <c r="BN86" s="539"/>
      <c r="BO86" s="540">
        <f>HostBuild[SAN (GB)
NEEDED TODAY]+CEILING(HostBuild[SAN (GB)
RESERVED
DO NOT USE TO BUILD], LUN)</f>
        <v>168.5</v>
      </c>
      <c r="BP86" s="541">
        <v>100</v>
      </c>
      <c r="BQ86" s="542"/>
      <c r="BR86" s="432" t="s">
        <v>105</v>
      </c>
      <c r="BS86" s="605">
        <f>IF(HostBuild[Existing Server?]&lt;&gt;"Yes - Inside this BoM",IF(ISNUMBER(HostBuild[RAM 
(GB)]),IF(HostBuild[Existing RAM (GB)]+HostBuild[RAM 
(GB)]&gt;0,IF(HostBuild[Virtual Platform Storage Type]="NAS",110+HostBuild[Existing RAM (GB)]+HostBuild[RAM 
(GB)]*1.75,0),0),0),0)</f>
        <v>0</v>
      </c>
      <c r="BT86" s="606"/>
      <c r="BU86" s="607">
        <f>IF(ISNUMBER(HostBuild[Recommended NAS (GB)]),HostBuild[Recommended NAS (GB)])+HostBuild[Additional NAS (GB)]</f>
        <v>0</v>
      </c>
      <c r="BV86" s="543"/>
      <c r="BW86" s="543"/>
      <c r="BX86" s="604">
        <f>IFERROR((HostBuild[SAN (GB)
End-State
DO NOT USE TO BUILD]+HostBuild[SAN (GB) Shared])*25%,"")</f>
        <v>67.125</v>
      </c>
      <c r="BY86" s="608">
        <f>IFERROR(HostBuild[Archive
Full (GB)]*15%,"")</f>
        <v>10.06875</v>
      </c>
      <c r="BZ86" s="544"/>
      <c r="CA86" s="544"/>
      <c r="CB86" s="545"/>
      <c r="CC86" s="546"/>
      <c r="CD86" s="545"/>
      <c r="CE86" s="547"/>
      <c r="CF86" s="539"/>
      <c r="CG86" s="609"/>
      <c r="CH86" s="548"/>
      <c r="CI86" s="549"/>
      <c r="CJ86" s="550" t="s">
        <v>4128</v>
      </c>
      <c r="CK86" s="551"/>
      <c r="CL86" s="552">
        <f>IFERROR(IF(FIND(CL$1,$W86)&gt;0,IF(INDEX(Product_Pricing_Table[],MATCH(CL$1,Products,0),2)="Cores",IF(HostBuild[Use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6" s="552">
        <f>IFERROR(IF(FIND(CM$1,$W86)&gt;0,IF(INDEX(Product_Pricing_Table[],MATCH(CM$1,Products,0),2)="Cores",IF(HostBuild[Use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6" s="552">
        <f>IFERROR(IF(FIND(CN$1,$W86)&gt;0,IF(INDEX(Product_Pricing_Table[],MATCH(CN$1,Products,0),2)="Cores",IF(HostBuild[Use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6" s="552">
        <f>IFERROR(IF(FIND(CO$1,$W86)&gt;0,IF(INDEX(Product_Pricing_Table[],MATCH(CO$1,Products,0),2)="Cores",IF(HostBuild[Use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6" s="552">
        <f>IFERROR(IF(FIND(CP$1,$W86)&gt;0,IF(INDEX(Product_Pricing_Table[],MATCH(CP$1,Products,0),2)="Cores",IF(HostBuild[Use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6" s="552">
        <f>IFERROR(IF(FIND(CQ$1,$W86)&gt;0,IF(INDEX(Product_Pricing_Table[],MATCH(CQ$1,Products,0),2)="Cores",IF(HostBuild[Use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6" s="552">
        <f>IFERROR(IF(FIND(CR$1,$W86)&gt;0,IF(INDEX(Product_Pricing_Table[],MATCH(CR$1,Products,0),2)="Cores",IF(HostBuild[Use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6" s="552">
        <f>IFERROR(IF(FIND(CS$1,$W86)&gt;0,IF(INDEX(Product_Pricing_Table[],MATCH(CS$1,Products,0),2)="Cores",IF(HostBuild[Use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6" s="552">
        <f>IFERROR(IF(FIND(CT$1,$W86)&gt;0,IF(INDEX(Product_Pricing_Table[],MATCH(CT$1,Products,0),2)="Cores",IF(HostBuild[Use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6" s="552">
        <f>IFERROR(IF(FIND(CU$1,$W86)&gt;0,IF(INDEX(Product_Pricing_Table[],MATCH(CU$1,Products,0),2)="Cores",IF(HostBuild[Use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6" s="552">
        <f>IFERROR(IF(FIND(CV$1,$W86)&gt;0,IF(INDEX(Product_Pricing_Table[],MATCH(CV$1,Products,0),2)="Cores",IF(HostBuild[Use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6" s="552">
        <f>IFERROR(IF(FIND(CW$1,$W86)&gt;0,IF(INDEX(Product_Pricing_Table[],MATCH(CW$1,Products,0),2)="Cores",IF(HostBuild[Use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6" s="552">
        <f>IFERROR(IF(FIND(CX$1,$W86)&gt;0,IF(INDEX(Product_Pricing_Table[],MATCH(CX$1,Products,0),2)="Cores",IF(HostBuild[Use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6" s="552">
        <f>IFERROR(IF(FIND(CY$1,$W86)&gt;0,IF(INDEX(Product_Pricing_Table[],MATCH(CY$1,Products,0),2)="Cores",IF(HostBuild[Use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6" s="552">
        <f>IFERROR(IF(FIND(CZ$1,$W86)&gt;0,IF(INDEX(Product_Pricing_Table[],MATCH(CZ$1,Products,0),2)="Cores",IF(HostBuild[Use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6" s="552">
        <f>IFERROR(IF(FIND(DA$1,$W86)&gt;0,IF(INDEX(Product_Pricing_Table[],MATCH(DA$1,Products,0),2)="Cores",IF(HostBuild[Use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6" s="552">
        <f>IFERROR(IF(FIND(DB$1,$W86)&gt;0,IF(INDEX(Product_Pricing_Table[],MATCH(DB$1,Products,0),2)="Cores",IF(HostBuild[Use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6" s="552">
        <f>IFERROR(IF(FIND(DC$1,$W86)&gt;0,IF(INDEX(Product_Pricing_Table[],MATCH(DC$1,Products,0),2)="Cores",IF(HostBuild[Use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6" s="552">
        <f>IFERROR(IF(FIND(DD$1,$W86)&gt;0,IF(INDEX(Product_Pricing_Table[],MATCH(DD$1,Products,0),2)="Cores",IF(HostBuild[Use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6" s="552">
        <f>IFERROR(IF(FIND(DE$1,$W86)&gt;0,IF(INDEX(Product_Pricing_Table[],MATCH(DE$1,Products,0),2)="Cores",IF(HostBuild[Use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6" s="553">
        <f>IFERROR(IF(FIND(DF$1,$W86)&gt;0,IF(INDEX(Product_Pricing_Table[],MATCH(DF$1,Products,0),2)="Cores",IF(HostBuild[Use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6" s="553">
        <f>IFERROR(IF(FIND(DG$1,$W86)&gt;0,IF(INDEX(Product_Pricing_Table[],MATCH(DG$1,Products,0),2)="Cores",IF(HostBuild[Use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6" s="552">
        <f>IFERROR(IF(FIND(DH$1,$W86)&gt;0,IF(INDEX(Product_Pricing_Table[],MATCH(DH$1,Products,0),2)="Cores",IF(HostBuild[Use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6" s="553">
        <f>IFERROR(IF(FIND(DI$1,$W86)&gt;0,IF(INDEX(Product_Pricing_Table[],MATCH(DI$1,Products,0),2)="Cores",IF(HostBuild[Use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6" s="552">
        <f>IFERROR(IF(FIND(DJ$1,$W86)&gt;0,IF(INDEX(Product_Pricing_Table[],MATCH(DJ$1,Products,0),2)="Cores",IF(HostBuild[Use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6" s="552">
        <f>IFERROR(IF(FIND(DK$1,$W86)&gt;0,IF(INDEX(Product_Pricing_Table[],MATCH(DK$1,Products,0),2)="Cores",IF(HostBuild[Use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6" s="552">
        <f>IFERROR(IF(FIND(DL$1,$W86)&gt;0,IF(INDEX(Product_Pricing_Table[],MATCH(DL$1,Products,0),2)="Cores",IF(HostBuild[Use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6" s="552">
        <f>IFERROR(IF(FIND(DM$1,$W86)&gt;0,IF(INDEX(Product_Pricing_Table[],MATCH(DM$1,Products,0),2)="Cores",IF(HostBuild[Use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6" s="552">
        <f>IFERROR(IF(FIND(DN$1,$W86)&gt;0,IF(INDEX(Product_Pricing_Table[],MATCH(DN$1,Products,0),2)="Cores",IF(HostBuild[Use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6" s="552">
        <f>IFERROR(IF(FIND(DO$1,$W86)&gt;0,IF(INDEX(Product_Pricing_Table[],MATCH(DO$1,Products,0),2)="Cores",IF(HostBuild[Use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6" s="552">
        <f>IFERROR(IF(FIND(DP$1,$W86)&gt;0,IF(INDEX(Product_Pricing_Table[],MATCH(DP$1,Products,0),2)="Cores",IF(HostBuild[Use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6" s="552">
        <f>IFERROR(IF(FIND(DQ$1,$W86)&gt;0,IF(INDEX(Product_Pricing_Table[],MATCH(DQ$1,Products,0),2)="Cores",IF(HostBuild[Use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6" s="552">
        <f>IFERROR(IF(FIND(DR$1,$W86)&gt;0,IF(INDEX(Product_Pricing_Table[],MATCH(DR$1,Products,0),2)="Cores",IF(HostBuild[Use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6" s="552">
        <f>IFERROR(IF(FIND(DS$1,$W86)&gt;0,IF(INDEX(Product_Pricing_Table[],MATCH(DS$1,Products,0),2)="Cores",IF(HostBuild[Use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6" s="552">
        <f>IFERROR(IF(FIND(DT$1,$W86)&gt;0,IF(INDEX(Product_Pricing_Table[],MATCH(DT$1,Products,0),2)="Cores",IF(HostBuild[Use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6" s="552">
        <f>IFERROR(IF(FIND(DU$1,$W86)&gt;0,IF(INDEX(Product_Pricing_Table[],MATCH(DU$1,Products,0),2)="Cores",IF(HostBuild[Use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6" s="552">
        <f>IFERROR(IF(FIND(DV$1,$W86)&gt;0,IF(INDEX(Product_Pricing_Table[],MATCH(DV$1,Products,0),2)="Cores",IF(HostBuild[Use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6" s="552">
        <f>IFERROR(IF(FIND(DW$1,$W86)&gt;0,IF(INDEX(Product_Pricing_Table[],MATCH(DW$1,Products,0),2)="Cores",IF(HostBuild[Use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6" s="552">
        <f>IFERROR(IF(FIND(DX$1,$W86)&gt;0,IF(INDEX(Product_Pricing_Table[],MATCH(DX$1,Products,0),2)="Cores",IF(HostBuild[Use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6" s="552">
        <f>IFERROR(IF(FIND(DY$1,$W86)&gt;0,IF(INDEX(Product_Pricing_Table[],MATCH(DY$1,Products,0),2)="Cores",IF(HostBuild[Use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6" s="552">
        <f>IFERROR(IF(FIND(DZ$1,$W86)&gt;0,IF(INDEX(Product_Pricing_Table[],MATCH(DZ$1,Products,0),2)="Cores",IF(HostBuild[Use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6" s="552">
        <f>IFERROR(IF(FIND(EA$1,$W86)&gt;0,IF(INDEX(Product_Pricing_Table[],MATCH(EA$1,Products,0),2)="Cores",IF(HostBuild[Use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6" s="552">
        <f>IFERROR(IF(FIND(EB$1,$W86)&gt;0,IF(INDEX(Product_Pricing_Table[],MATCH(EB$1,Products,0),2)="Cores",IF(HostBuild[Use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6" s="553">
        <f>IFERROR(IF(FIND(EC$1,$W86)&gt;0,IF(INDEX(Product_Pricing_Table[],MATCH(EC$1,Products,0),2)="Cores",IF(HostBuild[Use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6" s="552">
        <f>IFERROR(IF(FIND(ED$1,$W86)&gt;0,IF(INDEX(Product_Pricing_Table[],MATCH(ED$1,Products,0),2)="Cores",IF(HostBuild[Use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6" s="552">
        <f>IFERROR(IF(FIND(EE$1,$W86)&gt;0,IF(INDEX(Product_Pricing_Table[],MATCH(EE$1,Products,0),2)="Cores",IF(HostBuild[Use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6" s="552">
        <f>IFERROR(IF(FIND(EF$1,$W86)&gt;0,IF(INDEX(Product_Pricing_Table[],MATCH(EF$1,Products,0),2)="Cores",IF(HostBuild[Use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6" s="552">
        <f>IFERROR(IF(FIND(EG$1,$W86)&gt;0,IF(INDEX(Product_Pricing_Table[],MATCH(EG$1,Products,0),2)="Cores",IF(HostBuild[Use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6" s="552">
        <f>IFERROR(IF(FIND(EH$1,$W86)&gt;0,IF(INDEX(Product_Pricing_Table[],MATCH(EH$1,Products,0),2)="Cores",IF(HostBuild[Use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6" s="552">
        <f>IFERROR(IF(FIND(EI$1,$W86)&gt;0,IF(INDEX(Product_Pricing_Table[],MATCH(EI$1,Products,0),2)="Cores",IF(HostBuild[Use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6" s="552">
        <f>IFERROR(IF(FIND(EJ$1,$W86)&gt;0,IF(INDEX(Product_Pricing_Table[],MATCH(EJ$1,Products,0),2)="Cores",IF(HostBuild[Use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6" s="553">
        <f>IFERROR(IF(FIND(EK$1,$W86)&gt;0,IF(INDEX(Product_Pricing_Table[],MATCH(EK$1,Products,0),2)="Cores",IF(HostBuild[Use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6" s="554"/>
      <c r="EM86" s="555">
        <v>0</v>
      </c>
      <c r="EN86" s="556">
        <v>0</v>
      </c>
      <c r="EO86"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8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176.92500000000001</v>
      </c>
      <c r="EQ86" s="558">
        <f>(HostBuild[Archive
Full (GB)]+HostBuild[Archive
Incr (GB)])*Storage_DC_Dist_Tape_2014</f>
        <v>27.017812499999998</v>
      </c>
      <c r="ER86" s="558">
        <f>IF(ISNUMBER(HostBuild[Server HW Costs
(Monthly)]),SUM(HostBuild[[#This Row],[Server HW Costs
(Monthly)]:[Tape Costs
(Monthly)]]),0)</f>
        <v>391.04281249999997</v>
      </c>
      <c r="ES86" s="559">
        <f>HostBuild[Software Costs
'[Year 1']
(Monthly)]+HostBuild[Total Hardware Costs
(Monthly)]</f>
        <v>391.04281249999997</v>
      </c>
      <c r="ET86" s="559">
        <f>IFERROR(IF(FIND("Safenet",HostBuild[Server Model]),Safenet_PSE_PL600_Maint,0),0)+IFERROR(IF(FIND("XI52",HostBuild[Server Model]),IBM_DIA_XI52_Maint,0),0)+HostBuild[Software Costs
'[After Year 1']
(Monthly)]+HostBuild[Total Hardware Costs
(Monthly)]</f>
        <v>391.04281249999997</v>
      </c>
      <c r="EU86" s="560">
        <f>SUM(HostBuild[[#This Row],[Server Cost Breakdown]:[Network Cost]])</f>
        <v>187.1</v>
      </c>
      <c r="EV86" s="561">
        <f>IF(HostBuild[Existing Server?]="Yes - Inside this BoM",0,SUMIF(HostBuild[Alias],HostBuild[Alias],HostBuild[CPU])+SUMIF(HostBuild[Alias],HostBuild[Alias],HostBuild[Existing CPUs]))</f>
        <v>0</v>
      </c>
      <c r="EW86" s="561">
        <f>IF(HostBuild[Existing Server?]="Yes - Inside this BoM",0,SUMIF(HostBuild[Alias],HostBuild[Alias],HostBuild[Cores 
(Licensed Units)])+SUMIF(HostBuild[Alias],HostBuild[Alias],HostBuild[Existing Cores]))</f>
        <v>16</v>
      </c>
      <c r="EX86" s="561">
        <f>IF(HostBuild[Existing Server?]="Yes - Inside this BoM",0,SUMIF(HostBuild[Alias],HostBuild[Alias],HostBuild[RAM 
(GB)])+SUMIF(HostBuild[Alias],HostBuild[Alias],HostBuild[Existing RAM (GB)]))</f>
        <v>0</v>
      </c>
      <c r="EY8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6" s="560">
        <f>IF(ISBLANK(HostBuild[Server Model]),0,IF(HostBuild[Server Tier]="VMware",0,VLOOKUP(HostBuild[Server Tier],ServerTierRates[#Data],2,0))*HostBuild[CPU]*IF(AND(HostBuild[Server Type]="pSeries",HostBuild[Virtual Platform Storage Type]="Cloud-SAN"),0.25,1))</f>
        <v>0</v>
      </c>
      <c r="FD86" s="560">
        <f>0</f>
        <v>0</v>
      </c>
      <c r="FE86" s="560">
        <f>IF(HostBuild[Server Type]="VMware",HostBuild[RAM 
(GB)]*IF(ISERROR(FIND("DevCloud", HostBuild[Server Model])&gt;0),vRAM_per_vCPU_2014_Monthly,vRAM_per_vCPU_2014_Daily*30),0)</f>
        <v>0</v>
      </c>
      <c r="FF8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6" s="563">
        <f>IF(HostBuild[Server Tier]="VMware",0,IF(LEFT(HostBuild[Existing Server?],3)="Yes",0,IF(OR(HostBuild[Server Type]="Sun",HostBuild[Server Type]="pSeries"),Support_Direct_Server_Sun_per_OS_2014,IF(HostBuild[Server Type]="x86",Support_Direct_Server_x86_Wintel_per_OS_2014,0))))</f>
        <v>187.1</v>
      </c>
      <c r="FI8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7" spans="1:165" s="262" customFormat="1" ht="15" customHeight="1">
      <c r="A87" s="360" t="s">
        <v>3942</v>
      </c>
      <c r="B87" s="521"/>
      <c r="C87" s="521"/>
      <c r="D87" s="521"/>
      <c r="E87" s="522"/>
      <c r="F87" s="522"/>
      <c r="G87" s="597"/>
      <c r="H87" s="597"/>
      <c r="I87" s="523"/>
      <c r="J87" s="522"/>
      <c r="K87" s="522"/>
      <c r="L87" s="522"/>
      <c r="M87" s="597" t="e">
        <f ca="1">IF(rngIsDate(HostBuild[CTO Acceptance]),"Y","N")</f>
        <v>#NAME?</v>
      </c>
      <c r="N87" s="361" t="s">
        <v>3939</v>
      </c>
      <c r="O87" s="525"/>
      <c r="P87" s="525"/>
      <c r="Q87" s="361" t="s">
        <v>212</v>
      </c>
      <c r="R87" s="526" t="str">
        <f>IF(NOT(ISBLANK(HostBuild[Env Label])),IFERROR(VLOOKUP(HostBuild[Env Label],tEnv[],3,FALSE),""),"")</f>
        <v>UAT</v>
      </c>
      <c r="S87" s="598"/>
      <c r="T87" s="527"/>
      <c r="U87" s="599"/>
      <c r="V87" s="524" t="s">
        <v>4006</v>
      </c>
      <c r="W87" s="524" t="s">
        <v>3941</v>
      </c>
      <c r="X87" s="524" t="s">
        <v>35</v>
      </c>
      <c r="Y87" s="361" t="s">
        <v>481</v>
      </c>
      <c r="Z87" s="526" t="str">
        <f>IF(NOT(ISBLANK(HostBuild[[#This Row],[Product 
(Acronym)]])),CONCATENATE(HostBuild[[#This Row],[Type]],"-",HostBuild[[#This Row],[Product 
(Acronym)]]),"")</f>
        <v>AP-ESB</v>
      </c>
      <c r="AA87" s="600"/>
      <c r="AB87" s="600" t="s">
        <v>105</v>
      </c>
      <c r="AC87" s="528"/>
      <c r="AD87" s="529"/>
      <c r="AE87" s="529"/>
      <c r="AF87" s="530"/>
      <c r="AG87" s="531"/>
      <c r="AH87" s="601"/>
      <c r="AI87" s="362" t="s">
        <v>4118</v>
      </c>
      <c r="AJ87" s="524">
        <f>IF(COUNTIF(HostBuild[Alias],HostBuild[Alias]),1/COUNTIF(HostBuild[Alias],HostBuild[Alias]),0)</f>
        <v>1</v>
      </c>
      <c r="AK87" s="531"/>
      <c r="AL87" s="531"/>
      <c r="AM87" s="532" t="s">
        <v>2173</v>
      </c>
      <c r="AN87" s="533" t="str">
        <f>IF(NOT(ISBLANK(HostBuild[Server Model])),VLOOKUP(HostBuild[Server Model],ServerModelsTier[],2,FALSE),"")</f>
        <v>x86 Tier 3</v>
      </c>
      <c r="AO87" s="533" t="str">
        <f>IF(NOT(ISBLANK(HostBuild[Server Model])),VLOOKUP(HostBuild[Server Model],ServerModelsTier[],5,FALSE),"")</f>
        <v>x86</v>
      </c>
      <c r="AP87" s="532"/>
      <c r="AQ87" s="532" t="s">
        <v>2337</v>
      </c>
      <c r="AR87" s="534"/>
      <c r="AS87" s="602"/>
      <c r="AT87" s="535">
        <v>16</v>
      </c>
      <c r="AU87" s="603" t="str">
        <f>IF(IFERROR(FIND("P-Series",HostBuild[Server Tier]),0),CEILING((HostBuild[Existing CPUs]+HostBuild[CPU])*16,8),"")</f>
        <v/>
      </c>
      <c r="AV87" s="536"/>
      <c r="AW87" s="531"/>
      <c r="AX87" s="531"/>
      <c r="AY87" s="531"/>
      <c r="AZ87" s="537"/>
      <c r="BA87" s="531"/>
      <c r="BB87" s="531"/>
      <c r="BC87" s="529"/>
      <c r="BD87" s="531"/>
      <c r="BE87" s="531"/>
      <c r="BF87" s="531"/>
      <c r="BG87" s="531"/>
      <c r="BH87" s="531"/>
      <c r="BI87" s="531"/>
      <c r="BJ87" s="531"/>
      <c r="BK87"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7" s="538">
        <v>150</v>
      </c>
      <c r="BM87" s="540">
        <f>IF(ISNUMBER(HostBuild[Recommended SAN (GB)]),HostBuild[Recommended SAN (GB)])+IF(HostBuild[Additional SAN (GB)]&gt;0,CEILING(HostBuild[Additional SAN (GB)],LUN),-(CEILING(-HostBuild[Additional SAN (GB)],LUN)))</f>
        <v>168.5</v>
      </c>
      <c r="BN87" s="539"/>
      <c r="BO87" s="540">
        <f>HostBuild[SAN (GB)
NEEDED TODAY]+CEILING(HostBuild[SAN (GB)
RESERVED
DO NOT USE TO BUILD], LUN)</f>
        <v>168.5</v>
      </c>
      <c r="BP87" s="541"/>
      <c r="BQ87" s="542"/>
      <c r="BR87" s="432" t="s">
        <v>105</v>
      </c>
      <c r="BS87" s="605">
        <f>IF(HostBuild[Existing Server?]&lt;&gt;"Yes - Inside this BoM",IF(ISNUMBER(HostBuild[RAM 
(GB)]),IF(HostBuild[Existing RAM (GB)]+HostBuild[RAM 
(GB)]&gt;0,IF(HostBuild[Virtual Platform Storage Type]="NAS",110+HostBuild[Existing RAM (GB)]+HostBuild[RAM 
(GB)]*1.75,0),0),0),0)</f>
        <v>0</v>
      </c>
      <c r="BT87" s="606"/>
      <c r="BU87" s="607">
        <f>IF(ISNUMBER(HostBuild[Recommended NAS (GB)]),HostBuild[Recommended NAS (GB)])+HostBuild[Additional NAS (GB)]</f>
        <v>0</v>
      </c>
      <c r="BV87" s="543"/>
      <c r="BW87" s="543"/>
      <c r="BX87" s="604">
        <f>IFERROR((HostBuild[SAN (GB)
End-State
DO NOT USE TO BUILD]+HostBuild[SAN (GB) Shared])*25%,"")</f>
        <v>42.125</v>
      </c>
      <c r="BY87" s="608">
        <f>IFERROR(HostBuild[Archive
Full (GB)]*15%,"")</f>
        <v>6.3187499999999996</v>
      </c>
      <c r="BZ87" s="544"/>
      <c r="CA87" s="544"/>
      <c r="CB87" s="545"/>
      <c r="CC87" s="546"/>
      <c r="CD87" s="545"/>
      <c r="CE87" s="547"/>
      <c r="CF87" s="539"/>
      <c r="CG87" s="609"/>
      <c r="CH87" s="548"/>
      <c r="CI87" s="549"/>
      <c r="CJ87" s="550" t="s">
        <v>4128</v>
      </c>
      <c r="CK87" s="551"/>
      <c r="CL87" s="552">
        <f>IFERROR(IF(FIND(CL$1,$W87)&gt;0,IF(INDEX(Product_Pricing_Table[],MATCH(CL$1,Products,0),2)="Cores",IF(HostBuild[Use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7" s="552">
        <f>IFERROR(IF(FIND(CM$1,$W87)&gt;0,IF(INDEX(Product_Pricing_Table[],MATCH(CM$1,Products,0),2)="Cores",IF(HostBuild[Use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7" s="552">
        <f>IFERROR(IF(FIND(CN$1,$W87)&gt;0,IF(INDEX(Product_Pricing_Table[],MATCH(CN$1,Products,0),2)="Cores",IF(HostBuild[Use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7" s="552">
        <f>IFERROR(IF(FIND(CO$1,$W87)&gt;0,IF(INDEX(Product_Pricing_Table[],MATCH(CO$1,Products,0),2)="Cores",IF(HostBuild[Use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7" s="552">
        <f>IFERROR(IF(FIND(CP$1,$W87)&gt;0,IF(INDEX(Product_Pricing_Table[],MATCH(CP$1,Products,0),2)="Cores",IF(HostBuild[Use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7" s="552">
        <f>IFERROR(IF(FIND(CQ$1,$W87)&gt;0,IF(INDEX(Product_Pricing_Table[],MATCH(CQ$1,Products,0),2)="Cores",IF(HostBuild[Use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7" s="552">
        <f>IFERROR(IF(FIND(CR$1,$W87)&gt;0,IF(INDEX(Product_Pricing_Table[],MATCH(CR$1,Products,0),2)="Cores",IF(HostBuild[Use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7" s="552">
        <f>IFERROR(IF(FIND(CS$1,$W87)&gt;0,IF(INDEX(Product_Pricing_Table[],MATCH(CS$1,Products,0),2)="Cores",IF(HostBuild[Use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7" s="552">
        <f>IFERROR(IF(FIND(CT$1,$W87)&gt;0,IF(INDEX(Product_Pricing_Table[],MATCH(CT$1,Products,0),2)="Cores",IF(HostBuild[Use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7" s="552">
        <f>IFERROR(IF(FIND(CU$1,$W87)&gt;0,IF(INDEX(Product_Pricing_Table[],MATCH(CU$1,Products,0),2)="Cores",IF(HostBuild[Use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7" s="552">
        <f>IFERROR(IF(FIND(CV$1,$W87)&gt;0,IF(INDEX(Product_Pricing_Table[],MATCH(CV$1,Products,0),2)="Cores",IF(HostBuild[Use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7" s="552">
        <f>IFERROR(IF(FIND(CW$1,$W87)&gt;0,IF(INDEX(Product_Pricing_Table[],MATCH(CW$1,Products,0),2)="Cores",IF(HostBuild[Use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7" s="552">
        <f>IFERROR(IF(FIND(CX$1,$W87)&gt;0,IF(INDEX(Product_Pricing_Table[],MATCH(CX$1,Products,0),2)="Cores",IF(HostBuild[Use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7" s="552">
        <f>IFERROR(IF(FIND(CY$1,$W87)&gt;0,IF(INDEX(Product_Pricing_Table[],MATCH(CY$1,Products,0),2)="Cores",IF(HostBuild[Use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7" s="552">
        <f>IFERROR(IF(FIND(CZ$1,$W87)&gt;0,IF(INDEX(Product_Pricing_Table[],MATCH(CZ$1,Products,0),2)="Cores",IF(HostBuild[Use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7" s="552">
        <f>IFERROR(IF(FIND(DA$1,$W87)&gt;0,IF(INDEX(Product_Pricing_Table[],MATCH(DA$1,Products,0),2)="Cores",IF(HostBuild[Use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7" s="552">
        <f>IFERROR(IF(FIND(DB$1,$W87)&gt;0,IF(INDEX(Product_Pricing_Table[],MATCH(DB$1,Products,0),2)="Cores",IF(HostBuild[Use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7" s="552">
        <f>IFERROR(IF(FIND(DC$1,$W87)&gt;0,IF(INDEX(Product_Pricing_Table[],MATCH(DC$1,Products,0),2)="Cores",IF(HostBuild[Use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7" s="552">
        <f>IFERROR(IF(FIND(DD$1,$W87)&gt;0,IF(INDEX(Product_Pricing_Table[],MATCH(DD$1,Products,0),2)="Cores",IF(HostBuild[Use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7" s="552">
        <f>IFERROR(IF(FIND(DE$1,$W87)&gt;0,IF(INDEX(Product_Pricing_Table[],MATCH(DE$1,Products,0),2)="Cores",IF(HostBuild[Use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7" s="553">
        <f>IFERROR(IF(FIND(DF$1,$W87)&gt;0,IF(INDEX(Product_Pricing_Table[],MATCH(DF$1,Products,0),2)="Cores",IF(HostBuild[Use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7" s="553">
        <f>IFERROR(IF(FIND(DG$1,$W87)&gt;0,IF(INDEX(Product_Pricing_Table[],MATCH(DG$1,Products,0),2)="Cores",IF(HostBuild[Use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7" s="552">
        <f>IFERROR(IF(FIND(DH$1,$W87)&gt;0,IF(INDEX(Product_Pricing_Table[],MATCH(DH$1,Products,0),2)="Cores",IF(HostBuild[Use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7" s="553">
        <f>IFERROR(IF(FIND(DI$1,$W87)&gt;0,IF(INDEX(Product_Pricing_Table[],MATCH(DI$1,Products,0),2)="Cores",IF(HostBuild[Use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7" s="552">
        <f>IFERROR(IF(FIND(DJ$1,$W87)&gt;0,IF(INDEX(Product_Pricing_Table[],MATCH(DJ$1,Products,0),2)="Cores",IF(HostBuild[Use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7" s="552">
        <f>IFERROR(IF(FIND(DK$1,$W87)&gt;0,IF(INDEX(Product_Pricing_Table[],MATCH(DK$1,Products,0),2)="Cores",IF(HostBuild[Use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7" s="552">
        <f>IFERROR(IF(FIND(DL$1,$W87)&gt;0,IF(INDEX(Product_Pricing_Table[],MATCH(DL$1,Products,0),2)="Cores",IF(HostBuild[Use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7" s="552">
        <f>IFERROR(IF(FIND(DM$1,$W87)&gt;0,IF(INDEX(Product_Pricing_Table[],MATCH(DM$1,Products,0),2)="Cores",IF(HostBuild[Use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7" s="552">
        <f>IFERROR(IF(FIND(DN$1,$W87)&gt;0,IF(INDEX(Product_Pricing_Table[],MATCH(DN$1,Products,0),2)="Cores",IF(HostBuild[Use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7" s="552">
        <f>IFERROR(IF(FIND(DO$1,$W87)&gt;0,IF(INDEX(Product_Pricing_Table[],MATCH(DO$1,Products,0),2)="Cores",IF(HostBuild[Use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7" s="552">
        <f>IFERROR(IF(FIND(DP$1,$W87)&gt;0,IF(INDEX(Product_Pricing_Table[],MATCH(DP$1,Products,0),2)="Cores",IF(HostBuild[Use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7" s="552">
        <f>IFERROR(IF(FIND(DQ$1,$W87)&gt;0,IF(INDEX(Product_Pricing_Table[],MATCH(DQ$1,Products,0),2)="Cores",IF(HostBuild[Use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7" s="552">
        <f>IFERROR(IF(FIND(DR$1,$W87)&gt;0,IF(INDEX(Product_Pricing_Table[],MATCH(DR$1,Products,0),2)="Cores",IF(HostBuild[Use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7" s="552">
        <f>IFERROR(IF(FIND(DS$1,$W87)&gt;0,IF(INDEX(Product_Pricing_Table[],MATCH(DS$1,Products,0),2)="Cores",IF(HostBuild[Use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7" s="552">
        <f>IFERROR(IF(FIND(DT$1,$W87)&gt;0,IF(INDEX(Product_Pricing_Table[],MATCH(DT$1,Products,0),2)="Cores",IF(HostBuild[Use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7" s="552">
        <f>IFERROR(IF(FIND(DU$1,$W87)&gt;0,IF(INDEX(Product_Pricing_Table[],MATCH(DU$1,Products,0),2)="Cores",IF(HostBuild[Use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7" s="552">
        <f>IFERROR(IF(FIND(DV$1,$W87)&gt;0,IF(INDEX(Product_Pricing_Table[],MATCH(DV$1,Products,0),2)="Cores",IF(HostBuild[Use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7" s="552">
        <f>IFERROR(IF(FIND(DW$1,$W87)&gt;0,IF(INDEX(Product_Pricing_Table[],MATCH(DW$1,Products,0),2)="Cores",IF(HostBuild[Use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7" s="552">
        <f>IFERROR(IF(FIND(DX$1,$W87)&gt;0,IF(INDEX(Product_Pricing_Table[],MATCH(DX$1,Products,0),2)="Cores",IF(HostBuild[Use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7" s="552">
        <f>IFERROR(IF(FIND(DY$1,$W87)&gt;0,IF(INDEX(Product_Pricing_Table[],MATCH(DY$1,Products,0),2)="Cores",IF(HostBuild[Use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7" s="552">
        <f>IFERROR(IF(FIND(DZ$1,$W87)&gt;0,IF(INDEX(Product_Pricing_Table[],MATCH(DZ$1,Products,0),2)="Cores",IF(HostBuild[Use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7" s="552">
        <f>IFERROR(IF(FIND(EA$1,$W87)&gt;0,IF(INDEX(Product_Pricing_Table[],MATCH(EA$1,Products,0),2)="Cores",IF(HostBuild[Use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7" s="552">
        <f>IFERROR(IF(FIND(EB$1,$W87)&gt;0,IF(INDEX(Product_Pricing_Table[],MATCH(EB$1,Products,0),2)="Cores",IF(HostBuild[Use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7" s="553">
        <f>IFERROR(IF(FIND(EC$1,$W87)&gt;0,IF(INDEX(Product_Pricing_Table[],MATCH(EC$1,Products,0),2)="Cores",IF(HostBuild[Use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7" s="552">
        <f>IFERROR(IF(FIND(ED$1,$W87)&gt;0,IF(INDEX(Product_Pricing_Table[],MATCH(ED$1,Products,0),2)="Cores",IF(HostBuild[Use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7" s="552">
        <f>IFERROR(IF(FIND(EE$1,$W87)&gt;0,IF(INDEX(Product_Pricing_Table[],MATCH(EE$1,Products,0),2)="Cores",IF(HostBuild[Use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7" s="552">
        <f>IFERROR(IF(FIND(EF$1,$W87)&gt;0,IF(INDEX(Product_Pricing_Table[],MATCH(EF$1,Products,0),2)="Cores",IF(HostBuild[Use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7" s="552">
        <f>IFERROR(IF(FIND(EG$1,$W87)&gt;0,IF(INDEX(Product_Pricing_Table[],MATCH(EG$1,Products,0),2)="Cores",IF(HostBuild[Use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7" s="552">
        <f>IFERROR(IF(FIND(EH$1,$W87)&gt;0,IF(INDEX(Product_Pricing_Table[],MATCH(EH$1,Products,0),2)="Cores",IF(HostBuild[Use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7" s="552">
        <f>IFERROR(IF(FIND(EI$1,$W87)&gt;0,IF(INDEX(Product_Pricing_Table[],MATCH(EI$1,Products,0),2)="Cores",IF(HostBuild[Use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7" s="552">
        <f>IFERROR(IF(FIND(EJ$1,$W87)&gt;0,IF(INDEX(Product_Pricing_Table[],MATCH(EJ$1,Products,0),2)="Cores",IF(HostBuild[Use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7" s="553">
        <f>IFERROR(IF(FIND(EK$1,$W87)&gt;0,IF(INDEX(Product_Pricing_Table[],MATCH(EK$1,Products,0),2)="Cores",IF(HostBuild[Use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7" s="554"/>
      <c r="EM87" s="555">
        <v>0</v>
      </c>
      <c r="EN87" s="556">
        <v>0</v>
      </c>
      <c r="EO87"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8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7" s="558">
        <f>(HostBuild[Archive
Full (GB)]+HostBuild[Archive
Incr (GB)])*Storage_DC_Dist_Tape_2014</f>
        <v>16.955312499999998</v>
      </c>
      <c r="ER87" s="558">
        <f>IF(ISNUMBER(HostBuild[Server HW Costs
(Monthly)]),SUM(HostBuild[[#This Row],[Server HW Costs
(Monthly)]:[Tape Costs
(Monthly)]]),0)</f>
        <v>279.8803125</v>
      </c>
      <c r="ES87" s="559">
        <f>HostBuild[Software Costs
'[Year 1']
(Monthly)]+HostBuild[Total Hardware Costs
(Monthly)]</f>
        <v>279.8803125</v>
      </c>
      <c r="ET87" s="559">
        <f>IFERROR(IF(FIND("Safenet",HostBuild[Server Model]),Safenet_PSE_PL600_Maint,0),0)+IFERROR(IF(FIND("XI52",HostBuild[Server Model]),IBM_DIA_XI52_Maint,0),0)+HostBuild[Software Costs
'[After Year 1']
(Monthly)]+HostBuild[Total Hardware Costs
(Monthly)]</f>
        <v>279.8803125</v>
      </c>
      <c r="EU87" s="560">
        <f>SUM(HostBuild[[#This Row],[Server Cost Breakdown]:[Network Cost]])</f>
        <v>187.1</v>
      </c>
      <c r="EV87" s="561">
        <f>IF(HostBuild[Existing Server?]="Yes - Inside this BoM",0,SUMIF(HostBuild[Alias],HostBuild[Alias],HostBuild[CPU])+SUMIF(HostBuild[Alias],HostBuild[Alias],HostBuild[Existing CPUs]))</f>
        <v>0</v>
      </c>
      <c r="EW87" s="561">
        <f>IF(HostBuild[Existing Server?]="Yes - Inside this BoM",0,SUMIF(HostBuild[Alias],HostBuild[Alias],HostBuild[Cores 
(Licensed Units)])+SUMIF(HostBuild[Alias],HostBuild[Alias],HostBuild[Existing Cores]))</f>
        <v>16</v>
      </c>
      <c r="EX87" s="561">
        <f>IF(HostBuild[Existing Server?]="Yes - Inside this BoM",0,SUMIF(HostBuild[Alias],HostBuild[Alias],HostBuild[RAM 
(GB)])+SUMIF(HostBuild[Alias],HostBuild[Alias],HostBuild[Existing RAM (GB)]))</f>
        <v>0</v>
      </c>
      <c r="EY8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7" s="560">
        <f>IF(ISBLANK(HostBuild[Server Model]),0,IF(HostBuild[Server Tier]="VMware",0,VLOOKUP(HostBuild[Server Tier],ServerTierRates[#Data],2,0))*HostBuild[CPU]*IF(AND(HostBuild[Server Type]="pSeries",HostBuild[Virtual Platform Storage Type]="Cloud-SAN"),0.25,1))</f>
        <v>0</v>
      </c>
      <c r="FD87" s="560">
        <f>0</f>
        <v>0</v>
      </c>
      <c r="FE87" s="560">
        <f>IF(HostBuild[Server Type]="VMware",HostBuild[RAM 
(GB)]*IF(ISERROR(FIND("DevCloud", HostBuild[Server Model])&gt;0),vRAM_per_vCPU_2014_Monthly,vRAM_per_vCPU_2014_Daily*30),0)</f>
        <v>0</v>
      </c>
      <c r="FF8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7" s="563">
        <f>IF(HostBuild[Server Tier]="VMware",0,IF(LEFT(HostBuild[Existing Server?],3)="Yes",0,IF(OR(HostBuild[Server Type]="Sun",HostBuild[Server Type]="pSeries"),Support_Direct_Server_Sun_per_OS_2014,IF(HostBuild[Server Type]="x86",Support_Direct_Server_x86_Wintel_per_OS_2014,0))))</f>
        <v>187.1</v>
      </c>
      <c r="FI8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8" spans="1:165" s="262" customFormat="1" ht="15" customHeight="1">
      <c r="A88" s="360" t="s">
        <v>3942</v>
      </c>
      <c r="B88" s="521"/>
      <c r="C88" s="521"/>
      <c r="D88" s="521"/>
      <c r="E88" s="522"/>
      <c r="F88" s="522"/>
      <c r="G88" s="597"/>
      <c r="H88" s="597"/>
      <c r="I88" s="523"/>
      <c r="J88" s="522"/>
      <c r="K88" s="522"/>
      <c r="L88" s="522"/>
      <c r="M88" s="597" t="e">
        <f ca="1">IF(rngIsDate(HostBuild[CTO Acceptance]),"Y","N")</f>
        <v>#NAME?</v>
      </c>
      <c r="N88" s="361" t="s">
        <v>3939</v>
      </c>
      <c r="O88" s="525"/>
      <c r="P88" s="525"/>
      <c r="Q88" s="361" t="s">
        <v>212</v>
      </c>
      <c r="R88" s="526" t="str">
        <f>IF(NOT(ISBLANK(HostBuild[Env Label])),IFERROR(VLOOKUP(HostBuild[Env Label],tEnv[],3,FALSE),""),"")</f>
        <v>UAT</v>
      </c>
      <c r="S88" s="598"/>
      <c r="T88" s="527"/>
      <c r="U88" s="599"/>
      <c r="V88" s="524" t="s">
        <v>4006</v>
      </c>
      <c r="W88" s="524" t="s">
        <v>3941</v>
      </c>
      <c r="X88" s="524" t="s">
        <v>35</v>
      </c>
      <c r="Y88" s="361" t="s">
        <v>481</v>
      </c>
      <c r="Z88" s="526" t="str">
        <f>IF(NOT(ISBLANK(HostBuild[[#This Row],[Product 
(Acronym)]])),CONCATENATE(HostBuild[[#This Row],[Type]],"-",HostBuild[[#This Row],[Product 
(Acronym)]]),"")</f>
        <v>AP-ESB</v>
      </c>
      <c r="AA88" s="600"/>
      <c r="AB88" s="600" t="s">
        <v>4103</v>
      </c>
      <c r="AC88" s="528"/>
      <c r="AD88" s="529"/>
      <c r="AE88" s="529"/>
      <c r="AF88" s="530"/>
      <c r="AG88" s="531"/>
      <c r="AH88" s="601"/>
      <c r="AI88" s="362" t="s">
        <v>4119</v>
      </c>
      <c r="AJ88" s="524">
        <f>IF(COUNTIF(HostBuild[Alias],HostBuild[Alias]),1/COUNTIF(HostBuild[Alias],HostBuild[Alias]),0)</f>
        <v>1</v>
      </c>
      <c r="AK88" s="531"/>
      <c r="AL88" s="531"/>
      <c r="AM88" s="532" t="s">
        <v>2173</v>
      </c>
      <c r="AN88" s="533" t="str">
        <f>IF(NOT(ISBLANK(HostBuild[Server Model])),VLOOKUP(HostBuild[Server Model],ServerModelsTier[],2,FALSE),"")</f>
        <v>x86 Tier 3</v>
      </c>
      <c r="AO88" s="533" t="str">
        <f>IF(NOT(ISBLANK(HostBuild[Server Model])),VLOOKUP(HostBuild[Server Model],ServerModelsTier[],5,FALSE),"")</f>
        <v>x86</v>
      </c>
      <c r="AP88" s="532"/>
      <c r="AQ88" s="532" t="s">
        <v>2337</v>
      </c>
      <c r="AR88" s="534"/>
      <c r="AS88" s="602"/>
      <c r="AT88" s="535">
        <v>16</v>
      </c>
      <c r="AU88" s="603" t="str">
        <f>IF(IFERROR(FIND("P-Series",HostBuild[Server Tier]),0),CEILING((HostBuild[Existing CPUs]+HostBuild[CPU])*16,8),"")</f>
        <v/>
      </c>
      <c r="AV88" s="536"/>
      <c r="AW88" s="531"/>
      <c r="AX88" s="531"/>
      <c r="AY88" s="531"/>
      <c r="AZ88" s="537"/>
      <c r="BA88" s="531"/>
      <c r="BB88" s="531"/>
      <c r="BC88" s="529"/>
      <c r="BD88" s="531"/>
      <c r="BE88" s="531"/>
      <c r="BF88" s="531"/>
      <c r="BG88" s="531"/>
      <c r="BH88" s="531"/>
      <c r="BI88" s="531"/>
      <c r="BJ88" s="531"/>
      <c r="BK88"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8" s="538">
        <v>150</v>
      </c>
      <c r="BM88" s="540">
        <f>IF(ISNUMBER(HostBuild[Recommended SAN (GB)]),HostBuild[Recommended SAN (GB)])+IF(HostBuild[Additional SAN (GB)]&gt;0,CEILING(HostBuild[Additional SAN (GB)],LUN),-(CEILING(-HostBuild[Additional SAN (GB)],LUN)))</f>
        <v>168.5</v>
      </c>
      <c r="BN88" s="539"/>
      <c r="BO88" s="540">
        <f>HostBuild[SAN (GB)
NEEDED TODAY]+CEILING(HostBuild[SAN (GB)
RESERVED
DO NOT USE TO BUILD], LUN)</f>
        <v>168.5</v>
      </c>
      <c r="BP88" s="541"/>
      <c r="BQ88" s="542"/>
      <c r="BR88" s="432" t="s">
        <v>105</v>
      </c>
      <c r="BS88" s="605">
        <f>IF(HostBuild[Existing Server?]&lt;&gt;"Yes - Inside this BoM",IF(ISNUMBER(HostBuild[RAM 
(GB)]),IF(HostBuild[Existing RAM (GB)]+HostBuild[RAM 
(GB)]&gt;0,IF(HostBuild[Virtual Platform Storage Type]="NAS",110+HostBuild[Existing RAM (GB)]+HostBuild[RAM 
(GB)]*1.75,0),0),0),0)</f>
        <v>0</v>
      </c>
      <c r="BT88" s="606"/>
      <c r="BU88" s="607">
        <f>IF(ISNUMBER(HostBuild[Recommended NAS (GB)]),HostBuild[Recommended NAS (GB)])+HostBuild[Additional NAS (GB)]</f>
        <v>0</v>
      </c>
      <c r="BV88" s="543"/>
      <c r="BW88" s="543"/>
      <c r="BX88" s="604">
        <f>IFERROR((HostBuild[SAN (GB)
End-State
DO NOT USE TO BUILD]+HostBuild[SAN (GB) Shared])*25%,"")</f>
        <v>42.125</v>
      </c>
      <c r="BY88" s="608">
        <f>IFERROR(HostBuild[Archive
Full (GB)]*15%,"")</f>
        <v>6.3187499999999996</v>
      </c>
      <c r="BZ88" s="544"/>
      <c r="CA88" s="544"/>
      <c r="CB88" s="545"/>
      <c r="CC88" s="546"/>
      <c r="CD88" s="545"/>
      <c r="CE88" s="547"/>
      <c r="CF88" s="539"/>
      <c r="CG88" s="609"/>
      <c r="CH88" s="548"/>
      <c r="CI88" s="549"/>
      <c r="CJ88" s="550"/>
      <c r="CK88" s="551"/>
      <c r="CL88" s="552">
        <f>IFERROR(IF(FIND(CL$1,$W88)&gt;0,IF(INDEX(Product_Pricing_Table[],MATCH(CL$1,Products,0),2)="Cores",IF(HostBuild[Use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8" s="552">
        <f>IFERROR(IF(FIND(CM$1,$W88)&gt;0,IF(INDEX(Product_Pricing_Table[],MATCH(CM$1,Products,0),2)="Cores",IF(HostBuild[Use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8" s="552">
        <f>IFERROR(IF(FIND(CN$1,$W88)&gt;0,IF(INDEX(Product_Pricing_Table[],MATCH(CN$1,Products,0),2)="Cores",IF(HostBuild[Use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8" s="552">
        <f>IFERROR(IF(FIND(CO$1,$W88)&gt;0,IF(INDEX(Product_Pricing_Table[],MATCH(CO$1,Products,0),2)="Cores",IF(HostBuild[Use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8" s="552">
        <f>IFERROR(IF(FIND(CP$1,$W88)&gt;0,IF(INDEX(Product_Pricing_Table[],MATCH(CP$1,Products,0),2)="Cores",IF(HostBuild[Use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8" s="552">
        <f>IFERROR(IF(FIND(CQ$1,$W88)&gt;0,IF(INDEX(Product_Pricing_Table[],MATCH(CQ$1,Products,0),2)="Cores",IF(HostBuild[Use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8" s="552">
        <f>IFERROR(IF(FIND(CR$1,$W88)&gt;0,IF(INDEX(Product_Pricing_Table[],MATCH(CR$1,Products,0),2)="Cores",IF(HostBuild[Use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8" s="552">
        <f>IFERROR(IF(FIND(CS$1,$W88)&gt;0,IF(INDEX(Product_Pricing_Table[],MATCH(CS$1,Products,0),2)="Cores",IF(HostBuild[Use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8" s="552">
        <f>IFERROR(IF(FIND(CT$1,$W88)&gt;0,IF(INDEX(Product_Pricing_Table[],MATCH(CT$1,Products,0),2)="Cores",IF(HostBuild[Use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8" s="552">
        <f>IFERROR(IF(FIND(CU$1,$W88)&gt;0,IF(INDEX(Product_Pricing_Table[],MATCH(CU$1,Products,0),2)="Cores",IF(HostBuild[Use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8" s="552">
        <f>IFERROR(IF(FIND(CV$1,$W88)&gt;0,IF(INDEX(Product_Pricing_Table[],MATCH(CV$1,Products,0),2)="Cores",IF(HostBuild[Use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8" s="552">
        <f>IFERROR(IF(FIND(CW$1,$W88)&gt;0,IF(INDEX(Product_Pricing_Table[],MATCH(CW$1,Products,0),2)="Cores",IF(HostBuild[Use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8" s="552">
        <f>IFERROR(IF(FIND(CX$1,$W88)&gt;0,IF(INDEX(Product_Pricing_Table[],MATCH(CX$1,Products,0),2)="Cores",IF(HostBuild[Use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8" s="552">
        <f>IFERROR(IF(FIND(CY$1,$W88)&gt;0,IF(INDEX(Product_Pricing_Table[],MATCH(CY$1,Products,0),2)="Cores",IF(HostBuild[Use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8" s="552">
        <f>IFERROR(IF(FIND(CZ$1,$W88)&gt;0,IF(INDEX(Product_Pricing_Table[],MATCH(CZ$1,Products,0),2)="Cores",IF(HostBuild[Use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8" s="552">
        <f>IFERROR(IF(FIND(DA$1,$W88)&gt;0,IF(INDEX(Product_Pricing_Table[],MATCH(DA$1,Products,0),2)="Cores",IF(HostBuild[Use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8" s="552">
        <f>IFERROR(IF(FIND(DB$1,$W88)&gt;0,IF(INDEX(Product_Pricing_Table[],MATCH(DB$1,Products,0),2)="Cores",IF(HostBuild[Use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8" s="552">
        <f>IFERROR(IF(FIND(DC$1,$W88)&gt;0,IF(INDEX(Product_Pricing_Table[],MATCH(DC$1,Products,0),2)="Cores",IF(HostBuild[Use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8" s="552">
        <f>IFERROR(IF(FIND(DD$1,$W88)&gt;0,IF(INDEX(Product_Pricing_Table[],MATCH(DD$1,Products,0),2)="Cores",IF(HostBuild[Use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8" s="552">
        <f>IFERROR(IF(FIND(DE$1,$W88)&gt;0,IF(INDEX(Product_Pricing_Table[],MATCH(DE$1,Products,0),2)="Cores",IF(HostBuild[Use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8" s="553">
        <f>IFERROR(IF(FIND(DF$1,$W88)&gt;0,IF(INDEX(Product_Pricing_Table[],MATCH(DF$1,Products,0),2)="Cores",IF(HostBuild[Use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8" s="553">
        <f>IFERROR(IF(FIND(DG$1,$W88)&gt;0,IF(INDEX(Product_Pricing_Table[],MATCH(DG$1,Products,0),2)="Cores",IF(HostBuild[Use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8" s="552">
        <f>IFERROR(IF(FIND(DH$1,$W88)&gt;0,IF(INDEX(Product_Pricing_Table[],MATCH(DH$1,Products,0),2)="Cores",IF(HostBuild[Use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8" s="553">
        <f>IFERROR(IF(FIND(DI$1,$W88)&gt;0,IF(INDEX(Product_Pricing_Table[],MATCH(DI$1,Products,0),2)="Cores",IF(HostBuild[Use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8" s="552">
        <f>IFERROR(IF(FIND(DJ$1,$W88)&gt;0,IF(INDEX(Product_Pricing_Table[],MATCH(DJ$1,Products,0),2)="Cores",IF(HostBuild[Use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8" s="552">
        <f>IFERROR(IF(FIND(DK$1,$W88)&gt;0,IF(INDEX(Product_Pricing_Table[],MATCH(DK$1,Products,0),2)="Cores",IF(HostBuild[Use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8" s="552">
        <f>IFERROR(IF(FIND(DL$1,$W88)&gt;0,IF(INDEX(Product_Pricing_Table[],MATCH(DL$1,Products,0),2)="Cores",IF(HostBuild[Use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8" s="552">
        <f>IFERROR(IF(FIND(DM$1,$W88)&gt;0,IF(INDEX(Product_Pricing_Table[],MATCH(DM$1,Products,0),2)="Cores",IF(HostBuild[Use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8" s="552">
        <f>IFERROR(IF(FIND(DN$1,$W88)&gt;0,IF(INDEX(Product_Pricing_Table[],MATCH(DN$1,Products,0),2)="Cores",IF(HostBuild[Use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8" s="552">
        <f>IFERROR(IF(FIND(DO$1,$W88)&gt;0,IF(INDEX(Product_Pricing_Table[],MATCH(DO$1,Products,0),2)="Cores",IF(HostBuild[Use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8" s="552">
        <f>IFERROR(IF(FIND(DP$1,$W88)&gt;0,IF(INDEX(Product_Pricing_Table[],MATCH(DP$1,Products,0),2)="Cores",IF(HostBuild[Use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8" s="552">
        <f>IFERROR(IF(FIND(DQ$1,$W88)&gt;0,IF(INDEX(Product_Pricing_Table[],MATCH(DQ$1,Products,0),2)="Cores",IF(HostBuild[Use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8" s="552">
        <f>IFERROR(IF(FIND(DR$1,$W88)&gt;0,IF(INDEX(Product_Pricing_Table[],MATCH(DR$1,Products,0),2)="Cores",IF(HostBuild[Use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8" s="552">
        <f>IFERROR(IF(FIND(DS$1,$W88)&gt;0,IF(INDEX(Product_Pricing_Table[],MATCH(DS$1,Products,0),2)="Cores",IF(HostBuild[Use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8" s="552">
        <f>IFERROR(IF(FIND(DT$1,$W88)&gt;0,IF(INDEX(Product_Pricing_Table[],MATCH(DT$1,Products,0),2)="Cores",IF(HostBuild[Use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8" s="552">
        <f>IFERROR(IF(FIND(DU$1,$W88)&gt;0,IF(INDEX(Product_Pricing_Table[],MATCH(DU$1,Products,0),2)="Cores",IF(HostBuild[Use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8" s="552">
        <f>IFERROR(IF(FIND(DV$1,$W88)&gt;0,IF(INDEX(Product_Pricing_Table[],MATCH(DV$1,Products,0),2)="Cores",IF(HostBuild[Use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8" s="552">
        <f>IFERROR(IF(FIND(DW$1,$W88)&gt;0,IF(INDEX(Product_Pricing_Table[],MATCH(DW$1,Products,0),2)="Cores",IF(HostBuild[Use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8" s="552">
        <f>IFERROR(IF(FIND(DX$1,$W88)&gt;0,IF(INDEX(Product_Pricing_Table[],MATCH(DX$1,Products,0),2)="Cores",IF(HostBuild[Use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8" s="552">
        <f>IFERROR(IF(FIND(DY$1,$W88)&gt;0,IF(INDEX(Product_Pricing_Table[],MATCH(DY$1,Products,0),2)="Cores",IF(HostBuild[Use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8" s="552">
        <f>IFERROR(IF(FIND(DZ$1,$W88)&gt;0,IF(INDEX(Product_Pricing_Table[],MATCH(DZ$1,Products,0),2)="Cores",IF(HostBuild[Use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8" s="552">
        <f>IFERROR(IF(FIND(EA$1,$W88)&gt;0,IF(INDEX(Product_Pricing_Table[],MATCH(EA$1,Products,0),2)="Cores",IF(HostBuild[Use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8" s="552">
        <f>IFERROR(IF(FIND(EB$1,$W88)&gt;0,IF(INDEX(Product_Pricing_Table[],MATCH(EB$1,Products,0),2)="Cores",IF(HostBuild[Use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8" s="553">
        <f>IFERROR(IF(FIND(EC$1,$W88)&gt;0,IF(INDEX(Product_Pricing_Table[],MATCH(EC$1,Products,0),2)="Cores",IF(HostBuild[Use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8" s="552">
        <f>IFERROR(IF(FIND(ED$1,$W88)&gt;0,IF(INDEX(Product_Pricing_Table[],MATCH(ED$1,Products,0),2)="Cores",IF(HostBuild[Use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8" s="552">
        <f>IFERROR(IF(FIND(EE$1,$W88)&gt;0,IF(INDEX(Product_Pricing_Table[],MATCH(EE$1,Products,0),2)="Cores",IF(HostBuild[Use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8" s="552">
        <f>IFERROR(IF(FIND(EF$1,$W88)&gt;0,IF(INDEX(Product_Pricing_Table[],MATCH(EF$1,Products,0),2)="Cores",IF(HostBuild[Use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8" s="552">
        <f>IFERROR(IF(FIND(EG$1,$W88)&gt;0,IF(INDEX(Product_Pricing_Table[],MATCH(EG$1,Products,0),2)="Cores",IF(HostBuild[Use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8" s="552">
        <f>IFERROR(IF(FIND(EH$1,$W88)&gt;0,IF(INDEX(Product_Pricing_Table[],MATCH(EH$1,Products,0),2)="Cores",IF(HostBuild[Use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8" s="552">
        <f>IFERROR(IF(FIND(EI$1,$W88)&gt;0,IF(INDEX(Product_Pricing_Table[],MATCH(EI$1,Products,0),2)="Cores",IF(HostBuild[Use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8" s="552">
        <f>IFERROR(IF(FIND(EJ$1,$W88)&gt;0,IF(INDEX(Product_Pricing_Table[],MATCH(EJ$1,Products,0),2)="Cores",IF(HostBuild[Use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8" s="553">
        <f>IFERROR(IF(FIND(EK$1,$W88)&gt;0,IF(INDEX(Product_Pricing_Table[],MATCH(EK$1,Products,0),2)="Cores",IF(HostBuild[Use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8" s="554"/>
      <c r="EM88" s="555">
        <v>0</v>
      </c>
      <c r="EN88" s="556">
        <v>0</v>
      </c>
      <c r="EO88"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8" s="558">
        <f>(HostBuild[Archive
Full (GB)]+HostBuild[Archive
Incr (GB)])*Storage_DC_Dist_Tape_2014</f>
        <v>16.955312499999998</v>
      </c>
      <c r="ER88" s="558">
        <f>IF(ISNUMBER(HostBuild[Server HW Costs
(Monthly)]),SUM(HostBuild[[#This Row],[Server HW Costs
(Monthly)]:[Tape Costs
(Monthly)]]),0)</f>
        <v>92.780312500000008</v>
      </c>
      <c r="ES88" s="559">
        <f>HostBuild[Software Costs
'[Year 1']
(Monthly)]+HostBuild[Total Hardware Costs
(Monthly)]</f>
        <v>92.780312500000008</v>
      </c>
      <c r="ET88" s="559">
        <f>IFERROR(IF(FIND("Safenet",HostBuild[Server Model]),Safenet_PSE_PL600_Maint,0),0)+IFERROR(IF(FIND("XI52",HostBuild[Server Model]),IBM_DIA_XI52_Maint,0),0)+HostBuild[Software Costs
'[After Year 1']
(Monthly)]+HostBuild[Total Hardware Costs
(Monthly)]</f>
        <v>92.780312500000008</v>
      </c>
      <c r="EU88" s="560">
        <f>SUM(HostBuild[[#This Row],[Server Cost Breakdown]:[Network Cost]])</f>
        <v>0</v>
      </c>
      <c r="EV88" s="561">
        <f>IF(HostBuild[Existing Server?]="Yes - Inside this BoM",0,SUMIF(HostBuild[Alias],HostBuild[Alias],HostBuild[CPU])+SUMIF(HostBuild[Alias],HostBuild[Alias],HostBuild[Existing CPUs]))</f>
        <v>0</v>
      </c>
      <c r="EW88" s="561">
        <f>IF(HostBuild[Existing Server?]="Yes - Inside this BoM",0,SUMIF(HostBuild[Alias],HostBuild[Alias],HostBuild[Cores 
(Licensed Units)])+SUMIF(HostBuild[Alias],HostBuild[Alias],HostBuild[Existing Cores]))</f>
        <v>0</v>
      </c>
      <c r="EX88" s="561">
        <f>IF(HostBuild[Existing Server?]="Yes - Inside this BoM",0,SUMIF(HostBuild[Alias],HostBuild[Alias],HostBuild[RAM 
(GB)])+SUMIF(HostBuild[Alias],HostBuild[Alias],HostBuild[Existing RAM (GB)]))</f>
        <v>0</v>
      </c>
      <c r="EY8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8" s="560">
        <f>IF(ISBLANK(HostBuild[Server Model]),0,IF(HostBuild[Server Tier]="VMware",0,VLOOKUP(HostBuild[Server Tier],ServerTierRates[#Data],2,0))*HostBuild[CPU]*IF(AND(HostBuild[Server Type]="pSeries",HostBuild[Virtual Platform Storage Type]="Cloud-SAN"),0.25,1))</f>
        <v>0</v>
      </c>
      <c r="FD88" s="560">
        <f>0</f>
        <v>0</v>
      </c>
      <c r="FE88" s="560">
        <f>IF(HostBuild[Server Type]="VMware",HostBuild[RAM 
(GB)]*IF(ISERROR(FIND("DevCloud", HostBuild[Server Model])&gt;0),vRAM_per_vCPU_2014_Monthly,vRAM_per_vCPU_2014_Daily*30),0)</f>
        <v>0</v>
      </c>
      <c r="FF8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8" s="563">
        <f>IF(HostBuild[Server Tier]="VMware",0,IF(LEFT(HostBuild[Existing Server?],3)="Yes",0,IF(OR(HostBuild[Server Type]="Sun",HostBuild[Server Type]="pSeries"),Support_Direct_Server_Sun_per_OS_2014,IF(HostBuild[Server Type]="x86",Support_Direct_Server_x86_Wintel_per_OS_2014,0))))</f>
        <v>0</v>
      </c>
      <c r="FI8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89" spans="1:165" s="262" customFormat="1" ht="15" customHeight="1">
      <c r="A89" s="360" t="s">
        <v>3942</v>
      </c>
      <c r="B89" s="521"/>
      <c r="C89" s="521"/>
      <c r="D89" s="521"/>
      <c r="E89" s="522"/>
      <c r="F89" s="522"/>
      <c r="G89" s="597"/>
      <c r="H89" s="597"/>
      <c r="I89" s="523"/>
      <c r="J89" s="522"/>
      <c r="K89" s="522"/>
      <c r="L89" s="522"/>
      <c r="M89" s="597" t="e">
        <f ca="1">IF(rngIsDate(HostBuild[CTO Acceptance]),"Y","N")</f>
        <v>#NAME?</v>
      </c>
      <c r="N89" s="361" t="s">
        <v>3939</v>
      </c>
      <c r="O89" s="525"/>
      <c r="P89" s="525"/>
      <c r="Q89" s="361" t="s">
        <v>212</v>
      </c>
      <c r="R89" s="526" t="str">
        <f>IF(NOT(ISBLANK(HostBuild[Env Label])),IFERROR(VLOOKUP(HostBuild[Env Label],tEnv[],3,FALSE),""),"")</f>
        <v>UAT</v>
      </c>
      <c r="S89" s="598"/>
      <c r="T89" s="527"/>
      <c r="U89" s="599"/>
      <c r="V89" s="524" t="s">
        <v>4006</v>
      </c>
      <c r="W89" s="524" t="s">
        <v>3941</v>
      </c>
      <c r="X89" s="524" t="s">
        <v>35</v>
      </c>
      <c r="Y89" s="361" t="s">
        <v>481</v>
      </c>
      <c r="Z89" s="526" t="str">
        <f>IF(NOT(ISBLANK(HostBuild[[#This Row],[Product 
(Acronym)]])),CONCATENATE(HostBuild[[#This Row],[Type]],"-",HostBuild[[#This Row],[Product 
(Acronym)]]),"")</f>
        <v>AP-ESB</v>
      </c>
      <c r="AA89" s="600"/>
      <c r="AB89" s="600" t="s">
        <v>4103</v>
      </c>
      <c r="AC89" s="528"/>
      <c r="AD89" s="529"/>
      <c r="AE89" s="529"/>
      <c r="AF89" s="530"/>
      <c r="AG89" s="531"/>
      <c r="AH89" s="601"/>
      <c r="AI89" s="362" t="s">
        <v>4120</v>
      </c>
      <c r="AJ89" s="524">
        <f>IF(COUNTIF(HostBuild[Alias],HostBuild[Alias]),1/COUNTIF(HostBuild[Alias],HostBuild[Alias]),0)</f>
        <v>1</v>
      </c>
      <c r="AK89" s="531"/>
      <c r="AL89" s="531"/>
      <c r="AM89" s="532" t="s">
        <v>2173</v>
      </c>
      <c r="AN89" s="533" t="str">
        <f>IF(NOT(ISBLANK(HostBuild[Server Model])),VLOOKUP(HostBuild[Server Model],ServerModelsTier[],2,FALSE),"")</f>
        <v>x86 Tier 3</v>
      </c>
      <c r="AO89" s="533" t="str">
        <f>IF(NOT(ISBLANK(HostBuild[Server Model])),VLOOKUP(HostBuild[Server Model],ServerModelsTier[],5,FALSE),"")</f>
        <v>x86</v>
      </c>
      <c r="AP89" s="532"/>
      <c r="AQ89" s="532" t="s">
        <v>2337</v>
      </c>
      <c r="AR89" s="534"/>
      <c r="AS89" s="602"/>
      <c r="AT89" s="535">
        <v>16</v>
      </c>
      <c r="AU89" s="603" t="str">
        <f>IF(IFERROR(FIND("P-Series",HostBuild[Server Tier]),0),CEILING((HostBuild[Existing CPUs]+HostBuild[CPU])*16,8),"")</f>
        <v/>
      </c>
      <c r="AV89" s="536"/>
      <c r="AW89" s="531"/>
      <c r="AX89" s="531"/>
      <c r="AY89" s="531"/>
      <c r="AZ89" s="537"/>
      <c r="BA89" s="531"/>
      <c r="BB89" s="531"/>
      <c r="BC89" s="529"/>
      <c r="BD89" s="531"/>
      <c r="BE89" s="531"/>
      <c r="BF89" s="531"/>
      <c r="BG89" s="531"/>
      <c r="BH89" s="531"/>
      <c r="BI89" s="531"/>
      <c r="BJ89" s="531"/>
      <c r="BK89"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89" s="538">
        <v>150</v>
      </c>
      <c r="BM89" s="540">
        <f>IF(ISNUMBER(HostBuild[Recommended SAN (GB)]),HostBuild[Recommended SAN (GB)])+IF(HostBuild[Additional SAN (GB)]&gt;0,CEILING(HostBuild[Additional SAN (GB)],LUN),-(CEILING(-HostBuild[Additional SAN (GB)],LUN)))</f>
        <v>168.5</v>
      </c>
      <c r="BN89" s="539"/>
      <c r="BO89" s="540">
        <f>HostBuild[SAN (GB)
NEEDED TODAY]+CEILING(HostBuild[SAN (GB)
RESERVED
DO NOT USE TO BUILD], LUN)</f>
        <v>168.5</v>
      </c>
      <c r="BP89" s="541"/>
      <c r="BQ89" s="542"/>
      <c r="BR89" s="432" t="s">
        <v>105</v>
      </c>
      <c r="BS89" s="605">
        <f>IF(HostBuild[Existing Server?]&lt;&gt;"Yes - Inside this BoM",IF(ISNUMBER(HostBuild[RAM 
(GB)]),IF(HostBuild[Existing RAM (GB)]+HostBuild[RAM 
(GB)]&gt;0,IF(HostBuild[Virtual Platform Storage Type]="NAS",110+HostBuild[Existing RAM (GB)]+HostBuild[RAM 
(GB)]*1.75,0),0),0),0)</f>
        <v>0</v>
      </c>
      <c r="BT89" s="606"/>
      <c r="BU89" s="607">
        <f>IF(ISNUMBER(HostBuild[Recommended NAS (GB)]),HostBuild[Recommended NAS (GB)])+HostBuild[Additional NAS (GB)]</f>
        <v>0</v>
      </c>
      <c r="BV89" s="543"/>
      <c r="BW89" s="543"/>
      <c r="BX89" s="604">
        <f>IFERROR((HostBuild[SAN (GB)
End-State
DO NOT USE TO BUILD]+HostBuild[SAN (GB) Shared])*25%,"")</f>
        <v>42.125</v>
      </c>
      <c r="BY89" s="608">
        <f>IFERROR(HostBuild[Archive
Full (GB)]*15%,"")</f>
        <v>6.3187499999999996</v>
      </c>
      <c r="BZ89" s="544"/>
      <c r="CA89" s="544"/>
      <c r="CB89" s="545"/>
      <c r="CC89" s="546"/>
      <c r="CD89" s="545"/>
      <c r="CE89" s="547"/>
      <c r="CF89" s="539"/>
      <c r="CG89" s="609"/>
      <c r="CH89" s="548"/>
      <c r="CI89" s="549"/>
      <c r="CJ89" s="550"/>
      <c r="CK89" s="551"/>
      <c r="CL89" s="552">
        <f>IFERROR(IF(FIND(CL$1,$W89)&gt;0,IF(INDEX(Product_Pricing_Table[],MATCH(CL$1,Products,0),2)="Cores",IF(HostBuild[Use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89" s="552">
        <f>IFERROR(IF(FIND(CM$1,$W89)&gt;0,IF(INDEX(Product_Pricing_Table[],MATCH(CM$1,Products,0),2)="Cores",IF(HostBuild[Use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89" s="552">
        <f>IFERROR(IF(FIND(CN$1,$W89)&gt;0,IF(INDEX(Product_Pricing_Table[],MATCH(CN$1,Products,0),2)="Cores",IF(HostBuild[Use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89" s="552">
        <f>IFERROR(IF(FIND(CO$1,$W89)&gt;0,IF(INDEX(Product_Pricing_Table[],MATCH(CO$1,Products,0),2)="Cores",IF(HostBuild[Use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89" s="552">
        <f>IFERROR(IF(FIND(CP$1,$W89)&gt;0,IF(INDEX(Product_Pricing_Table[],MATCH(CP$1,Products,0),2)="Cores",IF(HostBuild[Use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89" s="552">
        <f>IFERROR(IF(FIND(CQ$1,$W89)&gt;0,IF(INDEX(Product_Pricing_Table[],MATCH(CQ$1,Products,0),2)="Cores",IF(HostBuild[Use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89" s="552">
        <f>IFERROR(IF(FIND(CR$1,$W89)&gt;0,IF(INDEX(Product_Pricing_Table[],MATCH(CR$1,Products,0),2)="Cores",IF(HostBuild[Use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89" s="552">
        <f>IFERROR(IF(FIND(CS$1,$W89)&gt;0,IF(INDEX(Product_Pricing_Table[],MATCH(CS$1,Products,0),2)="Cores",IF(HostBuild[Use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89" s="552">
        <f>IFERROR(IF(FIND(CT$1,$W89)&gt;0,IF(INDEX(Product_Pricing_Table[],MATCH(CT$1,Products,0),2)="Cores",IF(HostBuild[Use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89" s="552">
        <f>IFERROR(IF(FIND(CU$1,$W89)&gt;0,IF(INDEX(Product_Pricing_Table[],MATCH(CU$1,Products,0),2)="Cores",IF(HostBuild[Use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89" s="552">
        <f>IFERROR(IF(FIND(CV$1,$W89)&gt;0,IF(INDEX(Product_Pricing_Table[],MATCH(CV$1,Products,0),2)="Cores",IF(HostBuild[Use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89" s="552">
        <f>IFERROR(IF(FIND(CW$1,$W89)&gt;0,IF(INDEX(Product_Pricing_Table[],MATCH(CW$1,Products,0),2)="Cores",IF(HostBuild[Use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89" s="552">
        <f>IFERROR(IF(FIND(CX$1,$W89)&gt;0,IF(INDEX(Product_Pricing_Table[],MATCH(CX$1,Products,0),2)="Cores",IF(HostBuild[Use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89" s="552">
        <f>IFERROR(IF(FIND(CY$1,$W89)&gt;0,IF(INDEX(Product_Pricing_Table[],MATCH(CY$1,Products,0),2)="Cores",IF(HostBuild[Use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89" s="552">
        <f>IFERROR(IF(FIND(CZ$1,$W89)&gt;0,IF(INDEX(Product_Pricing_Table[],MATCH(CZ$1,Products,0),2)="Cores",IF(HostBuild[Use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89" s="552">
        <f>IFERROR(IF(FIND(DA$1,$W89)&gt;0,IF(INDEX(Product_Pricing_Table[],MATCH(DA$1,Products,0),2)="Cores",IF(HostBuild[Use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89" s="552">
        <f>IFERROR(IF(FIND(DB$1,$W89)&gt;0,IF(INDEX(Product_Pricing_Table[],MATCH(DB$1,Products,0),2)="Cores",IF(HostBuild[Use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89" s="552">
        <f>IFERROR(IF(FIND(DC$1,$W89)&gt;0,IF(INDEX(Product_Pricing_Table[],MATCH(DC$1,Products,0),2)="Cores",IF(HostBuild[Use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89" s="552">
        <f>IFERROR(IF(FIND(DD$1,$W89)&gt;0,IF(INDEX(Product_Pricing_Table[],MATCH(DD$1,Products,0),2)="Cores",IF(HostBuild[Use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89" s="552">
        <f>IFERROR(IF(FIND(DE$1,$W89)&gt;0,IF(INDEX(Product_Pricing_Table[],MATCH(DE$1,Products,0),2)="Cores",IF(HostBuild[Use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89" s="553">
        <f>IFERROR(IF(FIND(DF$1,$W89)&gt;0,IF(INDEX(Product_Pricing_Table[],MATCH(DF$1,Products,0),2)="Cores",IF(HostBuild[Use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89" s="553">
        <f>IFERROR(IF(FIND(DG$1,$W89)&gt;0,IF(INDEX(Product_Pricing_Table[],MATCH(DG$1,Products,0),2)="Cores",IF(HostBuild[Use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89" s="552">
        <f>IFERROR(IF(FIND(DH$1,$W89)&gt;0,IF(INDEX(Product_Pricing_Table[],MATCH(DH$1,Products,0),2)="Cores",IF(HostBuild[Use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89" s="553">
        <f>IFERROR(IF(FIND(DI$1,$W89)&gt;0,IF(INDEX(Product_Pricing_Table[],MATCH(DI$1,Products,0),2)="Cores",IF(HostBuild[Use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89" s="552">
        <f>IFERROR(IF(FIND(DJ$1,$W89)&gt;0,IF(INDEX(Product_Pricing_Table[],MATCH(DJ$1,Products,0),2)="Cores",IF(HostBuild[Use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89" s="552">
        <f>IFERROR(IF(FIND(DK$1,$W89)&gt;0,IF(INDEX(Product_Pricing_Table[],MATCH(DK$1,Products,0),2)="Cores",IF(HostBuild[Use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89" s="552">
        <f>IFERROR(IF(FIND(DL$1,$W89)&gt;0,IF(INDEX(Product_Pricing_Table[],MATCH(DL$1,Products,0),2)="Cores",IF(HostBuild[Use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89" s="552">
        <f>IFERROR(IF(FIND(DM$1,$W89)&gt;0,IF(INDEX(Product_Pricing_Table[],MATCH(DM$1,Products,0),2)="Cores",IF(HostBuild[Use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89" s="552">
        <f>IFERROR(IF(FIND(DN$1,$W89)&gt;0,IF(INDEX(Product_Pricing_Table[],MATCH(DN$1,Products,0),2)="Cores",IF(HostBuild[Use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89" s="552">
        <f>IFERROR(IF(FIND(DO$1,$W89)&gt;0,IF(INDEX(Product_Pricing_Table[],MATCH(DO$1,Products,0),2)="Cores",IF(HostBuild[Use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89" s="552">
        <f>IFERROR(IF(FIND(DP$1,$W89)&gt;0,IF(INDEX(Product_Pricing_Table[],MATCH(DP$1,Products,0),2)="Cores",IF(HostBuild[Use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89" s="552">
        <f>IFERROR(IF(FIND(DQ$1,$W89)&gt;0,IF(INDEX(Product_Pricing_Table[],MATCH(DQ$1,Products,0),2)="Cores",IF(HostBuild[Use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89" s="552">
        <f>IFERROR(IF(FIND(DR$1,$W89)&gt;0,IF(INDEX(Product_Pricing_Table[],MATCH(DR$1,Products,0),2)="Cores",IF(HostBuild[Use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89" s="552">
        <f>IFERROR(IF(FIND(DS$1,$W89)&gt;0,IF(INDEX(Product_Pricing_Table[],MATCH(DS$1,Products,0),2)="Cores",IF(HostBuild[Use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89" s="552">
        <f>IFERROR(IF(FIND(DT$1,$W89)&gt;0,IF(INDEX(Product_Pricing_Table[],MATCH(DT$1,Products,0),2)="Cores",IF(HostBuild[Use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89" s="552">
        <f>IFERROR(IF(FIND(DU$1,$W89)&gt;0,IF(INDEX(Product_Pricing_Table[],MATCH(DU$1,Products,0),2)="Cores",IF(HostBuild[Use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89" s="552">
        <f>IFERROR(IF(FIND(DV$1,$W89)&gt;0,IF(INDEX(Product_Pricing_Table[],MATCH(DV$1,Products,0),2)="Cores",IF(HostBuild[Use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89" s="552">
        <f>IFERROR(IF(FIND(DW$1,$W89)&gt;0,IF(INDEX(Product_Pricing_Table[],MATCH(DW$1,Products,0),2)="Cores",IF(HostBuild[Use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89" s="552">
        <f>IFERROR(IF(FIND(DX$1,$W89)&gt;0,IF(INDEX(Product_Pricing_Table[],MATCH(DX$1,Products,0),2)="Cores",IF(HostBuild[Use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89" s="552">
        <f>IFERROR(IF(FIND(DY$1,$W89)&gt;0,IF(INDEX(Product_Pricing_Table[],MATCH(DY$1,Products,0),2)="Cores",IF(HostBuild[Use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89" s="552">
        <f>IFERROR(IF(FIND(DZ$1,$W89)&gt;0,IF(INDEX(Product_Pricing_Table[],MATCH(DZ$1,Products,0),2)="Cores",IF(HostBuild[Use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89" s="552">
        <f>IFERROR(IF(FIND(EA$1,$W89)&gt;0,IF(INDEX(Product_Pricing_Table[],MATCH(EA$1,Products,0),2)="Cores",IF(HostBuild[Use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89" s="552">
        <f>IFERROR(IF(FIND(EB$1,$W89)&gt;0,IF(INDEX(Product_Pricing_Table[],MATCH(EB$1,Products,0),2)="Cores",IF(HostBuild[Use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89" s="553">
        <f>IFERROR(IF(FIND(EC$1,$W89)&gt;0,IF(INDEX(Product_Pricing_Table[],MATCH(EC$1,Products,0),2)="Cores",IF(HostBuild[Use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89" s="552">
        <f>IFERROR(IF(FIND(ED$1,$W89)&gt;0,IF(INDEX(Product_Pricing_Table[],MATCH(ED$1,Products,0),2)="Cores",IF(HostBuild[Use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89" s="552">
        <f>IFERROR(IF(FIND(EE$1,$W89)&gt;0,IF(INDEX(Product_Pricing_Table[],MATCH(EE$1,Products,0),2)="Cores",IF(HostBuild[Use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89" s="552">
        <f>IFERROR(IF(FIND(EF$1,$W89)&gt;0,IF(INDEX(Product_Pricing_Table[],MATCH(EF$1,Products,0),2)="Cores",IF(HostBuild[Use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89" s="552">
        <f>IFERROR(IF(FIND(EG$1,$W89)&gt;0,IF(INDEX(Product_Pricing_Table[],MATCH(EG$1,Products,0),2)="Cores",IF(HostBuild[Use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89" s="552">
        <f>IFERROR(IF(FIND(EH$1,$W89)&gt;0,IF(INDEX(Product_Pricing_Table[],MATCH(EH$1,Products,0),2)="Cores",IF(HostBuild[Use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89" s="552">
        <f>IFERROR(IF(FIND(EI$1,$W89)&gt;0,IF(INDEX(Product_Pricing_Table[],MATCH(EI$1,Products,0),2)="Cores",IF(HostBuild[Use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89" s="552">
        <f>IFERROR(IF(FIND(EJ$1,$W89)&gt;0,IF(INDEX(Product_Pricing_Table[],MATCH(EJ$1,Products,0),2)="Cores",IF(HostBuild[Use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89" s="553">
        <f>IFERROR(IF(FIND(EK$1,$W89)&gt;0,IF(INDEX(Product_Pricing_Table[],MATCH(EK$1,Products,0),2)="Cores",IF(HostBuild[Use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89" s="554"/>
      <c r="EM89" s="555"/>
      <c r="EN89" s="556"/>
      <c r="EO89"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8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89" s="558">
        <f>(HostBuild[Archive
Full (GB)]+HostBuild[Archive
Incr (GB)])*Storage_DC_Dist_Tape_2014</f>
        <v>16.955312499999998</v>
      </c>
      <c r="ER89" s="558">
        <f>IF(ISNUMBER(HostBuild[Server HW Costs
(Monthly)]),SUM(HostBuild[[#This Row],[Server HW Costs
(Monthly)]:[Tape Costs
(Monthly)]]),0)</f>
        <v>92.780312500000008</v>
      </c>
      <c r="ES89" s="559">
        <f>HostBuild[Software Costs
'[Year 1']
(Monthly)]+HostBuild[Total Hardware Costs
(Monthly)]</f>
        <v>92.780312500000008</v>
      </c>
      <c r="ET89" s="559">
        <f>IFERROR(IF(FIND("Safenet",HostBuild[Server Model]),Safenet_PSE_PL600_Maint,0),0)+IFERROR(IF(FIND("XI52",HostBuild[Server Model]),IBM_DIA_XI52_Maint,0),0)+HostBuild[Software Costs
'[After Year 1']
(Monthly)]+HostBuild[Total Hardware Costs
(Monthly)]</f>
        <v>92.780312500000008</v>
      </c>
      <c r="EU89" s="560">
        <f>SUM(HostBuild[[#This Row],[Server Cost Breakdown]:[Network Cost]])</f>
        <v>0</v>
      </c>
      <c r="EV89" s="561">
        <f>IF(HostBuild[Existing Server?]="Yes - Inside this BoM",0,SUMIF(HostBuild[Alias],HostBuild[Alias],HostBuild[CPU])+SUMIF(HostBuild[Alias],HostBuild[Alias],HostBuild[Existing CPUs]))</f>
        <v>0</v>
      </c>
      <c r="EW89" s="561">
        <f>IF(HostBuild[Existing Server?]="Yes - Inside this BoM",0,SUMIF(HostBuild[Alias],HostBuild[Alias],HostBuild[Cores 
(Licensed Units)])+SUMIF(HostBuild[Alias],HostBuild[Alias],HostBuild[Existing Cores]))</f>
        <v>0</v>
      </c>
      <c r="EX89" s="561">
        <f>IF(HostBuild[Existing Server?]="Yes - Inside this BoM",0,SUMIF(HostBuild[Alias],HostBuild[Alias],HostBuild[RAM 
(GB)])+SUMIF(HostBuild[Alias],HostBuild[Alias],HostBuild[Existing RAM (GB)]))</f>
        <v>0</v>
      </c>
      <c r="EY8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8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8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8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89" s="560">
        <f>IF(ISBLANK(HostBuild[Server Model]),0,IF(HostBuild[Server Tier]="VMware",0,VLOOKUP(HostBuild[Server Tier],ServerTierRates[#Data],2,0))*HostBuild[CPU]*IF(AND(HostBuild[Server Type]="pSeries",HostBuild[Virtual Platform Storage Type]="Cloud-SAN"),0.25,1))</f>
        <v>0</v>
      </c>
      <c r="FD89" s="560">
        <f>0</f>
        <v>0</v>
      </c>
      <c r="FE89" s="560">
        <f>IF(HostBuild[Server Type]="VMware",HostBuild[RAM 
(GB)]*IF(ISERROR(FIND("DevCloud", HostBuild[Server Model])&gt;0),vRAM_per_vCPU_2014_Monthly,vRAM_per_vCPU_2014_Daily*30),0)</f>
        <v>0</v>
      </c>
      <c r="FF8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8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89" s="563">
        <f>IF(HostBuild[Server Tier]="VMware",0,IF(LEFT(HostBuild[Existing Server?],3)="Yes",0,IF(OR(HostBuild[Server Type]="Sun",HostBuild[Server Type]="pSeries"),Support_Direct_Server_Sun_per_OS_2014,IF(HostBuild[Server Type]="x86",Support_Direct_Server_x86_Wintel_per_OS_2014,0))))</f>
        <v>0</v>
      </c>
      <c r="FI8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0" spans="1:165" s="262" customFormat="1" ht="15" customHeight="1">
      <c r="A90" s="360" t="s">
        <v>3942</v>
      </c>
      <c r="B90" s="521"/>
      <c r="C90" s="521"/>
      <c r="D90" s="521"/>
      <c r="E90" s="522"/>
      <c r="F90" s="522"/>
      <c r="G90" s="597"/>
      <c r="H90" s="597"/>
      <c r="I90" s="523"/>
      <c r="J90" s="522"/>
      <c r="K90" s="522"/>
      <c r="L90" s="522"/>
      <c r="M90" s="597" t="e">
        <f ca="1">IF(rngIsDate(HostBuild[CTO Acceptance]),"Y","N")</f>
        <v>#NAME?</v>
      </c>
      <c r="N90" s="361" t="s">
        <v>3939</v>
      </c>
      <c r="O90" s="525"/>
      <c r="P90" s="525"/>
      <c r="Q90" s="361" t="s">
        <v>212</v>
      </c>
      <c r="R90" s="526" t="str">
        <f>IF(NOT(ISBLANK(HostBuild[Env Label])),IFERROR(VLOOKUP(HostBuild[Env Label],tEnv[],3,FALSE),""),"")</f>
        <v>UAT</v>
      </c>
      <c r="S90" s="598"/>
      <c r="T90" s="527"/>
      <c r="U90" s="599"/>
      <c r="V90" s="524" t="s">
        <v>4006</v>
      </c>
      <c r="W90" s="524" t="s">
        <v>3941</v>
      </c>
      <c r="X90" s="524" t="s">
        <v>35</v>
      </c>
      <c r="Y90" s="361" t="s">
        <v>481</v>
      </c>
      <c r="Z90" s="526" t="str">
        <f>IF(NOT(ISBLANK(HostBuild[[#This Row],[Product 
(Acronym)]])),CONCATENATE(HostBuild[[#This Row],[Type]],"-",HostBuild[[#This Row],[Product 
(Acronym)]]),"")</f>
        <v>AP-ESB</v>
      </c>
      <c r="AA90" s="600"/>
      <c r="AB90" s="600" t="s">
        <v>4103</v>
      </c>
      <c r="AC90" s="528"/>
      <c r="AD90" s="529"/>
      <c r="AE90" s="529"/>
      <c r="AF90" s="530"/>
      <c r="AG90" s="531"/>
      <c r="AH90" s="601"/>
      <c r="AI90" s="362" t="s">
        <v>4121</v>
      </c>
      <c r="AJ90" s="524">
        <f>IF(COUNTIF(HostBuild[Alias],HostBuild[Alias]),1/COUNTIF(HostBuild[Alias],HostBuild[Alias]),0)</f>
        <v>1</v>
      </c>
      <c r="AK90" s="531"/>
      <c r="AL90" s="531"/>
      <c r="AM90" s="532" t="s">
        <v>314</v>
      </c>
      <c r="AN90" s="533" t="str">
        <f>IF(NOT(ISBLANK(HostBuild[Server Model])),VLOOKUP(HostBuild[Server Model],ServerModelsTier[],2,FALSE),"")</f>
        <v>IBM P-Series Tier 2</v>
      </c>
      <c r="AO90" s="533" t="str">
        <f>IF(NOT(ISBLANK(HostBuild[Server Model])),VLOOKUP(HostBuild[Server Model],ServerModelsTier[],5,FALSE),"")</f>
        <v>pSeries</v>
      </c>
      <c r="AP90" s="532"/>
      <c r="AQ90" s="532" t="s">
        <v>2337</v>
      </c>
      <c r="AR90" s="535"/>
      <c r="AS90" s="602"/>
      <c r="AT90" s="535">
        <v>16</v>
      </c>
      <c r="AU90" s="603"/>
      <c r="AV90" s="536"/>
      <c r="AW90" s="531"/>
      <c r="AX90" s="531"/>
      <c r="AY90" s="531"/>
      <c r="AZ90" s="537"/>
      <c r="BA90" s="531"/>
      <c r="BB90" s="531"/>
      <c r="BC90" s="529"/>
      <c r="BD90" s="531"/>
      <c r="BE90" s="531"/>
      <c r="BF90" s="531"/>
      <c r="BG90" s="531"/>
      <c r="BH90" s="531"/>
      <c r="BI90" s="531"/>
      <c r="BJ90" s="531"/>
      <c r="BK90"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0" s="538">
        <v>150</v>
      </c>
      <c r="BM90" s="540">
        <f>IF(ISNUMBER(HostBuild[Recommended SAN (GB)]),HostBuild[Recommended SAN (GB)])+IF(HostBuild[Additional SAN (GB)]&gt;0,CEILING(HostBuild[Additional SAN (GB)],LUN),-(CEILING(-HostBuild[Additional SAN (GB)],LUN)))</f>
        <v>168.5</v>
      </c>
      <c r="BN90" s="539"/>
      <c r="BO90" s="540">
        <f>HostBuild[SAN (GB)
NEEDED TODAY]+CEILING(HostBuild[SAN (GB)
RESERVED
DO NOT USE TO BUILD], LUN)</f>
        <v>168.5</v>
      </c>
      <c r="BP90" s="541"/>
      <c r="BQ90" s="542"/>
      <c r="BR90" s="432" t="s">
        <v>105</v>
      </c>
      <c r="BS90" s="605">
        <f>IF(HostBuild[Existing Server?]&lt;&gt;"Yes - Inside this BoM",IF(ISNUMBER(HostBuild[RAM 
(GB)]),IF(HostBuild[Existing RAM (GB)]+HostBuild[RAM 
(GB)]&gt;0,IF(HostBuild[Virtual Platform Storage Type]="NAS",110+HostBuild[Existing RAM (GB)]+HostBuild[RAM 
(GB)]*1.75,0),0),0),0)</f>
        <v>0</v>
      </c>
      <c r="BT90" s="606"/>
      <c r="BU90" s="607">
        <f>IF(ISNUMBER(HostBuild[Recommended NAS (GB)]),HostBuild[Recommended NAS (GB)])+HostBuild[Additional NAS (GB)]</f>
        <v>0</v>
      </c>
      <c r="BV90" s="543"/>
      <c r="BW90" s="543"/>
      <c r="BX90" s="604">
        <f>IFERROR((HostBuild[SAN (GB)
End-State
DO NOT USE TO BUILD]+HostBuild[SAN (GB) Shared])*25%,"")</f>
        <v>42.125</v>
      </c>
      <c r="BY90" s="608">
        <f>IFERROR(HostBuild[Archive
Full (GB)]*15%,"")</f>
        <v>6.3187499999999996</v>
      </c>
      <c r="BZ90" s="544"/>
      <c r="CA90" s="544"/>
      <c r="CB90" s="545"/>
      <c r="CC90" s="546"/>
      <c r="CD90" s="545"/>
      <c r="CE90" s="547"/>
      <c r="CF90" s="539"/>
      <c r="CG90" s="609"/>
      <c r="CH90" s="548"/>
      <c r="CI90" s="549"/>
      <c r="CJ90" s="550"/>
      <c r="CK90" s="551"/>
      <c r="CL90" s="552">
        <f>IFERROR(IF(FIND(CL$1,$W90)&gt;0,IF(INDEX(Product_Pricing_Table[],MATCH(CL$1,Products,0),2)="Cores",IF(HostBuild[Use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0" s="552">
        <f>IFERROR(IF(FIND(CM$1,$W90)&gt;0,IF(INDEX(Product_Pricing_Table[],MATCH(CM$1,Products,0),2)="Cores",IF(HostBuild[Use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0" s="552">
        <f>IFERROR(IF(FIND(CN$1,$W90)&gt;0,IF(INDEX(Product_Pricing_Table[],MATCH(CN$1,Products,0),2)="Cores",IF(HostBuild[Use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0" s="552">
        <f>IFERROR(IF(FIND(CO$1,$W90)&gt;0,IF(INDEX(Product_Pricing_Table[],MATCH(CO$1,Products,0),2)="Cores",IF(HostBuild[Use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0" s="552">
        <f>IFERROR(IF(FIND(CP$1,$W90)&gt;0,IF(INDEX(Product_Pricing_Table[],MATCH(CP$1,Products,0),2)="Cores",IF(HostBuild[Use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0" s="552">
        <f>IFERROR(IF(FIND(CQ$1,$W90)&gt;0,IF(INDEX(Product_Pricing_Table[],MATCH(CQ$1,Products,0),2)="Cores",IF(HostBuild[Use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0" s="552">
        <f>IFERROR(IF(FIND(CR$1,$W90)&gt;0,IF(INDEX(Product_Pricing_Table[],MATCH(CR$1,Products,0),2)="Cores",IF(HostBuild[Use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0" s="552">
        <f>IFERROR(IF(FIND(CS$1,$W90)&gt;0,IF(INDEX(Product_Pricing_Table[],MATCH(CS$1,Products,0),2)="Cores",IF(HostBuild[Use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0" s="552">
        <f>IFERROR(IF(FIND(CT$1,$W90)&gt;0,IF(INDEX(Product_Pricing_Table[],MATCH(CT$1,Products,0),2)="Cores",IF(HostBuild[Use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0" s="552">
        <f>IFERROR(IF(FIND(CU$1,$W90)&gt;0,IF(INDEX(Product_Pricing_Table[],MATCH(CU$1,Products,0),2)="Cores",IF(HostBuild[Use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0" s="552">
        <f>IFERROR(IF(FIND(CV$1,$W90)&gt;0,IF(INDEX(Product_Pricing_Table[],MATCH(CV$1,Products,0),2)="Cores",IF(HostBuild[Use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0" s="552">
        <f>IFERROR(IF(FIND(CW$1,$W90)&gt;0,IF(INDEX(Product_Pricing_Table[],MATCH(CW$1,Products,0),2)="Cores",IF(HostBuild[Use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0" s="552">
        <f>IFERROR(IF(FIND(CX$1,$W90)&gt;0,IF(INDEX(Product_Pricing_Table[],MATCH(CX$1,Products,0),2)="Cores",IF(HostBuild[Use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0" s="552">
        <f>IFERROR(IF(FIND(CY$1,$W90)&gt;0,IF(INDEX(Product_Pricing_Table[],MATCH(CY$1,Products,0),2)="Cores",IF(HostBuild[Use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0" s="552">
        <f>IFERROR(IF(FIND(CZ$1,$W90)&gt;0,IF(INDEX(Product_Pricing_Table[],MATCH(CZ$1,Products,0),2)="Cores",IF(HostBuild[Use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0" s="552">
        <f>IFERROR(IF(FIND(DA$1,$W90)&gt;0,IF(INDEX(Product_Pricing_Table[],MATCH(DA$1,Products,0),2)="Cores",IF(HostBuild[Use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0" s="552">
        <f>IFERROR(IF(FIND(DB$1,$W90)&gt;0,IF(INDEX(Product_Pricing_Table[],MATCH(DB$1,Products,0),2)="Cores",IF(HostBuild[Use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0" s="552">
        <f>IFERROR(IF(FIND(DC$1,$W90)&gt;0,IF(INDEX(Product_Pricing_Table[],MATCH(DC$1,Products,0),2)="Cores",IF(HostBuild[Use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0" s="552">
        <f>IFERROR(IF(FIND(DD$1,$W90)&gt;0,IF(INDEX(Product_Pricing_Table[],MATCH(DD$1,Products,0),2)="Cores",IF(HostBuild[Use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0" s="552">
        <f>IFERROR(IF(FIND(DE$1,$W90)&gt;0,IF(INDEX(Product_Pricing_Table[],MATCH(DE$1,Products,0),2)="Cores",IF(HostBuild[Use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0" s="553">
        <f>IFERROR(IF(FIND(DF$1,$W90)&gt;0,IF(INDEX(Product_Pricing_Table[],MATCH(DF$1,Products,0),2)="Cores",IF(HostBuild[Use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0" s="553">
        <f>IFERROR(IF(FIND(DG$1,$W90)&gt;0,IF(INDEX(Product_Pricing_Table[],MATCH(DG$1,Products,0),2)="Cores",IF(HostBuild[Use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0" s="552">
        <f>IFERROR(IF(FIND(DH$1,$W90)&gt;0,IF(INDEX(Product_Pricing_Table[],MATCH(DH$1,Products,0),2)="Cores",IF(HostBuild[Use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0" s="553">
        <f>IFERROR(IF(FIND(DI$1,$W90)&gt;0,IF(INDEX(Product_Pricing_Table[],MATCH(DI$1,Products,0),2)="Cores",IF(HostBuild[Use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0" s="552">
        <f>IFERROR(IF(FIND(DJ$1,$W90)&gt;0,IF(INDEX(Product_Pricing_Table[],MATCH(DJ$1,Products,0),2)="Cores",IF(HostBuild[Use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0" s="552">
        <f>IFERROR(IF(FIND(DK$1,$W90)&gt;0,IF(INDEX(Product_Pricing_Table[],MATCH(DK$1,Products,0),2)="Cores",IF(HostBuild[Use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0" s="552">
        <f>IFERROR(IF(FIND(DL$1,$W90)&gt;0,IF(INDEX(Product_Pricing_Table[],MATCH(DL$1,Products,0),2)="Cores",IF(HostBuild[Use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0" s="552">
        <f>IFERROR(IF(FIND(DM$1,$W90)&gt;0,IF(INDEX(Product_Pricing_Table[],MATCH(DM$1,Products,0),2)="Cores",IF(HostBuild[Use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0" s="552">
        <f>IFERROR(IF(FIND(DN$1,$W90)&gt;0,IF(INDEX(Product_Pricing_Table[],MATCH(DN$1,Products,0),2)="Cores",IF(HostBuild[Use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0" s="552">
        <f>IFERROR(IF(FIND(DO$1,$W90)&gt;0,IF(INDEX(Product_Pricing_Table[],MATCH(DO$1,Products,0),2)="Cores",IF(HostBuild[Use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0" s="552">
        <f>IFERROR(IF(FIND(DP$1,$W90)&gt;0,IF(INDEX(Product_Pricing_Table[],MATCH(DP$1,Products,0),2)="Cores",IF(HostBuild[Use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0" s="552">
        <f>IFERROR(IF(FIND(DQ$1,$W90)&gt;0,IF(INDEX(Product_Pricing_Table[],MATCH(DQ$1,Products,0),2)="Cores",IF(HostBuild[Use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0" s="552">
        <f>IFERROR(IF(FIND(DR$1,$W90)&gt;0,IF(INDEX(Product_Pricing_Table[],MATCH(DR$1,Products,0),2)="Cores",IF(HostBuild[Use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0" s="552">
        <f>IFERROR(IF(FIND(DS$1,$W90)&gt;0,IF(INDEX(Product_Pricing_Table[],MATCH(DS$1,Products,0),2)="Cores",IF(HostBuild[Use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0" s="552">
        <f>IFERROR(IF(FIND(DT$1,$W90)&gt;0,IF(INDEX(Product_Pricing_Table[],MATCH(DT$1,Products,0),2)="Cores",IF(HostBuild[Use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0" s="552">
        <f>IFERROR(IF(FIND(DU$1,$W90)&gt;0,IF(INDEX(Product_Pricing_Table[],MATCH(DU$1,Products,0),2)="Cores",IF(HostBuild[Use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0" s="552">
        <f>IFERROR(IF(FIND(DV$1,$W90)&gt;0,IF(INDEX(Product_Pricing_Table[],MATCH(DV$1,Products,0),2)="Cores",IF(HostBuild[Use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0" s="552">
        <f>IFERROR(IF(FIND(DW$1,$W90)&gt;0,IF(INDEX(Product_Pricing_Table[],MATCH(DW$1,Products,0),2)="Cores",IF(HostBuild[Use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0" s="552">
        <f>IFERROR(IF(FIND(DX$1,$W90)&gt;0,IF(INDEX(Product_Pricing_Table[],MATCH(DX$1,Products,0),2)="Cores",IF(HostBuild[Use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0" s="552">
        <f>IFERROR(IF(FIND(DY$1,$W90)&gt;0,IF(INDEX(Product_Pricing_Table[],MATCH(DY$1,Products,0),2)="Cores",IF(HostBuild[Use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0" s="552">
        <f>IFERROR(IF(FIND(DZ$1,$W90)&gt;0,IF(INDEX(Product_Pricing_Table[],MATCH(DZ$1,Products,0),2)="Cores",IF(HostBuild[Use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0" s="552">
        <f>IFERROR(IF(FIND(EA$1,$W90)&gt;0,IF(INDEX(Product_Pricing_Table[],MATCH(EA$1,Products,0),2)="Cores",IF(HostBuild[Use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0" s="552">
        <f>IFERROR(IF(FIND(EB$1,$W90)&gt;0,IF(INDEX(Product_Pricing_Table[],MATCH(EB$1,Products,0),2)="Cores",IF(HostBuild[Use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0" s="553">
        <f>IFERROR(IF(FIND(EC$1,$W90)&gt;0,IF(INDEX(Product_Pricing_Table[],MATCH(EC$1,Products,0),2)="Cores",IF(HostBuild[Use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0" s="552">
        <f>IFERROR(IF(FIND(ED$1,$W90)&gt;0,IF(INDEX(Product_Pricing_Table[],MATCH(ED$1,Products,0),2)="Cores",IF(HostBuild[Use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0" s="552">
        <f>IFERROR(IF(FIND(EE$1,$W90)&gt;0,IF(INDEX(Product_Pricing_Table[],MATCH(EE$1,Products,0),2)="Cores",IF(HostBuild[Use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0" s="552">
        <f>IFERROR(IF(FIND(EF$1,$W90)&gt;0,IF(INDEX(Product_Pricing_Table[],MATCH(EF$1,Products,0),2)="Cores",IF(HostBuild[Use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0" s="552">
        <f>IFERROR(IF(FIND(EG$1,$W90)&gt;0,IF(INDEX(Product_Pricing_Table[],MATCH(EG$1,Products,0),2)="Cores",IF(HostBuild[Use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0" s="552">
        <f>IFERROR(IF(FIND(EH$1,$W90)&gt;0,IF(INDEX(Product_Pricing_Table[],MATCH(EH$1,Products,0),2)="Cores",IF(HostBuild[Use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90" s="552">
        <f>IFERROR(IF(FIND(EI$1,$W90)&gt;0,IF(INDEX(Product_Pricing_Table[],MATCH(EI$1,Products,0),2)="Cores",IF(HostBuild[Use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0" s="552">
        <f>IFERROR(IF(FIND(EJ$1,$W90)&gt;0,IF(INDEX(Product_Pricing_Table[],MATCH(EJ$1,Products,0),2)="Cores",IF(HostBuild[Use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0" s="553">
        <f>IFERROR(IF(FIND(EK$1,$W90)&gt;0,IF(INDEX(Product_Pricing_Table[],MATCH(EK$1,Products,0),2)="Cores",IF(HostBuild[Use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0" s="554"/>
      <c r="EM90" s="555">
        <v>172.46639999999999</v>
      </c>
      <c r="EN90" s="556">
        <v>30.198399999999999</v>
      </c>
      <c r="EO90"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90" s="558">
        <f>(HostBuild[Archive
Full (GB)]+HostBuild[Archive
Incr (GB)])*Storage_DC_Dist_Tape_2014</f>
        <v>16.955312499999998</v>
      </c>
      <c r="ER90" s="558">
        <f>IF(ISNUMBER(HostBuild[Server HW Costs
(Monthly)]),SUM(HostBuild[[#This Row],[Server HW Costs
(Monthly)]:[Tape Costs
(Monthly)]]),0)</f>
        <v>92.780312500000008</v>
      </c>
      <c r="ES90" s="559">
        <f>HostBuild[Software Costs
'[Year 1']
(Monthly)]+HostBuild[Total Hardware Costs
(Monthly)]</f>
        <v>265.2467125</v>
      </c>
      <c r="ET90" s="559">
        <f>IFERROR(IF(FIND("Safenet",HostBuild[Server Model]),Safenet_PSE_PL600_Maint,0),0)+IFERROR(IF(FIND("XI52",HostBuild[Server Model]),IBM_DIA_XI52_Maint,0),0)+HostBuild[Software Costs
'[After Year 1']
(Monthly)]+HostBuild[Total Hardware Costs
(Monthly)]</f>
        <v>122.9787125</v>
      </c>
      <c r="EU90" s="560">
        <f>SUM(HostBuild[[#This Row],[Server Cost Breakdown]:[Network Cost]])</f>
        <v>0</v>
      </c>
      <c r="EV90" s="561">
        <f>IF(HostBuild[Existing Server?]="Yes - Inside this BoM",0,SUMIF(HostBuild[Alias],HostBuild[Alias],HostBuild[CPU])+SUMIF(HostBuild[Alias],HostBuild[Alias],HostBuild[Existing CPUs]))</f>
        <v>0</v>
      </c>
      <c r="EW90" s="561">
        <f>IF(HostBuild[Existing Server?]="Yes - Inside this BoM",0,SUMIF(HostBuild[Alias],HostBuild[Alias],HostBuild[Cores 
(Licensed Units)])+SUMIF(HostBuild[Alias],HostBuild[Alias],HostBuild[Existing Cores]))</f>
        <v>0</v>
      </c>
      <c r="EX90" s="561">
        <f>IF(HostBuild[Existing Server?]="Yes - Inside this BoM",0,SUMIF(HostBuild[Alias],HostBuild[Alias],HostBuild[RAM 
(GB)])+SUMIF(HostBuild[Alias],HostBuild[Alias],HostBuild[Existing RAM (GB)]))</f>
        <v>0</v>
      </c>
      <c r="EY9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0" s="560">
        <f>IF(ISBLANK(HostBuild[Server Model]),0,IF(HostBuild[Server Tier]="VMware",0,VLOOKUP(HostBuild[Server Tier],ServerTierRates[#Data],2,0))*HostBuild[CPU]*IF(AND(HostBuild[Server Type]="pSeries",HostBuild[Virtual Platform Storage Type]="Cloud-SAN"),0.25,1))</f>
        <v>0</v>
      </c>
      <c r="FD90" s="560">
        <f>0</f>
        <v>0</v>
      </c>
      <c r="FE90" s="560">
        <f>IF(HostBuild[Server Type]="VMware",HostBuild[RAM 
(GB)]*IF(ISERROR(FIND("DevCloud", HostBuild[Server Model])&gt;0),vRAM_per_vCPU_2014_Monthly,vRAM_per_vCPU_2014_Daily*30),0)</f>
        <v>0</v>
      </c>
      <c r="FF9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0" s="563">
        <f>IF(HostBuild[Server Tier]="VMware",0,IF(LEFT(HostBuild[Existing Server?],3)="Yes",0,IF(OR(HostBuild[Server Type]="Sun",HostBuild[Server Type]="pSeries"),Support_Direct_Server_Sun_per_OS_2014,IF(HostBuild[Server Type]="x86",Support_Direct_Server_x86_Wintel_per_OS_2014,0))))</f>
        <v>0</v>
      </c>
      <c r="FI9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1" spans="1:165" s="262" customFormat="1" ht="15" customHeight="1">
      <c r="A91" s="360" t="s">
        <v>3942</v>
      </c>
      <c r="B91" s="521"/>
      <c r="C91" s="521"/>
      <c r="D91" s="521"/>
      <c r="E91" s="522"/>
      <c r="F91" s="522"/>
      <c r="G91" s="597"/>
      <c r="H91" s="597"/>
      <c r="I91" s="523"/>
      <c r="J91" s="522"/>
      <c r="K91" s="522"/>
      <c r="L91" s="522"/>
      <c r="M91" s="597" t="e">
        <f ca="1">IF(rngIsDate(HostBuild[CTO Acceptance]),"Y","N")</f>
        <v>#NAME?</v>
      </c>
      <c r="N91" s="361" t="s">
        <v>3939</v>
      </c>
      <c r="O91" s="525"/>
      <c r="P91" s="525"/>
      <c r="Q91" s="361" t="s">
        <v>212</v>
      </c>
      <c r="R91" s="526" t="str">
        <f>IF(NOT(ISBLANK(HostBuild[Env Label])),IFERROR(VLOOKUP(HostBuild[Env Label],tEnv[],3,FALSE),""),"")</f>
        <v>UAT</v>
      </c>
      <c r="S91" s="598"/>
      <c r="T91" s="527"/>
      <c r="U91" s="599"/>
      <c r="V91" s="524" t="s">
        <v>4006</v>
      </c>
      <c r="W91" s="524" t="s">
        <v>3941</v>
      </c>
      <c r="X91" s="524" t="s">
        <v>35</v>
      </c>
      <c r="Y91" s="361" t="s">
        <v>481</v>
      </c>
      <c r="Z91" s="526" t="str">
        <f>IF(NOT(ISBLANK(HostBuild[[#This Row],[Product 
(Acronym)]])),CONCATENATE(HostBuild[[#This Row],[Type]],"-",HostBuild[[#This Row],[Product 
(Acronym)]]),"")</f>
        <v>AP-ESB</v>
      </c>
      <c r="AA91" s="600"/>
      <c r="AB91" s="600" t="s">
        <v>4103</v>
      </c>
      <c r="AC91" s="528"/>
      <c r="AD91" s="529"/>
      <c r="AE91" s="529"/>
      <c r="AF91" s="530"/>
      <c r="AG91" s="531"/>
      <c r="AH91" s="601"/>
      <c r="AI91" s="362" t="s">
        <v>4122</v>
      </c>
      <c r="AJ91" s="524">
        <f>IF(COUNTIF(HostBuild[Alias],HostBuild[Alias]),1/COUNTIF(HostBuild[Alias],HostBuild[Alias]),0)</f>
        <v>1</v>
      </c>
      <c r="AK91" s="531"/>
      <c r="AL91" s="531"/>
      <c r="AM91" s="532" t="s">
        <v>314</v>
      </c>
      <c r="AN91" s="533" t="str">
        <f>IF(NOT(ISBLANK(HostBuild[Server Model])),VLOOKUP(HostBuild[Server Model],ServerModelsTier[],2,FALSE),"")</f>
        <v>IBM P-Series Tier 2</v>
      </c>
      <c r="AO91" s="533" t="str">
        <f>IF(NOT(ISBLANK(HostBuild[Server Model])),VLOOKUP(HostBuild[Server Model],ServerModelsTier[],5,FALSE),"")</f>
        <v>pSeries</v>
      </c>
      <c r="AP91" s="532"/>
      <c r="AQ91" s="532" t="s">
        <v>2337</v>
      </c>
      <c r="AR91" s="535"/>
      <c r="AS91" s="602"/>
      <c r="AT91" s="535">
        <v>16</v>
      </c>
      <c r="AU91" s="603"/>
      <c r="AV91" s="536"/>
      <c r="AW91" s="531"/>
      <c r="AX91" s="531"/>
      <c r="AY91" s="531"/>
      <c r="AZ91" s="537"/>
      <c r="BA91" s="531"/>
      <c r="BB91" s="531"/>
      <c r="BC91" s="529"/>
      <c r="BD91" s="531"/>
      <c r="BE91" s="531"/>
      <c r="BF91" s="531"/>
      <c r="BG91" s="531"/>
      <c r="BH91" s="531"/>
      <c r="BI91" s="531"/>
      <c r="BJ91" s="531"/>
      <c r="BK91"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1" s="538">
        <v>150</v>
      </c>
      <c r="BM91" s="540">
        <f>IF(ISNUMBER(HostBuild[Recommended SAN (GB)]),HostBuild[Recommended SAN (GB)])+IF(HostBuild[Additional SAN (GB)]&gt;0,CEILING(HostBuild[Additional SAN (GB)],LUN),-(CEILING(-HostBuild[Additional SAN (GB)],LUN)))</f>
        <v>168.5</v>
      </c>
      <c r="BN91" s="539"/>
      <c r="BO91" s="540">
        <f>HostBuild[SAN (GB)
NEEDED TODAY]+CEILING(HostBuild[SAN (GB)
RESERVED
DO NOT USE TO BUILD], LUN)</f>
        <v>168.5</v>
      </c>
      <c r="BP91" s="541"/>
      <c r="BQ91" s="542"/>
      <c r="BR91" s="432" t="s">
        <v>105</v>
      </c>
      <c r="BS91" s="605">
        <f>IF(HostBuild[Existing Server?]&lt;&gt;"Yes - Inside this BoM",IF(ISNUMBER(HostBuild[RAM 
(GB)]),IF(HostBuild[Existing RAM (GB)]+HostBuild[RAM 
(GB)]&gt;0,IF(HostBuild[Virtual Platform Storage Type]="NAS",110+HostBuild[Existing RAM (GB)]+HostBuild[RAM 
(GB)]*1.75,0),0),0),0)</f>
        <v>0</v>
      </c>
      <c r="BT91" s="606"/>
      <c r="BU91" s="607">
        <f>IF(ISNUMBER(HostBuild[Recommended NAS (GB)]),HostBuild[Recommended NAS (GB)])+HostBuild[Additional NAS (GB)]</f>
        <v>0</v>
      </c>
      <c r="BV91" s="543"/>
      <c r="BW91" s="543"/>
      <c r="BX91" s="604">
        <f>IFERROR((HostBuild[SAN (GB)
End-State
DO NOT USE TO BUILD]+HostBuild[SAN (GB) Shared])*25%,"")</f>
        <v>42.125</v>
      </c>
      <c r="BY91" s="608">
        <f>IFERROR(HostBuild[Archive
Full (GB)]*15%,"")</f>
        <v>6.3187499999999996</v>
      </c>
      <c r="BZ91" s="544"/>
      <c r="CA91" s="544"/>
      <c r="CB91" s="545"/>
      <c r="CC91" s="546"/>
      <c r="CD91" s="545"/>
      <c r="CE91" s="547"/>
      <c r="CF91" s="539"/>
      <c r="CG91" s="609"/>
      <c r="CH91" s="548"/>
      <c r="CI91" s="549"/>
      <c r="CJ91" s="550"/>
      <c r="CK91" s="551"/>
      <c r="CL91" s="552">
        <f>IFERROR(IF(FIND(CL$1,$W91)&gt;0,IF(INDEX(Product_Pricing_Table[],MATCH(CL$1,Products,0),2)="Cores",IF(HostBuild[Use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1" s="552">
        <f>IFERROR(IF(FIND(CM$1,$W91)&gt;0,IF(INDEX(Product_Pricing_Table[],MATCH(CM$1,Products,0),2)="Cores",IF(HostBuild[Use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1" s="552">
        <f>IFERROR(IF(FIND(CN$1,$W91)&gt;0,IF(INDEX(Product_Pricing_Table[],MATCH(CN$1,Products,0),2)="Cores",IF(HostBuild[Use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1" s="552">
        <f>IFERROR(IF(FIND(CO$1,$W91)&gt;0,IF(INDEX(Product_Pricing_Table[],MATCH(CO$1,Products,0),2)="Cores",IF(HostBuild[Use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1" s="552">
        <f>IFERROR(IF(FIND(CP$1,$W91)&gt;0,IF(INDEX(Product_Pricing_Table[],MATCH(CP$1,Products,0),2)="Cores",IF(HostBuild[Use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1" s="552">
        <f>IFERROR(IF(FIND(CQ$1,$W91)&gt;0,IF(INDEX(Product_Pricing_Table[],MATCH(CQ$1,Products,0),2)="Cores",IF(HostBuild[Use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1" s="552">
        <f>IFERROR(IF(FIND(CR$1,$W91)&gt;0,IF(INDEX(Product_Pricing_Table[],MATCH(CR$1,Products,0),2)="Cores",IF(HostBuild[Use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1" s="552">
        <f>IFERROR(IF(FIND(CS$1,$W91)&gt;0,IF(INDEX(Product_Pricing_Table[],MATCH(CS$1,Products,0),2)="Cores",IF(HostBuild[Use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1" s="552">
        <f>IFERROR(IF(FIND(CT$1,$W91)&gt;0,IF(INDEX(Product_Pricing_Table[],MATCH(CT$1,Products,0),2)="Cores",IF(HostBuild[Use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1" s="552">
        <f>IFERROR(IF(FIND(CU$1,$W91)&gt;0,IF(INDEX(Product_Pricing_Table[],MATCH(CU$1,Products,0),2)="Cores",IF(HostBuild[Use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1" s="552">
        <f>IFERROR(IF(FIND(CV$1,$W91)&gt;0,IF(INDEX(Product_Pricing_Table[],MATCH(CV$1,Products,0),2)="Cores",IF(HostBuild[Use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1" s="552">
        <f>IFERROR(IF(FIND(CW$1,$W91)&gt;0,IF(INDEX(Product_Pricing_Table[],MATCH(CW$1,Products,0),2)="Cores",IF(HostBuild[Use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1" s="552">
        <f>IFERROR(IF(FIND(CX$1,$W91)&gt;0,IF(INDEX(Product_Pricing_Table[],MATCH(CX$1,Products,0),2)="Cores",IF(HostBuild[Use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1" s="552">
        <f>IFERROR(IF(FIND(CY$1,$W91)&gt;0,IF(INDEX(Product_Pricing_Table[],MATCH(CY$1,Products,0),2)="Cores",IF(HostBuild[Use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1" s="552">
        <f>IFERROR(IF(FIND(CZ$1,$W91)&gt;0,IF(INDEX(Product_Pricing_Table[],MATCH(CZ$1,Products,0),2)="Cores",IF(HostBuild[Use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1" s="552">
        <f>IFERROR(IF(FIND(DA$1,$W91)&gt;0,IF(INDEX(Product_Pricing_Table[],MATCH(DA$1,Products,0),2)="Cores",IF(HostBuild[Use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1" s="552">
        <f>IFERROR(IF(FIND(DB$1,$W91)&gt;0,IF(INDEX(Product_Pricing_Table[],MATCH(DB$1,Products,0),2)="Cores",IF(HostBuild[Use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1" s="552">
        <f>IFERROR(IF(FIND(DC$1,$W91)&gt;0,IF(INDEX(Product_Pricing_Table[],MATCH(DC$1,Products,0),2)="Cores",IF(HostBuild[Use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1" s="552">
        <f>IFERROR(IF(FIND(DD$1,$W91)&gt;0,IF(INDEX(Product_Pricing_Table[],MATCH(DD$1,Products,0),2)="Cores",IF(HostBuild[Use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1" s="552">
        <f>IFERROR(IF(FIND(DE$1,$W91)&gt;0,IF(INDEX(Product_Pricing_Table[],MATCH(DE$1,Products,0),2)="Cores",IF(HostBuild[Use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1" s="553">
        <f>IFERROR(IF(FIND(DF$1,$W91)&gt;0,IF(INDEX(Product_Pricing_Table[],MATCH(DF$1,Products,0),2)="Cores",IF(HostBuild[Use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1" s="553">
        <f>IFERROR(IF(FIND(DG$1,$W91)&gt;0,IF(INDEX(Product_Pricing_Table[],MATCH(DG$1,Products,0),2)="Cores",IF(HostBuild[Use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1" s="552">
        <f>IFERROR(IF(FIND(DH$1,$W91)&gt;0,IF(INDEX(Product_Pricing_Table[],MATCH(DH$1,Products,0),2)="Cores",IF(HostBuild[Use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1" s="553">
        <f>IFERROR(IF(FIND(DI$1,$W91)&gt;0,IF(INDEX(Product_Pricing_Table[],MATCH(DI$1,Products,0),2)="Cores",IF(HostBuild[Use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1" s="552">
        <f>IFERROR(IF(FIND(DJ$1,$W91)&gt;0,IF(INDEX(Product_Pricing_Table[],MATCH(DJ$1,Products,0),2)="Cores",IF(HostBuild[Use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1" s="552">
        <f>IFERROR(IF(FIND(DK$1,$W91)&gt;0,IF(INDEX(Product_Pricing_Table[],MATCH(DK$1,Products,0),2)="Cores",IF(HostBuild[Use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1" s="552">
        <f>IFERROR(IF(FIND(DL$1,$W91)&gt;0,IF(INDEX(Product_Pricing_Table[],MATCH(DL$1,Products,0),2)="Cores",IF(HostBuild[Use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1" s="552">
        <f>IFERROR(IF(FIND(DM$1,$W91)&gt;0,IF(INDEX(Product_Pricing_Table[],MATCH(DM$1,Products,0),2)="Cores",IF(HostBuild[Use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1" s="552">
        <f>IFERROR(IF(FIND(DN$1,$W91)&gt;0,IF(INDEX(Product_Pricing_Table[],MATCH(DN$1,Products,0),2)="Cores",IF(HostBuild[Use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1" s="552">
        <f>IFERROR(IF(FIND(DO$1,$W91)&gt;0,IF(INDEX(Product_Pricing_Table[],MATCH(DO$1,Products,0),2)="Cores",IF(HostBuild[Use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1" s="552">
        <f>IFERROR(IF(FIND(DP$1,$W91)&gt;0,IF(INDEX(Product_Pricing_Table[],MATCH(DP$1,Products,0),2)="Cores",IF(HostBuild[Use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1" s="552">
        <f>IFERROR(IF(FIND(DQ$1,$W91)&gt;0,IF(INDEX(Product_Pricing_Table[],MATCH(DQ$1,Products,0),2)="Cores",IF(HostBuild[Use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1" s="552">
        <f>IFERROR(IF(FIND(DR$1,$W91)&gt;0,IF(INDEX(Product_Pricing_Table[],MATCH(DR$1,Products,0),2)="Cores",IF(HostBuild[Use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1" s="552">
        <f>IFERROR(IF(FIND(DS$1,$W91)&gt;0,IF(INDEX(Product_Pricing_Table[],MATCH(DS$1,Products,0),2)="Cores",IF(HostBuild[Use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1" s="552">
        <f>IFERROR(IF(FIND(DT$1,$W91)&gt;0,IF(INDEX(Product_Pricing_Table[],MATCH(DT$1,Products,0),2)="Cores",IF(HostBuild[Use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1" s="552">
        <f>IFERROR(IF(FIND(DU$1,$W91)&gt;0,IF(INDEX(Product_Pricing_Table[],MATCH(DU$1,Products,0),2)="Cores",IF(HostBuild[Use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1" s="552">
        <f>IFERROR(IF(FIND(DV$1,$W91)&gt;0,IF(INDEX(Product_Pricing_Table[],MATCH(DV$1,Products,0),2)="Cores",IF(HostBuild[Use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1" s="552">
        <f>IFERROR(IF(FIND(DW$1,$W91)&gt;0,IF(INDEX(Product_Pricing_Table[],MATCH(DW$1,Products,0),2)="Cores",IF(HostBuild[Use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1" s="552">
        <f>IFERROR(IF(FIND(DX$1,$W91)&gt;0,IF(INDEX(Product_Pricing_Table[],MATCH(DX$1,Products,0),2)="Cores",IF(HostBuild[Use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1" s="552">
        <f>IFERROR(IF(FIND(DY$1,$W91)&gt;0,IF(INDEX(Product_Pricing_Table[],MATCH(DY$1,Products,0),2)="Cores",IF(HostBuild[Use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1" s="552">
        <f>IFERROR(IF(FIND(DZ$1,$W91)&gt;0,IF(INDEX(Product_Pricing_Table[],MATCH(DZ$1,Products,0),2)="Cores",IF(HostBuild[Use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1" s="552">
        <f>IFERROR(IF(FIND(EA$1,$W91)&gt;0,IF(INDEX(Product_Pricing_Table[],MATCH(EA$1,Products,0),2)="Cores",IF(HostBuild[Use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1" s="552">
        <f>IFERROR(IF(FIND(EB$1,$W91)&gt;0,IF(INDEX(Product_Pricing_Table[],MATCH(EB$1,Products,0),2)="Cores",IF(HostBuild[Use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1" s="553">
        <f>IFERROR(IF(FIND(EC$1,$W91)&gt;0,IF(INDEX(Product_Pricing_Table[],MATCH(EC$1,Products,0),2)="Cores",IF(HostBuild[Use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1" s="552">
        <f>IFERROR(IF(FIND(ED$1,$W91)&gt;0,IF(INDEX(Product_Pricing_Table[],MATCH(ED$1,Products,0),2)="Cores",IF(HostBuild[Use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1" s="552">
        <f>IFERROR(IF(FIND(EE$1,$W91)&gt;0,IF(INDEX(Product_Pricing_Table[],MATCH(EE$1,Products,0),2)="Cores",IF(HostBuild[Use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1" s="552">
        <f>IFERROR(IF(FIND(EF$1,$W91)&gt;0,IF(INDEX(Product_Pricing_Table[],MATCH(EF$1,Products,0),2)="Cores",IF(HostBuild[Use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1" s="552">
        <f>IFERROR(IF(FIND(EG$1,$W91)&gt;0,IF(INDEX(Product_Pricing_Table[],MATCH(EG$1,Products,0),2)="Cores",IF(HostBuild[Use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1" s="552">
        <f>IFERROR(IF(FIND(EH$1,$W91)&gt;0,IF(INDEX(Product_Pricing_Table[],MATCH(EH$1,Products,0),2)="Cores",IF(HostBuild[Use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16</v>
      </c>
      <c r="EI91" s="552">
        <f>IFERROR(IF(FIND(EI$1,$W91)&gt;0,IF(INDEX(Product_Pricing_Table[],MATCH(EI$1,Products,0),2)="Cores",IF(HostBuild[Use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1" s="552">
        <f>IFERROR(IF(FIND(EJ$1,$W91)&gt;0,IF(INDEX(Product_Pricing_Table[],MATCH(EJ$1,Products,0),2)="Cores",IF(HostBuild[Use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1" s="553">
        <f>IFERROR(IF(FIND(EK$1,$W91)&gt;0,IF(INDEX(Product_Pricing_Table[],MATCH(EK$1,Products,0),2)="Cores",IF(HostBuild[Use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1" s="554"/>
      <c r="EM91" s="555">
        <v>172.46639999999999</v>
      </c>
      <c r="EN91" s="556">
        <v>30.198399999999999</v>
      </c>
      <c r="EO91"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75.825000000000003</v>
      </c>
      <c r="EQ91" s="558">
        <f>(HostBuild[Archive
Full (GB)]+HostBuild[Archive
Incr (GB)])*Storage_DC_Dist_Tape_2014</f>
        <v>16.955312499999998</v>
      </c>
      <c r="ER91" s="558">
        <f>IF(ISNUMBER(HostBuild[Server HW Costs
(Monthly)]),SUM(HostBuild[[#This Row],[Server HW Costs
(Monthly)]:[Tape Costs
(Monthly)]]),0)</f>
        <v>92.780312500000008</v>
      </c>
      <c r="ES91" s="559">
        <f>HostBuild[Software Costs
'[Year 1']
(Monthly)]+HostBuild[Total Hardware Costs
(Monthly)]</f>
        <v>265.2467125</v>
      </c>
      <c r="ET91" s="559">
        <f>IFERROR(IF(FIND("Safenet",HostBuild[Server Model]),Safenet_PSE_PL600_Maint,0),0)+IFERROR(IF(FIND("XI52",HostBuild[Server Model]),IBM_DIA_XI52_Maint,0),0)+HostBuild[Software Costs
'[After Year 1']
(Monthly)]+HostBuild[Total Hardware Costs
(Monthly)]</f>
        <v>122.9787125</v>
      </c>
      <c r="EU91" s="560">
        <f>SUM(HostBuild[[#This Row],[Server Cost Breakdown]:[Network Cost]])</f>
        <v>0</v>
      </c>
      <c r="EV91" s="561">
        <f>IF(HostBuild[Existing Server?]="Yes - Inside this BoM",0,SUMIF(HostBuild[Alias],HostBuild[Alias],HostBuild[CPU])+SUMIF(HostBuild[Alias],HostBuild[Alias],HostBuild[Existing CPUs]))</f>
        <v>0</v>
      </c>
      <c r="EW91" s="561">
        <f>IF(HostBuild[Existing Server?]="Yes - Inside this BoM",0,SUMIF(HostBuild[Alias],HostBuild[Alias],HostBuild[Cores 
(Licensed Units)])+SUMIF(HostBuild[Alias],HostBuild[Alias],HostBuild[Existing Cores]))</f>
        <v>0</v>
      </c>
      <c r="EX91" s="561">
        <f>IF(HostBuild[Existing Server?]="Yes - Inside this BoM",0,SUMIF(HostBuild[Alias],HostBuild[Alias],HostBuild[RAM 
(GB)])+SUMIF(HostBuild[Alias],HostBuild[Alias],HostBuild[Existing RAM (GB)]))</f>
        <v>0</v>
      </c>
      <c r="EY9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1" s="560">
        <f>IF(ISBLANK(HostBuild[Server Model]),0,IF(HostBuild[Server Tier]="VMware",0,VLOOKUP(HostBuild[Server Tier],ServerTierRates[#Data],2,0))*HostBuild[CPU]*IF(AND(HostBuild[Server Type]="pSeries",HostBuild[Virtual Platform Storage Type]="Cloud-SAN"),0.25,1))</f>
        <v>0</v>
      </c>
      <c r="FD91" s="560">
        <f>0</f>
        <v>0</v>
      </c>
      <c r="FE91" s="560">
        <f>IF(HostBuild[Server Type]="VMware",HostBuild[RAM 
(GB)]*IF(ISERROR(FIND("DevCloud", HostBuild[Server Model])&gt;0),vRAM_per_vCPU_2014_Monthly,vRAM_per_vCPU_2014_Daily*30),0)</f>
        <v>0</v>
      </c>
      <c r="FF9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1" s="563">
        <f>IF(HostBuild[Server Tier]="VMware",0,IF(LEFT(HostBuild[Existing Server?],3)="Yes",0,IF(OR(HostBuild[Server Type]="Sun",HostBuild[Server Type]="pSeries"),Support_Direct_Server_Sun_per_OS_2014,IF(HostBuild[Server Type]="x86",Support_Direct_Server_x86_Wintel_per_OS_2014,0))))</f>
        <v>0</v>
      </c>
      <c r="FI9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2" spans="1:165" s="262" customFormat="1" ht="15" customHeight="1">
      <c r="A92" s="360" t="s">
        <v>3942</v>
      </c>
      <c r="B92" s="521"/>
      <c r="C92" s="521"/>
      <c r="D92" s="521"/>
      <c r="E92" s="522"/>
      <c r="F92" s="522"/>
      <c r="G92" s="597"/>
      <c r="H92" s="597"/>
      <c r="I92" s="523"/>
      <c r="J92" s="522"/>
      <c r="K92" s="522"/>
      <c r="L92" s="522"/>
      <c r="M92" s="597" t="e">
        <f ca="1">IF(rngIsDate(HostBuild[CTO Acceptance]),"Y","N")</f>
        <v>#NAME?</v>
      </c>
      <c r="N92" s="361" t="s">
        <v>3939</v>
      </c>
      <c r="O92" s="525"/>
      <c r="P92" s="525"/>
      <c r="Q92" s="361" t="s">
        <v>212</v>
      </c>
      <c r="R92" s="526" t="str">
        <f>IF(NOT(ISBLANK(HostBuild[Env Label])),IFERROR(VLOOKUP(HostBuild[Env Label],tEnv[],3,FALSE),""),"")</f>
        <v>UAT</v>
      </c>
      <c r="S92" s="598"/>
      <c r="T92" s="527"/>
      <c r="U92" s="599"/>
      <c r="V92" s="524" t="s">
        <v>3975</v>
      </c>
      <c r="W92" s="524" t="s">
        <v>2248</v>
      </c>
      <c r="X92" s="524" t="s">
        <v>32</v>
      </c>
      <c r="Y92" s="361" t="s">
        <v>481</v>
      </c>
      <c r="Z92" s="526" t="str">
        <f>IF(NOT(ISBLANK(HostBuild[[#This Row],[Product 
(Acronym)]])),CONCATENATE(HostBuild[[#This Row],[Type]],"-",HostBuild[[#This Row],[Product 
(Acronym)]]),"")</f>
        <v>DB-ESB</v>
      </c>
      <c r="AA92" s="600"/>
      <c r="AB92" s="600" t="s">
        <v>3985</v>
      </c>
      <c r="AC92" s="528"/>
      <c r="AD92" s="529"/>
      <c r="AE92" s="529"/>
      <c r="AF92" s="530" t="s">
        <v>3986</v>
      </c>
      <c r="AG92" s="531"/>
      <c r="AH92" s="601"/>
      <c r="AI92" s="362" t="s">
        <v>4104</v>
      </c>
      <c r="AJ92" s="524">
        <f>IF(COUNTIF(HostBuild[Alias],HostBuild[Alias]),1/COUNTIF(HostBuild[Alias],HostBuild[Alias]),0)</f>
        <v>1</v>
      </c>
      <c r="AK92" s="531"/>
      <c r="AL92" s="531"/>
      <c r="AM92" s="532" t="s">
        <v>314</v>
      </c>
      <c r="AN92" s="533" t="str">
        <f>IF(NOT(ISBLANK(HostBuild[Server Model])),VLOOKUP(HostBuild[Server Model],ServerModelsTier[],2,FALSE),"")</f>
        <v>IBM P-Series Tier 2</v>
      </c>
      <c r="AO92" s="533" t="str">
        <f>IF(NOT(ISBLANK(HostBuild[Server Model])),VLOOKUP(HostBuild[Server Model],ServerModelsTier[],5,FALSE),"")</f>
        <v>pSeries</v>
      </c>
      <c r="AP92" s="532"/>
      <c r="AQ92" s="532" t="s">
        <v>24</v>
      </c>
      <c r="AR92" s="535"/>
      <c r="AS92" s="602"/>
      <c r="AT92" s="535"/>
      <c r="AU92" s="603"/>
      <c r="AV92" s="536"/>
      <c r="AW92" s="531"/>
      <c r="AX92" s="531"/>
      <c r="AY92" s="531"/>
      <c r="AZ92" s="537"/>
      <c r="BA92" s="531"/>
      <c r="BB92" s="531"/>
      <c r="BC92" s="529"/>
      <c r="BD92" s="531"/>
      <c r="BE92" s="531"/>
      <c r="BF92" s="531"/>
      <c r="BG92" s="531"/>
      <c r="BH92" s="531"/>
      <c r="BI92" s="531"/>
      <c r="BJ92" s="531"/>
      <c r="BK92"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2" s="538">
        <v>100</v>
      </c>
      <c r="BM92" s="540">
        <f>IF(ISNUMBER(HostBuild[Recommended SAN (GB)]),HostBuild[Recommended SAN (GB)])+IF(HostBuild[Additional SAN (GB)]&gt;0,CEILING(HostBuild[Additional SAN (GB)],LUN),-(CEILING(-HostBuild[Additional SAN (GB)],LUN)))</f>
        <v>101.10000000000001</v>
      </c>
      <c r="BN92" s="539"/>
      <c r="BO92" s="540">
        <f>HostBuild[SAN (GB)
NEEDED TODAY]+CEILING(HostBuild[SAN (GB)
RESERVED
DO NOT USE TO BUILD], LUN)</f>
        <v>101.10000000000001</v>
      </c>
      <c r="BP92" s="541">
        <v>100</v>
      </c>
      <c r="BQ92" s="542"/>
      <c r="BR92" s="432" t="s">
        <v>106</v>
      </c>
      <c r="BS92" s="605">
        <f>IF(HostBuild[Existing Server?]&lt;&gt;"Yes - Inside this BoM",IF(ISNUMBER(HostBuild[RAM 
(GB)]),IF(HostBuild[Existing RAM (GB)]+HostBuild[RAM 
(GB)]&gt;0,IF(HostBuild[Virtual Platform Storage Type]="NAS",110+HostBuild[Existing RAM (GB)]+HostBuild[RAM 
(GB)]*1.75,0),0),0),0)</f>
        <v>0</v>
      </c>
      <c r="BT92" s="606"/>
      <c r="BU92" s="607">
        <f>IF(ISNUMBER(HostBuild[Recommended NAS (GB)]),HostBuild[Recommended NAS (GB)])+HostBuild[Additional NAS (GB)]</f>
        <v>0</v>
      </c>
      <c r="BV92" s="543"/>
      <c r="BW92" s="543"/>
      <c r="BX92" s="604">
        <f>IFERROR((HostBuild[SAN (GB)
End-State
DO NOT USE TO BUILD]+HostBuild[SAN (GB) Shared])*25%,"")</f>
        <v>50.275000000000006</v>
      </c>
      <c r="BY92" s="608">
        <f>IFERROR(HostBuild[Archive
Full (GB)]*15%,"")</f>
        <v>7.5412500000000007</v>
      </c>
      <c r="BZ92" s="544"/>
      <c r="CA92" s="544"/>
      <c r="CB92" s="545"/>
      <c r="CC92" s="546"/>
      <c r="CD92" s="545"/>
      <c r="CE92" s="547"/>
      <c r="CF92" s="539"/>
      <c r="CG92" s="609"/>
      <c r="CH92" s="548"/>
      <c r="CI92" s="549"/>
      <c r="CJ92" s="550"/>
      <c r="CK92" s="551"/>
      <c r="CL92" s="552">
        <f>IFERROR(IF(FIND(CL$1,$W92)&gt;0,IF(INDEX(Product_Pricing_Table[],MATCH(CL$1,Products,0),2)="Cores",IF(HostBuild[Use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2" s="552">
        <f>IFERROR(IF(FIND(CM$1,$W92)&gt;0,IF(INDEX(Product_Pricing_Table[],MATCH(CM$1,Products,0),2)="Cores",IF(HostBuild[Use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2" s="552">
        <f>IFERROR(IF(FIND(CN$1,$W92)&gt;0,IF(INDEX(Product_Pricing_Table[],MATCH(CN$1,Products,0),2)="Cores",IF(HostBuild[Use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2" s="552">
        <f>IFERROR(IF(FIND(CO$1,$W92)&gt;0,IF(INDEX(Product_Pricing_Table[],MATCH(CO$1,Products,0),2)="Cores",IF(HostBuild[Use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2" s="552">
        <f>IFERROR(IF(FIND(CP$1,$W92)&gt;0,IF(INDEX(Product_Pricing_Table[],MATCH(CP$1,Products,0),2)="Cores",IF(HostBuild[Use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2" s="552">
        <f>IFERROR(IF(FIND(CQ$1,$W92)&gt;0,IF(INDEX(Product_Pricing_Table[],MATCH(CQ$1,Products,0),2)="Cores",IF(HostBuild[Use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2" s="552">
        <f>IFERROR(IF(FIND(CR$1,$W92)&gt;0,IF(INDEX(Product_Pricing_Table[],MATCH(CR$1,Products,0),2)="Cores",IF(HostBuild[Use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2" s="552">
        <f>IFERROR(IF(FIND(CS$1,$W92)&gt;0,IF(INDEX(Product_Pricing_Table[],MATCH(CS$1,Products,0),2)="Cores",IF(HostBuild[Use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2" s="552">
        <f>IFERROR(IF(FIND(CT$1,$W92)&gt;0,IF(INDEX(Product_Pricing_Table[],MATCH(CT$1,Products,0),2)="Cores",IF(HostBuild[Use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2" s="552">
        <f>IFERROR(IF(FIND(CU$1,$W92)&gt;0,IF(INDEX(Product_Pricing_Table[],MATCH(CU$1,Products,0),2)="Cores",IF(HostBuild[Use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2" s="552">
        <f>IFERROR(IF(FIND(CV$1,$W92)&gt;0,IF(INDEX(Product_Pricing_Table[],MATCH(CV$1,Products,0),2)="Cores",IF(HostBuild[Use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2" s="552">
        <f>IFERROR(IF(FIND(CW$1,$W92)&gt;0,IF(INDEX(Product_Pricing_Table[],MATCH(CW$1,Products,0),2)="Cores",IF(HostBuild[Use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2" s="552">
        <f>IFERROR(IF(FIND(CX$1,$W92)&gt;0,IF(INDEX(Product_Pricing_Table[],MATCH(CX$1,Products,0),2)="Cores",IF(HostBuild[Use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2" s="552">
        <f>IFERROR(IF(FIND(CY$1,$W92)&gt;0,IF(INDEX(Product_Pricing_Table[],MATCH(CY$1,Products,0),2)="Cores",IF(HostBuild[Use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2" s="552">
        <f>IFERROR(IF(FIND(CZ$1,$W92)&gt;0,IF(INDEX(Product_Pricing_Table[],MATCH(CZ$1,Products,0),2)="Cores",IF(HostBuild[Use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2" s="552">
        <f>IFERROR(IF(FIND(DA$1,$W92)&gt;0,IF(INDEX(Product_Pricing_Table[],MATCH(DA$1,Products,0),2)="Cores",IF(HostBuild[Use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2" s="552">
        <f>IFERROR(IF(FIND(DB$1,$W92)&gt;0,IF(INDEX(Product_Pricing_Table[],MATCH(DB$1,Products,0),2)="Cores",IF(HostBuild[Use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2" s="552">
        <f>IFERROR(IF(FIND(DC$1,$W92)&gt;0,IF(INDEX(Product_Pricing_Table[],MATCH(DC$1,Products,0),2)="Cores",IF(HostBuild[Use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2" s="552">
        <f>IFERROR(IF(FIND(DD$1,$W92)&gt;0,IF(INDEX(Product_Pricing_Table[],MATCH(DD$1,Products,0),2)="Cores",IF(HostBuild[Use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2" s="552">
        <f>IFERROR(IF(FIND(DE$1,$W92)&gt;0,IF(INDEX(Product_Pricing_Table[],MATCH(DE$1,Products,0),2)="Cores",IF(HostBuild[Use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2" s="553">
        <f>IFERROR(IF(FIND(DF$1,$W92)&gt;0,IF(INDEX(Product_Pricing_Table[],MATCH(DF$1,Products,0),2)="Cores",IF(HostBuild[Use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2" s="553">
        <f>IFERROR(IF(FIND(DG$1,$W92)&gt;0,IF(INDEX(Product_Pricing_Table[],MATCH(DG$1,Products,0),2)="Cores",IF(HostBuild[Use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2" s="552">
        <f>IFERROR(IF(FIND(DH$1,$W92)&gt;0,IF(INDEX(Product_Pricing_Table[],MATCH(DH$1,Products,0),2)="Cores",IF(HostBuild[Use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2" s="553">
        <f>IFERROR(IF(FIND(DI$1,$W92)&gt;0,IF(INDEX(Product_Pricing_Table[],MATCH(DI$1,Products,0),2)="Cores",IF(HostBuild[Use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2" s="552">
        <f>IFERROR(IF(FIND(DJ$1,$W92)&gt;0,IF(INDEX(Product_Pricing_Table[],MATCH(DJ$1,Products,0),2)="Cores",IF(HostBuild[Use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2" s="552">
        <f>IFERROR(IF(FIND(DK$1,$W92)&gt;0,IF(INDEX(Product_Pricing_Table[],MATCH(DK$1,Products,0),2)="Cores",IF(HostBuild[Use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2" s="552">
        <f>IFERROR(IF(FIND(DL$1,$W92)&gt;0,IF(INDEX(Product_Pricing_Table[],MATCH(DL$1,Products,0),2)="Cores",IF(HostBuild[Use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2" s="552">
        <f>IFERROR(IF(FIND(DM$1,$W92)&gt;0,IF(INDEX(Product_Pricing_Table[],MATCH(DM$1,Products,0),2)="Cores",IF(HostBuild[Use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2" s="552">
        <f>IFERROR(IF(FIND(DN$1,$W92)&gt;0,IF(INDEX(Product_Pricing_Table[],MATCH(DN$1,Products,0),2)="Cores",IF(HostBuild[Use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2" s="552">
        <f>IFERROR(IF(FIND(DO$1,$W92)&gt;0,IF(INDEX(Product_Pricing_Table[],MATCH(DO$1,Products,0),2)="Cores",IF(HostBuild[Use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2" s="552">
        <f>IFERROR(IF(FIND(DP$1,$W92)&gt;0,IF(INDEX(Product_Pricing_Table[],MATCH(DP$1,Products,0),2)="Cores",IF(HostBuild[Use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2" s="552">
        <f>IFERROR(IF(FIND(DQ$1,$W92)&gt;0,IF(INDEX(Product_Pricing_Table[],MATCH(DQ$1,Products,0),2)="Cores",IF(HostBuild[Use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2" s="552">
        <f>IFERROR(IF(FIND(DR$1,$W92)&gt;0,IF(INDEX(Product_Pricing_Table[],MATCH(DR$1,Products,0),2)="Cores",IF(HostBuild[Use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2" s="552">
        <f>IFERROR(IF(FIND(DS$1,$W92)&gt;0,IF(INDEX(Product_Pricing_Table[],MATCH(DS$1,Products,0),2)="Cores",IF(HostBuild[Use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2" s="552">
        <f>IFERROR(IF(FIND(DT$1,$W92)&gt;0,IF(INDEX(Product_Pricing_Table[],MATCH(DT$1,Products,0),2)="Cores",IF(HostBuild[Use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2" s="552">
        <f>IFERROR(IF(FIND(DU$1,$W92)&gt;0,IF(INDEX(Product_Pricing_Table[],MATCH(DU$1,Products,0),2)="Cores",IF(HostBuild[Use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2" s="552">
        <f>IFERROR(IF(FIND(DV$1,$W92)&gt;0,IF(INDEX(Product_Pricing_Table[],MATCH(DV$1,Products,0),2)="Cores",IF(HostBuild[Use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2" s="552">
        <f>IFERROR(IF(FIND(DW$1,$W92)&gt;0,IF(INDEX(Product_Pricing_Table[],MATCH(DW$1,Products,0),2)="Cores",IF(HostBuild[Use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2" s="552">
        <f>IFERROR(IF(FIND(DX$1,$W92)&gt;0,IF(INDEX(Product_Pricing_Table[],MATCH(DX$1,Products,0),2)="Cores",IF(HostBuild[Use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2" s="552">
        <f>IFERROR(IF(FIND(DY$1,$W92)&gt;0,IF(INDEX(Product_Pricing_Table[],MATCH(DY$1,Products,0),2)="Cores",IF(HostBuild[Use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2" s="552">
        <f>IFERROR(IF(FIND(DZ$1,$W92)&gt;0,IF(INDEX(Product_Pricing_Table[],MATCH(DZ$1,Products,0),2)="Cores",IF(HostBuild[Use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2" s="552">
        <f>IFERROR(IF(FIND(EA$1,$W92)&gt;0,IF(INDEX(Product_Pricing_Table[],MATCH(EA$1,Products,0),2)="Cores",IF(HostBuild[Use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2" s="552">
        <f>IFERROR(IF(FIND(EB$1,$W92)&gt;0,IF(INDEX(Product_Pricing_Table[],MATCH(EB$1,Products,0),2)="Cores",IF(HostBuild[Use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2" s="553">
        <f>IFERROR(IF(FIND(EC$1,$W92)&gt;0,IF(INDEX(Product_Pricing_Table[],MATCH(EC$1,Products,0),2)="Cores",IF(HostBuild[Use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2" s="552">
        <f>IFERROR(IF(FIND(ED$1,$W92)&gt;0,IF(INDEX(Product_Pricing_Table[],MATCH(ED$1,Products,0),2)="Cores",IF(HostBuild[Use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2" s="552">
        <f>IFERROR(IF(FIND(EE$1,$W92)&gt;0,IF(INDEX(Product_Pricing_Table[],MATCH(EE$1,Products,0),2)="Cores",IF(HostBuild[Use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2" s="552">
        <f>IFERROR(IF(FIND(EF$1,$W92)&gt;0,IF(INDEX(Product_Pricing_Table[],MATCH(EF$1,Products,0),2)="Cores",IF(HostBuild[Use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2" s="552">
        <f>IFERROR(IF(FIND(EG$1,$W92)&gt;0,IF(INDEX(Product_Pricing_Table[],MATCH(EG$1,Products,0),2)="Cores",IF(HostBuild[Use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2" s="552">
        <f>IFERROR(IF(FIND(EH$1,$W92)&gt;0,IF(INDEX(Product_Pricing_Table[],MATCH(EH$1,Products,0),2)="Cores",IF(HostBuild[Use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2" s="552">
        <f>IFERROR(IF(FIND(EI$1,$W92)&gt;0,IF(INDEX(Product_Pricing_Table[],MATCH(EI$1,Products,0),2)="Cores",IF(HostBuild[Use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2" s="552">
        <f>IFERROR(IF(FIND(EJ$1,$W92)&gt;0,IF(INDEX(Product_Pricing_Table[],MATCH(EJ$1,Products,0),2)="Cores",IF(HostBuild[Use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2" s="553">
        <f>IFERROR(IF(FIND(EK$1,$W92)&gt;0,IF(INDEX(Product_Pricing_Table[],MATCH(EK$1,Products,0),2)="Cores",IF(HostBuild[Use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2" s="554"/>
      <c r="EM92" s="555"/>
      <c r="EN92" s="556"/>
      <c r="EO92"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271.95900000000006</v>
      </c>
      <c r="EQ92" s="558">
        <f>(HostBuild[Archive
Full (GB)]+HostBuild[Archive
Incr (GB)])*Storage_DC_Dist_Tape_2014</f>
        <v>20.235687500000001</v>
      </c>
      <c r="ER92" s="558">
        <f>IF(ISNUMBER(HostBuild[Server HW Costs
(Monthly)]),SUM(HostBuild[[#This Row],[Server HW Costs
(Monthly)]:[Tape Costs
(Monthly)]]),0)</f>
        <v>292.19468750000004</v>
      </c>
      <c r="ES92" s="559">
        <f>HostBuild[Software Costs
'[Year 1']
(Monthly)]+HostBuild[Total Hardware Costs
(Monthly)]</f>
        <v>292.19468750000004</v>
      </c>
      <c r="ET92" s="559">
        <f>IFERROR(IF(FIND("Safenet",HostBuild[Server Model]),Safenet_PSE_PL600_Maint,0),0)+IFERROR(IF(FIND("XI52",HostBuild[Server Model]),IBM_DIA_XI52_Maint,0),0)+HostBuild[Software Costs
'[After Year 1']
(Monthly)]+HostBuild[Total Hardware Costs
(Monthly)]</f>
        <v>292.19468750000004</v>
      </c>
      <c r="EU92" s="560">
        <f>SUM(HostBuild[[#This Row],[Server Cost Breakdown]:[Network Cost]])</f>
        <v>0</v>
      </c>
      <c r="EV92" s="561">
        <f>IF(HostBuild[Existing Server?]="Yes - Inside this BoM",0,SUMIF(HostBuild[Alias],HostBuild[Alias],HostBuild[CPU])+SUMIF(HostBuild[Alias],HostBuild[Alias],HostBuild[Existing CPUs]))</f>
        <v>0</v>
      </c>
      <c r="EW92" s="561">
        <f>IF(HostBuild[Existing Server?]="Yes - Inside this BoM",0,SUMIF(HostBuild[Alias],HostBuild[Alias],HostBuild[Cores 
(Licensed Units)])+SUMIF(HostBuild[Alias],HostBuild[Alias],HostBuild[Existing Cores]))</f>
        <v>0</v>
      </c>
      <c r="EX92" s="561">
        <f>IF(HostBuild[Existing Server?]="Yes - Inside this BoM",0,SUMIF(HostBuild[Alias],HostBuild[Alias],HostBuild[RAM 
(GB)])+SUMIF(HostBuild[Alias],HostBuild[Alias],HostBuild[Existing RAM (GB)]))</f>
        <v>0</v>
      </c>
      <c r="EY9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2" s="560">
        <f>IF(ISBLANK(HostBuild[Server Model]),0,IF(HostBuild[Server Tier]="VMware",0,VLOOKUP(HostBuild[Server Tier],ServerTierRates[#Data],2,0))*HostBuild[CPU]*IF(AND(HostBuild[Server Type]="pSeries",HostBuild[Virtual Platform Storage Type]="Cloud-SAN"),0.25,1))</f>
        <v>0</v>
      </c>
      <c r="FD92" s="560">
        <f>0</f>
        <v>0</v>
      </c>
      <c r="FE92" s="560">
        <f>IF(HostBuild[Server Type]="VMware",HostBuild[RAM 
(GB)]*IF(ISERROR(FIND("DevCloud", HostBuild[Server Model])&gt;0),vRAM_per_vCPU_2014_Monthly,vRAM_per_vCPU_2014_Daily*30),0)</f>
        <v>0</v>
      </c>
      <c r="FF9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2" s="563">
        <f>IF(HostBuild[Server Tier]="VMware",0,IF(LEFT(HostBuild[Existing Server?],3)="Yes",0,IF(OR(HostBuild[Server Type]="Sun",HostBuild[Server Type]="pSeries"),Support_Direct_Server_Sun_per_OS_2014,IF(HostBuild[Server Type]="x86",Support_Direct_Server_x86_Wintel_per_OS_2014,0))))</f>
        <v>0</v>
      </c>
      <c r="FI9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3" spans="1:165" s="262" customFormat="1" ht="15" customHeight="1">
      <c r="A93" s="360" t="s">
        <v>3942</v>
      </c>
      <c r="B93" s="521"/>
      <c r="C93" s="521"/>
      <c r="D93" s="521"/>
      <c r="E93" s="522"/>
      <c r="F93" s="522"/>
      <c r="G93" s="597"/>
      <c r="H93" s="597"/>
      <c r="I93" s="523"/>
      <c r="J93" s="522"/>
      <c r="K93" s="522"/>
      <c r="L93" s="522"/>
      <c r="M93" s="597" t="e">
        <f ca="1">IF(rngIsDate(HostBuild[CTO Acceptance]),"Y","N")</f>
        <v>#NAME?</v>
      </c>
      <c r="N93" s="361" t="s">
        <v>3939</v>
      </c>
      <c r="O93" s="525"/>
      <c r="P93" s="525"/>
      <c r="Q93" s="361" t="s">
        <v>212</v>
      </c>
      <c r="R93" s="526" t="str">
        <f>IF(NOT(ISBLANK(HostBuild[Env Label])),IFERROR(VLOOKUP(HostBuild[Env Label],tEnv[],3,FALSE),""),"")</f>
        <v>UAT</v>
      </c>
      <c r="S93" s="598"/>
      <c r="T93" s="527"/>
      <c r="U93" s="599"/>
      <c r="V93" s="524" t="s">
        <v>3975</v>
      </c>
      <c r="W93" s="524" t="s">
        <v>2248</v>
      </c>
      <c r="X93" s="524" t="s">
        <v>32</v>
      </c>
      <c r="Y93" s="361" t="s">
        <v>481</v>
      </c>
      <c r="Z93" s="526" t="str">
        <f>IF(NOT(ISBLANK(HostBuild[[#This Row],[Product 
(Acronym)]])),CONCATENATE(HostBuild[[#This Row],[Type]],"-",HostBuild[[#This Row],[Product 
(Acronym)]]),"")</f>
        <v>DB-ESB</v>
      </c>
      <c r="AA93" s="600"/>
      <c r="AB93" s="600" t="s">
        <v>3985</v>
      </c>
      <c r="AC93" s="528"/>
      <c r="AD93" s="529"/>
      <c r="AE93" s="529"/>
      <c r="AF93" s="530" t="s">
        <v>3986</v>
      </c>
      <c r="AG93" s="531"/>
      <c r="AH93" s="601"/>
      <c r="AI93" s="362" t="s">
        <v>4105</v>
      </c>
      <c r="AJ93" s="524">
        <f>IF(COUNTIF(HostBuild[Alias],HostBuild[Alias]),1/COUNTIF(HostBuild[Alias],HostBuild[Alias]),0)</f>
        <v>1</v>
      </c>
      <c r="AK93" s="531"/>
      <c r="AL93" s="531"/>
      <c r="AM93" s="532" t="s">
        <v>314</v>
      </c>
      <c r="AN93" s="533" t="str">
        <f>IF(NOT(ISBLANK(HostBuild[Server Model])),VLOOKUP(HostBuild[Server Model],ServerModelsTier[],2,FALSE),"")</f>
        <v>IBM P-Series Tier 2</v>
      </c>
      <c r="AO93" s="533" t="str">
        <f>IF(NOT(ISBLANK(HostBuild[Server Model])),VLOOKUP(HostBuild[Server Model],ServerModelsTier[],5,FALSE),"")</f>
        <v>pSeries</v>
      </c>
      <c r="AP93" s="532"/>
      <c r="AQ93" s="532" t="s">
        <v>24</v>
      </c>
      <c r="AR93" s="535"/>
      <c r="AS93" s="602"/>
      <c r="AT93" s="535"/>
      <c r="AU93" s="603"/>
      <c r="AV93" s="536"/>
      <c r="AW93" s="531"/>
      <c r="AX93" s="531"/>
      <c r="AY93" s="531"/>
      <c r="AZ93" s="537"/>
      <c r="BA93" s="531"/>
      <c r="BB93" s="531"/>
      <c r="BC93" s="529"/>
      <c r="BD93" s="531"/>
      <c r="BE93" s="531"/>
      <c r="BF93" s="531"/>
      <c r="BG93" s="531"/>
      <c r="BH93" s="531"/>
      <c r="BI93" s="531"/>
      <c r="BJ93" s="531"/>
      <c r="BK93"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3" s="538"/>
      <c r="BM93" s="540">
        <f>IF(ISNUMBER(HostBuild[Recommended SAN (GB)]),HostBuild[Recommended SAN (GB)])+IF(HostBuild[Additional SAN (GB)]&gt;0,CEILING(HostBuild[Additional SAN (GB)],LUN),-(CEILING(-HostBuild[Additional SAN (GB)],LUN)))</f>
        <v>0</v>
      </c>
      <c r="BN93" s="539"/>
      <c r="BO93" s="540">
        <f>HostBuild[SAN (GB)
NEEDED TODAY]+CEILING(HostBuild[SAN (GB)
RESERVED
DO NOT USE TO BUILD], LUN)</f>
        <v>0</v>
      </c>
      <c r="BP93" s="541"/>
      <c r="BQ93" s="542"/>
      <c r="BR93" s="432" t="s">
        <v>106</v>
      </c>
      <c r="BS93" s="605">
        <f>IF(HostBuild[Existing Server?]&lt;&gt;"Yes - Inside this BoM",IF(ISNUMBER(HostBuild[RAM 
(GB)]),IF(HostBuild[Existing RAM (GB)]+HostBuild[RAM 
(GB)]&gt;0,IF(HostBuild[Virtual Platform Storage Type]="NAS",110+HostBuild[Existing RAM (GB)]+HostBuild[RAM 
(GB)]*1.75,0),0),0),0)</f>
        <v>0</v>
      </c>
      <c r="BT93" s="606"/>
      <c r="BU93" s="607">
        <f>IF(ISNUMBER(HostBuild[Recommended NAS (GB)]),HostBuild[Recommended NAS (GB)])+HostBuild[Additional NAS (GB)]</f>
        <v>0</v>
      </c>
      <c r="BV93" s="543"/>
      <c r="BW93" s="543"/>
      <c r="BX93" s="604">
        <f>IFERROR((HostBuild[SAN (GB)
End-State
DO NOT USE TO BUILD]+HostBuild[SAN (GB) Shared])*25%,"")</f>
        <v>0</v>
      </c>
      <c r="BY93" s="608">
        <f>IFERROR(HostBuild[Archive
Full (GB)]*15%,"")</f>
        <v>0</v>
      </c>
      <c r="BZ93" s="544"/>
      <c r="CA93" s="544"/>
      <c r="CB93" s="545"/>
      <c r="CC93" s="546"/>
      <c r="CD93" s="545"/>
      <c r="CE93" s="547"/>
      <c r="CF93" s="539"/>
      <c r="CG93" s="609"/>
      <c r="CH93" s="548"/>
      <c r="CI93" s="549"/>
      <c r="CJ93" s="550"/>
      <c r="CK93" s="551"/>
      <c r="CL93" s="552">
        <f>IFERROR(IF(FIND(CL$1,$W93)&gt;0,IF(INDEX(Product_Pricing_Table[],MATCH(CL$1,Products,0),2)="Cores",IF(HostBuild[Use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3" s="552">
        <f>IFERROR(IF(FIND(CM$1,$W93)&gt;0,IF(INDEX(Product_Pricing_Table[],MATCH(CM$1,Products,0),2)="Cores",IF(HostBuild[Use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3" s="552">
        <f>IFERROR(IF(FIND(CN$1,$W93)&gt;0,IF(INDEX(Product_Pricing_Table[],MATCH(CN$1,Products,0),2)="Cores",IF(HostBuild[Use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3" s="552">
        <f>IFERROR(IF(FIND(CO$1,$W93)&gt;0,IF(INDEX(Product_Pricing_Table[],MATCH(CO$1,Products,0),2)="Cores",IF(HostBuild[Use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3" s="552">
        <f>IFERROR(IF(FIND(CP$1,$W93)&gt;0,IF(INDEX(Product_Pricing_Table[],MATCH(CP$1,Products,0),2)="Cores",IF(HostBuild[Use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3" s="552">
        <f>IFERROR(IF(FIND(CQ$1,$W93)&gt;0,IF(INDEX(Product_Pricing_Table[],MATCH(CQ$1,Products,0),2)="Cores",IF(HostBuild[Use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3" s="552">
        <f>IFERROR(IF(FIND(CR$1,$W93)&gt;0,IF(INDEX(Product_Pricing_Table[],MATCH(CR$1,Products,0),2)="Cores",IF(HostBuild[Use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3" s="552">
        <f>IFERROR(IF(FIND(CS$1,$W93)&gt;0,IF(INDEX(Product_Pricing_Table[],MATCH(CS$1,Products,0),2)="Cores",IF(HostBuild[Use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3" s="552">
        <f>IFERROR(IF(FIND(CT$1,$W93)&gt;0,IF(INDEX(Product_Pricing_Table[],MATCH(CT$1,Products,0),2)="Cores",IF(HostBuild[Use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3" s="552">
        <f>IFERROR(IF(FIND(CU$1,$W93)&gt;0,IF(INDEX(Product_Pricing_Table[],MATCH(CU$1,Products,0),2)="Cores",IF(HostBuild[Use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3" s="552">
        <f>IFERROR(IF(FIND(CV$1,$W93)&gt;0,IF(INDEX(Product_Pricing_Table[],MATCH(CV$1,Products,0),2)="Cores",IF(HostBuild[Use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3" s="552">
        <f>IFERROR(IF(FIND(CW$1,$W93)&gt;0,IF(INDEX(Product_Pricing_Table[],MATCH(CW$1,Products,0),2)="Cores",IF(HostBuild[Use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3" s="552">
        <f>IFERROR(IF(FIND(CX$1,$W93)&gt;0,IF(INDEX(Product_Pricing_Table[],MATCH(CX$1,Products,0),2)="Cores",IF(HostBuild[Use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3" s="552">
        <f>IFERROR(IF(FIND(CY$1,$W93)&gt;0,IF(INDEX(Product_Pricing_Table[],MATCH(CY$1,Products,0),2)="Cores",IF(HostBuild[Use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3" s="552">
        <f>IFERROR(IF(FIND(CZ$1,$W93)&gt;0,IF(INDEX(Product_Pricing_Table[],MATCH(CZ$1,Products,0),2)="Cores",IF(HostBuild[Use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3" s="552">
        <f>IFERROR(IF(FIND(DA$1,$W93)&gt;0,IF(INDEX(Product_Pricing_Table[],MATCH(DA$1,Products,0),2)="Cores",IF(HostBuild[Use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3" s="552">
        <f>IFERROR(IF(FIND(DB$1,$W93)&gt;0,IF(INDEX(Product_Pricing_Table[],MATCH(DB$1,Products,0),2)="Cores",IF(HostBuild[Use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3" s="552">
        <f>IFERROR(IF(FIND(DC$1,$W93)&gt;0,IF(INDEX(Product_Pricing_Table[],MATCH(DC$1,Products,0),2)="Cores",IF(HostBuild[Use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3" s="552">
        <f>IFERROR(IF(FIND(DD$1,$W93)&gt;0,IF(INDEX(Product_Pricing_Table[],MATCH(DD$1,Products,0),2)="Cores",IF(HostBuild[Use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3" s="552">
        <f>IFERROR(IF(FIND(DE$1,$W93)&gt;0,IF(INDEX(Product_Pricing_Table[],MATCH(DE$1,Products,0),2)="Cores",IF(HostBuild[Use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3" s="553">
        <f>IFERROR(IF(FIND(DF$1,$W93)&gt;0,IF(INDEX(Product_Pricing_Table[],MATCH(DF$1,Products,0),2)="Cores",IF(HostBuild[Use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3" s="553">
        <f>IFERROR(IF(FIND(DG$1,$W93)&gt;0,IF(INDEX(Product_Pricing_Table[],MATCH(DG$1,Products,0),2)="Cores",IF(HostBuild[Use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3" s="552">
        <f>IFERROR(IF(FIND(DH$1,$W93)&gt;0,IF(INDEX(Product_Pricing_Table[],MATCH(DH$1,Products,0),2)="Cores",IF(HostBuild[Use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3" s="553">
        <f>IFERROR(IF(FIND(DI$1,$W93)&gt;0,IF(INDEX(Product_Pricing_Table[],MATCH(DI$1,Products,0),2)="Cores",IF(HostBuild[Use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3" s="552">
        <f>IFERROR(IF(FIND(DJ$1,$W93)&gt;0,IF(INDEX(Product_Pricing_Table[],MATCH(DJ$1,Products,0),2)="Cores",IF(HostBuild[Use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3" s="552">
        <f>IFERROR(IF(FIND(DK$1,$W93)&gt;0,IF(INDEX(Product_Pricing_Table[],MATCH(DK$1,Products,0),2)="Cores",IF(HostBuild[Use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3" s="552">
        <f>IFERROR(IF(FIND(DL$1,$W93)&gt;0,IF(INDEX(Product_Pricing_Table[],MATCH(DL$1,Products,0),2)="Cores",IF(HostBuild[Use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3" s="552">
        <f>IFERROR(IF(FIND(DM$1,$W93)&gt;0,IF(INDEX(Product_Pricing_Table[],MATCH(DM$1,Products,0),2)="Cores",IF(HostBuild[Use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3" s="552">
        <f>IFERROR(IF(FIND(DN$1,$W93)&gt;0,IF(INDEX(Product_Pricing_Table[],MATCH(DN$1,Products,0),2)="Cores",IF(HostBuild[Use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3" s="552">
        <f>IFERROR(IF(FIND(DO$1,$W93)&gt;0,IF(INDEX(Product_Pricing_Table[],MATCH(DO$1,Products,0),2)="Cores",IF(HostBuild[Use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3" s="552">
        <f>IFERROR(IF(FIND(DP$1,$W93)&gt;0,IF(INDEX(Product_Pricing_Table[],MATCH(DP$1,Products,0),2)="Cores",IF(HostBuild[Use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3" s="552">
        <f>IFERROR(IF(FIND(DQ$1,$W93)&gt;0,IF(INDEX(Product_Pricing_Table[],MATCH(DQ$1,Products,0),2)="Cores",IF(HostBuild[Use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3" s="552">
        <f>IFERROR(IF(FIND(DR$1,$W93)&gt;0,IF(INDEX(Product_Pricing_Table[],MATCH(DR$1,Products,0),2)="Cores",IF(HostBuild[Use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3" s="552">
        <f>IFERROR(IF(FIND(DS$1,$W93)&gt;0,IF(INDEX(Product_Pricing_Table[],MATCH(DS$1,Products,0),2)="Cores",IF(HostBuild[Use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3" s="552">
        <f>IFERROR(IF(FIND(DT$1,$W93)&gt;0,IF(INDEX(Product_Pricing_Table[],MATCH(DT$1,Products,0),2)="Cores",IF(HostBuild[Use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3" s="552">
        <f>IFERROR(IF(FIND(DU$1,$W93)&gt;0,IF(INDEX(Product_Pricing_Table[],MATCH(DU$1,Products,0),2)="Cores",IF(HostBuild[Use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3" s="552">
        <f>IFERROR(IF(FIND(DV$1,$W93)&gt;0,IF(INDEX(Product_Pricing_Table[],MATCH(DV$1,Products,0),2)="Cores",IF(HostBuild[Use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3" s="552">
        <f>IFERROR(IF(FIND(DW$1,$W93)&gt;0,IF(INDEX(Product_Pricing_Table[],MATCH(DW$1,Products,0),2)="Cores",IF(HostBuild[Use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3" s="552">
        <f>IFERROR(IF(FIND(DX$1,$W93)&gt;0,IF(INDEX(Product_Pricing_Table[],MATCH(DX$1,Products,0),2)="Cores",IF(HostBuild[Use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3" s="552">
        <f>IFERROR(IF(FIND(DY$1,$W93)&gt;0,IF(INDEX(Product_Pricing_Table[],MATCH(DY$1,Products,0),2)="Cores",IF(HostBuild[Use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3" s="552">
        <f>IFERROR(IF(FIND(DZ$1,$W93)&gt;0,IF(INDEX(Product_Pricing_Table[],MATCH(DZ$1,Products,0),2)="Cores",IF(HostBuild[Use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3" s="552">
        <f>IFERROR(IF(FIND(EA$1,$W93)&gt;0,IF(INDEX(Product_Pricing_Table[],MATCH(EA$1,Products,0),2)="Cores",IF(HostBuild[Use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3" s="552">
        <f>IFERROR(IF(FIND(EB$1,$W93)&gt;0,IF(INDEX(Product_Pricing_Table[],MATCH(EB$1,Products,0),2)="Cores",IF(HostBuild[Use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3" s="553">
        <f>IFERROR(IF(FIND(EC$1,$W93)&gt;0,IF(INDEX(Product_Pricing_Table[],MATCH(EC$1,Products,0),2)="Cores",IF(HostBuild[Use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3" s="552">
        <f>IFERROR(IF(FIND(ED$1,$W93)&gt;0,IF(INDEX(Product_Pricing_Table[],MATCH(ED$1,Products,0),2)="Cores",IF(HostBuild[Use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3" s="552">
        <f>IFERROR(IF(FIND(EE$1,$W93)&gt;0,IF(INDEX(Product_Pricing_Table[],MATCH(EE$1,Products,0),2)="Cores",IF(HostBuild[Use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3" s="552">
        <f>IFERROR(IF(FIND(EF$1,$W93)&gt;0,IF(INDEX(Product_Pricing_Table[],MATCH(EF$1,Products,0),2)="Cores",IF(HostBuild[Use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3" s="552">
        <f>IFERROR(IF(FIND(EG$1,$W93)&gt;0,IF(INDEX(Product_Pricing_Table[],MATCH(EG$1,Products,0),2)="Cores",IF(HostBuild[Use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3" s="552">
        <f>IFERROR(IF(FIND(EH$1,$W93)&gt;0,IF(INDEX(Product_Pricing_Table[],MATCH(EH$1,Products,0),2)="Cores",IF(HostBuild[Use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3" s="552">
        <f>IFERROR(IF(FIND(EI$1,$W93)&gt;0,IF(INDEX(Product_Pricing_Table[],MATCH(EI$1,Products,0),2)="Cores",IF(HostBuild[Use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3" s="552">
        <f>IFERROR(IF(FIND(EJ$1,$W93)&gt;0,IF(INDEX(Product_Pricing_Table[],MATCH(EJ$1,Products,0),2)="Cores",IF(HostBuild[Use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3" s="553">
        <f>IFERROR(IF(FIND(EK$1,$W93)&gt;0,IF(INDEX(Product_Pricing_Table[],MATCH(EK$1,Products,0),2)="Cores",IF(HostBuild[Use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3" s="554"/>
      <c r="EM93" s="555"/>
      <c r="EN93" s="556"/>
      <c r="EO93"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93" s="558">
        <f>(HostBuild[Archive
Full (GB)]+HostBuild[Archive
Incr (GB)])*Storage_DC_Dist_Tape_2014</f>
        <v>0</v>
      </c>
      <c r="ER93" s="558">
        <f>IF(ISNUMBER(HostBuild[Server HW Costs
(Monthly)]),SUM(HostBuild[[#This Row],[Server HW Costs
(Monthly)]:[Tape Costs
(Monthly)]]),0)</f>
        <v>0</v>
      </c>
      <c r="ES93" s="559">
        <f>HostBuild[Software Costs
'[Year 1']
(Monthly)]+HostBuild[Total Hardware Costs
(Monthly)]</f>
        <v>0</v>
      </c>
      <c r="ET93" s="559">
        <f>IFERROR(IF(FIND("Safenet",HostBuild[Server Model]),Safenet_PSE_PL600_Maint,0),0)+IFERROR(IF(FIND("XI52",HostBuild[Server Model]),IBM_DIA_XI52_Maint,0),0)+HostBuild[Software Costs
'[After Year 1']
(Monthly)]+HostBuild[Total Hardware Costs
(Monthly)]</f>
        <v>0</v>
      </c>
      <c r="EU93" s="560">
        <f>SUM(HostBuild[[#This Row],[Server Cost Breakdown]:[Network Cost]])</f>
        <v>0</v>
      </c>
      <c r="EV93" s="561">
        <f>IF(HostBuild[Existing Server?]="Yes - Inside this BoM",0,SUMIF(HostBuild[Alias],HostBuild[Alias],HostBuild[CPU])+SUMIF(HostBuild[Alias],HostBuild[Alias],HostBuild[Existing CPUs]))</f>
        <v>0</v>
      </c>
      <c r="EW93" s="561">
        <f>IF(HostBuild[Existing Server?]="Yes - Inside this BoM",0,SUMIF(HostBuild[Alias],HostBuild[Alias],HostBuild[Cores 
(Licensed Units)])+SUMIF(HostBuild[Alias],HostBuild[Alias],HostBuild[Existing Cores]))</f>
        <v>0</v>
      </c>
      <c r="EX93" s="561">
        <f>IF(HostBuild[Existing Server?]="Yes - Inside this BoM",0,SUMIF(HostBuild[Alias],HostBuild[Alias],HostBuild[RAM 
(GB)])+SUMIF(HostBuild[Alias],HostBuild[Alias],HostBuild[Existing RAM (GB)]))</f>
        <v>0</v>
      </c>
      <c r="EY9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3" s="560">
        <f>IF(ISBLANK(HostBuild[Server Model]),0,IF(HostBuild[Server Tier]="VMware",0,VLOOKUP(HostBuild[Server Tier],ServerTierRates[#Data],2,0))*HostBuild[CPU]*IF(AND(HostBuild[Server Type]="pSeries",HostBuild[Virtual Platform Storage Type]="Cloud-SAN"),0.25,1))</f>
        <v>0</v>
      </c>
      <c r="FD93" s="560">
        <f>0</f>
        <v>0</v>
      </c>
      <c r="FE93" s="560">
        <f>IF(HostBuild[Server Type]="VMware",HostBuild[RAM 
(GB)]*IF(ISERROR(FIND("DevCloud", HostBuild[Server Model])&gt;0),vRAM_per_vCPU_2014_Monthly,vRAM_per_vCPU_2014_Daily*30),0)</f>
        <v>0</v>
      </c>
      <c r="FF9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3" s="563">
        <f>IF(HostBuild[Server Tier]="VMware",0,IF(LEFT(HostBuild[Existing Server?],3)="Yes",0,IF(OR(HostBuild[Server Type]="Sun",HostBuild[Server Type]="pSeries"),Support_Direct_Server_Sun_per_OS_2014,IF(HostBuild[Server Type]="x86",Support_Direct_Server_x86_Wintel_per_OS_2014,0))))</f>
        <v>0</v>
      </c>
      <c r="FI9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4" spans="1:165" s="262" customFormat="1" ht="15" customHeight="1">
      <c r="A94" s="360" t="s">
        <v>3942</v>
      </c>
      <c r="B94" s="521"/>
      <c r="C94" s="521"/>
      <c r="D94" s="521"/>
      <c r="E94" s="522"/>
      <c r="F94" s="522"/>
      <c r="G94" s="597"/>
      <c r="H94" s="597"/>
      <c r="I94" s="523"/>
      <c r="J94" s="522"/>
      <c r="K94" s="522"/>
      <c r="L94" s="522"/>
      <c r="M94" s="597" t="e">
        <f ca="1">IF(rngIsDate(HostBuild[CTO Acceptance]),"Y","N")</f>
        <v>#NAME?</v>
      </c>
      <c r="N94" s="361" t="s">
        <v>3939</v>
      </c>
      <c r="O94" s="525"/>
      <c r="P94" s="525"/>
      <c r="Q94" s="361" t="s">
        <v>212</v>
      </c>
      <c r="R94" s="526" t="str">
        <f>IF(NOT(ISBLANK(HostBuild[Env Label])),IFERROR(VLOOKUP(HostBuild[Env Label],tEnv[],3,FALSE),""),"")</f>
        <v>UAT</v>
      </c>
      <c r="S94" s="598"/>
      <c r="T94" s="527"/>
      <c r="U94" s="599"/>
      <c r="V94" s="524" t="s">
        <v>3977</v>
      </c>
      <c r="W94" s="524" t="s">
        <v>2248</v>
      </c>
      <c r="X94" s="524" t="s">
        <v>32</v>
      </c>
      <c r="Y94" s="361" t="s">
        <v>481</v>
      </c>
      <c r="Z94" s="526" t="str">
        <f>IF(NOT(ISBLANK(HostBuild[[#This Row],[Product 
(Acronym)]])),CONCATENATE(HostBuild[[#This Row],[Type]],"-",HostBuild[[#This Row],[Product 
(Acronym)]]),"")</f>
        <v>DB-ESB</v>
      </c>
      <c r="AA94" s="600"/>
      <c r="AB94" s="600" t="s">
        <v>3985</v>
      </c>
      <c r="AC94" s="528"/>
      <c r="AD94" s="529"/>
      <c r="AE94" s="529"/>
      <c r="AF94" s="530" t="s">
        <v>3986</v>
      </c>
      <c r="AG94" s="531"/>
      <c r="AH94" s="601"/>
      <c r="AI94" s="362" t="s">
        <v>4106</v>
      </c>
      <c r="AJ94" s="524">
        <f>IF(COUNTIF(HostBuild[Alias],HostBuild[Alias]),1/COUNTIF(HostBuild[Alias],HostBuild[Alias]),0)</f>
        <v>1</v>
      </c>
      <c r="AK94" s="531"/>
      <c r="AL94" s="531"/>
      <c r="AM94" s="532" t="s">
        <v>314</v>
      </c>
      <c r="AN94" s="533" t="str">
        <f>IF(NOT(ISBLANK(HostBuild[Server Model])),VLOOKUP(HostBuild[Server Model],ServerModelsTier[],2,FALSE),"")</f>
        <v>IBM P-Series Tier 2</v>
      </c>
      <c r="AO94" s="533" t="str">
        <f>IF(NOT(ISBLANK(HostBuild[Server Model])),VLOOKUP(HostBuild[Server Model],ServerModelsTier[],5,FALSE),"")</f>
        <v>pSeries</v>
      </c>
      <c r="AP94" s="532"/>
      <c r="AQ94" s="532" t="s">
        <v>24</v>
      </c>
      <c r="AR94" s="535"/>
      <c r="AS94" s="602"/>
      <c r="AT94" s="535"/>
      <c r="AU94" s="603"/>
      <c r="AV94" s="536"/>
      <c r="AW94" s="531"/>
      <c r="AX94" s="531"/>
      <c r="AY94" s="531"/>
      <c r="AZ94" s="537"/>
      <c r="BA94" s="531"/>
      <c r="BB94" s="531"/>
      <c r="BC94" s="529"/>
      <c r="BD94" s="531"/>
      <c r="BE94" s="531"/>
      <c r="BF94" s="531"/>
      <c r="BG94" s="531"/>
      <c r="BH94" s="531"/>
      <c r="BI94" s="531"/>
      <c r="BJ94" s="531"/>
      <c r="BK94"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4" s="538">
        <v>300</v>
      </c>
      <c r="BM94" s="540">
        <f>IF(ISNUMBER(HostBuild[Recommended SAN (GB)]),HostBuild[Recommended SAN (GB)])+IF(HostBuild[Additional SAN (GB)]&gt;0,CEILING(HostBuild[Additional SAN (GB)],LUN),-(CEILING(-HostBuild[Additional SAN (GB)],LUN)))</f>
        <v>303.3</v>
      </c>
      <c r="BN94" s="539"/>
      <c r="BO94" s="540">
        <f>HostBuild[SAN (GB)
NEEDED TODAY]+CEILING(HostBuild[SAN (GB)
RESERVED
DO NOT USE TO BUILD], LUN)</f>
        <v>303.3</v>
      </c>
      <c r="BP94" s="541"/>
      <c r="BQ94" s="542"/>
      <c r="BR94" s="432" t="s">
        <v>105</v>
      </c>
      <c r="BS94" s="605">
        <f>IF(HostBuild[Existing Server?]&lt;&gt;"Yes - Inside this BoM",IF(ISNUMBER(HostBuild[RAM 
(GB)]),IF(HostBuild[Existing RAM (GB)]+HostBuild[RAM 
(GB)]&gt;0,IF(HostBuild[Virtual Platform Storage Type]="NAS",110+HostBuild[Existing RAM (GB)]+HostBuild[RAM 
(GB)]*1.75,0),0),0),0)</f>
        <v>0</v>
      </c>
      <c r="BT94" s="606"/>
      <c r="BU94" s="607">
        <f>IF(ISNUMBER(HostBuild[Recommended NAS (GB)]),HostBuild[Recommended NAS (GB)])+HostBuild[Additional NAS (GB)]</f>
        <v>0</v>
      </c>
      <c r="BV94" s="543"/>
      <c r="BW94" s="543"/>
      <c r="BX94" s="604">
        <f>IFERROR((HostBuild[SAN (GB)
End-State
DO NOT USE TO BUILD]+HostBuild[SAN (GB) Shared])*25%,"")</f>
        <v>75.825000000000003</v>
      </c>
      <c r="BY94" s="608">
        <f>IFERROR(HostBuild[Archive
Full (GB)]*15%,"")</f>
        <v>11.373749999999999</v>
      </c>
      <c r="BZ94" s="544"/>
      <c r="CA94" s="544"/>
      <c r="CB94" s="545"/>
      <c r="CC94" s="546"/>
      <c r="CD94" s="545"/>
      <c r="CE94" s="547"/>
      <c r="CF94" s="539"/>
      <c r="CG94" s="609"/>
      <c r="CH94" s="548"/>
      <c r="CI94" s="549"/>
      <c r="CJ94" s="550"/>
      <c r="CK94" s="551"/>
      <c r="CL94" s="552">
        <f>IFERROR(IF(FIND(CL$1,$W94)&gt;0,IF(INDEX(Product_Pricing_Table[],MATCH(CL$1,Products,0),2)="Cores",IF(HostBuild[Use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4" s="552">
        <f>IFERROR(IF(FIND(CM$1,$W94)&gt;0,IF(INDEX(Product_Pricing_Table[],MATCH(CM$1,Products,0),2)="Cores",IF(HostBuild[Use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4" s="552">
        <f>IFERROR(IF(FIND(CN$1,$W94)&gt;0,IF(INDEX(Product_Pricing_Table[],MATCH(CN$1,Products,0),2)="Cores",IF(HostBuild[Use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4" s="552">
        <f>IFERROR(IF(FIND(CO$1,$W94)&gt;0,IF(INDEX(Product_Pricing_Table[],MATCH(CO$1,Products,0),2)="Cores",IF(HostBuild[Use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4" s="552">
        <f>IFERROR(IF(FIND(CP$1,$W94)&gt;0,IF(INDEX(Product_Pricing_Table[],MATCH(CP$1,Products,0),2)="Cores",IF(HostBuild[Use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4" s="552">
        <f>IFERROR(IF(FIND(CQ$1,$W94)&gt;0,IF(INDEX(Product_Pricing_Table[],MATCH(CQ$1,Products,0),2)="Cores",IF(HostBuild[Use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4" s="552">
        <f>IFERROR(IF(FIND(CR$1,$W94)&gt;0,IF(INDEX(Product_Pricing_Table[],MATCH(CR$1,Products,0),2)="Cores",IF(HostBuild[Use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4" s="552">
        <f>IFERROR(IF(FIND(CS$1,$W94)&gt;0,IF(INDEX(Product_Pricing_Table[],MATCH(CS$1,Products,0),2)="Cores",IF(HostBuild[Use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4" s="552">
        <f>IFERROR(IF(FIND(CT$1,$W94)&gt;0,IF(INDEX(Product_Pricing_Table[],MATCH(CT$1,Products,0),2)="Cores",IF(HostBuild[Use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4" s="552">
        <f>IFERROR(IF(FIND(CU$1,$W94)&gt;0,IF(INDEX(Product_Pricing_Table[],MATCH(CU$1,Products,0),2)="Cores",IF(HostBuild[Use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4" s="552">
        <f>IFERROR(IF(FIND(CV$1,$W94)&gt;0,IF(INDEX(Product_Pricing_Table[],MATCH(CV$1,Products,0),2)="Cores",IF(HostBuild[Use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4" s="552">
        <f>IFERROR(IF(FIND(CW$1,$W94)&gt;0,IF(INDEX(Product_Pricing_Table[],MATCH(CW$1,Products,0),2)="Cores",IF(HostBuild[Use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4" s="552">
        <f>IFERROR(IF(FIND(CX$1,$W94)&gt;0,IF(INDEX(Product_Pricing_Table[],MATCH(CX$1,Products,0),2)="Cores",IF(HostBuild[Use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4" s="552">
        <f>IFERROR(IF(FIND(CY$1,$W94)&gt;0,IF(INDEX(Product_Pricing_Table[],MATCH(CY$1,Products,0),2)="Cores",IF(HostBuild[Use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4" s="552">
        <f>IFERROR(IF(FIND(CZ$1,$W94)&gt;0,IF(INDEX(Product_Pricing_Table[],MATCH(CZ$1,Products,0),2)="Cores",IF(HostBuild[Use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4" s="552">
        <f>IFERROR(IF(FIND(DA$1,$W94)&gt;0,IF(INDEX(Product_Pricing_Table[],MATCH(DA$1,Products,0),2)="Cores",IF(HostBuild[Use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4" s="552">
        <f>IFERROR(IF(FIND(DB$1,$W94)&gt;0,IF(INDEX(Product_Pricing_Table[],MATCH(DB$1,Products,0),2)="Cores",IF(HostBuild[Use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4" s="552">
        <f>IFERROR(IF(FIND(DC$1,$W94)&gt;0,IF(INDEX(Product_Pricing_Table[],MATCH(DC$1,Products,0),2)="Cores",IF(HostBuild[Use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4" s="552">
        <f>IFERROR(IF(FIND(DD$1,$W94)&gt;0,IF(INDEX(Product_Pricing_Table[],MATCH(DD$1,Products,0),2)="Cores",IF(HostBuild[Use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4" s="552">
        <f>IFERROR(IF(FIND(DE$1,$W94)&gt;0,IF(INDEX(Product_Pricing_Table[],MATCH(DE$1,Products,0),2)="Cores",IF(HostBuild[Use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4" s="553">
        <f>IFERROR(IF(FIND(DF$1,$W94)&gt;0,IF(INDEX(Product_Pricing_Table[],MATCH(DF$1,Products,0),2)="Cores",IF(HostBuild[Use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4" s="553">
        <f>IFERROR(IF(FIND(DG$1,$W94)&gt;0,IF(INDEX(Product_Pricing_Table[],MATCH(DG$1,Products,0),2)="Cores",IF(HostBuild[Use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4" s="552">
        <f>IFERROR(IF(FIND(DH$1,$W94)&gt;0,IF(INDEX(Product_Pricing_Table[],MATCH(DH$1,Products,0),2)="Cores",IF(HostBuild[Use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4" s="553">
        <f>IFERROR(IF(FIND(DI$1,$W94)&gt;0,IF(INDEX(Product_Pricing_Table[],MATCH(DI$1,Products,0),2)="Cores",IF(HostBuild[Use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4" s="552">
        <f>IFERROR(IF(FIND(DJ$1,$W94)&gt;0,IF(INDEX(Product_Pricing_Table[],MATCH(DJ$1,Products,0),2)="Cores",IF(HostBuild[Use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4" s="552">
        <f>IFERROR(IF(FIND(DK$1,$W94)&gt;0,IF(INDEX(Product_Pricing_Table[],MATCH(DK$1,Products,0),2)="Cores",IF(HostBuild[Use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4" s="552">
        <f>IFERROR(IF(FIND(DL$1,$W94)&gt;0,IF(INDEX(Product_Pricing_Table[],MATCH(DL$1,Products,0),2)="Cores",IF(HostBuild[Use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4" s="552">
        <f>IFERROR(IF(FIND(DM$1,$W94)&gt;0,IF(INDEX(Product_Pricing_Table[],MATCH(DM$1,Products,0),2)="Cores",IF(HostBuild[Use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4" s="552">
        <f>IFERROR(IF(FIND(DN$1,$W94)&gt;0,IF(INDEX(Product_Pricing_Table[],MATCH(DN$1,Products,0),2)="Cores",IF(HostBuild[Use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4" s="552">
        <f>IFERROR(IF(FIND(DO$1,$W94)&gt;0,IF(INDEX(Product_Pricing_Table[],MATCH(DO$1,Products,0),2)="Cores",IF(HostBuild[Use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4" s="552">
        <f>IFERROR(IF(FIND(DP$1,$W94)&gt;0,IF(INDEX(Product_Pricing_Table[],MATCH(DP$1,Products,0),2)="Cores",IF(HostBuild[Use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4" s="552">
        <f>IFERROR(IF(FIND(DQ$1,$W94)&gt;0,IF(INDEX(Product_Pricing_Table[],MATCH(DQ$1,Products,0),2)="Cores",IF(HostBuild[Use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4" s="552">
        <f>IFERROR(IF(FIND(DR$1,$W94)&gt;0,IF(INDEX(Product_Pricing_Table[],MATCH(DR$1,Products,0),2)="Cores",IF(HostBuild[Use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4" s="552">
        <f>IFERROR(IF(FIND(DS$1,$W94)&gt;0,IF(INDEX(Product_Pricing_Table[],MATCH(DS$1,Products,0),2)="Cores",IF(HostBuild[Use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4" s="552">
        <f>IFERROR(IF(FIND(DT$1,$W94)&gt;0,IF(INDEX(Product_Pricing_Table[],MATCH(DT$1,Products,0),2)="Cores",IF(HostBuild[Use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4" s="552">
        <f>IFERROR(IF(FIND(DU$1,$W94)&gt;0,IF(INDEX(Product_Pricing_Table[],MATCH(DU$1,Products,0),2)="Cores",IF(HostBuild[Use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4" s="552">
        <f>IFERROR(IF(FIND(DV$1,$W94)&gt;0,IF(INDEX(Product_Pricing_Table[],MATCH(DV$1,Products,0),2)="Cores",IF(HostBuild[Use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4" s="552">
        <f>IFERROR(IF(FIND(DW$1,$W94)&gt;0,IF(INDEX(Product_Pricing_Table[],MATCH(DW$1,Products,0),2)="Cores",IF(HostBuild[Use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4" s="552">
        <f>IFERROR(IF(FIND(DX$1,$W94)&gt;0,IF(INDEX(Product_Pricing_Table[],MATCH(DX$1,Products,0),2)="Cores",IF(HostBuild[Use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4" s="552">
        <f>IFERROR(IF(FIND(DY$1,$W94)&gt;0,IF(INDEX(Product_Pricing_Table[],MATCH(DY$1,Products,0),2)="Cores",IF(HostBuild[Use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4" s="552">
        <f>IFERROR(IF(FIND(DZ$1,$W94)&gt;0,IF(INDEX(Product_Pricing_Table[],MATCH(DZ$1,Products,0),2)="Cores",IF(HostBuild[Use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4" s="552">
        <f>IFERROR(IF(FIND(EA$1,$W94)&gt;0,IF(INDEX(Product_Pricing_Table[],MATCH(EA$1,Products,0),2)="Cores",IF(HostBuild[Use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4" s="552">
        <f>IFERROR(IF(FIND(EB$1,$W94)&gt;0,IF(INDEX(Product_Pricing_Table[],MATCH(EB$1,Products,0),2)="Cores",IF(HostBuild[Use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4" s="553">
        <f>IFERROR(IF(FIND(EC$1,$W94)&gt;0,IF(INDEX(Product_Pricing_Table[],MATCH(EC$1,Products,0),2)="Cores",IF(HostBuild[Use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4" s="552">
        <f>IFERROR(IF(FIND(ED$1,$W94)&gt;0,IF(INDEX(Product_Pricing_Table[],MATCH(ED$1,Products,0),2)="Cores",IF(HostBuild[Use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4" s="552">
        <f>IFERROR(IF(FIND(EE$1,$W94)&gt;0,IF(INDEX(Product_Pricing_Table[],MATCH(EE$1,Products,0),2)="Cores",IF(HostBuild[Use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4" s="552">
        <f>IFERROR(IF(FIND(EF$1,$W94)&gt;0,IF(INDEX(Product_Pricing_Table[],MATCH(EF$1,Products,0),2)="Cores",IF(HostBuild[Use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4" s="552">
        <f>IFERROR(IF(FIND(EG$1,$W94)&gt;0,IF(INDEX(Product_Pricing_Table[],MATCH(EG$1,Products,0),2)="Cores",IF(HostBuild[Use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4" s="552">
        <f>IFERROR(IF(FIND(EH$1,$W94)&gt;0,IF(INDEX(Product_Pricing_Table[],MATCH(EH$1,Products,0),2)="Cores",IF(HostBuild[Use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4" s="552">
        <f>IFERROR(IF(FIND(EI$1,$W94)&gt;0,IF(INDEX(Product_Pricing_Table[],MATCH(EI$1,Products,0),2)="Cores",IF(HostBuild[Use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4" s="552">
        <f>IFERROR(IF(FIND(EJ$1,$W94)&gt;0,IF(INDEX(Product_Pricing_Table[],MATCH(EJ$1,Products,0),2)="Cores",IF(HostBuild[Use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4" s="553">
        <f>IFERROR(IF(FIND(EK$1,$W94)&gt;0,IF(INDEX(Product_Pricing_Table[],MATCH(EK$1,Products,0),2)="Cores",IF(HostBuild[Use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4" s="554"/>
      <c r="EM94" s="555">
        <v>172.46639999999999</v>
      </c>
      <c r="EN94" s="556">
        <v>30.198399999999999</v>
      </c>
      <c r="EO94"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136.48500000000001</v>
      </c>
      <c r="EQ94" s="558">
        <f>(HostBuild[Archive
Full (GB)]+HostBuild[Archive
Incr (GB)])*Storage_DC_Dist_Tape_2014</f>
        <v>30.519562499999999</v>
      </c>
      <c r="ER94" s="558">
        <f>IF(ISNUMBER(HostBuild[Server HW Costs
(Monthly)]),SUM(HostBuild[[#This Row],[Server HW Costs
(Monthly)]:[Tape Costs
(Monthly)]]),0)</f>
        <v>167.00456250000002</v>
      </c>
      <c r="ES94" s="559">
        <f>HostBuild[Software Costs
'[Year 1']
(Monthly)]+HostBuild[Total Hardware Costs
(Monthly)]</f>
        <v>339.47096250000004</v>
      </c>
      <c r="ET94" s="559">
        <f>IFERROR(IF(FIND("Safenet",HostBuild[Server Model]),Safenet_PSE_PL600_Maint,0),0)+IFERROR(IF(FIND("XI52",HostBuild[Server Model]),IBM_DIA_XI52_Maint,0),0)+HostBuild[Software Costs
'[After Year 1']
(Monthly)]+HostBuild[Total Hardware Costs
(Monthly)]</f>
        <v>197.20296250000001</v>
      </c>
      <c r="EU94" s="560">
        <f>SUM(HostBuild[[#This Row],[Server Cost Breakdown]:[Network Cost]])</f>
        <v>0</v>
      </c>
      <c r="EV94" s="561">
        <f>IF(HostBuild[Existing Server?]="Yes - Inside this BoM",0,SUMIF(HostBuild[Alias],HostBuild[Alias],HostBuild[CPU])+SUMIF(HostBuild[Alias],HostBuild[Alias],HostBuild[Existing CPUs]))</f>
        <v>0</v>
      </c>
      <c r="EW94" s="561">
        <f>IF(HostBuild[Existing Server?]="Yes - Inside this BoM",0,SUMIF(HostBuild[Alias],HostBuild[Alias],HostBuild[Cores 
(Licensed Units)])+SUMIF(HostBuild[Alias],HostBuild[Alias],HostBuild[Existing Cores]))</f>
        <v>0</v>
      </c>
      <c r="EX94" s="561">
        <f>IF(HostBuild[Existing Server?]="Yes - Inside this BoM",0,SUMIF(HostBuild[Alias],HostBuild[Alias],HostBuild[RAM 
(GB)])+SUMIF(HostBuild[Alias],HostBuild[Alias],HostBuild[Existing RAM (GB)]))</f>
        <v>0</v>
      </c>
      <c r="EY9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4" s="560">
        <f>IF(ISBLANK(HostBuild[Server Model]),0,IF(HostBuild[Server Tier]="VMware",0,VLOOKUP(HostBuild[Server Tier],ServerTierRates[#Data],2,0))*HostBuild[CPU]*IF(AND(HostBuild[Server Type]="pSeries",HostBuild[Virtual Platform Storage Type]="Cloud-SAN"),0.25,1))</f>
        <v>0</v>
      </c>
      <c r="FD94" s="560">
        <f>0</f>
        <v>0</v>
      </c>
      <c r="FE94" s="560">
        <f>IF(HostBuild[Server Type]="VMware",HostBuild[RAM 
(GB)]*IF(ISERROR(FIND("DevCloud", HostBuild[Server Model])&gt;0),vRAM_per_vCPU_2014_Monthly,vRAM_per_vCPU_2014_Daily*30),0)</f>
        <v>0</v>
      </c>
      <c r="FF9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4" s="563">
        <f>IF(HostBuild[Server Tier]="VMware",0,IF(LEFT(HostBuild[Existing Server?],3)="Yes",0,IF(OR(HostBuild[Server Type]="Sun",HostBuild[Server Type]="pSeries"),Support_Direct_Server_Sun_per_OS_2014,IF(HostBuild[Server Type]="x86",Support_Direct_Server_x86_Wintel_per_OS_2014,0))))</f>
        <v>0</v>
      </c>
      <c r="FI9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5" spans="1:165" s="262" customFormat="1" ht="15" customHeight="1">
      <c r="A95" s="360" t="s">
        <v>3942</v>
      </c>
      <c r="B95" s="521"/>
      <c r="C95" s="521"/>
      <c r="D95" s="521"/>
      <c r="E95" s="522"/>
      <c r="F95" s="522"/>
      <c r="G95" s="597"/>
      <c r="H95" s="597"/>
      <c r="I95" s="523"/>
      <c r="J95" s="522"/>
      <c r="K95" s="522"/>
      <c r="L95" s="522"/>
      <c r="M95" s="597" t="e">
        <f ca="1">IF(rngIsDate(HostBuild[CTO Acceptance]),"Y","N")</f>
        <v>#NAME?</v>
      </c>
      <c r="N95" s="361" t="s">
        <v>3939</v>
      </c>
      <c r="O95" s="525"/>
      <c r="P95" s="525"/>
      <c r="Q95" s="361" t="s">
        <v>212</v>
      </c>
      <c r="R95" s="526" t="str">
        <f>IF(NOT(ISBLANK(HostBuild[Env Label])),IFERROR(VLOOKUP(HostBuild[Env Label],tEnv[],3,FALSE),""),"")</f>
        <v>UAT</v>
      </c>
      <c r="S95" s="598"/>
      <c r="T95" s="527"/>
      <c r="U95" s="599"/>
      <c r="V95" s="524" t="s">
        <v>3983</v>
      </c>
      <c r="W95" s="524" t="s">
        <v>483</v>
      </c>
      <c r="X95" s="524" t="s">
        <v>32</v>
      </c>
      <c r="Y95" s="361" t="s">
        <v>481</v>
      </c>
      <c r="Z95" s="526" t="str">
        <f>IF(NOT(ISBLANK(HostBuild[[#This Row],[Product 
(Acronym)]])),CONCATENATE(HostBuild[[#This Row],[Type]],"-",HostBuild[[#This Row],[Product 
(Acronym)]]),"")</f>
        <v>DB-ESB</v>
      </c>
      <c r="AA95" s="600"/>
      <c r="AB95" s="600" t="s">
        <v>3985</v>
      </c>
      <c r="AC95" s="528"/>
      <c r="AD95" s="529"/>
      <c r="AE95" s="529"/>
      <c r="AF95" s="530" t="s">
        <v>3986</v>
      </c>
      <c r="AG95" s="531"/>
      <c r="AH95" s="601"/>
      <c r="AI95" s="362" t="s">
        <v>4107</v>
      </c>
      <c r="AJ95" s="524">
        <f>IF(COUNTIF(HostBuild[Alias],HostBuild[Alias]),1/COUNTIF(HostBuild[Alias],HostBuild[Alias]),0)</f>
        <v>1</v>
      </c>
      <c r="AK95" s="531"/>
      <c r="AL95" s="531"/>
      <c r="AM95" s="532" t="s">
        <v>314</v>
      </c>
      <c r="AN95" s="533" t="str">
        <f>IF(NOT(ISBLANK(HostBuild[Server Model])),VLOOKUP(HostBuild[Server Model],ServerModelsTier[],2,FALSE),"")</f>
        <v>IBM P-Series Tier 2</v>
      </c>
      <c r="AO95" s="533" t="str">
        <f>IF(NOT(ISBLANK(HostBuild[Server Model])),VLOOKUP(HostBuild[Server Model],ServerModelsTier[],5,FALSE),"")</f>
        <v>pSeries</v>
      </c>
      <c r="AP95" s="532"/>
      <c r="AQ95" s="532" t="s">
        <v>24</v>
      </c>
      <c r="AR95" s="535"/>
      <c r="AS95" s="602"/>
      <c r="AT95" s="535"/>
      <c r="AU95" s="603"/>
      <c r="AV95" s="536"/>
      <c r="AW95" s="531"/>
      <c r="AX95" s="531"/>
      <c r="AY95" s="531"/>
      <c r="AZ95" s="537"/>
      <c r="BA95" s="531"/>
      <c r="BB95" s="531"/>
      <c r="BC95" s="529"/>
      <c r="BD95" s="531"/>
      <c r="BE95" s="531"/>
      <c r="BF95" s="531"/>
      <c r="BG95" s="531"/>
      <c r="BH95" s="531"/>
      <c r="BI95" s="531"/>
      <c r="BJ95" s="531"/>
      <c r="BK95"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5" s="538">
        <v>300</v>
      </c>
      <c r="BM95" s="540">
        <f>IF(ISNUMBER(HostBuild[Recommended SAN (GB)]),HostBuild[Recommended SAN (GB)])+IF(HostBuild[Additional SAN (GB)]&gt;0,CEILING(HostBuild[Additional SAN (GB)],LUN),-(CEILING(-HostBuild[Additional SAN (GB)],LUN)))</f>
        <v>303.3</v>
      </c>
      <c r="BN95" s="539"/>
      <c r="BO95" s="540">
        <f>HostBuild[SAN (GB)
NEEDED TODAY]+CEILING(HostBuild[SAN (GB)
RESERVED
DO NOT USE TO BUILD], LUN)</f>
        <v>303.3</v>
      </c>
      <c r="BP95" s="541">
        <v>100</v>
      </c>
      <c r="BQ95" s="542"/>
      <c r="BR95" s="432" t="s">
        <v>105</v>
      </c>
      <c r="BS95" s="605">
        <f>IF(HostBuild[Existing Server?]&lt;&gt;"Yes - Inside this BoM",IF(ISNUMBER(HostBuild[RAM 
(GB)]),IF(HostBuild[Existing RAM (GB)]+HostBuild[RAM 
(GB)]&gt;0,IF(HostBuild[Virtual Platform Storage Type]="NAS",110+HostBuild[Existing RAM (GB)]+HostBuild[RAM 
(GB)]*1.75,0),0),0),0)</f>
        <v>0</v>
      </c>
      <c r="BT95" s="606"/>
      <c r="BU95" s="607">
        <f>IF(ISNUMBER(HostBuild[Recommended NAS (GB)]),HostBuild[Recommended NAS (GB)])+HostBuild[Additional NAS (GB)]</f>
        <v>0</v>
      </c>
      <c r="BV95" s="543"/>
      <c r="BW95" s="543"/>
      <c r="BX95" s="604">
        <f>IFERROR((HostBuild[SAN (GB)
End-State
DO NOT USE TO BUILD]+HostBuild[SAN (GB) Shared])*25%,"")</f>
        <v>100.825</v>
      </c>
      <c r="BY95" s="608">
        <f>IFERROR(HostBuild[Archive
Full (GB)]*15%,"")</f>
        <v>15.123749999999999</v>
      </c>
      <c r="BZ95" s="544"/>
      <c r="CA95" s="544"/>
      <c r="CB95" s="545"/>
      <c r="CC95" s="546"/>
      <c r="CD95" s="545"/>
      <c r="CE95" s="547"/>
      <c r="CF95" s="539"/>
      <c r="CG95" s="609"/>
      <c r="CH95" s="548"/>
      <c r="CI95" s="549"/>
      <c r="CJ95" s="550"/>
      <c r="CK95" s="551"/>
      <c r="CL95" s="552">
        <f>IFERROR(IF(FIND(CL$1,$W95)&gt;0,IF(INDEX(Product_Pricing_Table[],MATCH(CL$1,Products,0),2)="Cores",IF(HostBuild[Use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5" s="552">
        <f>IFERROR(IF(FIND(CM$1,$W95)&gt;0,IF(INDEX(Product_Pricing_Table[],MATCH(CM$1,Products,0),2)="Cores",IF(HostBuild[Use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5" s="552">
        <f>IFERROR(IF(FIND(CN$1,$W95)&gt;0,IF(INDEX(Product_Pricing_Table[],MATCH(CN$1,Products,0),2)="Cores",IF(HostBuild[Use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5" s="552">
        <f>IFERROR(IF(FIND(CO$1,$W95)&gt;0,IF(INDEX(Product_Pricing_Table[],MATCH(CO$1,Products,0),2)="Cores",IF(HostBuild[Use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5" s="552">
        <f>IFERROR(IF(FIND(CP$1,$W95)&gt;0,IF(INDEX(Product_Pricing_Table[],MATCH(CP$1,Products,0),2)="Cores",IF(HostBuild[Use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5" s="552">
        <f>IFERROR(IF(FIND(CQ$1,$W95)&gt;0,IF(INDEX(Product_Pricing_Table[],MATCH(CQ$1,Products,0),2)="Cores",IF(HostBuild[Use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5" s="552">
        <f>IFERROR(IF(FIND(CR$1,$W95)&gt;0,IF(INDEX(Product_Pricing_Table[],MATCH(CR$1,Products,0),2)="Cores",IF(HostBuild[Use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5" s="552">
        <f>IFERROR(IF(FIND(CS$1,$W95)&gt;0,IF(INDEX(Product_Pricing_Table[],MATCH(CS$1,Products,0),2)="Cores",IF(HostBuild[Use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5" s="552">
        <f>IFERROR(IF(FIND(CT$1,$W95)&gt;0,IF(INDEX(Product_Pricing_Table[],MATCH(CT$1,Products,0),2)="Cores",IF(HostBuild[Use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5" s="552">
        <f>IFERROR(IF(FIND(CU$1,$W95)&gt;0,IF(INDEX(Product_Pricing_Table[],MATCH(CU$1,Products,0),2)="Cores",IF(HostBuild[Use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5" s="552">
        <f>IFERROR(IF(FIND(CV$1,$W95)&gt;0,IF(INDEX(Product_Pricing_Table[],MATCH(CV$1,Products,0),2)="Cores",IF(HostBuild[Use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5" s="552">
        <f>IFERROR(IF(FIND(CW$1,$W95)&gt;0,IF(INDEX(Product_Pricing_Table[],MATCH(CW$1,Products,0),2)="Cores",IF(HostBuild[Use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5" s="552">
        <f>IFERROR(IF(FIND(CX$1,$W95)&gt;0,IF(INDEX(Product_Pricing_Table[],MATCH(CX$1,Products,0),2)="Cores",IF(HostBuild[Use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5" s="552">
        <f>IFERROR(IF(FIND(CY$1,$W95)&gt;0,IF(INDEX(Product_Pricing_Table[],MATCH(CY$1,Products,0),2)="Cores",IF(HostBuild[Use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5" s="552">
        <f>IFERROR(IF(FIND(CZ$1,$W95)&gt;0,IF(INDEX(Product_Pricing_Table[],MATCH(CZ$1,Products,0),2)="Cores",IF(HostBuild[Use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5" s="552">
        <f>IFERROR(IF(FIND(DA$1,$W95)&gt;0,IF(INDEX(Product_Pricing_Table[],MATCH(DA$1,Products,0),2)="Cores",IF(HostBuild[Use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5" s="552">
        <f>IFERROR(IF(FIND(DB$1,$W95)&gt;0,IF(INDEX(Product_Pricing_Table[],MATCH(DB$1,Products,0),2)="Cores",IF(HostBuild[Use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5" s="552">
        <f>IFERROR(IF(FIND(DC$1,$W95)&gt;0,IF(INDEX(Product_Pricing_Table[],MATCH(DC$1,Products,0),2)="Cores",IF(HostBuild[Use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5" s="552">
        <f>IFERROR(IF(FIND(DD$1,$W95)&gt;0,IF(INDEX(Product_Pricing_Table[],MATCH(DD$1,Products,0),2)="Cores",IF(HostBuild[Use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5" s="552">
        <f>IFERROR(IF(FIND(DE$1,$W95)&gt;0,IF(INDEX(Product_Pricing_Table[],MATCH(DE$1,Products,0),2)="Cores",IF(HostBuild[Use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5" s="553">
        <f>IFERROR(IF(FIND(DF$1,$W95)&gt;0,IF(INDEX(Product_Pricing_Table[],MATCH(DF$1,Products,0),2)="Cores",IF(HostBuild[Use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5" s="553">
        <f>IFERROR(IF(FIND(DG$1,$W95)&gt;0,IF(INDEX(Product_Pricing_Table[],MATCH(DG$1,Products,0),2)="Cores",IF(HostBuild[Use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5" s="552">
        <f>IFERROR(IF(FIND(DH$1,$W95)&gt;0,IF(INDEX(Product_Pricing_Table[],MATCH(DH$1,Products,0),2)="Cores",IF(HostBuild[Use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5" s="553">
        <f>IFERROR(IF(FIND(DI$1,$W95)&gt;0,IF(INDEX(Product_Pricing_Table[],MATCH(DI$1,Products,0),2)="Cores",IF(HostBuild[Use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5" s="552">
        <f>IFERROR(IF(FIND(DJ$1,$W95)&gt;0,IF(INDEX(Product_Pricing_Table[],MATCH(DJ$1,Products,0),2)="Cores",IF(HostBuild[Use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5" s="552">
        <f>IFERROR(IF(FIND(DK$1,$W95)&gt;0,IF(INDEX(Product_Pricing_Table[],MATCH(DK$1,Products,0),2)="Cores",IF(HostBuild[Use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5" s="552">
        <f>IFERROR(IF(FIND(DL$1,$W95)&gt;0,IF(INDEX(Product_Pricing_Table[],MATCH(DL$1,Products,0),2)="Cores",IF(HostBuild[Use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5" s="552">
        <f>IFERROR(IF(FIND(DM$1,$W95)&gt;0,IF(INDEX(Product_Pricing_Table[],MATCH(DM$1,Products,0),2)="Cores",IF(HostBuild[Use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5" s="552">
        <f>IFERROR(IF(FIND(DN$1,$W95)&gt;0,IF(INDEX(Product_Pricing_Table[],MATCH(DN$1,Products,0),2)="Cores",IF(HostBuild[Use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5" s="552">
        <f>IFERROR(IF(FIND(DO$1,$W95)&gt;0,IF(INDEX(Product_Pricing_Table[],MATCH(DO$1,Products,0),2)="Cores",IF(HostBuild[Use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5" s="552">
        <f>IFERROR(IF(FIND(DP$1,$W95)&gt;0,IF(INDEX(Product_Pricing_Table[],MATCH(DP$1,Products,0),2)="Cores",IF(HostBuild[Use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5" s="552">
        <f>IFERROR(IF(FIND(DQ$1,$W95)&gt;0,IF(INDEX(Product_Pricing_Table[],MATCH(DQ$1,Products,0),2)="Cores",IF(HostBuild[Use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5" s="552">
        <f>IFERROR(IF(FIND(DR$1,$W95)&gt;0,IF(INDEX(Product_Pricing_Table[],MATCH(DR$1,Products,0),2)="Cores",IF(HostBuild[Use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5" s="552">
        <f>IFERROR(IF(FIND(DS$1,$W95)&gt;0,IF(INDEX(Product_Pricing_Table[],MATCH(DS$1,Products,0),2)="Cores",IF(HostBuild[Use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5" s="552">
        <f>IFERROR(IF(FIND(DT$1,$W95)&gt;0,IF(INDEX(Product_Pricing_Table[],MATCH(DT$1,Products,0),2)="Cores",IF(HostBuild[Use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5" s="552">
        <f>IFERROR(IF(FIND(DU$1,$W95)&gt;0,IF(INDEX(Product_Pricing_Table[],MATCH(DU$1,Products,0),2)="Cores",IF(HostBuild[Use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5" s="552">
        <f>IFERROR(IF(FIND(DV$1,$W95)&gt;0,IF(INDEX(Product_Pricing_Table[],MATCH(DV$1,Products,0),2)="Cores",IF(HostBuild[Use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5" s="552">
        <f>IFERROR(IF(FIND(DW$1,$W95)&gt;0,IF(INDEX(Product_Pricing_Table[],MATCH(DW$1,Products,0),2)="Cores",IF(HostBuild[Use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5" s="552">
        <f>IFERROR(IF(FIND(DX$1,$W95)&gt;0,IF(INDEX(Product_Pricing_Table[],MATCH(DX$1,Products,0),2)="Cores",IF(HostBuild[Use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5" s="552">
        <f>IFERROR(IF(FIND(DY$1,$W95)&gt;0,IF(INDEX(Product_Pricing_Table[],MATCH(DY$1,Products,0),2)="Cores",IF(HostBuild[Use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5" s="552">
        <f>IFERROR(IF(FIND(DZ$1,$W95)&gt;0,IF(INDEX(Product_Pricing_Table[],MATCH(DZ$1,Products,0),2)="Cores",IF(HostBuild[Use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5" s="552">
        <f>IFERROR(IF(FIND(EA$1,$W95)&gt;0,IF(INDEX(Product_Pricing_Table[],MATCH(EA$1,Products,0),2)="Cores",IF(HostBuild[Use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5" s="552">
        <f>IFERROR(IF(FIND(EB$1,$W95)&gt;0,IF(INDEX(Product_Pricing_Table[],MATCH(EB$1,Products,0),2)="Cores",IF(HostBuild[Use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5" s="553">
        <f>IFERROR(IF(FIND(EC$1,$W95)&gt;0,IF(INDEX(Product_Pricing_Table[],MATCH(EC$1,Products,0),2)="Cores",IF(HostBuild[Use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5" s="552">
        <f>IFERROR(IF(FIND(ED$1,$W95)&gt;0,IF(INDEX(Product_Pricing_Table[],MATCH(ED$1,Products,0),2)="Cores",IF(HostBuild[Use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5" s="552">
        <f>IFERROR(IF(FIND(EE$1,$W95)&gt;0,IF(INDEX(Product_Pricing_Table[],MATCH(EE$1,Products,0),2)="Cores",IF(HostBuild[Use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5" s="552">
        <f>IFERROR(IF(FIND(EF$1,$W95)&gt;0,IF(INDEX(Product_Pricing_Table[],MATCH(EF$1,Products,0),2)="Cores",IF(HostBuild[Use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5" s="552">
        <f>IFERROR(IF(FIND(EG$1,$W95)&gt;0,IF(INDEX(Product_Pricing_Table[],MATCH(EG$1,Products,0),2)="Cores",IF(HostBuild[Use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5" s="552">
        <f>IFERROR(IF(FIND(EH$1,$W95)&gt;0,IF(INDEX(Product_Pricing_Table[],MATCH(EH$1,Products,0),2)="Cores",IF(HostBuild[Use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5" s="552">
        <f>IFERROR(IF(FIND(EI$1,$W95)&gt;0,IF(INDEX(Product_Pricing_Table[],MATCH(EI$1,Products,0),2)="Cores",IF(HostBuild[Use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5" s="552">
        <f>IFERROR(IF(FIND(EJ$1,$W95)&gt;0,IF(INDEX(Product_Pricing_Table[],MATCH(EJ$1,Products,0),2)="Cores",IF(HostBuild[Use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5" s="553">
        <f>IFERROR(IF(FIND(EK$1,$W95)&gt;0,IF(INDEX(Product_Pricing_Table[],MATCH(EK$1,Products,0),2)="Cores",IF(HostBuild[Use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5" s="554"/>
      <c r="EM95" s="555">
        <v>0</v>
      </c>
      <c r="EN95" s="556">
        <v>0</v>
      </c>
      <c r="EO95"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237.58500000000004</v>
      </c>
      <c r="EQ95" s="558">
        <f>(HostBuild[Archive
Full (GB)]+HostBuild[Archive
Incr (GB)])*Storage_DC_Dist_Tape_2014</f>
        <v>40.582062499999999</v>
      </c>
      <c r="ER95" s="558">
        <f>IF(ISNUMBER(HostBuild[Server HW Costs
(Monthly)]),SUM(HostBuild[[#This Row],[Server HW Costs
(Monthly)]:[Tape Costs
(Monthly)]]),0)</f>
        <v>278.16706250000004</v>
      </c>
      <c r="ES95" s="559">
        <f>HostBuild[Software Costs
'[Year 1']
(Monthly)]+HostBuild[Total Hardware Costs
(Monthly)]</f>
        <v>278.16706250000004</v>
      </c>
      <c r="ET95" s="559">
        <f>IFERROR(IF(FIND("Safenet",HostBuild[Server Model]),Safenet_PSE_PL600_Maint,0),0)+IFERROR(IF(FIND("XI52",HostBuild[Server Model]),IBM_DIA_XI52_Maint,0),0)+HostBuild[Software Costs
'[After Year 1']
(Monthly)]+HostBuild[Total Hardware Costs
(Monthly)]</f>
        <v>278.16706250000004</v>
      </c>
      <c r="EU95" s="560">
        <f>SUM(HostBuild[[#This Row],[Server Cost Breakdown]:[Network Cost]])</f>
        <v>0</v>
      </c>
      <c r="EV95" s="561">
        <f>IF(HostBuild[Existing Server?]="Yes - Inside this BoM",0,SUMIF(HostBuild[Alias],HostBuild[Alias],HostBuild[CPU])+SUMIF(HostBuild[Alias],HostBuild[Alias],HostBuild[Existing CPUs]))</f>
        <v>0</v>
      </c>
      <c r="EW95" s="561">
        <f>IF(HostBuild[Existing Server?]="Yes - Inside this BoM",0,SUMIF(HostBuild[Alias],HostBuild[Alias],HostBuild[Cores 
(Licensed Units)])+SUMIF(HostBuild[Alias],HostBuild[Alias],HostBuild[Existing Cores]))</f>
        <v>0</v>
      </c>
      <c r="EX95" s="561">
        <f>IF(HostBuild[Existing Server?]="Yes - Inside this BoM",0,SUMIF(HostBuild[Alias],HostBuild[Alias],HostBuild[RAM 
(GB)])+SUMIF(HostBuild[Alias],HostBuild[Alias],HostBuild[Existing RAM (GB)]))</f>
        <v>0</v>
      </c>
      <c r="EY9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5" s="560">
        <f>IF(ISBLANK(HostBuild[Server Model]),0,IF(HostBuild[Server Tier]="VMware",0,VLOOKUP(HostBuild[Server Tier],ServerTierRates[#Data],2,0))*HostBuild[CPU]*IF(AND(HostBuild[Server Type]="pSeries",HostBuild[Virtual Platform Storage Type]="Cloud-SAN"),0.25,1))</f>
        <v>0</v>
      </c>
      <c r="FD95" s="560">
        <f>0</f>
        <v>0</v>
      </c>
      <c r="FE95" s="560">
        <f>IF(HostBuild[Server Type]="VMware",HostBuild[RAM 
(GB)]*IF(ISERROR(FIND("DevCloud", HostBuild[Server Model])&gt;0),vRAM_per_vCPU_2014_Monthly,vRAM_per_vCPU_2014_Daily*30),0)</f>
        <v>0</v>
      </c>
      <c r="FF9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5" s="563">
        <f>IF(HostBuild[Server Tier]="VMware",0,IF(LEFT(HostBuild[Existing Server?],3)="Yes",0,IF(OR(HostBuild[Server Type]="Sun",HostBuild[Server Type]="pSeries"),Support_Direct_Server_Sun_per_OS_2014,IF(HostBuild[Server Type]="x86",Support_Direct_Server_x86_Wintel_per_OS_2014,0))))</f>
        <v>0</v>
      </c>
      <c r="FI9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6" spans="1:165" s="262" customFormat="1" ht="15" customHeight="1">
      <c r="A96" s="360" t="s">
        <v>3942</v>
      </c>
      <c r="B96" s="521"/>
      <c r="C96" s="521"/>
      <c r="D96" s="521"/>
      <c r="E96" s="522"/>
      <c r="F96" s="522"/>
      <c r="G96" s="597"/>
      <c r="H96" s="597"/>
      <c r="I96" s="523"/>
      <c r="J96" s="522"/>
      <c r="K96" s="522"/>
      <c r="L96" s="522"/>
      <c r="M96" s="597" t="e">
        <f ca="1">IF(rngIsDate(HostBuild[CTO Acceptance]),"Y","N")</f>
        <v>#NAME?</v>
      </c>
      <c r="N96" s="361" t="s">
        <v>3939</v>
      </c>
      <c r="O96" s="525"/>
      <c r="P96" s="525"/>
      <c r="Q96" s="361" t="s">
        <v>212</v>
      </c>
      <c r="R96" s="526" t="str">
        <f>IF(NOT(ISBLANK(HostBuild[Env Label])),IFERROR(VLOOKUP(HostBuild[Env Label],tEnv[],3,FALSE),""),"")</f>
        <v>UAT</v>
      </c>
      <c r="S96" s="598"/>
      <c r="T96" s="527"/>
      <c r="U96" s="599"/>
      <c r="V96" s="524" t="s">
        <v>3984</v>
      </c>
      <c r="W96" s="524" t="s">
        <v>483</v>
      </c>
      <c r="X96" s="524" t="s">
        <v>32</v>
      </c>
      <c r="Y96" s="361" t="s">
        <v>481</v>
      </c>
      <c r="Z96" s="526" t="str">
        <f>IF(NOT(ISBLANK(HostBuild[[#This Row],[Product 
(Acronym)]])),CONCATENATE(HostBuild[[#This Row],[Type]],"-",HostBuild[[#This Row],[Product 
(Acronym)]]),"")</f>
        <v>DB-ESB</v>
      </c>
      <c r="AA96" s="600"/>
      <c r="AB96" s="600" t="s">
        <v>3985</v>
      </c>
      <c r="AC96" s="528"/>
      <c r="AD96" s="529"/>
      <c r="AE96" s="529"/>
      <c r="AF96" s="530" t="s">
        <v>3986</v>
      </c>
      <c r="AG96" s="531"/>
      <c r="AH96" s="601"/>
      <c r="AI96" s="362" t="s">
        <v>4108</v>
      </c>
      <c r="AJ96" s="524">
        <f>IF(COUNTIF(HostBuild[Alias],HostBuild[Alias]),1/COUNTIF(HostBuild[Alias],HostBuild[Alias]),0)</f>
        <v>1</v>
      </c>
      <c r="AK96" s="531"/>
      <c r="AL96" s="531"/>
      <c r="AM96" s="532" t="s">
        <v>314</v>
      </c>
      <c r="AN96" s="533" t="str">
        <f>IF(NOT(ISBLANK(HostBuild[Server Model])),VLOOKUP(HostBuild[Server Model],ServerModelsTier[],2,FALSE),"")</f>
        <v>IBM P-Series Tier 2</v>
      </c>
      <c r="AO96" s="533" t="str">
        <f>IF(NOT(ISBLANK(HostBuild[Server Model])),VLOOKUP(HostBuild[Server Model],ServerModelsTier[],5,FALSE),"")</f>
        <v>pSeries</v>
      </c>
      <c r="AP96" s="532"/>
      <c r="AQ96" s="532" t="s">
        <v>24</v>
      </c>
      <c r="AR96" s="535"/>
      <c r="AS96" s="602"/>
      <c r="AT96" s="535"/>
      <c r="AU96" s="603"/>
      <c r="AV96" s="536"/>
      <c r="AW96" s="531"/>
      <c r="AX96" s="531"/>
      <c r="AY96" s="531"/>
      <c r="AZ96" s="537"/>
      <c r="BA96" s="531"/>
      <c r="BB96" s="531"/>
      <c r="BC96" s="529"/>
      <c r="BD96" s="531"/>
      <c r="BE96" s="531"/>
      <c r="BF96" s="531"/>
      <c r="BG96" s="531"/>
      <c r="BH96" s="531"/>
      <c r="BI96" s="531"/>
      <c r="BJ96" s="531"/>
      <c r="BK96"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6" s="538"/>
      <c r="BM96" s="540">
        <f>IF(ISNUMBER(HostBuild[Recommended SAN (GB)]),HostBuild[Recommended SAN (GB)])+IF(HostBuild[Additional SAN (GB)]&gt;0,CEILING(HostBuild[Additional SAN (GB)],LUN),-(CEILING(-HostBuild[Additional SAN (GB)],LUN)))</f>
        <v>0</v>
      </c>
      <c r="BN96" s="539"/>
      <c r="BO96" s="540">
        <f>HostBuild[SAN (GB)
NEEDED TODAY]+CEILING(HostBuild[SAN (GB)
RESERVED
DO NOT USE TO BUILD], LUN)</f>
        <v>0</v>
      </c>
      <c r="BP96" s="541"/>
      <c r="BQ96" s="542"/>
      <c r="BR96" s="432" t="s">
        <v>105</v>
      </c>
      <c r="BS96" s="605">
        <f>IF(HostBuild[Existing Server?]&lt;&gt;"Yes - Inside this BoM",IF(ISNUMBER(HostBuild[RAM 
(GB)]),IF(HostBuild[Existing RAM (GB)]+HostBuild[RAM 
(GB)]&gt;0,IF(HostBuild[Virtual Platform Storage Type]="NAS",110+HostBuild[Existing RAM (GB)]+HostBuild[RAM 
(GB)]*1.75,0),0),0),0)</f>
        <v>0</v>
      </c>
      <c r="BT96" s="606"/>
      <c r="BU96" s="607">
        <f>IF(ISNUMBER(HostBuild[Recommended NAS (GB)]),HostBuild[Recommended NAS (GB)])+HostBuild[Additional NAS (GB)]</f>
        <v>0</v>
      </c>
      <c r="BV96" s="543"/>
      <c r="BW96" s="543"/>
      <c r="BX96" s="604">
        <f>IFERROR((HostBuild[SAN (GB)
End-State
DO NOT USE TO BUILD]+HostBuild[SAN (GB) Shared])*25%,"")</f>
        <v>0</v>
      </c>
      <c r="BY96" s="608">
        <f>IFERROR(HostBuild[Archive
Full (GB)]*15%,"")</f>
        <v>0</v>
      </c>
      <c r="BZ96" s="544"/>
      <c r="CA96" s="544"/>
      <c r="CB96" s="545"/>
      <c r="CC96" s="546"/>
      <c r="CD96" s="545"/>
      <c r="CE96" s="547"/>
      <c r="CF96" s="539"/>
      <c r="CG96" s="609"/>
      <c r="CH96" s="548"/>
      <c r="CI96" s="549"/>
      <c r="CJ96" s="550"/>
      <c r="CK96" s="551"/>
      <c r="CL96" s="552">
        <f>IFERROR(IF(FIND(CL$1,$W96)&gt;0,IF(INDEX(Product_Pricing_Table[],MATCH(CL$1,Products,0),2)="Cores",IF(HostBuild[Use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6" s="552">
        <f>IFERROR(IF(FIND(CM$1,$W96)&gt;0,IF(INDEX(Product_Pricing_Table[],MATCH(CM$1,Products,0),2)="Cores",IF(HostBuild[Use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6" s="552">
        <f>IFERROR(IF(FIND(CN$1,$W96)&gt;0,IF(INDEX(Product_Pricing_Table[],MATCH(CN$1,Products,0),2)="Cores",IF(HostBuild[Use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6" s="552">
        <f>IFERROR(IF(FIND(CO$1,$W96)&gt;0,IF(INDEX(Product_Pricing_Table[],MATCH(CO$1,Products,0),2)="Cores",IF(HostBuild[Use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6" s="552">
        <f>IFERROR(IF(FIND(CP$1,$W96)&gt;0,IF(INDEX(Product_Pricing_Table[],MATCH(CP$1,Products,0),2)="Cores",IF(HostBuild[Use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6" s="552">
        <f>IFERROR(IF(FIND(CQ$1,$W96)&gt;0,IF(INDEX(Product_Pricing_Table[],MATCH(CQ$1,Products,0),2)="Cores",IF(HostBuild[Use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6" s="552">
        <f>IFERROR(IF(FIND(CR$1,$W96)&gt;0,IF(INDEX(Product_Pricing_Table[],MATCH(CR$1,Products,0),2)="Cores",IF(HostBuild[Use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6" s="552">
        <f>IFERROR(IF(FIND(CS$1,$W96)&gt;0,IF(INDEX(Product_Pricing_Table[],MATCH(CS$1,Products,0),2)="Cores",IF(HostBuild[Use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6" s="552">
        <f>IFERROR(IF(FIND(CT$1,$W96)&gt;0,IF(INDEX(Product_Pricing_Table[],MATCH(CT$1,Products,0),2)="Cores",IF(HostBuild[Use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6" s="552">
        <f>IFERROR(IF(FIND(CU$1,$W96)&gt;0,IF(INDEX(Product_Pricing_Table[],MATCH(CU$1,Products,0),2)="Cores",IF(HostBuild[Use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6" s="552">
        <f>IFERROR(IF(FIND(CV$1,$W96)&gt;0,IF(INDEX(Product_Pricing_Table[],MATCH(CV$1,Products,0),2)="Cores",IF(HostBuild[Use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6" s="552">
        <f>IFERROR(IF(FIND(CW$1,$W96)&gt;0,IF(INDEX(Product_Pricing_Table[],MATCH(CW$1,Products,0),2)="Cores",IF(HostBuild[Use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6" s="552">
        <f>IFERROR(IF(FIND(CX$1,$W96)&gt;0,IF(INDEX(Product_Pricing_Table[],MATCH(CX$1,Products,0),2)="Cores",IF(HostBuild[Use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6" s="552">
        <f>IFERROR(IF(FIND(CY$1,$W96)&gt;0,IF(INDEX(Product_Pricing_Table[],MATCH(CY$1,Products,0),2)="Cores",IF(HostBuild[Use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6" s="552">
        <f>IFERROR(IF(FIND(CZ$1,$W96)&gt;0,IF(INDEX(Product_Pricing_Table[],MATCH(CZ$1,Products,0),2)="Cores",IF(HostBuild[Use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6" s="552">
        <f>IFERROR(IF(FIND(DA$1,$W96)&gt;0,IF(INDEX(Product_Pricing_Table[],MATCH(DA$1,Products,0),2)="Cores",IF(HostBuild[Use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6" s="552">
        <f>IFERROR(IF(FIND(DB$1,$W96)&gt;0,IF(INDEX(Product_Pricing_Table[],MATCH(DB$1,Products,0),2)="Cores",IF(HostBuild[Use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6" s="552">
        <f>IFERROR(IF(FIND(DC$1,$W96)&gt;0,IF(INDEX(Product_Pricing_Table[],MATCH(DC$1,Products,0),2)="Cores",IF(HostBuild[Use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6" s="552">
        <f>IFERROR(IF(FIND(DD$1,$W96)&gt;0,IF(INDEX(Product_Pricing_Table[],MATCH(DD$1,Products,0),2)="Cores",IF(HostBuild[Use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6" s="552">
        <f>IFERROR(IF(FIND(DE$1,$W96)&gt;0,IF(INDEX(Product_Pricing_Table[],MATCH(DE$1,Products,0),2)="Cores",IF(HostBuild[Use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6" s="553">
        <f>IFERROR(IF(FIND(DF$1,$W96)&gt;0,IF(INDEX(Product_Pricing_Table[],MATCH(DF$1,Products,0),2)="Cores",IF(HostBuild[Use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6" s="553">
        <f>IFERROR(IF(FIND(DG$1,$W96)&gt;0,IF(INDEX(Product_Pricing_Table[],MATCH(DG$1,Products,0),2)="Cores",IF(HostBuild[Use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6" s="552">
        <f>IFERROR(IF(FIND(DH$1,$W96)&gt;0,IF(INDEX(Product_Pricing_Table[],MATCH(DH$1,Products,0),2)="Cores",IF(HostBuild[Use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6" s="553">
        <f>IFERROR(IF(FIND(DI$1,$W96)&gt;0,IF(INDEX(Product_Pricing_Table[],MATCH(DI$1,Products,0),2)="Cores",IF(HostBuild[Use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6" s="552">
        <f>IFERROR(IF(FIND(DJ$1,$W96)&gt;0,IF(INDEX(Product_Pricing_Table[],MATCH(DJ$1,Products,0),2)="Cores",IF(HostBuild[Use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6" s="552">
        <f>IFERROR(IF(FIND(DK$1,$W96)&gt;0,IF(INDEX(Product_Pricing_Table[],MATCH(DK$1,Products,0),2)="Cores",IF(HostBuild[Use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6" s="552">
        <f>IFERROR(IF(FIND(DL$1,$W96)&gt;0,IF(INDEX(Product_Pricing_Table[],MATCH(DL$1,Products,0),2)="Cores",IF(HostBuild[Use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6" s="552">
        <f>IFERROR(IF(FIND(DM$1,$W96)&gt;0,IF(INDEX(Product_Pricing_Table[],MATCH(DM$1,Products,0),2)="Cores",IF(HostBuild[Use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6" s="552">
        <f>IFERROR(IF(FIND(DN$1,$W96)&gt;0,IF(INDEX(Product_Pricing_Table[],MATCH(DN$1,Products,0),2)="Cores",IF(HostBuild[Use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6" s="552">
        <f>IFERROR(IF(FIND(DO$1,$W96)&gt;0,IF(INDEX(Product_Pricing_Table[],MATCH(DO$1,Products,0),2)="Cores",IF(HostBuild[Use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6" s="552">
        <f>IFERROR(IF(FIND(DP$1,$W96)&gt;0,IF(INDEX(Product_Pricing_Table[],MATCH(DP$1,Products,0),2)="Cores",IF(HostBuild[Use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6" s="552">
        <f>IFERROR(IF(FIND(DQ$1,$W96)&gt;0,IF(INDEX(Product_Pricing_Table[],MATCH(DQ$1,Products,0),2)="Cores",IF(HostBuild[Use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6" s="552">
        <f>IFERROR(IF(FIND(DR$1,$W96)&gt;0,IF(INDEX(Product_Pricing_Table[],MATCH(DR$1,Products,0),2)="Cores",IF(HostBuild[Use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6" s="552">
        <f>IFERROR(IF(FIND(DS$1,$W96)&gt;0,IF(INDEX(Product_Pricing_Table[],MATCH(DS$1,Products,0),2)="Cores",IF(HostBuild[Use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6" s="552">
        <f>IFERROR(IF(FIND(DT$1,$W96)&gt;0,IF(INDEX(Product_Pricing_Table[],MATCH(DT$1,Products,0),2)="Cores",IF(HostBuild[Use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6" s="552">
        <f>IFERROR(IF(FIND(DU$1,$W96)&gt;0,IF(INDEX(Product_Pricing_Table[],MATCH(DU$1,Products,0),2)="Cores",IF(HostBuild[Use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6" s="552">
        <f>IFERROR(IF(FIND(DV$1,$W96)&gt;0,IF(INDEX(Product_Pricing_Table[],MATCH(DV$1,Products,0),2)="Cores",IF(HostBuild[Use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6" s="552">
        <f>IFERROR(IF(FIND(DW$1,$W96)&gt;0,IF(INDEX(Product_Pricing_Table[],MATCH(DW$1,Products,0),2)="Cores",IF(HostBuild[Use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6" s="552">
        <f>IFERROR(IF(FIND(DX$1,$W96)&gt;0,IF(INDEX(Product_Pricing_Table[],MATCH(DX$1,Products,0),2)="Cores",IF(HostBuild[Use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6" s="552">
        <f>IFERROR(IF(FIND(DY$1,$W96)&gt;0,IF(INDEX(Product_Pricing_Table[],MATCH(DY$1,Products,0),2)="Cores",IF(HostBuild[Use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6" s="552">
        <f>IFERROR(IF(FIND(DZ$1,$W96)&gt;0,IF(INDEX(Product_Pricing_Table[],MATCH(DZ$1,Products,0),2)="Cores",IF(HostBuild[Use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6" s="552">
        <f>IFERROR(IF(FIND(EA$1,$W96)&gt;0,IF(INDEX(Product_Pricing_Table[],MATCH(EA$1,Products,0),2)="Cores",IF(HostBuild[Use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6" s="552">
        <f>IFERROR(IF(FIND(EB$1,$W96)&gt;0,IF(INDEX(Product_Pricing_Table[],MATCH(EB$1,Products,0),2)="Cores",IF(HostBuild[Use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6" s="553">
        <f>IFERROR(IF(FIND(EC$1,$W96)&gt;0,IF(INDEX(Product_Pricing_Table[],MATCH(EC$1,Products,0),2)="Cores",IF(HostBuild[Use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6" s="552">
        <f>IFERROR(IF(FIND(ED$1,$W96)&gt;0,IF(INDEX(Product_Pricing_Table[],MATCH(ED$1,Products,0),2)="Cores",IF(HostBuild[Use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6" s="552">
        <f>IFERROR(IF(FIND(EE$1,$W96)&gt;0,IF(INDEX(Product_Pricing_Table[],MATCH(EE$1,Products,0),2)="Cores",IF(HostBuild[Use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6" s="552">
        <f>IFERROR(IF(FIND(EF$1,$W96)&gt;0,IF(INDEX(Product_Pricing_Table[],MATCH(EF$1,Products,0),2)="Cores",IF(HostBuild[Use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6" s="552">
        <f>IFERROR(IF(FIND(EG$1,$W96)&gt;0,IF(INDEX(Product_Pricing_Table[],MATCH(EG$1,Products,0),2)="Cores",IF(HostBuild[Use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6" s="552">
        <f>IFERROR(IF(FIND(EH$1,$W96)&gt;0,IF(INDEX(Product_Pricing_Table[],MATCH(EH$1,Products,0),2)="Cores",IF(HostBuild[Use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6" s="552">
        <f>IFERROR(IF(FIND(EI$1,$W96)&gt;0,IF(INDEX(Product_Pricing_Table[],MATCH(EI$1,Products,0),2)="Cores",IF(HostBuild[Use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6" s="552">
        <f>IFERROR(IF(FIND(EJ$1,$W96)&gt;0,IF(INDEX(Product_Pricing_Table[],MATCH(EJ$1,Products,0),2)="Cores",IF(HostBuild[Use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6" s="553">
        <f>IFERROR(IF(FIND(EK$1,$W96)&gt;0,IF(INDEX(Product_Pricing_Table[],MATCH(EK$1,Products,0),2)="Cores",IF(HostBuild[Use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6" s="554"/>
      <c r="EM96" s="555">
        <v>0</v>
      </c>
      <c r="EN96" s="556">
        <v>0</v>
      </c>
      <c r="EO96" s="557">
        <f>IF(OR(ISBLANK(HostBuild[Alias]),HostBuild[Server Tier]="",),0,IF(HostBuild[Server Tier]="SafeNet",Safenet_PSE_PL600+HostBuild[Network Cost],IF(HostBuild[Server Tier]="VMware",HostBuild[New VMware (Adjusted)]+HostBuild[Initial Server Cost],IF(HostBuild[Server Tier]="XI52",IBM_DIA_XI52,HostBuild[Initial Server Cost]))))</f>
        <v>0</v>
      </c>
      <c r="EP9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0</v>
      </c>
      <c r="EQ96" s="558">
        <f>(HostBuild[Archive
Full (GB)]+HostBuild[Archive
Incr (GB)])*Storage_DC_Dist_Tape_2014</f>
        <v>0</v>
      </c>
      <c r="ER96" s="558">
        <f>IF(ISNUMBER(HostBuild[Server HW Costs
(Monthly)]),SUM(HostBuild[[#This Row],[Server HW Costs
(Monthly)]:[Tape Costs
(Monthly)]]),0)</f>
        <v>0</v>
      </c>
      <c r="ES96" s="559">
        <f>HostBuild[Software Costs
'[Year 1']
(Monthly)]+HostBuild[Total Hardware Costs
(Monthly)]</f>
        <v>0</v>
      </c>
      <c r="ET96" s="559">
        <f>IFERROR(IF(FIND("Safenet",HostBuild[Server Model]),Safenet_PSE_PL600_Maint,0),0)+IFERROR(IF(FIND("XI52",HostBuild[Server Model]),IBM_DIA_XI52_Maint,0),0)+HostBuild[Software Costs
'[After Year 1']
(Monthly)]+HostBuild[Total Hardware Costs
(Monthly)]</f>
        <v>0</v>
      </c>
      <c r="EU96" s="560">
        <f>SUM(HostBuild[[#This Row],[Server Cost Breakdown]:[Network Cost]])</f>
        <v>0</v>
      </c>
      <c r="EV96" s="561">
        <f>IF(HostBuild[Existing Server?]="Yes - Inside this BoM",0,SUMIF(HostBuild[Alias],HostBuild[Alias],HostBuild[CPU])+SUMIF(HostBuild[Alias],HostBuild[Alias],HostBuild[Existing CPUs]))</f>
        <v>0</v>
      </c>
      <c r="EW96" s="561">
        <f>IF(HostBuild[Existing Server?]="Yes - Inside this BoM",0,SUMIF(HostBuild[Alias],HostBuild[Alias],HostBuild[Cores 
(Licensed Units)])+SUMIF(HostBuild[Alias],HostBuild[Alias],HostBuild[Existing Cores]))</f>
        <v>0</v>
      </c>
      <c r="EX96" s="561">
        <f>IF(HostBuild[Existing Server?]="Yes - Inside this BoM",0,SUMIF(HostBuild[Alias],HostBuild[Alias],HostBuild[RAM 
(GB)])+SUMIF(HostBuild[Alias],HostBuild[Alias],HostBuild[Existing RAM (GB)]))</f>
        <v>0</v>
      </c>
      <c r="EY9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6" s="560">
        <f>IF(ISBLANK(HostBuild[Server Model]),0,IF(HostBuild[Server Tier]="VMware",0,VLOOKUP(HostBuild[Server Tier],ServerTierRates[#Data],2,0))*HostBuild[CPU]*IF(AND(HostBuild[Server Type]="pSeries",HostBuild[Virtual Platform Storage Type]="Cloud-SAN"),0.25,1))</f>
        <v>0</v>
      </c>
      <c r="FD96" s="560">
        <f>0</f>
        <v>0</v>
      </c>
      <c r="FE96" s="560">
        <f>IF(HostBuild[Server Type]="VMware",HostBuild[RAM 
(GB)]*IF(ISERROR(FIND("DevCloud", HostBuild[Server Model])&gt;0),vRAM_per_vCPU_2014_Monthly,vRAM_per_vCPU_2014_Daily*30),0)</f>
        <v>0</v>
      </c>
      <c r="FF9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6" s="563">
        <f>IF(HostBuild[Server Tier]="VMware",0,IF(LEFT(HostBuild[Existing Server?],3)="Yes",0,IF(OR(HostBuild[Server Type]="Sun",HostBuild[Server Type]="pSeries"),Support_Direct_Server_Sun_per_OS_2014,IF(HostBuild[Server Type]="x86",Support_Direct_Server_x86_Wintel_per_OS_2014,0))))</f>
        <v>0</v>
      </c>
      <c r="FI9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7" spans="1:165" s="139" customFormat="1" ht="15" customHeight="1">
      <c r="A97" s="360" t="s">
        <v>3942</v>
      </c>
      <c r="B97" s="521"/>
      <c r="C97" s="521"/>
      <c r="D97" s="521"/>
      <c r="E97" s="522"/>
      <c r="F97" s="522"/>
      <c r="G97" s="597"/>
      <c r="H97" s="597"/>
      <c r="I97" s="523"/>
      <c r="J97" s="522"/>
      <c r="K97" s="522"/>
      <c r="L97" s="522"/>
      <c r="M97" s="597" t="e">
        <f ca="1">IF(rngIsDate(HostBuild[CTO Acceptance]),"Y","N")</f>
        <v>#NAME?</v>
      </c>
      <c r="N97" s="361" t="s">
        <v>4102</v>
      </c>
      <c r="O97" s="525"/>
      <c r="P97" s="525"/>
      <c r="Q97" s="361" t="s">
        <v>213</v>
      </c>
      <c r="R97" s="526" t="str">
        <f>IF(NOT(ISBLANK(HostBuild[Env Label])),IFERROR(VLOOKUP(HostBuild[Env Label],tEnv[],3,FALSE),""),"")</f>
        <v>SIT</v>
      </c>
      <c r="S97" s="598"/>
      <c r="T97" s="527"/>
      <c r="U97" s="599"/>
      <c r="V97" s="524" t="s">
        <v>4085</v>
      </c>
      <c r="W97" s="524" t="s">
        <v>483</v>
      </c>
      <c r="X97" s="524" t="s">
        <v>35</v>
      </c>
      <c r="Y97" s="361" t="s">
        <v>481</v>
      </c>
      <c r="Z97" s="526" t="str">
        <f>IF(NOT(ISBLANK(HostBuild[[#This Row],[Product 
(Acronym)]])),CONCATENATE(HostBuild[[#This Row],[Type]],"-",HostBuild[[#This Row],[Product 
(Acronym)]]),"")</f>
        <v>AP-ESB</v>
      </c>
      <c r="AA97" s="600"/>
      <c r="AB97" s="600" t="s">
        <v>105</v>
      </c>
      <c r="AC97" s="528"/>
      <c r="AD97" s="529"/>
      <c r="AE97" s="529"/>
      <c r="AF97" s="530" t="s">
        <v>3986</v>
      </c>
      <c r="AG97" s="531"/>
      <c r="AH97" s="601"/>
      <c r="AI97" s="362" t="s">
        <v>4123</v>
      </c>
      <c r="AJ97" s="524">
        <f>IF(COUNTIF(HostBuild[Alias],HostBuild[Alias]),1/COUNTIF(HostBuild[Alias],HostBuild[Alias]),0)</f>
        <v>1</v>
      </c>
      <c r="AK97" s="531"/>
      <c r="AL97" s="531"/>
      <c r="AM97" s="532" t="s">
        <v>314</v>
      </c>
      <c r="AN97" s="533" t="str">
        <f>IF(NOT(ISBLANK(HostBuild[Server Model])),VLOOKUP(HostBuild[Server Model],ServerModelsTier[],2,FALSE),"")</f>
        <v>IBM P-Series Tier 2</v>
      </c>
      <c r="AO97" s="533" t="str">
        <f>IF(NOT(ISBLANK(HostBuild[Server Model])),VLOOKUP(HostBuild[Server Model],ServerModelsTier[],5,FALSE),"")</f>
        <v>pSeries</v>
      </c>
      <c r="AP97" s="532"/>
      <c r="AQ97" s="532" t="s">
        <v>24</v>
      </c>
      <c r="AR97" s="534"/>
      <c r="AS97" s="602"/>
      <c r="AT97" s="535"/>
      <c r="AU97" s="603"/>
      <c r="AV97" s="536"/>
      <c r="AW97" s="531"/>
      <c r="AX97" s="531"/>
      <c r="AY97" s="531"/>
      <c r="AZ97" s="537"/>
      <c r="BA97" s="531"/>
      <c r="BB97" s="531"/>
      <c r="BC97" s="529"/>
      <c r="BD97" s="531"/>
      <c r="BE97" s="531"/>
      <c r="BF97" s="531"/>
      <c r="BG97" s="531"/>
      <c r="BH97" s="531"/>
      <c r="BI97" s="531"/>
      <c r="BJ97" s="531"/>
      <c r="BK97"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7" s="538">
        <v>500</v>
      </c>
      <c r="BM97" s="540">
        <f>IF(ISNUMBER(HostBuild[Recommended SAN (GB)]),HostBuild[Recommended SAN (GB)])+IF(HostBuild[Additional SAN (GB)]&gt;0,CEILING(HostBuild[Additional SAN (GB)],LUN),-(CEILING(-HostBuild[Additional SAN (GB)],LUN)))</f>
        <v>505.50000000000006</v>
      </c>
      <c r="BN97" s="539"/>
      <c r="BO97" s="540">
        <f>HostBuild[SAN (GB)
NEEDED TODAY]+CEILING(HostBuild[SAN (GB)
RESERVED
DO NOT USE TO BUILD], LUN)</f>
        <v>505.50000000000006</v>
      </c>
      <c r="BP97" s="541"/>
      <c r="BQ97" s="542"/>
      <c r="BR97" s="432"/>
      <c r="BS97" s="605">
        <f>IF(HostBuild[Existing Server?]&lt;&gt;"Yes - Inside this BoM",IF(ISNUMBER(HostBuild[RAM 
(GB)]),IF(HostBuild[Existing RAM (GB)]+HostBuild[RAM 
(GB)]&gt;0,IF(HostBuild[Virtual Platform Storage Type]="NAS",110+HostBuild[Existing RAM (GB)]+HostBuild[RAM 
(GB)]*1.75,0),0),0),0)</f>
        <v>0</v>
      </c>
      <c r="BT97" s="606"/>
      <c r="BU97" s="607">
        <f>IF(ISNUMBER(HostBuild[Recommended NAS (GB)]),HostBuild[Recommended NAS (GB)])+HostBuild[Additional NAS (GB)]</f>
        <v>0</v>
      </c>
      <c r="BV97" s="543"/>
      <c r="BW97" s="543"/>
      <c r="BX97" s="604">
        <f>IFERROR((HostBuild[SAN (GB)
End-State
DO NOT USE TO BUILD]+HostBuild[SAN (GB) Shared])*25%,"")</f>
        <v>126.37500000000001</v>
      </c>
      <c r="BY97" s="608">
        <f>IFERROR(HostBuild[Archive
Full (GB)]*15%,"")</f>
        <v>18.956250000000001</v>
      </c>
      <c r="BZ97" s="544"/>
      <c r="CA97" s="544"/>
      <c r="CB97" s="545"/>
      <c r="CC97" s="546"/>
      <c r="CD97" s="545"/>
      <c r="CE97" s="547"/>
      <c r="CF97" s="539"/>
      <c r="CG97" s="609"/>
      <c r="CH97" s="548"/>
      <c r="CI97" s="549"/>
      <c r="CJ97" s="550"/>
      <c r="CK97" s="551"/>
      <c r="CL97" s="552">
        <f>IFERROR(IF(FIND(CL$1,$W97)&gt;0,IF(INDEX(Product_Pricing_Table[],MATCH(CL$1,Products,0),2)="Cores",IF(HostBuild[Use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7" s="552">
        <f>IFERROR(IF(FIND(CM$1,$W97)&gt;0,IF(INDEX(Product_Pricing_Table[],MATCH(CM$1,Products,0),2)="Cores",IF(HostBuild[Use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7" s="552">
        <f>IFERROR(IF(FIND(CN$1,$W97)&gt;0,IF(INDEX(Product_Pricing_Table[],MATCH(CN$1,Products,0),2)="Cores",IF(HostBuild[Use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7" s="552">
        <f>IFERROR(IF(FIND(CO$1,$W97)&gt;0,IF(INDEX(Product_Pricing_Table[],MATCH(CO$1,Products,0),2)="Cores",IF(HostBuild[Use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7" s="552">
        <f>IFERROR(IF(FIND(CP$1,$W97)&gt;0,IF(INDEX(Product_Pricing_Table[],MATCH(CP$1,Products,0),2)="Cores",IF(HostBuild[Use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7" s="552">
        <f>IFERROR(IF(FIND(CQ$1,$W97)&gt;0,IF(INDEX(Product_Pricing_Table[],MATCH(CQ$1,Products,0),2)="Cores",IF(HostBuild[Use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7" s="552">
        <f>IFERROR(IF(FIND(CR$1,$W97)&gt;0,IF(INDEX(Product_Pricing_Table[],MATCH(CR$1,Products,0),2)="Cores",IF(HostBuild[Use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7" s="552">
        <f>IFERROR(IF(FIND(CS$1,$W97)&gt;0,IF(INDEX(Product_Pricing_Table[],MATCH(CS$1,Products,0),2)="Cores",IF(HostBuild[Use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7" s="552">
        <f>IFERROR(IF(FIND(CT$1,$W97)&gt;0,IF(INDEX(Product_Pricing_Table[],MATCH(CT$1,Products,0),2)="Cores",IF(HostBuild[Use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7" s="552">
        <f>IFERROR(IF(FIND(CU$1,$W97)&gt;0,IF(INDEX(Product_Pricing_Table[],MATCH(CU$1,Products,0),2)="Cores",IF(HostBuild[Use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7" s="552">
        <f>IFERROR(IF(FIND(CV$1,$W97)&gt;0,IF(INDEX(Product_Pricing_Table[],MATCH(CV$1,Products,0),2)="Cores",IF(HostBuild[Use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7" s="552">
        <f>IFERROR(IF(FIND(CW$1,$W97)&gt;0,IF(INDEX(Product_Pricing_Table[],MATCH(CW$1,Products,0),2)="Cores",IF(HostBuild[Use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7" s="552">
        <f>IFERROR(IF(FIND(CX$1,$W97)&gt;0,IF(INDEX(Product_Pricing_Table[],MATCH(CX$1,Products,0),2)="Cores",IF(HostBuild[Use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7" s="552">
        <f>IFERROR(IF(FIND(CY$1,$W97)&gt;0,IF(INDEX(Product_Pricing_Table[],MATCH(CY$1,Products,0),2)="Cores",IF(HostBuild[Use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7" s="552">
        <f>IFERROR(IF(FIND(CZ$1,$W97)&gt;0,IF(INDEX(Product_Pricing_Table[],MATCH(CZ$1,Products,0),2)="Cores",IF(HostBuild[Use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7" s="552">
        <f>IFERROR(IF(FIND(DA$1,$W97)&gt;0,IF(INDEX(Product_Pricing_Table[],MATCH(DA$1,Products,0),2)="Cores",IF(HostBuild[Use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7" s="552">
        <f>IFERROR(IF(FIND(DB$1,$W97)&gt;0,IF(INDEX(Product_Pricing_Table[],MATCH(DB$1,Products,0),2)="Cores",IF(HostBuild[Use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7" s="552">
        <f>IFERROR(IF(FIND(DC$1,$W97)&gt;0,IF(INDEX(Product_Pricing_Table[],MATCH(DC$1,Products,0),2)="Cores",IF(HostBuild[Use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7" s="552">
        <f>IFERROR(IF(FIND(DD$1,$W97)&gt;0,IF(INDEX(Product_Pricing_Table[],MATCH(DD$1,Products,0),2)="Cores",IF(HostBuild[Use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7" s="552">
        <f>IFERROR(IF(FIND(DE$1,$W97)&gt;0,IF(INDEX(Product_Pricing_Table[],MATCH(DE$1,Products,0),2)="Cores",IF(HostBuild[Use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7" s="553">
        <f>IFERROR(IF(FIND(DF$1,$W97)&gt;0,IF(INDEX(Product_Pricing_Table[],MATCH(DF$1,Products,0),2)="Cores",IF(HostBuild[Use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7" s="553">
        <f>IFERROR(IF(FIND(DG$1,$W97)&gt;0,IF(INDEX(Product_Pricing_Table[],MATCH(DG$1,Products,0),2)="Cores",IF(HostBuild[Use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7" s="552">
        <f>IFERROR(IF(FIND(DH$1,$W97)&gt;0,IF(INDEX(Product_Pricing_Table[],MATCH(DH$1,Products,0),2)="Cores",IF(HostBuild[Use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7" s="553">
        <f>IFERROR(IF(FIND(DI$1,$W97)&gt;0,IF(INDEX(Product_Pricing_Table[],MATCH(DI$1,Products,0),2)="Cores",IF(HostBuild[Use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7" s="552">
        <f>IFERROR(IF(FIND(DJ$1,$W97)&gt;0,IF(INDEX(Product_Pricing_Table[],MATCH(DJ$1,Products,0),2)="Cores",IF(HostBuild[Use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7" s="552">
        <f>IFERROR(IF(FIND(DK$1,$W97)&gt;0,IF(INDEX(Product_Pricing_Table[],MATCH(DK$1,Products,0),2)="Cores",IF(HostBuild[Use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7" s="552">
        <f>IFERROR(IF(FIND(DL$1,$W97)&gt;0,IF(INDEX(Product_Pricing_Table[],MATCH(DL$1,Products,0),2)="Cores",IF(HostBuild[Use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7" s="552">
        <f>IFERROR(IF(FIND(DM$1,$W97)&gt;0,IF(INDEX(Product_Pricing_Table[],MATCH(DM$1,Products,0),2)="Cores",IF(HostBuild[Use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7" s="552">
        <f>IFERROR(IF(FIND(DN$1,$W97)&gt;0,IF(INDEX(Product_Pricing_Table[],MATCH(DN$1,Products,0),2)="Cores",IF(HostBuild[Use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7" s="552">
        <f>IFERROR(IF(FIND(DO$1,$W97)&gt;0,IF(INDEX(Product_Pricing_Table[],MATCH(DO$1,Products,0),2)="Cores",IF(HostBuild[Use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7" s="552">
        <f>IFERROR(IF(FIND(DP$1,$W97)&gt;0,IF(INDEX(Product_Pricing_Table[],MATCH(DP$1,Products,0),2)="Cores",IF(HostBuild[Use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7" s="552">
        <f>IFERROR(IF(FIND(DQ$1,$W97)&gt;0,IF(INDEX(Product_Pricing_Table[],MATCH(DQ$1,Products,0),2)="Cores",IF(HostBuild[Use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7" s="552">
        <f>IFERROR(IF(FIND(DR$1,$W97)&gt;0,IF(INDEX(Product_Pricing_Table[],MATCH(DR$1,Products,0),2)="Cores",IF(HostBuild[Use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7" s="552">
        <f>IFERROR(IF(FIND(DS$1,$W97)&gt;0,IF(INDEX(Product_Pricing_Table[],MATCH(DS$1,Products,0),2)="Cores",IF(HostBuild[Use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7" s="552">
        <f>IFERROR(IF(FIND(DT$1,$W97)&gt;0,IF(INDEX(Product_Pricing_Table[],MATCH(DT$1,Products,0),2)="Cores",IF(HostBuild[Use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7" s="552">
        <f>IFERROR(IF(FIND(DU$1,$W97)&gt;0,IF(INDEX(Product_Pricing_Table[],MATCH(DU$1,Products,0),2)="Cores",IF(HostBuild[Use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7" s="552">
        <f>IFERROR(IF(FIND(DV$1,$W97)&gt;0,IF(INDEX(Product_Pricing_Table[],MATCH(DV$1,Products,0),2)="Cores",IF(HostBuild[Use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7" s="552">
        <f>IFERROR(IF(FIND(DW$1,$W97)&gt;0,IF(INDEX(Product_Pricing_Table[],MATCH(DW$1,Products,0),2)="Cores",IF(HostBuild[Use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7" s="552">
        <f>IFERROR(IF(FIND(DX$1,$W97)&gt;0,IF(INDEX(Product_Pricing_Table[],MATCH(DX$1,Products,0),2)="Cores",IF(HostBuild[Use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7" s="552">
        <f>IFERROR(IF(FIND(DY$1,$W97)&gt;0,IF(INDEX(Product_Pricing_Table[],MATCH(DY$1,Products,0),2)="Cores",IF(HostBuild[Use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7" s="552">
        <f>IFERROR(IF(FIND(DZ$1,$W97)&gt;0,IF(INDEX(Product_Pricing_Table[],MATCH(DZ$1,Products,0),2)="Cores",IF(HostBuild[Use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7" s="552">
        <f>IFERROR(IF(FIND(EA$1,$W97)&gt;0,IF(INDEX(Product_Pricing_Table[],MATCH(EA$1,Products,0),2)="Cores",IF(HostBuild[Use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7" s="552">
        <f>IFERROR(IF(FIND(EB$1,$W97)&gt;0,IF(INDEX(Product_Pricing_Table[],MATCH(EB$1,Products,0),2)="Cores",IF(HostBuild[Use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7" s="553">
        <f>IFERROR(IF(FIND(EC$1,$W97)&gt;0,IF(INDEX(Product_Pricing_Table[],MATCH(EC$1,Products,0),2)="Cores",IF(HostBuild[Use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7" s="552">
        <f>IFERROR(IF(FIND(ED$1,$W97)&gt;0,IF(INDEX(Product_Pricing_Table[],MATCH(ED$1,Products,0),2)="Cores",IF(HostBuild[Use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7" s="552">
        <f>IFERROR(IF(FIND(EE$1,$W97)&gt;0,IF(INDEX(Product_Pricing_Table[],MATCH(EE$1,Products,0),2)="Cores",IF(HostBuild[Use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7" s="552">
        <f>IFERROR(IF(FIND(EF$1,$W97)&gt;0,IF(INDEX(Product_Pricing_Table[],MATCH(EF$1,Products,0),2)="Cores",IF(HostBuild[Use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7" s="552">
        <f>IFERROR(IF(FIND(EG$1,$W97)&gt;0,IF(INDEX(Product_Pricing_Table[],MATCH(EG$1,Products,0),2)="Cores",IF(HostBuild[Use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7" s="552">
        <f>IFERROR(IF(FIND(EH$1,$W97)&gt;0,IF(INDEX(Product_Pricing_Table[],MATCH(EH$1,Products,0),2)="Cores",IF(HostBuild[Use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7" s="552">
        <f>IFERROR(IF(FIND(EI$1,$W97)&gt;0,IF(INDEX(Product_Pricing_Table[],MATCH(EI$1,Products,0),2)="Cores",IF(HostBuild[Use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7" s="552">
        <f>IFERROR(IF(FIND(EJ$1,$W97)&gt;0,IF(INDEX(Product_Pricing_Table[],MATCH(EJ$1,Products,0),2)="Cores",IF(HostBuild[Use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7" s="553">
        <f>IFERROR(IF(FIND(EK$1,$W97)&gt;0,IF(INDEX(Product_Pricing_Table[],MATCH(EK$1,Products,0),2)="Cores",IF(HostBuild[Use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7" s="554"/>
      <c r="EM97" s="555">
        <v>0</v>
      </c>
      <c r="EN97" s="556">
        <v>0</v>
      </c>
      <c r="EO97"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9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227.47500000000002</v>
      </c>
      <c r="EQ97" s="558">
        <f>(HostBuild[Archive
Full (GB)]+HostBuild[Archive
Incr (GB)])*Storage_DC_Dist_Tape_2014</f>
        <v>50.865937500000001</v>
      </c>
      <c r="ER97" s="558">
        <f>IF(ISNUMBER(HostBuild[Server HW Costs
(Monthly)]),SUM(HostBuild[[#This Row],[Server HW Costs
(Monthly)]:[Tape Costs
(Monthly)]]),0)</f>
        <v>465.44093750000002</v>
      </c>
      <c r="ES97" s="559">
        <f>HostBuild[Software Costs
'[Year 1']
(Monthly)]+HostBuild[Total Hardware Costs
(Monthly)]</f>
        <v>465.44093750000002</v>
      </c>
      <c r="ET97" s="559">
        <f>IFERROR(IF(FIND("Safenet",HostBuild[Server Model]),Safenet_PSE_PL600_Maint,0),0)+IFERROR(IF(FIND("XI52",HostBuild[Server Model]),IBM_DIA_XI52_Maint,0),0)+HostBuild[Software Costs
'[After Year 1']
(Monthly)]+HostBuild[Total Hardware Costs
(Monthly)]</f>
        <v>465.44093750000002</v>
      </c>
      <c r="EU97" s="560">
        <f>SUM(HostBuild[[#This Row],[Server Cost Breakdown]:[Network Cost]])</f>
        <v>187.1</v>
      </c>
      <c r="EV97" s="561">
        <f>IF(HostBuild[Existing Server?]="Yes - Inside this BoM",0,SUMIF(HostBuild[Alias],HostBuild[Alias],HostBuild[CPU])+SUMIF(HostBuild[Alias],HostBuild[Alias],HostBuild[Existing CPUs]))</f>
        <v>0</v>
      </c>
      <c r="EW97" s="561">
        <f>IF(HostBuild[Existing Server?]="Yes - Inside this BoM",0,SUMIF(HostBuild[Alias],HostBuild[Alias],HostBuild[Cores 
(Licensed Units)])+SUMIF(HostBuild[Alias],HostBuild[Alias],HostBuild[Existing Cores]))</f>
        <v>0</v>
      </c>
      <c r="EX97" s="561">
        <f>IF(HostBuild[Existing Server?]="Yes - Inside this BoM",0,SUMIF(HostBuild[Alias],HostBuild[Alias],HostBuild[RAM 
(GB)])+SUMIF(HostBuild[Alias],HostBuild[Alias],HostBuild[Existing RAM (GB)]))</f>
        <v>0</v>
      </c>
      <c r="EY9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7" s="560">
        <f>IF(ISBLANK(HostBuild[Server Model]),0,IF(HostBuild[Server Tier]="VMware",0,VLOOKUP(HostBuild[Server Tier],ServerTierRates[#Data],2,0))*HostBuild[CPU]*IF(AND(HostBuild[Server Type]="pSeries",HostBuild[Virtual Platform Storage Type]="Cloud-SAN"),0.25,1))</f>
        <v>0</v>
      </c>
      <c r="FD97" s="560">
        <f>0</f>
        <v>0</v>
      </c>
      <c r="FE97" s="560">
        <f>IF(HostBuild[Server Type]="VMware",HostBuild[RAM 
(GB)]*IF(ISERROR(FIND("DevCloud", HostBuild[Server Model])&gt;0),vRAM_per_vCPU_2014_Monthly,vRAM_per_vCPU_2014_Daily*30),0)</f>
        <v>0</v>
      </c>
      <c r="FF9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7" s="563">
        <f>IF(HostBuild[Server Tier]="VMware",0,IF(LEFT(HostBuild[Existing Server?],3)="Yes",0,IF(OR(HostBuild[Server Type]="Sun",HostBuild[Server Type]="pSeries"),Support_Direct_Server_Sun_per_OS_2014,IF(HostBuild[Server Type]="x86",Support_Direct_Server_x86_Wintel_per_OS_2014,0))))</f>
        <v>187.1</v>
      </c>
      <c r="FI9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8" spans="1:165" s="139" customFormat="1" ht="15" customHeight="1">
      <c r="A98" s="360" t="s">
        <v>3942</v>
      </c>
      <c r="B98" s="521"/>
      <c r="C98" s="521"/>
      <c r="D98" s="521"/>
      <c r="E98" s="522"/>
      <c r="F98" s="522"/>
      <c r="G98" s="597"/>
      <c r="H98" s="597"/>
      <c r="I98" s="523"/>
      <c r="J98" s="522"/>
      <c r="K98" s="522"/>
      <c r="L98" s="522"/>
      <c r="M98" s="597" t="e">
        <f ca="1">IF(rngIsDate(HostBuild[CTO Acceptance]),"Y","N")</f>
        <v>#NAME?</v>
      </c>
      <c r="N98" s="361" t="s">
        <v>4102</v>
      </c>
      <c r="O98" s="525"/>
      <c r="P98" s="525"/>
      <c r="Q98" s="361" t="s">
        <v>213</v>
      </c>
      <c r="R98" s="526" t="str">
        <f>IF(NOT(ISBLANK(HostBuild[Env Label])),IFERROR(VLOOKUP(HostBuild[Env Label],tEnv[],3,FALSE),""),"")</f>
        <v>SIT</v>
      </c>
      <c r="S98" s="598"/>
      <c r="T98" s="527"/>
      <c r="U98" s="599"/>
      <c r="V98" s="524" t="s">
        <v>4086</v>
      </c>
      <c r="W98" s="524" t="s">
        <v>4088</v>
      </c>
      <c r="X98" s="524" t="s">
        <v>35</v>
      </c>
      <c r="Y98" s="361" t="s">
        <v>481</v>
      </c>
      <c r="Z98" s="526" t="str">
        <f>IF(NOT(ISBLANK(HostBuild[[#This Row],[Product 
(Acronym)]])),CONCATENATE(HostBuild[[#This Row],[Type]],"-",HostBuild[[#This Row],[Product 
(Acronym)]]),"")</f>
        <v>AP-ESB</v>
      </c>
      <c r="AA98" s="600"/>
      <c r="AB98" s="600" t="s">
        <v>105</v>
      </c>
      <c r="AC98" s="528"/>
      <c r="AD98" s="529"/>
      <c r="AE98" s="529"/>
      <c r="AF98" s="530" t="s">
        <v>3986</v>
      </c>
      <c r="AG98" s="531"/>
      <c r="AH98" s="601"/>
      <c r="AI98" s="362" t="s">
        <v>4124</v>
      </c>
      <c r="AJ98" s="524">
        <f>IF(COUNTIF(HostBuild[Alias],HostBuild[Alias]),1/COUNTIF(HostBuild[Alias],HostBuild[Alias]),0)</f>
        <v>1</v>
      </c>
      <c r="AK98" s="531"/>
      <c r="AL98" s="531"/>
      <c r="AM98" s="532" t="s">
        <v>2173</v>
      </c>
      <c r="AN98" s="533" t="str">
        <f>IF(NOT(ISBLANK(HostBuild[Server Model])),VLOOKUP(HostBuild[Server Model],ServerModelsTier[],2,FALSE),"")</f>
        <v>x86 Tier 3</v>
      </c>
      <c r="AO98" s="533" t="str">
        <f>IF(NOT(ISBLANK(HostBuild[Server Model])),VLOOKUP(HostBuild[Server Model],ServerModelsTier[],5,FALSE),"")</f>
        <v>x86</v>
      </c>
      <c r="AP98" s="532"/>
      <c r="AQ98" s="532" t="s">
        <v>2337</v>
      </c>
      <c r="AR98" s="534"/>
      <c r="AS98" s="602"/>
      <c r="AT98" s="535"/>
      <c r="AU98" s="603" t="str">
        <f>IF(IFERROR(FIND("P-Series",HostBuild[Server Tier]),0),CEILING((HostBuild[Existing CPUs]+HostBuild[CPU])*16,8),"")</f>
        <v/>
      </c>
      <c r="AV98" s="536"/>
      <c r="AW98" s="531"/>
      <c r="AX98" s="531"/>
      <c r="AY98" s="531"/>
      <c r="AZ98" s="537"/>
      <c r="BA98" s="531"/>
      <c r="BB98" s="531"/>
      <c r="BC98" s="529"/>
      <c r="BD98" s="531"/>
      <c r="BE98" s="531"/>
      <c r="BF98" s="531"/>
      <c r="BG98" s="531"/>
      <c r="BH98" s="531"/>
      <c r="BI98" s="531"/>
      <c r="BJ98" s="531"/>
      <c r="BK98"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8" s="538">
        <v>250</v>
      </c>
      <c r="BM98" s="540">
        <f>IF(ISNUMBER(HostBuild[Recommended SAN (GB)]),HostBuild[Recommended SAN (GB)])+IF(HostBuild[Additional SAN (GB)]&gt;0,CEILING(HostBuild[Additional SAN (GB)],LUN),-(CEILING(-HostBuild[Additional SAN (GB)],LUN)))</f>
        <v>269.60000000000002</v>
      </c>
      <c r="BN98" s="539"/>
      <c r="BO98" s="540">
        <f>HostBuild[SAN (GB)
NEEDED TODAY]+CEILING(HostBuild[SAN (GB)
RESERVED
DO NOT USE TO BUILD], LUN)</f>
        <v>269.60000000000002</v>
      </c>
      <c r="BP98" s="541"/>
      <c r="BQ98" s="542"/>
      <c r="BR98" s="432"/>
      <c r="BS98" s="605">
        <f>IF(HostBuild[Existing Server?]&lt;&gt;"Yes - Inside this BoM",IF(ISNUMBER(HostBuild[RAM 
(GB)]),IF(HostBuild[Existing RAM (GB)]+HostBuild[RAM 
(GB)]&gt;0,IF(HostBuild[Virtual Platform Storage Type]="NAS",110+HostBuild[Existing RAM (GB)]+HostBuild[RAM 
(GB)]*1.75,0),0),0),0)</f>
        <v>0</v>
      </c>
      <c r="BT98" s="606"/>
      <c r="BU98" s="607">
        <f>IF(ISNUMBER(HostBuild[Recommended NAS (GB)]),HostBuild[Recommended NAS (GB)])+HostBuild[Additional NAS (GB)]</f>
        <v>0</v>
      </c>
      <c r="BV98" s="543"/>
      <c r="BW98" s="543"/>
      <c r="BX98" s="604">
        <f>IFERROR((HostBuild[SAN (GB)
End-State
DO NOT USE TO BUILD]+HostBuild[SAN (GB) Shared])*25%,"")</f>
        <v>67.400000000000006</v>
      </c>
      <c r="BY98" s="608">
        <f>IFERROR(HostBuild[Archive
Full (GB)]*15%,"")</f>
        <v>10.110000000000001</v>
      </c>
      <c r="BZ98" s="544"/>
      <c r="CA98" s="544"/>
      <c r="CB98" s="545"/>
      <c r="CC98" s="546"/>
      <c r="CD98" s="545"/>
      <c r="CE98" s="547"/>
      <c r="CF98" s="539"/>
      <c r="CG98" s="609"/>
      <c r="CH98" s="548"/>
      <c r="CI98" s="549"/>
      <c r="CJ98" s="550"/>
      <c r="CK98" s="551"/>
      <c r="CL98" s="552">
        <f>IFERROR(IF(FIND(CL$1,$W98)&gt;0,IF(INDEX(Product_Pricing_Table[],MATCH(CL$1,Products,0),2)="Cores",IF(HostBuild[Use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8" s="552">
        <f>IFERROR(IF(FIND(CM$1,$W98)&gt;0,IF(INDEX(Product_Pricing_Table[],MATCH(CM$1,Products,0),2)="Cores",IF(HostBuild[Use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8" s="552">
        <f>IFERROR(IF(FIND(CN$1,$W98)&gt;0,IF(INDEX(Product_Pricing_Table[],MATCH(CN$1,Products,0),2)="Cores",IF(HostBuild[Use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8" s="552">
        <f>IFERROR(IF(FIND(CO$1,$W98)&gt;0,IF(INDEX(Product_Pricing_Table[],MATCH(CO$1,Products,0),2)="Cores",IF(HostBuild[Use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8" s="552">
        <f>IFERROR(IF(FIND(CP$1,$W98)&gt;0,IF(INDEX(Product_Pricing_Table[],MATCH(CP$1,Products,0),2)="Cores",IF(HostBuild[Use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8" s="552">
        <f>IFERROR(IF(FIND(CQ$1,$W98)&gt;0,IF(INDEX(Product_Pricing_Table[],MATCH(CQ$1,Products,0),2)="Cores",IF(HostBuild[Use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8" s="552">
        <f>IFERROR(IF(FIND(CR$1,$W98)&gt;0,IF(INDEX(Product_Pricing_Table[],MATCH(CR$1,Products,0),2)="Cores",IF(HostBuild[Use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8" s="552">
        <f>IFERROR(IF(FIND(CS$1,$W98)&gt;0,IF(INDEX(Product_Pricing_Table[],MATCH(CS$1,Products,0),2)="Cores",IF(HostBuild[Use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8" s="552">
        <f>IFERROR(IF(FIND(CT$1,$W98)&gt;0,IF(INDEX(Product_Pricing_Table[],MATCH(CT$1,Products,0),2)="Cores",IF(HostBuild[Use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8" s="552">
        <f>IFERROR(IF(FIND(CU$1,$W98)&gt;0,IF(INDEX(Product_Pricing_Table[],MATCH(CU$1,Products,0),2)="Cores",IF(HostBuild[Use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8" s="552">
        <f>IFERROR(IF(FIND(CV$1,$W98)&gt;0,IF(INDEX(Product_Pricing_Table[],MATCH(CV$1,Products,0),2)="Cores",IF(HostBuild[Use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8" s="552">
        <f>IFERROR(IF(FIND(CW$1,$W98)&gt;0,IF(INDEX(Product_Pricing_Table[],MATCH(CW$1,Products,0),2)="Cores",IF(HostBuild[Use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8" s="552">
        <f>IFERROR(IF(FIND(CX$1,$W98)&gt;0,IF(INDEX(Product_Pricing_Table[],MATCH(CX$1,Products,0),2)="Cores",IF(HostBuild[Use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8" s="552">
        <f>IFERROR(IF(FIND(CY$1,$W98)&gt;0,IF(INDEX(Product_Pricing_Table[],MATCH(CY$1,Products,0),2)="Cores",IF(HostBuild[Use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8" s="552">
        <f>IFERROR(IF(FIND(CZ$1,$W98)&gt;0,IF(INDEX(Product_Pricing_Table[],MATCH(CZ$1,Products,0),2)="Cores",IF(HostBuild[Use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8" s="552">
        <f>IFERROR(IF(FIND(DA$1,$W98)&gt;0,IF(INDEX(Product_Pricing_Table[],MATCH(DA$1,Products,0),2)="Cores",IF(HostBuild[Use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8" s="552">
        <f>IFERROR(IF(FIND(DB$1,$W98)&gt;0,IF(INDEX(Product_Pricing_Table[],MATCH(DB$1,Products,0),2)="Cores",IF(HostBuild[Use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8" s="552">
        <f>IFERROR(IF(FIND(DC$1,$W98)&gt;0,IF(INDEX(Product_Pricing_Table[],MATCH(DC$1,Products,0),2)="Cores",IF(HostBuild[Use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8" s="552">
        <f>IFERROR(IF(FIND(DD$1,$W98)&gt;0,IF(INDEX(Product_Pricing_Table[],MATCH(DD$1,Products,0),2)="Cores",IF(HostBuild[Use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8" s="552">
        <f>IFERROR(IF(FIND(DE$1,$W98)&gt;0,IF(INDEX(Product_Pricing_Table[],MATCH(DE$1,Products,0),2)="Cores",IF(HostBuild[Use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8" s="553">
        <f>IFERROR(IF(FIND(DF$1,$W98)&gt;0,IF(INDEX(Product_Pricing_Table[],MATCH(DF$1,Products,0),2)="Cores",IF(HostBuild[Use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8" s="553">
        <f>IFERROR(IF(FIND(DG$1,$W98)&gt;0,IF(INDEX(Product_Pricing_Table[],MATCH(DG$1,Products,0),2)="Cores",IF(HostBuild[Use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8" s="552">
        <f>IFERROR(IF(FIND(DH$1,$W98)&gt;0,IF(INDEX(Product_Pricing_Table[],MATCH(DH$1,Products,0),2)="Cores",IF(HostBuild[Use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8" s="553">
        <f>IFERROR(IF(FIND(DI$1,$W98)&gt;0,IF(INDEX(Product_Pricing_Table[],MATCH(DI$1,Products,0),2)="Cores",IF(HostBuild[Use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8" s="552">
        <f>IFERROR(IF(FIND(DJ$1,$W98)&gt;0,IF(INDEX(Product_Pricing_Table[],MATCH(DJ$1,Products,0),2)="Cores",IF(HostBuild[Use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8" s="552">
        <f>IFERROR(IF(FIND(DK$1,$W98)&gt;0,IF(INDEX(Product_Pricing_Table[],MATCH(DK$1,Products,0),2)="Cores",IF(HostBuild[Use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8" s="552">
        <f>IFERROR(IF(FIND(DL$1,$W98)&gt;0,IF(INDEX(Product_Pricing_Table[],MATCH(DL$1,Products,0),2)="Cores",IF(HostBuild[Use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8" s="552">
        <f>IFERROR(IF(FIND(DM$1,$W98)&gt;0,IF(INDEX(Product_Pricing_Table[],MATCH(DM$1,Products,0),2)="Cores",IF(HostBuild[Use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8" s="552">
        <f>IFERROR(IF(FIND(DN$1,$W98)&gt;0,IF(INDEX(Product_Pricing_Table[],MATCH(DN$1,Products,0),2)="Cores",IF(HostBuild[Use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8" s="552">
        <f>IFERROR(IF(FIND(DO$1,$W98)&gt;0,IF(INDEX(Product_Pricing_Table[],MATCH(DO$1,Products,0),2)="Cores",IF(HostBuild[Use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8" s="552">
        <f>IFERROR(IF(FIND(DP$1,$W98)&gt;0,IF(INDEX(Product_Pricing_Table[],MATCH(DP$1,Products,0),2)="Cores",IF(HostBuild[Use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8" s="552">
        <f>IFERROR(IF(FIND(DQ$1,$W98)&gt;0,IF(INDEX(Product_Pricing_Table[],MATCH(DQ$1,Products,0),2)="Cores",IF(HostBuild[Use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8" s="552">
        <f>IFERROR(IF(FIND(DR$1,$W98)&gt;0,IF(INDEX(Product_Pricing_Table[],MATCH(DR$1,Products,0),2)="Cores",IF(HostBuild[Use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8" s="552">
        <f>IFERROR(IF(FIND(DS$1,$W98)&gt;0,IF(INDEX(Product_Pricing_Table[],MATCH(DS$1,Products,0),2)="Cores",IF(HostBuild[Use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8" s="552">
        <f>IFERROR(IF(FIND(DT$1,$W98)&gt;0,IF(INDEX(Product_Pricing_Table[],MATCH(DT$1,Products,0),2)="Cores",IF(HostBuild[Use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8" s="552">
        <f>IFERROR(IF(FIND(DU$1,$W98)&gt;0,IF(INDEX(Product_Pricing_Table[],MATCH(DU$1,Products,0),2)="Cores",IF(HostBuild[Use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8" s="552">
        <f>IFERROR(IF(FIND(DV$1,$W98)&gt;0,IF(INDEX(Product_Pricing_Table[],MATCH(DV$1,Products,0),2)="Cores",IF(HostBuild[Use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8" s="552">
        <f>IFERROR(IF(FIND(DW$1,$W98)&gt;0,IF(INDEX(Product_Pricing_Table[],MATCH(DW$1,Products,0),2)="Cores",IF(HostBuild[Use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8" s="552">
        <f>IFERROR(IF(FIND(DX$1,$W98)&gt;0,IF(INDEX(Product_Pricing_Table[],MATCH(DX$1,Products,0),2)="Cores",IF(HostBuild[Use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8" s="552">
        <f>IFERROR(IF(FIND(DY$1,$W98)&gt;0,IF(INDEX(Product_Pricing_Table[],MATCH(DY$1,Products,0),2)="Cores",IF(HostBuild[Use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8" s="552">
        <f>IFERROR(IF(FIND(DZ$1,$W98)&gt;0,IF(INDEX(Product_Pricing_Table[],MATCH(DZ$1,Products,0),2)="Cores",IF(HostBuild[Use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8" s="552">
        <f>IFERROR(IF(FIND(EA$1,$W98)&gt;0,IF(INDEX(Product_Pricing_Table[],MATCH(EA$1,Products,0),2)="Cores",IF(HostBuild[Use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8" s="552">
        <f>IFERROR(IF(FIND(EB$1,$W98)&gt;0,IF(INDEX(Product_Pricing_Table[],MATCH(EB$1,Products,0),2)="Cores",IF(HostBuild[Use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8" s="553">
        <f>IFERROR(IF(FIND(EC$1,$W98)&gt;0,IF(INDEX(Product_Pricing_Table[],MATCH(EC$1,Products,0),2)="Cores",IF(HostBuild[Use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8" s="552">
        <f>IFERROR(IF(FIND(ED$1,$W98)&gt;0,IF(INDEX(Product_Pricing_Table[],MATCH(ED$1,Products,0),2)="Cores",IF(HostBuild[Use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8" s="552">
        <f>IFERROR(IF(FIND(EE$1,$W98)&gt;0,IF(INDEX(Product_Pricing_Table[],MATCH(EE$1,Products,0),2)="Cores",IF(HostBuild[Use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8" s="552">
        <f>IFERROR(IF(FIND(EF$1,$W98)&gt;0,IF(INDEX(Product_Pricing_Table[],MATCH(EF$1,Products,0),2)="Cores",IF(HostBuild[Use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8" s="552">
        <f>IFERROR(IF(FIND(EG$1,$W98)&gt;0,IF(INDEX(Product_Pricing_Table[],MATCH(EG$1,Products,0),2)="Cores",IF(HostBuild[Use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8" s="552">
        <f>IFERROR(IF(FIND(EH$1,$W98)&gt;0,IF(INDEX(Product_Pricing_Table[],MATCH(EH$1,Products,0),2)="Cores",IF(HostBuild[Use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8" s="552">
        <f>IFERROR(IF(FIND(EI$1,$W98)&gt;0,IF(INDEX(Product_Pricing_Table[],MATCH(EI$1,Products,0),2)="Cores",IF(HostBuild[Use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8" s="552">
        <f>IFERROR(IF(FIND(EJ$1,$W98)&gt;0,IF(INDEX(Product_Pricing_Table[],MATCH(EJ$1,Products,0),2)="Cores",IF(HostBuild[Use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8" s="553">
        <f>IFERROR(IF(FIND(EK$1,$W98)&gt;0,IF(INDEX(Product_Pricing_Table[],MATCH(EK$1,Products,0),2)="Cores",IF(HostBuild[Use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8" s="554"/>
      <c r="EM98" s="555">
        <v>3000</v>
      </c>
      <c r="EN98" s="556">
        <v>420</v>
      </c>
      <c r="EO98"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9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121.32000000000001</v>
      </c>
      <c r="EQ98" s="558">
        <f>(HostBuild[Archive
Full (GB)]+HostBuild[Archive
Incr (GB)])*Storage_DC_Dist_Tape_2014</f>
        <v>27.128499999999999</v>
      </c>
      <c r="ER98" s="558">
        <f>IF(ISNUMBER(HostBuild[Server HW Costs
(Monthly)]),SUM(HostBuild[[#This Row],[Server HW Costs
(Monthly)]:[Tape Costs
(Monthly)]]),0)</f>
        <v>335.54849999999999</v>
      </c>
      <c r="ES98" s="559">
        <f>HostBuild[Software Costs
'[Year 1']
(Monthly)]+HostBuild[Total Hardware Costs
(Monthly)]</f>
        <v>3335.5484999999999</v>
      </c>
      <c r="ET98" s="559">
        <f>IFERROR(IF(FIND("Safenet",HostBuild[Server Model]),Safenet_PSE_PL600_Maint,0),0)+IFERROR(IF(FIND("XI52",HostBuild[Server Model]),IBM_DIA_XI52_Maint,0),0)+HostBuild[Software Costs
'[After Year 1']
(Monthly)]+HostBuild[Total Hardware Costs
(Monthly)]</f>
        <v>755.54849999999999</v>
      </c>
      <c r="EU98" s="560">
        <f>SUM(HostBuild[[#This Row],[Server Cost Breakdown]:[Network Cost]])</f>
        <v>187.1</v>
      </c>
      <c r="EV98" s="561">
        <f>IF(HostBuild[Existing Server?]="Yes - Inside this BoM",0,SUMIF(HostBuild[Alias],HostBuild[Alias],HostBuild[CPU])+SUMIF(HostBuild[Alias],HostBuild[Alias],HostBuild[Existing CPUs]))</f>
        <v>0</v>
      </c>
      <c r="EW98" s="561">
        <f>IF(HostBuild[Existing Server?]="Yes - Inside this BoM",0,SUMIF(HostBuild[Alias],HostBuild[Alias],HostBuild[Cores 
(Licensed Units)])+SUMIF(HostBuild[Alias],HostBuild[Alias],HostBuild[Existing Cores]))</f>
        <v>0</v>
      </c>
      <c r="EX98" s="561">
        <f>IF(HostBuild[Existing Server?]="Yes - Inside this BoM",0,SUMIF(HostBuild[Alias],HostBuild[Alias],HostBuild[RAM 
(GB)])+SUMIF(HostBuild[Alias],HostBuild[Alias],HostBuild[Existing RAM (GB)]))</f>
        <v>0</v>
      </c>
      <c r="EY9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8" s="560">
        <f>IF(ISBLANK(HostBuild[Server Model]),0,IF(HostBuild[Server Tier]="VMware",0,VLOOKUP(HostBuild[Server Tier],ServerTierRates[#Data],2,0))*HostBuild[CPU]*IF(AND(HostBuild[Server Type]="pSeries",HostBuild[Virtual Platform Storage Type]="Cloud-SAN"),0.25,1))</f>
        <v>0</v>
      </c>
      <c r="FD98" s="560">
        <f>0</f>
        <v>0</v>
      </c>
      <c r="FE98" s="560">
        <f>IF(HostBuild[Server Type]="VMware",HostBuild[RAM 
(GB)]*IF(ISERROR(FIND("DevCloud", HostBuild[Server Model])&gt;0),vRAM_per_vCPU_2014_Monthly,vRAM_per_vCPU_2014_Daily*30),0)</f>
        <v>0</v>
      </c>
      <c r="FF9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8" s="563">
        <f>IF(HostBuild[Server Tier]="VMware",0,IF(LEFT(HostBuild[Existing Server?],3)="Yes",0,IF(OR(HostBuild[Server Type]="Sun",HostBuild[Server Type]="pSeries"),Support_Direct_Server_Sun_per_OS_2014,IF(HostBuild[Server Type]="x86",Support_Direct_Server_x86_Wintel_per_OS_2014,0))))</f>
        <v>187.1</v>
      </c>
      <c r="FI9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99" spans="1:165" s="139" customFormat="1" ht="15" customHeight="1">
      <c r="A99" s="360" t="s">
        <v>3942</v>
      </c>
      <c r="B99" s="521"/>
      <c r="C99" s="521"/>
      <c r="D99" s="521"/>
      <c r="E99" s="522"/>
      <c r="F99" s="522"/>
      <c r="G99" s="597"/>
      <c r="H99" s="597"/>
      <c r="I99" s="523"/>
      <c r="J99" s="522"/>
      <c r="K99" s="522"/>
      <c r="L99" s="522"/>
      <c r="M99" s="597" t="e">
        <f ca="1">IF(rngIsDate(HostBuild[CTO Acceptance]),"Y","N")</f>
        <v>#NAME?</v>
      </c>
      <c r="N99" s="361" t="s">
        <v>4102</v>
      </c>
      <c r="O99" s="525"/>
      <c r="P99" s="525"/>
      <c r="Q99" s="361" t="s">
        <v>213</v>
      </c>
      <c r="R99" s="526" t="str">
        <f>IF(NOT(ISBLANK(HostBuild[Env Label])),IFERROR(VLOOKUP(HostBuild[Env Label],tEnv[],3,FALSE),""),"")</f>
        <v>SIT</v>
      </c>
      <c r="S99" s="598"/>
      <c r="T99" s="527"/>
      <c r="U99" s="599"/>
      <c r="V99" s="524" t="s">
        <v>4087</v>
      </c>
      <c r="W99" s="524" t="s">
        <v>3941</v>
      </c>
      <c r="X99" s="524" t="s">
        <v>35</v>
      </c>
      <c r="Y99" s="361" t="s">
        <v>481</v>
      </c>
      <c r="Z99" s="526" t="str">
        <f>IF(NOT(ISBLANK(HostBuild[[#This Row],[Product 
(Acronym)]])),CONCATENATE(HostBuild[[#This Row],[Type]],"-",HostBuild[[#This Row],[Product 
(Acronym)]]),"")</f>
        <v>AP-ESB</v>
      </c>
      <c r="AA99" s="600"/>
      <c r="AB99" s="600" t="s">
        <v>105</v>
      </c>
      <c r="AC99" s="528"/>
      <c r="AD99" s="529"/>
      <c r="AE99" s="529"/>
      <c r="AF99" s="530" t="s">
        <v>3986</v>
      </c>
      <c r="AG99" s="531"/>
      <c r="AH99" s="601"/>
      <c r="AI99" s="362" t="s">
        <v>4125</v>
      </c>
      <c r="AJ99" s="524">
        <f>IF(COUNTIF(HostBuild[Alias],HostBuild[Alias]),1/COUNTIF(HostBuild[Alias],HostBuild[Alias]),0)</f>
        <v>1</v>
      </c>
      <c r="AK99" s="531"/>
      <c r="AL99" s="531"/>
      <c r="AM99" s="532" t="s">
        <v>2173</v>
      </c>
      <c r="AN99" s="533" t="str">
        <f>IF(NOT(ISBLANK(HostBuild[Server Model])),VLOOKUP(HostBuild[Server Model],ServerModelsTier[],2,FALSE),"")</f>
        <v>x86 Tier 3</v>
      </c>
      <c r="AO99" s="533" t="str">
        <f>IF(NOT(ISBLANK(HostBuild[Server Model])),VLOOKUP(HostBuild[Server Model],ServerModelsTier[],5,FALSE),"")</f>
        <v>x86</v>
      </c>
      <c r="AP99" s="532"/>
      <c r="AQ99" s="532" t="s">
        <v>2337</v>
      </c>
      <c r="AR99" s="534"/>
      <c r="AS99" s="602"/>
      <c r="AT99" s="535"/>
      <c r="AU99" s="603" t="str">
        <f>IF(IFERROR(FIND("P-Series",HostBuild[Server Tier]),0),CEILING((HostBuild[Existing CPUs]+HostBuild[CPU])*16,8),"")</f>
        <v/>
      </c>
      <c r="AV99" s="536"/>
      <c r="AW99" s="531"/>
      <c r="AX99" s="531"/>
      <c r="AY99" s="531"/>
      <c r="AZ99" s="537"/>
      <c r="BA99" s="531"/>
      <c r="BB99" s="531"/>
      <c r="BC99" s="529"/>
      <c r="BD99" s="531"/>
      <c r="BE99" s="531"/>
      <c r="BF99" s="531"/>
      <c r="BG99" s="531"/>
      <c r="BH99" s="531"/>
      <c r="BI99" s="531"/>
      <c r="BJ99" s="531"/>
      <c r="BK99"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99" s="538">
        <v>250</v>
      </c>
      <c r="BM99" s="540">
        <f>IF(ISNUMBER(HostBuild[Recommended SAN (GB)]),HostBuild[Recommended SAN (GB)])+IF(HostBuild[Additional SAN (GB)]&gt;0,CEILING(HostBuild[Additional SAN (GB)],LUN),-(CEILING(-HostBuild[Additional SAN (GB)],LUN)))</f>
        <v>269.60000000000002</v>
      </c>
      <c r="BN99" s="539"/>
      <c r="BO99" s="540">
        <f>HostBuild[SAN (GB)
NEEDED TODAY]+CEILING(HostBuild[SAN (GB)
RESERVED
DO NOT USE TO BUILD], LUN)</f>
        <v>269.60000000000002</v>
      </c>
      <c r="BP99" s="541"/>
      <c r="BQ99" s="542"/>
      <c r="BR99" s="432"/>
      <c r="BS99" s="605">
        <f>IF(HostBuild[Existing Server?]&lt;&gt;"Yes - Inside this BoM",IF(ISNUMBER(HostBuild[RAM 
(GB)]),IF(HostBuild[Existing RAM (GB)]+HostBuild[RAM 
(GB)]&gt;0,IF(HostBuild[Virtual Platform Storage Type]="NAS",110+HostBuild[Existing RAM (GB)]+HostBuild[RAM 
(GB)]*1.75,0),0),0),0)</f>
        <v>0</v>
      </c>
      <c r="BT99" s="606"/>
      <c r="BU99" s="607">
        <f>IF(ISNUMBER(HostBuild[Recommended NAS (GB)]),HostBuild[Recommended NAS (GB)])+HostBuild[Additional NAS (GB)]</f>
        <v>0</v>
      </c>
      <c r="BV99" s="543"/>
      <c r="BW99" s="543"/>
      <c r="BX99" s="604">
        <f>IFERROR((HostBuild[SAN (GB)
End-State
DO NOT USE TO BUILD]+HostBuild[SAN (GB) Shared])*25%,"")</f>
        <v>67.400000000000006</v>
      </c>
      <c r="BY99" s="608">
        <f>IFERROR(HostBuild[Archive
Full (GB)]*15%,"")</f>
        <v>10.110000000000001</v>
      </c>
      <c r="BZ99" s="544"/>
      <c r="CA99" s="544"/>
      <c r="CB99" s="545"/>
      <c r="CC99" s="546"/>
      <c r="CD99" s="545"/>
      <c r="CE99" s="547"/>
      <c r="CF99" s="539"/>
      <c r="CG99" s="609"/>
      <c r="CH99" s="548"/>
      <c r="CI99" s="549"/>
      <c r="CJ99" s="550"/>
      <c r="CK99" s="551"/>
      <c r="CL99" s="552">
        <f>IFERROR(IF(FIND(CL$1,$W99)&gt;0,IF(INDEX(Product_Pricing_Table[],MATCH(CL$1,Products,0),2)="Cores",IF(HostBuild[Use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99" s="552">
        <f>IFERROR(IF(FIND(CM$1,$W99)&gt;0,IF(INDEX(Product_Pricing_Table[],MATCH(CM$1,Products,0),2)="Cores",IF(HostBuild[Use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99" s="552">
        <f>IFERROR(IF(FIND(CN$1,$W99)&gt;0,IF(INDEX(Product_Pricing_Table[],MATCH(CN$1,Products,0),2)="Cores",IF(HostBuild[Use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99" s="552">
        <f>IFERROR(IF(FIND(CO$1,$W99)&gt;0,IF(INDEX(Product_Pricing_Table[],MATCH(CO$1,Products,0),2)="Cores",IF(HostBuild[Use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99" s="552">
        <f>IFERROR(IF(FIND(CP$1,$W99)&gt;0,IF(INDEX(Product_Pricing_Table[],MATCH(CP$1,Products,0),2)="Cores",IF(HostBuild[Use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99" s="552">
        <f>IFERROR(IF(FIND(CQ$1,$W99)&gt;0,IF(INDEX(Product_Pricing_Table[],MATCH(CQ$1,Products,0),2)="Cores",IF(HostBuild[Use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99" s="552">
        <f>IFERROR(IF(FIND(CR$1,$W99)&gt;0,IF(INDEX(Product_Pricing_Table[],MATCH(CR$1,Products,0),2)="Cores",IF(HostBuild[Use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99" s="552">
        <f>IFERROR(IF(FIND(CS$1,$W99)&gt;0,IF(INDEX(Product_Pricing_Table[],MATCH(CS$1,Products,0),2)="Cores",IF(HostBuild[Use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99" s="552">
        <f>IFERROR(IF(FIND(CT$1,$W99)&gt;0,IF(INDEX(Product_Pricing_Table[],MATCH(CT$1,Products,0),2)="Cores",IF(HostBuild[Use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99" s="552">
        <f>IFERROR(IF(FIND(CU$1,$W99)&gt;0,IF(INDEX(Product_Pricing_Table[],MATCH(CU$1,Products,0),2)="Cores",IF(HostBuild[Use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99" s="552">
        <f>IFERROR(IF(FIND(CV$1,$W99)&gt;0,IF(INDEX(Product_Pricing_Table[],MATCH(CV$1,Products,0),2)="Cores",IF(HostBuild[Use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99" s="552">
        <f>IFERROR(IF(FIND(CW$1,$W99)&gt;0,IF(INDEX(Product_Pricing_Table[],MATCH(CW$1,Products,0),2)="Cores",IF(HostBuild[Use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99" s="552">
        <f>IFERROR(IF(FIND(CX$1,$W99)&gt;0,IF(INDEX(Product_Pricing_Table[],MATCH(CX$1,Products,0),2)="Cores",IF(HostBuild[Use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99" s="552">
        <f>IFERROR(IF(FIND(CY$1,$W99)&gt;0,IF(INDEX(Product_Pricing_Table[],MATCH(CY$1,Products,0),2)="Cores",IF(HostBuild[Use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99" s="552">
        <f>IFERROR(IF(FIND(CZ$1,$W99)&gt;0,IF(INDEX(Product_Pricing_Table[],MATCH(CZ$1,Products,0),2)="Cores",IF(HostBuild[Use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99" s="552">
        <f>IFERROR(IF(FIND(DA$1,$W99)&gt;0,IF(INDEX(Product_Pricing_Table[],MATCH(DA$1,Products,0),2)="Cores",IF(HostBuild[Use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99" s="552">
        <f>IFERROR(IF(FIND(DB$1,$W99)&gt;0,IF(INDEX(Product_Pricing_Table[],MATCH(DB$1,Products,0),2)="Cores",IF(HostBuild[Use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99" s="552">
        <f>IFERROR(IF(FIND(DC$1,$W99)&gt;0,IF(INDEX(Product_Pricing_Table[],MATCH(DC$1,Products,0),2)="Cores",IF(HostBuild[Use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99" s="552">
        <f>IFERROR(IF(FIND(DD$1,$W99)&gt;0,IF(INDEX(Product_Pricing_Table[],MATCH(DD$1,Products,0),2)="Cores",IF(HostBuild[Use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99" s="552">
        <f>IFERROR(IF(FIND(DE$1,$W99)&gt;0,IF(INDEX(Product_Pricing_Table[],MATCH(DE$1,Products,0),2)="Cores",IF(HostBuild[Use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99" s="553">
        <f>IFERROR(IF(FIND(DF$1,$W99)&gt;0,IF(INDEX(Product_Pricing_Table[],MATCH(DF$1,Products,0),2)="Cores",IF(HostBuild[Use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99" s="553">
        <f>IFERROR(IF(FIND(DG$1,$W99)&gt;0,IF(INDEX(Product_Pricing_Table[],MATCH(DG$1,Products,0),2)="Cores",IF(HostBuild[Use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99" s="552">
        <f>IFERROR(IF(FIND(DH$1,$W99)&gt;0,IF(INDEX(Product_Pricing_Table[],MATCH(DH$1,Products,0),2)="Cores",IF(HostBuild[Use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99" s="553">
        <f>IFERROR(IF(FIND(DI$1,$W99)&gt;0,IF(INDEX(Product_Pricing_Table[],MATCH(DI$1,Products,0),2)="Cores",IF(HostBuild[Use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99" s="552">
        <f>IFERROR(IF(FIND(DJ$1,$W99)&gt;0,IF(INDEX(Product_Pricing_Table[],MATCH(DJ$1,Products,0),2)="Cores",IF(HostBuild[Use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99" s="552">
        <f>IFERROR(IF(FIND(DK$1,$W99)&gt;0,IF(INDEX(Product_Pricing_Table[],MATCH(DK$1,Products,0),2)="Cores",IF(HostBuild[Use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99" s="552">
        <f>IFERROR(IF(FIND(DL$1,$W99)&gt;0,IF(INDEX(Product_Pricing_Table[],MATCH(DL$1,Products,0),2)="Cores",IF(HostBuild[Use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99" s="552">
        <f>IFERROR(IF(FIND(DM$1,$W99)&gt;0,IF(INDEX(Product_Pricing_Table[],MATCH(DM$1,Products,0),2)="Cores",IF(HostBuild[Use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99" s="552">
        <f>IFERROR(IF(FIND(DN$1,$W99)&gt;0,IF(INDEX(Product_Pricing_Table[],MATCH(DN$1,Products,0),2)="Cores",IF(HostBuild[Use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99" s="552">
        <f>IFERROR(IF(FIND(DO$1,$W99)&gt;0,IF(INDEX(Product_Pricing_Table[],MATCH(DO$1,Products,0),2)="Cores",IF(HostBuild[Use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99" s="552">
        <f>IFERROR(IF(FIND(DP$1,$W99)&gt;0,IF(INDEX(Product_Pricing_Table[],MATCH(DP$1,Products,0),2)="Cores",IF(HostBuild[Use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99" s="552">
        <f>IFERROR(IF(FIND(DQ$1,$W99)&gt;0,IF(INDEX(Product_Pricing_Table[],MATCH(DQ$1,Products,0),2)="Cores",IF(HostBuild[Use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99" s="552">
        <f>IFERROR(IF(FIND(DR$1,$W99)&gt;0,IF(INDEX(Product_Pricing_Table[],MATCH(DR$1,Products,0),2)="Cores",IF(HostBuild[Use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99" s="552">
        <f>IFERROR(IF(FIND(DS$1,$W99)&gt;0,IF(INDEX(Product_Pricing_Table[],MATCH(DS$1,Products,0),2)="Cores",IF(HostBuild[Use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99" s="552">
        <f>IFERROR(IF(FIND(DT$1,$W99)&gt;0,IF(INDEX(Product_Pricing_Table[],MATCH(DT$1,Products,0),2)="Cores",IF(HostBuild[Use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99" s="552">
        <f>IFERROR(IF(FIND(DU$1,$W99)&gt;0,IF(INDEX(Product_Pricing_Table[],MATCH(DU$1,Products,0),2)="Cores",IF(HostBuild[Use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99" s="552">
        <f>IFERROR(IF(FIND(DV$1,$W99)&gt;0,IF(INDEX(Product_Pricing_Table[],MATCH(DV$1,Products,0),2)="Cores",IF(HostBuild[Use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99" s="552">
        <f>IFERROR(IF(FIND(DW$1,$W99)&gt;0,IF(INDEX(Product_Pricing_Table[],MATCH(DW$1,Products,0),2)="Cores",IF(HostBuild[Use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99" s="552">
        <f>IFERROR(IF(FIND(DX$1,$W99)&gt;0,IF(INDEX(Product_Pricing_Table[],MATCH(DX$1,Products,0),2)="Cores",IF(HostBuild[Use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99" s="552">
        <f>IFERROR(IF(FIND(DY$1,$W99)&gt;0,IF(INDEX(Product_Pricing_Table[],MATCH(DY$1,Products,0),2)="Cores",IF(HostBuild[Use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99" s="552">
        <f>IFERROR(IF(FIND(DZ$1,$W99)&gt;0,IF(INDEX(Product_Pricing_Table[],MATCH(DZ$1,Products,0),2)="Cores",IF(HostBuild[Use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99" s="552">
        <f>IFERROR(IF(FIND(EA$1,$W99)&gt;0,IF(INDEX(Product_Pricing_Table[],MATCH(EA$1,Products,0),2)="Cores",IF(HostBuild[Use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99" s="552">
        <f>IFERROR(IF(FIND(EB$1,$W99)&gt;0,IF(INDEX(Product_Pricing_Table[],MATCH(EB$1,Products,0),2)="Cores",IF(HostBuild[Use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99" s="553">
        <f>IFERROR(IF(FIND(EC$1,$W99)&gt;0,IF(INDEX(Product_Pricing_Table[],MATCH(EC$1,Products,0),2)="Cores",IF(HostBuild[Use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99" s="552">
        <f>IFERROR(IF(FIND(ED$1,$W99)&gt;0,IF(INDEX(Product_Pricing_Table[],MATCH(ED$1,Products,0),2)="Cores",IF(HostBuild[Use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99" s="552">
        <f>IFERROR(IF(FIND(EE$1,$W99)&gt;0,IF(INDEX(Product_Pricing_Table[],MATCH(EE$1,Products,0),2)="Cores",IF(HostBuild[Use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99" s="552">
        <f>IFERROR(IF(FIND(EF$1,$W99)&gt;0,IF(INDEX(Product_Pricing_Table[],MATCH(EF$1,Products,0),2)="Cores",IF(HostBuild[Use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99" s="552">
        <f>IFERROR(IF(FIND(EG$1,$W99)&gt;0,IF(INDEX(Product_Pricing_Table[],MATCH(EG$1,Products,0),2)="Cores",IF(HostBuild[Use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99" s="552">
        <f>IFERROR(IF(FIND(EH$1,$W99)&gt;0,IF(INDEX(Product_Pricing_Table[],MATCH(EH$1,Products,0),2)="Cores",IF(HostBuild[Use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99" s="552">
        <f>IFERROR(IF(FIND(EI$1,$W99)&gt;0,IF(INDEX(Product_Pricing_Table[],MATCH(EI$1,Products,0),2)="Cores",IF(HostBuild[Use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99" s="552">
        <f>IFERROR(IF(FIND(EJ$1,$W99)&gt;0,IF(INDEX(Product_Pricing_Table[],MATCH(EJ$1,Products,0),2)="Cores",IF(HostBuild[Use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99" s="553">
        <f>IFERROR(IF(FIND(EK$1,$W99)&gt;0,IF(INDEX(Product_Pricing_Table[],MATCH(EK$1,Products,0),2)="Cores",IF(HostBuild[Use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99" s="554"/>
      <c r="EM99" s="555">
        <v>3750</v>
      </c>
      <c r="EN99" s="556">
        <v>525</v>
      </c>
      <c r="EO99" s="557">
        <f>IF(OR(ISBLANK(HostBuild[Alias]),HostBuild[Server Tier]="",),0,IF(HostBuild[Server Tier]="SafeNet",Safenet_PSE_PL600+HostBuild[Network Cost],IF(HostBuild[Server Tier]="VMware",HostBuild[New VMware (Adjusted)]+HostBuild[Initial Server Cost],IF(HostBuild[Server Tier]="XI52",IBM_DIA_XI52,HostBuild[Initial Server Cost]))))</f>
        <v>187.1</v>
      </c>
      <c r="EP9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121.32000000000001</v>
      </c>
      <c r="EQ99" s="558">
        <f>(HostBuild[Archive
Full (GB)]+HostBuild[Archive
Incr (GB)])*Storage_DC_Dist_Tape_2014</f>
        <v>27.128499999999999</v>
      </c>
      <c r="ER99" s="558">
        <f>IF(ISNUMBER(HostBuild[Server HW Costs
(Monthly)]),SUM(HostBuild[[#This Row],[Server HW Costs
(Monthly)]:[Tape Costs
(Monthly)]]),0)</f>
        <v>335.54849999999999</v>
      </c>
      <c r="ES99" s="559">
        <f>HostBuild[Software Costs
'[Year 1']
(Monthly)]+HostBuild[Total Hardware Costs
(Monthly)]</f>
        <v>4085.5484999999999</v>
      </c>
      <c r="ET99" s="559">
        <f>IFERROR(IF(FIND("Safenet",HostBuild[Server Model]),Safenet_PSE_PL600_Maint,0),0)+IFERROR(IF(FIND("XI52",HostBuild[Server Model]),IBM_DIA_XI52_Maint,0),0)+HostBuild[Software Costs
'[After Year 1']
(Monthly)]+HostBuild[Total Hardware Costs
(Monthly)]</f>
        <v>860.54849999999999</v>
      </c>
      <c r="EU99" s="560">
        <f>SUM(HostBuild[[#This Row],[Server Cost Breakdown]:[Network Cost]])</f>
        <v>187.1</v>
      </c>
      <c r="EV99" s="561">
        <f>IF(HostBuild[Existing Server?]="Yes - Inside this BoM",0,SUMIF(HostBuild[Alias],HostBuild[Alias],HostBuild[CPU])+SUMIF(HostBuild[Alias],HostBuild[Alias],HostBuild[Existing CPUs]))</f>
        <v>0</v>
      </c>
      <c r="EW99" s="561">
        <f>IF(HostBuild[Existing Server?]="Yes - Inside this BoM",0,SUMIF(HostBuild[Alias],HostBuild[Alias],HostBuild[Cores 
(Licensed Units)])+SUMIF(HostBuild[Alias],HostBuild[Alias],HostBuild[Existing Cores]))</f>
        <v>0</v>
      </c>
      <c r="EX99" s="561">
        <f>IF(HostBuild[Existing Server?]="Yes - Inside this BoM",0,SUMIF(HostBuild[Alias],HostBuild[Alias],HostBuild[RAM 
(GB)])+SUMIF(HostBuild[Alias],HostBuild[Alias],HostBuild[Existing RAM (GB)]))</f>
        <v>0</v>
      </c>
      <c r="EY9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9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9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9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99" s="560">
        <f>IF(ISBLANK(HostBuild[Server Model]),0,IF(HostBuild[Server Tier]="VMware",0,VLOOKUP(HostBuild[Server Tier],ServerTierRates[#Data],2,0))*HostBuild[CPU]*IF(AND(HostBuild[Server Type]="pSeries",HostBuild[Virtual Platform Storage Type]="Cloud-SAN"),0.25,1))</f>
        <v>0</v>
      </c>
      <c r="FD99" s="560">
        <f>0</f>
        <v>0</v>
      </c>
      <c r="FE99" s="560">
        <f>IF(HostBuild[Server Type]="VMware",HostBuild[RAM 
(GB)]*IF(ISERROR(FIND("DevCloud", HostBuild[Server Model])&gt;0),vRAM_per_vCPU_2014_Monthly,vRAM_per_vCPU_2014_Daily*30),0)</f>
        <v>0</v>
      </c>
      <c r="FF9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9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99" s="563">
        <f>IF(HostBuild[Server Tier]="VMware",0,IF(LEFT(HostBuild[Existing Server?],3)="Yes",0,IF(OR(HostBuild[Server Type]="Sun",HostBuild[Server Type]="pSeries"),Support_Direct_Server_Sun_per_OS_2014,IF(HostBuild[Server Type]="x86",Support_Direct_Server_x86_Wintel_per_OS_2014,0))))</f>
        <v>187.1</v>
      </c>
      <c r="FI9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0" spans="1:165" s="139" customFormat="1" ht="15" customHeight="1">
      <c r="A100" s="360" t="s">
        <v>3942</v>
      </c>
      <c r="B100" s="521"/>
      <c r="C100" s="521"/>
      <c r="D100" s="521"/>
      <c r="E100" s="522"/>
      <c r="F100" s="522"/>
      <c r="G100" s="597"/>
      <c r="H100" s="597"/>
      <c r="I100" s="523"/>
      <c r="J100" s="522"/>
      <c r="K100" s="522"/>
      <c r="L100" s="522"/>
      <c r="M100" s="597" t="e">
        <f ca="1">IF(rngIsDate(HostBuild[CTO Acceptance]),"Y","N")</f>
        <v>#NAME?</v>
      </c>
      <c r="N100" s="361" t="s">
        <v>3938</v>
      </c>
      <c r="O100" s="525"/>
      <c r="P100" s="525"/>
      <c r="Q100" s="361" t="s">
        <v>79</v>
      </c>
      <c r="R100" s="526" t="str">
        <f>IF(NOT(ISBLANK(HostBuild[Env Label])),IFERROR(VLOOKUP(HostBuild[Env Label],tEnv[],3,FALSE),""),"")</f>
        <v>PROD</v>
      </c>
      <c r="S100" s="598"/>
      <c r="T100" s="527"/>
      <c r="U100" s="599"/>
      <c r="V100" s="524" t="s">
        <v>4012</v>
      </c>
      <c r="W100" s="524" t="s">
        <v>405</v>
      </c>
      <c r="X100" s="524" t="s">
        <v>34</v>
      </c>
      <c r="Y100" s="361" t="s">
        <v>4067</v>
      </c>
      <c r="Z100" s="526" t="str">
        <f>IF(NOT(ISBLANK(HostBuild[[#This Row],[Product 
(Acronym)]])),CONCATENATE(HostBuild[[#This Row],[Type]],"-",HostBuild[[#This Row],[Product 
(Acronym)]]),"")</f>
        <v>WW-CBOL</v>
      </c>
      <c r="AA100" s="600"/>
      <c r="AB100" s="600" t="s">
        <v>105</v>
      </c>
      <c r="AC100" s="528"/>
      <c r="AD100" s="529"/>
      <c r="AE100" s="529"/>
      <c r="AF100" s="530"/>
      <c r="AG100" s="531"/>
      <c r="AH100" s="601"/>
      <c r="AI100" s="362" t="s">
        <v>4022</v>
      </c>
      <c r="AJ100" s="524">
        <f>IF(COUNTIF(HostBuild[Alias],HostBuild[Alias]),1/COUNTIF(HostBuild[Alias],HostBuild[Alias]),0)</f>
        <v>1</v>
      </c>
      <c r="AK100" s="531"/>
      <c r="AL100" s="531"/>
      <c r="AM100" s="532" t="s">
        <v>2173</v>
      </c>
      <c r="AN100" s="533" t="str">
        <f>IF(NOT(ISBLANK(HostBuild[Server Model])),VLOOKUP(HostBuild[Server Model],ServerModelsTier[],2,FALSE),"")</f>
        <v>x86 Tier 3</v>
      </c>
      <c r="AO100" s="533" t="str">
        <f>IF(NOT(ISBLANK(HostBuild[Server Model])),VLOOKUP(HostBuild[Server Model],ServerModelsTier[],5,FALSE),"")</f>
        <v>x86</v>
      </c>
      <c r="AP100" s="532"/>
      <c r="AQ100" s="532" t="s">
        <v>2337</v>
      </c>
      <c r="AR100" s="534">
        <v>2</v>
      </c>
      <c r="AS100" s="602"/>
      <c r="AT100" s="535">
        <v>16</v>
      </c>
      <c r="AU100" s="603" t="str">
        <f>IF(IFERROR(FIND("P-Series",HostBuild[Server Tier]),0),CEILING((HostBuild[Existing CPUs]+HostBuild[CPU])*16,8),"")</f>
        <v/>
      </c>
      <c r="AV100" s="536">
        <v>128</v>
      </c>
      <c r="AW100" s="531"/>
      <c r="AX100" s="531"/>
      <c r="AY100" s="531"/>
      <c r="AZ100" s="537"/>
      <c r="BA100" s="531"/>
      <c r="BB100" s="531"/>
      <c r="BC100" s="529"/>
      <c r="BD100" s="531"/>
      <c r="BE100" s="531"/>
      <c r="BF100" s="531"/>
      <c r="BG100" s="531"/>
      <c r="BH100" s="531"/>
      <c r="BI100" s="531"/>
      <c r="BJ100" s="531"/>
      <c r="BK100"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0" s="538">
        <v>700</v>
      </c>
      <c r="BM100" s="540">
        <f>IF(ISNUMBER(HostBuild[Recommended SAN (GB)]),HostBuild[Recommended SAN (GB)])+IF(HostBuild[Additional SAN (GB)]&gt;0,CEILING(HostBuild[Additional SAN (GB)],LUN),-(CEILING(-HostBuild[Additional SAN (GB)],LUN)))</f>
        <v>909.90000000000009</v>
      </c>
      <c r="BN100" s="539"/>
      <c r="BO100" s="540">
        <f>HostBuild[SAN (GB)
NEEDED TODAY]+CEILING(HostBuild[SAN (GB)
RESERVED
DO NOT USE TO BUILD], LUN)</f>
        <v>909.90000000000009</v>
      </c>
      <c r="BP100" s="541"/>
      <c r="BQ100" s="542"/>
      <c r="BR100" s="432"/>
      <c r="BS100" s="605">
        <f>IF(HostBuild[Existing Server?]&lt;&gt;"Yes - Inside this BoM",IF(ISNUMBER(HostBuild[RAM 
(GB)]),IF(HostBuild[Existing RAM (GB)]+HostBuild[RAM 
(GB)]&gt;0,IF(HostBuild[Virtual Platform Storage Type]="NAS",110+HostBuild[Existing RAM (GB)]+HostBuild[RAM 
(GB)]*1.75,0),0),0),0)</f>
        <v>0</v>
      </c>
      <c r="BT100" s="606"/>
      <c r="BU100" s="607">
        <f>IF(ISNUMBER(HostBuild[Recommended NAS (GB)]),HostBuild[Recommended NAS (GB)])+HostBuild[Additional NAS (GB)]</f>
        <v>0</v>
      </c>
      <c r="BV100" s="543"/>
      <c r="BW100" s="543"/>
      <c r="BX100" s="604">
        <f>IFERROR((HostBuild[SAN (GB)
End-State
DO NOT USE TO BUILD]+HostBuild[SAN (GB) Shared])*25%,"")</f>
        <v>227.47500000000002</v>
      </c>
      <c r="BY100" s="608">
        <f>IFERROR(HostBuild[Archive
Full (GB)]*15%,"")</f>
        <v>34.121250000000003</v>
      </c>
      <c r="BZ100" s="544"/>
      <c r="CA100" s="544"/>
      <c r="CB100" s="545"/>
      <c r="CC100" s="546"/>
      <c r="CD100" s="545"/>
      <c r="CE100" s="547"/>
      <c r="CF100" s="539"/>
      <c r="CG100" s="609"/>
      <c r="CH100" s="548"/>
      <c r="CI100" s="549"/>
      <c r="CJ100" s="550"/>
      <c r="CK100" s="551"/>
      <c r="CL100" s="552">
        <f>IFERROR(IF(FIND(CL$1,$W100)&gt;0,IF(INDEX(Product_Pricing_Table[],MATCH(CL$1,Products,0),2)="Cores",IF(HostBuild[Use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0" s="552">
        <f>IFERROR(IF(FIND(CM$1,$W100)&gt;0,IF(INDEX(Product_Pricing_Table[],MATCH(CM$1,Products,0),2)="Cores",IF(HostBuild[Use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00" s="552">
        <f>IFERROR(IF(FIND(CN$1,$W100)&gt;0,IF(INDEX(Product_Pricing_Table[],MATCH(CN$1,Products,0),2)="Cores",IF(HostBuild[Use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0" s="552">
        <f>IFERROR(IF(FIND(CO$1,$W100)&gt;0,IF(INDEX(Product_Pricing_Table[],MATCH(CO$1,Products,0),2)="Cores",IF(HostBuild[Use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0" s="552">
        <f>IFERROR(IF(FIND(CP$1,$W100)&gt;0,IF(INDEX(Product_Pricing_Table[],MATCH(CP$1,Products,0),2)="Cores",IF(HostBuild[Use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0" s="552">
        <f>IFERROR(IF(FIND(CQ$1,$W100)&gt;0,IF(INDEX(Product_Pricing_Table[],MATCH(CQ$1,Products,0),2)="Cores",IF(HostBuild[Use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0" s="552">
        <f>IFERROR(IF(FIND(CR$1,$W100)&gt;0,IF(INDEX(Product_Pricing_Table[],MATCH(CR$1,Products,0),2)="Cores",IF(HostBuild[Use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0" s="552">
        <f>IFERROR(IF(FIND(CS$1,$W100)&gt;0,IF(INDEX(Product_Pricing_Table[],MATCH(CS$1,Products,0),2)="Cores",IF(HostBuild[Use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0" s="552">
        <f>IFERROR(IF(FIND(CT$1,$W100)&gt;0,IF(INDEX(Product_Pricing_Table[],MATCH(CT$1,Products,0),2)="Cores",IF(HostBuild[Use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0" s="552">
        <f>IFERROR(IF(FIND(CU$1,$W100)&gt;0,IF(INDEX(Product_Pricing_Table[],MATCH(CU$1,Products,0),2)="Cores",IF(HostBuild[Use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0" s="552">
        <f>IFERROR(IF(FIND(CV$1,$W100)&gt;0,IF(INDEX(Product_Pricing_Table[],MATCH(CV$1,Products,0),2)="Cores",IF(HostBuild[Use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0" s="552">
        <f>IFERROR(IF(FIND(CW$1,$W100)&gt;0,IF(INDEX(Product_Pricing_Table[],MATCH(CW$1,Products,0),2)="Cores",IF(HostBuild[Use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0" s="552">
        <f>IFERROR(IF(FIND(CX$1,$W100)&gt;0,IF(INDEX(Product_Pricing_Table[],MATCH(CX$1,Products,0),2)="Cores",IF(HostBuild[Use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00" s="552">
        <f>IFERROR(IF(FIND(CY$1,$W100)&gt;0,IF(INDEX(Product_Pricing_Table[],MATCH(CY$1,Products,0),2)="Cores",IF(HostBuild[Use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0" s="552">
        <f>IFERROR(IF(FIND(CZ$1,$W100)&gt;0,IF(INDEX(Product_Pricing_Table[],MATCH(CZ$1,Products,0),2)="Cores",IF(HostBuild[Use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0" s="552">
        <f>IFERROR(IF(FIND(DA$1,$W100)&gt;0,IF(INDEX(Product_Pricing_Table[],MATCH(DA$1,Products,0),2)="Cores",IF(HostBuild[Use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0" s="552">
        <f>IFERROR(IF(FIND(DB$1,$W100)&gt;0,IF(INDEX(Product_Pricing_Table[],MATCH(DB$1,Products,0),2)="Cores",IF(HostBuild[Use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0" s="552">
        <f>IFERROR(IF(FIND(DC$1,$W100)&gt;0,IF(INDEX(Product_Pricing_Table[],MATCH(DC$1,Products,0),2)="Cores",IF(HostBuild[Use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0" s="552">
        <f>IFERROR(IF(FIND(DD$1,$W100)&gt;0,IF(INDEX(Product_Pricing_Table[],MATCH(DD$1,Products,0),2)="Cores",IF(HostBuild[Use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0" s="552">
        <f>IFERROR(IF(FIND(DE$1,$W100)&gt;0,IF(INDEX(Product_Pricing_Table[],MATCH(DE$1,Products,0),2)="Cores",IF(HostBuild[Use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0" s="553">
        <f>IFERROR(IF(FIND(DF$1,$W100)&gt;0,IF(INDEX(Product_Pricing_Table[],MATCH(DF$1,Products,0),2)="Cores",IF(HostBuild[Use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0" s="553">
        <f>IFERROR(IF(FIND(DG$1,$W100)&gt;0,IF(INDEX(Product_Pricing_Table[],MATCH(DG$1,Products,0),2)="Cores",IF(HostBuild[Use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0" s="552">
        <f>IFERROR(IF(FIND(DH$1,$W100)&gt;0,IF(INDEX(Product_Pricing_Table[],MATCH(DH$1,Products,0),2)="Cores",IF(HostBuild[Use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0" s="553">
        <f>IFERROR(IF(FIND(DI$1,$W100)&gt;0,IF(INDEX(Product_Pricing_Table[],MATCH(DI$1,Products,0),2)="Cores",IF(HostBuild[Use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0" s="552">
        <f>IFERROR(IF(FIND(DJ$1,$W100)&gt;0,IF(INDEX(Product_Pricing_Table[],MATCH(DJ$1,Products,0),2)="Cores",IF(HostBuild[Use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0" s="552">
        <f>IFERROR(IF(FIND(DK$1,$W100)&gt;0,IF(INDEX(Product_Pricing_Table[],MATCH(DK$1,Products,0),2)="Cores",IF(HostBuild[Use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0" s="552">
        <f>IFERROR(IF(FIND(DL$1,$W100)&gt;0,IF(INDEX(Product_Pricing_Table[],MATCH(DL$1,Products,0),2)="Cores",IF(HostBuild[Use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0" s="552">
        <f>IFERROR(IF(FIND(DM$1,$W100)&gt;0,IF(INDEX(Product_Pricing_Table[],MATCH(DM$1,Products,0),2)="Cores",IF(HostBuild[Use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0" s="552">
        <f>IFERROR(IF(FIND(DN$1,$W100)&gt;0,IF(INDEX(Product_Pricing_Table[],MATCH(DN$1,Products,0),2)="Cores",IF(HostBuild[Use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0" s="552">
        <f>IFERROR(IF(FIND(DO$1,$W100)&gt;0,IF(INDEX(Product_Pricing_Table[],MATCH(DO$1,Products,0),2)="Cores",IF(HostBuild[Use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0" s="552">
        <f>IFERROR(IF(FIND(DP$1,$W100)&gt;0,IF(INDEX(Product_Pricing_Table[],MATCH(DP$1,Products,0),2)="Cores",IF(HostBuild[Use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0" s="552">
        <f>IFERROR(IF(FIND(DQ$1,$W100)&gt;0,IF(INDEX(Product_Pricing_Table[],MATCH(DQ$1,Products,0),2)="Cores",IF(HostBuild[Use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0" s="552">
        <f>IFERROR(IF(FIND(DR$1,$W100)&gt;0,IF(INDEX(Product_Pricing_Table[],MATCH(DR$1,Products,0),2)="Cores",IF(HostBuild[Use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0" s="552">
        <f>IFERROR(IF(FIND(DS$1,$W100)&gt;0,IF(INDEX(Product_Pricing_Table[],MATCH(DS$1,Products,0),2)="Cores",IF(HostBuild[Use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0" s="552">
        <f>IFERROR(IF(FIND(DT$1,$W100)&gt;0,IF(INDEX(Product_Pricing_Table[],MATCH(DT$1,Products,0),2)="Cores",IF(HostBuild[Use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0" s="552">
        <f>IFERROR(IF(FIND(DU$1,$W100)&gt;0,IF(INDEX(Product_Pricing_Table[],MATCH(DU$1,Products,0),2)="Cores",IF(HostBuild[Use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0" s="552">
        <f>IFERROR(IF(FIND(DV$1,$W100)&gt;0,IF(INDEX(Product_Pricing_Table[],MATCH(DV$1,Products,0),2)="Cores",IF(HostBuild[Use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0" s="552">
        <f>IFERROR(IF(FIND(DW$1,$W100)&gt;0,IF(INDEX(Product_Pricing_Table[],MATCH(DW$1,Products,0),2)="Cores",IF(HostBuild[Use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0" s="552">
        <f>IFERROR(IF(FIND(DX$1,$W100)&gt;0,IF(INDEX(Product_Pricing_Table[],MATCH(DX$1,Products,0),2)="Cores",IF(HostBuild[Use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0" s="552">
        <f>IFERROR(IF(FIND(DY$1,$W100)&gt;0,IF(INDEX(Product_Pricing_Table[],MATCH(DY$1,Products,0),2)="Cores",IF(HostBuild[Use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0" s="552">
        <f>IFERROR(IF(FIND(DZ$1,$W100)&gt;0,IF(INDEX(Product_Pricing_Table[],MATCH(DZ$1,Products,0),2)="Cores",IF(HostBuild[Use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0" s="552">
        <f>IFERROR(IF(FIND(EA$1,$W100)&gt;0,IF(INDEX(Product_Pricing_Table[],MATCH(EA$1,Products,0),2)="Cores",IF(HostBuild[Use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0" s="552">
        <f>IFERROR(IF(FIND(EB$1,$W100)&gt;0,IF(INDEX(Product_Pricing_Table[],MATCH(EB$1,Products,0),2)="Cores",IF(HostBuild[Use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0" s="553">
        <f>IFERROR(IF(FIND(EC$1,$W100)&gt;0,IF(INDEX(Product_Pricing_Table[],MATCH(EC$1,Products,0),2)="Cores",IF(HostBuild[Use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0" s="552">
        <f>IFERROR(IF(FIND(ED$1,$W100)&gt;0,IF(INDEX(Product_Pricing_Table[],MATCH(ED$1,Products,0),2)="Cores",IF(HostBuild[Use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0" s="552">
        <f>IFERROR(IF(FIND(EE$1,$W100)&gt;0,IF(INDEX(Product_Pricing_Table[],MATCH(EE$1,Products,0),2)="Cores",IF(HostBuild[Use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0" s="552">
        <f>IFERROR(IF(FIND(EF$1,$W100)&gt;0,IF(INDEX(Product_Pricing_Table[],MATCH(EF$1,Products,0),2)="Cores",IF(HostBuild[Use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0" s="552">
        <f>IFERROR(IF(FIND(EG$1,$W100)&gt;0,IF(INDEX(Product_Pricing_Table[],MATCH(EG$1,Products,0),2)="Cores",IF(HostBuild[Use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0" s="552">
        <f>IFERROR(IF(FIND(EH$1,$W100)&gt;0,IF(INDEX(Product_Pricing_Table[],MATCH(EH$1,Products,0),2)="Cores",IF(HostBuild[Use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0" s="552">
        <f>IFERROR(IF(FIND(EI$1,$W100)&gt;0,IF(INDEX(Product_Pricing_Table[],MATCH(EI$1,Products,0),2)="Cores",IF(HostBuild[Use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0" s="552">
        <f>IFERROR(IF(FIND(EJ$1,$W100)&gt;0,IF(INDEX(Product_Pricing_Table[],MATCH(EJ$1,Products,0),2)="Cores",IF(HostBuild[Use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0" s="553">
        <f>IFERROR(IF(FIND(EK$1,$W100)&gt;0,IF(INDEX(Product_Pricing_Table[],MATCH(EK$1,Products,0),2)="Cores",IF(HostBuild[Use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0" s="554"/>
      <c r="EM100" s="555">
        <v>0</v>
      </c>
      <c r="EN100" s="556">
        <v>0</v>
      </c>
      <c r="EO100"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409.45500000000004</v>
      </c>
      <c r="EQ100" s="558">
        <f>(HostBuild[Archive
Full (GB)]+HostBuild[Archive
Incr (GB)])*Storage_DC_Dist_Tape_2014</f>
        <v>91.558687500000019</v>
      </c>
      <c r="ER100" s="558">
        <f>IF(ISNUMBER(HostBuild[Server HW Costs
(Monthly)]),SUM(HostBuild[[#This Row],[Server HW Costs
(Monthly)]:[Tape Costs
(Monthly)]]),0)</f>
        <v>1389.7136875000001</v>
      </c>
      <c r="ES100" s="559">
        <f>HostBuild[Software Costs
'[Year 1']
(Monthly)]+HostBuild[Total Hardware Costs
(Monthly)]</f>
        <v>1389.7136875000001</v>
      </c>
      <c r="ET100" s="559">
        <f>IFERROR(IF(FIND("Safenet",HostBuild[Server Model]),Safenet_PSE_PL600_Maint,0),0)+IFERROR(IF(FIND("XI52",HostBuild[Server Model]),IBM_DIA_XI52_Maint,0),0)+HostBuild[Software Costs
'[After Year 1']
(Monthly)]+HostBuild[Total Hardware Costs
(Monthly)]</f>
        <v>1389.7136875000001</v>
      </c>
      <c r="EU100" s="560">
        <f>SUM(HostBuild[[#This Row],[Server Cost Breakdown]:[Network Cost]])</f>
        <v>888.7</v>
      </c>
      <c r="EV100" s="561">
        <f>IF(HostBuild[Existing Server?]="Yes - Inside this BoM",0,SUMIF(HostBuild[Alias],HostBuild[Alias],HostBuild[CPU])+SUMIF(HostBuild[Alias],HostBuild[Alias],HostBuild[Existing CPUs]))</f>
        <v>2</v>
      </c>
      <c r="EW100" s="561">
        <f>IF(HostBuild[Existing Server?]="Yes - Inside this BoM",0,SUMIF(HostBuild[Alias],HostBuild[Alias],HostBuild[Cores 
(Licensed Units)])+SUMIF(HostBuild[Alias],HostBuild[Alias],HostBuild[Existing Cores]))</f>
        <v>16</v>
      </c>
      <c r="EX100" s="561">
        <f>IF(HostBuild[Existing Server?]="Yes - Inside this BoM",0,SUMIF(HostBuild[Alias],HostBuild[Alias],HostBuild[RAM 
(GB)])+SUMIF(HostBuild[Alias],HostBuild[Alias],HostBuild[Existing RAM (GB)]))</f>
        <v>128</v>
      </c>
      <c r="EY10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0" s="560">
        <f>IF(ISBLANK(HostBuild[Server Model]),0,IF(HostBuild[Server Tier]="VMware",0,VLOOKUP(HostBuild[Server Tier],ServerTierRates[#Data],2,0))*HostBuild[CPU]*IF(AND(HostBuild[Server Type]="pSeries",HostBuild[Virtual Platform Storage Type]="Cloud-SAN"),0.25,1))</f>
        <v>608</v>
      </c>
      <c r="FD100" s="560">
        <f>0</f>
        <v>0</v>
      </c>
      <c r="FE100" s="560">
        <f>IF(HostBuild[Server Type]="VMware",HostBuild[RAM 
(GB)]*IF(ISERROR(FIND("DevCloud", HostBuild[Server Model])&gt;0),vRAM_per_vCPU_2014_Monthly,vRAM_per_vCPU_2014_Daily*30),0)</f>
        <v>0</v>
      </c>
      <c r="FF10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0" s="563">
        <f>IF(HostBuild[Server Tier]="VMware",0,IF(LEFT(HostBuild[Existing Server?],3)="Yes",0,IF(OR(HostBuild[Server Type]="Sun",HostBuild[Server Type]="pSeries"),Support_Direct_Server_Sun_per_OS_2014,IF(HostBuild[Server Type]="x86",Support_Direct_Server_x86_Wintel_per_OS_2014,0))))</f>
        <v>187.1</v>
      </c>
      <c r="FI10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1" spans="1:165" s="139" customFormat="1" ht="15" customHeight="1">
      <c r="A101" s="360" t="s">
        <v>3942</v>
      </c>
      <c r="B101" s="521"/>
      <c r="C101" s="521"/>
      <c r="D101" s="521"/>
      <c r="E101" s="522"/>
      <c r="F101" s="522"/>
      <c r="G101" s="597"/>
      <c r="H101" s="597"/>
      <c r="I101" s="523"/>
      <c r="J101" s="522"/>
      <c r="K101" s="522"/>
      <c r="L101" s="522"/>
      <c r="M101" s="597" t="e">
        <f ca="1">IF(rngIsDate(HostBuild[CTO Acceptance]),"Y","N")</f>
        <v>#NAME?</v>
      </c>
      <c r="N101" s="361" t="s">
        <v>3939</v>
      </c>
      <c r="O101" s="525"/>
      <c r="P101" s="525"/>
      <c r="Q101" s="361" t="s">
        <v>3932</v>
      </c>
      <c r="R101" s="526" t="str">
        <f>IF(NOT(ISBLANK(HostBuild[Env Label])),IFERROR(VLOOKUP(HostBuild[Env Label],tEnv[],3,FALSE),""),"")</f>
        <v>PROD</v>
      </c>
      <c r="S101" s="598"/>
      <c r="T101" s="527"/>
      <c r="U101" s="599"/>
      <c r="V101" s="524" t="s">
        <v>4012</v>
      </c>
      <c r="W101" s="524" t="s">
        <v>405</v>
      </c>
      <c r="X101" s="524" t="s">
        <v>34</v>
      </c>
      <c r="Y101" s="361" t="s">
        <v>4067</v>
      </c>
      <c r="Z101" s="526" t="str">
        <f>IF(NOT(ISBLANK(HostBuild[[#This Row],[Product 
(Acronym)]])),CONCATENATE(HostBuild[[#This Row],[Type]],"-",HostBuild[[#This Row],[Product 
(Acronym)]]),"")</f>
        <v>WW-CBOL</v>
      </c>
      <c r="AA101" s="600"/>
      <c r="AB101" s="600" t="s">
        <v>105</v>
      </c>
      <c r="AC101" s="528"/>
      <c r="AD101" s="529"/>
      <c r="AE101" s="529"/>
      <c r="AF101" s="530"/>
      <c r="AG101" s="531"/>
      <c r="AH101" s="601"/>
      <c r="AI101" s="362" t="s">
        <v>4023</v>
      </c>
      <c r="AJ101" s="524">
        <f>IF(COUNTIF(HostBuild[Alias],HostBuild[Alias]),1/COUNTIF(HostBuild[Alias],HostBuild[Alias]),0)</f>
        <v>1</v>
      </c>
      <c r="AK101" s="531"/>
      <c r="AL101" s="531"/>
      <c r="AM101" s="532" t="s">
        <v>2173</v>
      </c>
      <c r="AN101" s="533" t="str">
        <f>IF(NOT(ISBLANK(HostBuild[Server Model])),VLOOKUP(HostBuild[Server Model],ServerModelsTier[],2,FALSE),"")</f>
        <v>x86 Tier 3</v>
      </c>
      <c r="AO101" s="533" t="str">
        <f>IF(NOT(ISBLANK(HostBuild[Server Model])),VLOOKUP(HostBuild[Server Model],ServerModelsTier[],5,FALSE),"")</f>
        <v>x86</v>
      </c>
      <c r="AP101" s="532"/>
      <c r="AQ101" s="532" t="s">
        <v>2337</v>
      </c>
      <c r="AR101" s="534">
        <v>2</v>
      </c>
      <c r="AS101" s="602"/>
      <c r="AT101" s="535">
        <v>16</v>
      </c>
      <c r="AU101" s="603" t="str">
        <f>IF(IFERROR(FIND("P-Series",HostBuild[Server Tier]),0),CEILING((HostBuild[Existing CPUs]+HostBuild[CPU])*16,8),"")</f>
        <v/>
      </c>
      <c r="AV101" s="536">
        <v>128</v>
      </c>
      <c r="AW101" s="531"/>
      <c r="AX101" s="531"/>
      <c r="AY101" s="531"/>
      <c r="AZ101" s="537"/>
      <c r="BA101" s="531"/>
      <c r="BB101" s="531"/>
      <c r="BC101" s="529"/>
      <c r="BD101" s="531"/>
      <c r="BE101" s="531"/>
      <c r="BF101" s="531"/>
      <c r="BG101" s="531"/>
      <c r="BH101" s="531"/>
      <c r="BI101" s="531"/>
      <c r="BJ101" s="531"/>
      <c r="BK101"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1" s="538">
        <v>700</v>
      </c>
      <c r="BM101" s="540">
        <f>IF(ISNUMBER(HostBuild[Recommended SAN (GB)]),HostBuild[Recommended SAN (GB)])+IF(HostBuild[Additional SAN (GB)]&gt;0,CEILING(HostBuild[Additional SAN (GB)],LUN),-(CEILING(-HostBuild[Additional SAN (GB)],LUN)))</f>
        <v>909.90000000000009</v>
      </c>
      <c r="BN101" s="539"/>
      <c r="BO101" s="540">
        <f>HostBuild[SAN (GB)
NEEDED TODAY]+CEILING(HostBuild[SAN (GB)
RESERVED
DO NOT USE TO BUILD], LUN)</f>
        <v>909.90000000000009</v>
      </c>
      <c r="BP101" s="541"/>
      <c r="BQ101" s="542"/>
      <c r="BR101" s="432"/>
      <c r="BS101" s="605">
        <f>IF(HostBuild[Existing Server?]&lt;&gt;"Yes - Inside this BoM",IF(ISNUMBER(HostBuild[RAM 
(GB)]),IF(HostBuild[Existing RAM (GB)]+HostBuild[RAM 
(GB)]&gt;0,IF(HostBuild[Virtual Platform Storage Type]="NAS",110+HostBuild[Existing RAM (GB)]+HostBuild[RAM 
(GB)]*1.75,0),0),0),0)</f>
        <v>0</v>
      </c>
      <c r="BT101" s="606"/>
      <c r="BU101" s="607">
        <f>IF(ISNUMBER(HostBuild[Recommended NAS (GB)]),HostBuild[Recommended NAS (GB)])+HostBuild[Additional NAS (GB)]</f>
        <v>0</v>
      </c>
      <c r="BV101" s="543"/>
      <c r="BW101" s="543"/>
      <c r="BX101" s="604">
        <f>IFERROR((HostBuild[SAN (GB)
End-State
DO NOT USE TO BUILD]+HostBuild[SAN (GB) Shared])*25%,"")</f>
        <v>227.47500000000002</v>
      </c>
      <c r="BY101" s="608">
        <f>IFERROR(HostBuild[Archive
Full (GB)]*15%,"")</f>
        <v>34.121250000000003</v>
      </c>
      <c r="BZ101" s="544"/>
      <c r="CA101" s="544"/>
      <c r="CB101" s="545"/>
      <c r="CC101" s="546"/>
      <c r="CD101" s="545"/>
      <c r="CE101" s="547"/>
      <c r="CF101" s="539"/>
      <c r="CG101" s="609"/>
      <c r="CH101" s="548"/>
      <c r="CI101" s="549"/>
      <c r="CJ101" s="550"/>
      <c r="CK101" s="551"/>
      <c r="CL101" s="552">
        <f>IFERROR(IF(FIND(CL$1,$W101)&gt;0,IF(INDEX(Product_Pricing_Table[],MATCH(CL$1,Products,0),2)="Cores",IF(HostBuild[Use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1" s="552">
        <f>IFERROR(IF(FIND(CM$1,$W101)&gt;0,IF(INDEX(Product_Pricing_Table[],MATCH(CM$1,Products,0),2)="Cores",IF(HostBuild[Use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01" s="552">
        <f>IFERROR(IF(FIND(CN$1,$W101)&gt;0,IF(INDEX(Product_Pricing_Table[],MATCH(CN$1,Products,0),2)="Cores",IF(HostBuild[Use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1" s="552">
        <f>IFERROR(IF(FIND(CO$1,$W101)&gt;0,IF(INDEX(Product_Pricing_Table[],MATCH(CO$1,Products,0),2)="Cores",IF(HostBuild[Use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1" s="552">
        <f>IFERROR(IF(FIND(CP$1,$W101)&gt;0,IF(INDEX(Product_Pricing_Table[],MATCH(CP$1,Products,0),2)="Cores",IF(HostBuild[Use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1" s="552">
        <f>IFERROR(IF(FIND(CQ$1,$W101)&gt;0,IF(INDEX(Product_Pricing_Table[],MATCH(CQ$1,Products,0),2)="Cores",IF(HostBuild[Use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1" s="552">
        <f>IFERROR(IF(FIND(CR$1,$W101)&gt;0,IF(INDEX(Product_Pricing_Table[],MATCH(CR$1,Products,0),2)="Cores",IF(HostBuild[Use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1" s="552">
        <f>IFERROR(IF(FIND(CS$1,$W101)&gt;0,IF(INDEX(Product_Pricing_Table[],MATCH(CS$1,Products,0),2)="Cores",IF(HostBuild[Use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1" s="552">
        <f>IFERROR(IF(FIND(CT$1,$W101)&gt;0,IF(INDEX(Product_Pricing_Table[],MATCH(CT$1,Products,0),2)="Cores",IF(HostBuild[Use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1" s="552">
        <f>IFERROR(IF(FIND(CU$1,$W101)&gt;0,IF(INDEX(Product_Pricing_Table[],MATCH(CU$1,Products,0),2)="Cores",IF(HostBuild[Use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1" s="552">
        <f>IFERROR(IF(FIND(CV$1,$W101)&gt;0,IF(INDEX(Product_Pricing_Table[],MATCH(CV$1,Products,0),2)="Cores",IF(HostBuild[Use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1" s="552">
        <f>IFERROR(IF(FIND(CW$1,$W101)&gt;0,IF(INDEX(Product_Pricing_Table[],MATCH(CW$1,Products,0),2)="Cores",IF(HostBuild[Use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1" s="552">
        <f>IFERROR(IF(FIND(CX$1,$W101)&gt;0,IF(INDEX(Product_Pricing_Table[],MATCH(CX$1,Products,0),2)="Cores",IF(HostBuild[Use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01" s="552">
        <f>IFERROR(IF(FIND(CY$1,$W101)&gt;0,IF(INDEX(Product_Pricing_Table[],MATCH(CY$1,Products,0),2)="Cores",IF(HostBuild[Use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1" s="552">
        <f>IFERROR(IF(FIND(CZ$1,$W101)&gt;0,IF(INDEX(Product_Pricing_Table[],MATCH(CZ$1,Products,0),2)="Cores",IF(HostBuild[Use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1" s="552">
        <f>IFERROR(IF(FIND(DA$1,$W101)&gt;0,IF(INDEX(Product_Pricing_Table[],MATCH(DA$1,Products,0),2)="Cores",IF(HostBuild[Use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1" s="552">
        <f>IFERROR(IF(FIND(DB$1,$W101)&gt;0,IF(INDEX(Product_Pricing_Table[],MATCH(DB$1,Products,0),2)="Cores",IF(HostBuild[Use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1" s="552">
        <f>IFERROR(IF(FIND(DC$1,$W101)&gt;0,IF(INDEX(Product_Pricing_Table[],MATCH(DC$1,Products,0),2)="Cores",IF(HostBuild[Use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1" s="552">
        <f>IFERROR(IF(FIND(DD$1,$W101)&gt;0,IF(INDEX(Product_Pricing_Table[],MATCH(DD$1,Products,0),2)="Cores",IF(HostBuild[Use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1" s="552">
        <f>IFERROR(IF(FIND(DE$1,$W101)&gt;0,IF(INDEX(Product_Pricing_Table[],MATCH(DE$1,Products,0),2)="Cores",IF(HostBuild[Use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1" s="553">
        <f>IFERROR(IF(FIND(DF$1,$W101)&gt;0,IF(INDEX(Product_Pricing_Table[],MATCH(DF$1,Products,0),2)="Cores",IF(HostBuild[Use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1" s="553">
        <f>IFERROR(IF(FIND(DG$1,$W101)&gt;0,IF(INDEX(Product_Pricing_Table[],MATCH(DG$1,Products,0),2)="Cores",IF(HostBuild[Use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1" s="552">
        <f>IFERROR(IF(FIND(DH$1,$W101)&gt;0,IF(INDEX(Product_Pricing_Table[],MATCH(DH$1,Products,0),2)="Cores",IF(HostBuild[Use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1" s="553">
        <f>IFERROR(IF(FIND(DI$1,$W101)&gt;0,IF(INDEX(Product_Pricing_Table[],MATCH(DI$1,Products,0),2)="Cores",IF(HostBuild[Use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1" s="552">
        <f>IFERROR(IF(FIND(DJ$1,$W101)&gt;0,IF(INDEX(Product_Pricing_Table[],MATCH(DJ$1,Products,0),2)="Cores",IF(HostBuild[Use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1" s="552">
        <f>IFERROR(IF(FIND(DK$1,$W101)&gt;0,IF(INDEX(Product_Pricing_Table[],MATCH(DK$1,Products,0),2)="Cores",IF(HostBuild[Use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1" s="552">
        <f>IFERROR(IF(FIND(DL$1,$W101)&gt;0,IF(INDEX(Product_Pricing_Table[],MATCH(DL$1,Products,0),2)="Cores",IF(HostBuild[Use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1" s="552">
        <f>IFERROR(IF(FIND(DM$1,$W101)&gt;0,IF(INDEX(Product_Pricing_Table[],MATCH(DM$1,Products,0),2)="Cores",IF(HostBuild[Use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1" s="552">
        <f>IFERROR(IF(FIND(DN$1,$W101)&gt;0,IF(INDEX(Product_Pricing_Table[],MATCH(DN$1,Products,0),2)="Cores",IF(HostBuild[Use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1" s="552">
        <f>IFERROR(IF(FIND(DO$1,$W101)&gt;0,IF(INDEX(Product_Pricing_Table[],MATCH(DO$1,Products,0),2)="Cores",IF(HostBuild[Use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1" s="552">
        <f>IFERROR(IF(FIND(DP$1,$W101)&gt;0,IF(INDEX(Product_Pricing_Table[],MATCH(DP$1,Products,0),2)="Cores",IF(HostBuild[Use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1" s="552">
        <f>IFERROR(IF(FIND(DQ$1,$W101)&gt;0,IF(INDEX(Product_Pricing_Table[],MATCH(DQ$1,Products,0),2)="Cores",IF(HostBuild[Use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1" s="552">
        <f>IFERROR(IF(FIND(DR$1,$W101)&gt;0,IF(INDEX(Product_Pricing_Table[],MATCH(DR$1,Products,0),2)="Cores",IF(HostBuild[Use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1" s="552">
        <f>IFERROR(IF(FIND(DS$1,$W101)&gt;0,IF(INDEX(Product_Pricing_Table[],MATCH(DS$1,Products,0),2)="Cores",IF(HostBuild[Use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1" s="552">
        <f>IFERROR(IF(FIND(DT$1,$W101)&gt;0,IF(INDEX(Product_Pricing_Table[],MATCH(DT$1,Products,0),2)="Cores",IF(HostBuild[Use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1" s="552">
        <f>IFERROR(IF(FIND(DU$1,$W101)&gt;0,IF(INDEX(Product_Pricing_Table[],MATCH(DU$1,Products,0),2)="Cores",IF(HostBuild[Use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1" s="552">
        <f>IFERROR(IF(FIND(DV$1,$W101)&gt;0,IF(INDEX(Product_Pricing_Table[],MATCH(DV$1,Products,0),2)="Cores",IF(HostBuild[Use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1" s="552">
        <f>IFERROR(IF(FIND(DW$1,$W101)&gt;0,IF(INDEX(Product_Pricing_Table[],MATCH(DW$1,Products,0),2)="Cores",IF(HostBuild[Use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1" s="552">
        <f>IFERROR(IF(FIND(DX$1,$W101)&gt;0,IF(INDEX(Product_Pricing_Table[],MATCH(DX$1,Products,0),2)="Cores",IF(HostBuild[Use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1" s="552">
        <f>IFERROR(IF(FIND(DY$1,$W101)&gt;0,IF(INDEX(Product_Pricing_Table[],MATCH(DY$1,Products,0),2)="Cores",IF(HostBuild[Use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1" s="552">
        <f>IFERROR(IF(FIND(DZ$1,$W101)&gt;0,IF(INDEX(Product_Pricing_Table[],MATCH(DZ$1,Products,0),2)="Cores",IF(HostBuild[Use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1" s="552">
        <f>IFERROR(IF(FIND(EA$1,$W101)&gt;0,IF(INDEX(Product_Pricing_Table[],MATCH(EA$1,Products,0),2)="Cores",IF(HostBuild[Use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1" s="552">
        <f>IFERROR(IF(FIND(EB$1,$W101)&gt;0,IF(INDEX(Product_Pricing_Table[],MATCH(EB$1,Products,0),2)="Cores",IF(HostBuild[Use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1" s="553">
        <f>IFERROR(IF(FIND(EC$1,$W101)&gt;0,IF(INDEX(Product_Pricing_Table[],MATCH(EC$1,Products,0),2)="Cores",IF(HostBuild[Use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1" s="552">
        <f>IFERROR(IF(FIND(ED$1,$W101)&gt;0,IF(INDEX(Product_Pricing_Table[],MATCH(ED$1,Products,0),2)="Cores",IF(HostBuild[Use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1" s="552">
        <f>IFERROR(IF(FIND(EE$1,$W101)&gt;0,IF(INDEX(Product_Pricing_Table[],MATCH(EE$1,Products,0),2)="Cores",IF(HostBuild[Use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1" s="552">
        <f>IFERROR(IF(FIND(EF$1,$W101)&gt;0,IF(INDEX(Product_Pricing_Table[],MATCH(EF$1,Products,0),2)="Cores",IF(HostBuild[Use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1" s="552">
        <f>IFERROR(IF(FIND(EG$1,$W101)&gt;0,IF(INDEX(Product_Pricing_Table[],MATCH(EG$1,Products,0),2)="Cores",IF(HostBuild[Use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1" s="552">
        <f>IFERROR(IF(FIND(EH$1,$W101)&gt;0,IF(INDEX(Product_Pricing_Table[],MATCH(EH$1,Products,0),2)="Cores",IF(HostBuild[Use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1" s="552">
        <f>IFERROR(IF(FIND(EI$1,$W101)&gt;0,IF(INDEX(Product_Pricing_Table[],MATCH(EI$1,Products,0),2)="Cores",IF(HostBuild[Use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1" s="552">
        <f>IFERROR(IF(FIND(EJ$1,$W101)&gt;0,IF(INDEX(Product_Pricing_Table[],MATCH(EJ$1,Products,0),2)="Cores",IF(HostBuild[Use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1" s="553">
        <f>IFERROR(IF(FIND(EK$1,$W101)&gt;0,IF(INDEX(Product_Pricing_Table[],MATCH(EK$1,Products,0),2)="Cores",IF(HostBuild[Use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1" s="554"/>
      <c r="EM101" s="555">
        <v>0</v>
      </c>
      <c r="EN101" s="556">
        <v>0</v>
      </c>
      <c r="EO101"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409.45500000000004</v>
      </c>
      <c r="EQ101" s="558">
        <f>(HostBuild[Archive
Full (GB)]+HostBuild[Archive
Incr (GB)])*Storage_DC_Dist_Tape_2014</f>
        <v>91.558687500000019</v>
      </c>
      <c r="ER101" s="558">
        <f>IF(ISNUMBER(HostBuild[Server HW Costs
(Monthly)]),SUM(HostBuild[[#This Row],[Server HW Costs
(Monthly)]:[Tape Costs
(Monthly)]]),0)</f>
        <v>1389.7136875000001</v>
      </c>
      <c r="ES101" s="559">
        <f>HostBuild[Software Costs
'[Year 1']
(Monthly)]+HostBuild[Total Hardware Costs
(Monthly)]</f>
        <v>1389.7136875000001</v>
      </c>
      <c r="ET101" s="559">
        <f>IFERROR(IF(FIND("Safenet",HostBuild[Server Model]),Safenet_PSE_PL600_Maint,0),0)+IFERROR(IF(FIND("XI52",HostBuild[Server Model]),IBM_DIA_XI52_Maint,0),0)+HostBuild[Software Costs
'[After Year 1']
(Monthly)]+HostBuild[Total Hardware Costs
(Monthly)]</f>
        <v>1389.7136875000001</v>
      </c>
      <c r="EU101" s="560">
        <f>SUM(HostBuild[[#This Row],[Server Cost Breakdown]:[Network Cost]])</f>
        <v>888.7</v>
      </c>
      <c r="EV101" s="561">
        <f>IF(HostBuild[Existing Server?]="Yes - Inside this BoM",0,SUMIF(HostBuild[Alias],HostBuild[Alias],HostBuild[CPU])+SUMIF(HostBuild[Alias],HostBuild[Alias],HostBuild[Existing CPUs]))</f>
        <v>2</v>
      </c>
      <c r="EW101" s="561">
        <f>IF(HostBuild[Existing Server?]="Yes - Inside this BoM",0,SUMIF(HostBuild[Alias],HostBuild[Alias],HostBuild[Cores 
(Licensed Units)])+SUMIF(HostBuild[Alias],HostBuild[Alias],HostBuild[Existing Cores]))</f>
        <v>16</v>
      </c>
      <c r="EX101" s="561">
        <f>IF(HostBuild[Existing Server?]="Yes - Inside this BoM",0,SUMIF(HostBuild[Alias],HostBuild[Alias],HostBuild[RAM 
(GB)])+SUMIF(HostBuild[Alias],HostBuild[Alias],HostBuild[Existing RAM (GB)]))</f>
        <v>128</v>
      </c>
      <c r="EY10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1" s="560">
        <f>IF(ISBLANK(HostBuild[Server Model]),0,IF(HostBuild[Server Tier]="VMware",0,VLOOKUP(HostBuild[Server Tier],ServerTierRates[#Data],2,0))*HostBuild[CPU]*IF(AND(HostBuild[Server Type]="pSeries",HostBuild[Virtual Platform Storage Type]="Cloud-SAN"),0.25,1))</f>
        <v>608</v>
      </c>
      <c r="FD101" s="560">
        <f>0</f>
        <v>0</v>
      </c>
      <c r="FE101" s="560">
        <f>IF(HostBuild[Server Type]="VMware",HostBuild[RAM 
(GB)]*IF(ISERROR(FIND("DevCloud", HostBuild[Server Model])&gt;0),vRAM_per_vCPU_2014_Monthly,vRAM_per_vCPU_2014_Daily*30),0)</f>
        <v>0</v>
      </c>
      <c r="FF10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1" s="563">
        <f>IF(HostBuild[Server Tier]="VMware",0,IF(LEFT(HostBuild[Existing Server?],3)="Yes",0,IF(OR(HostBuild[Server Type]="Sun",HostBuild[Server Type]="pSeries"),Support_Direct_Server_Sun_per_OS_2014,IF(HostBuild[Server Type]="x86",Support_Direct_Server_x86_Wintel_per_OS_2014,0))))</f>
        <v>187.1</v>
      </c>
      <c r="FI10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2" spans="1:165" s="139" customFormat="1" ht="15" customHeight="1">
      <c r="A102" s="360" t="s">
        <v>3942</v>
      </c>
      <c r="B102" s="521"/>
      <c r="C102" s="521"/>
      <c r="D102" s="521"/>
      <c r="E102" s="522"/>
      <c r="F102" s="522"/>
      <c r="G102" s="597"/>
      <c r="H102" s="597"/>
      <c r="I102" s="523"/>
      <c r="J102" s="522"/>
      <c r="K102" s="522"/>
      <c r="L102" s="522"/>
      <c r="M102" s="597" t="e">
        <f ca="1">IF(rngIsDate(HostBuild[CTO Acceptance]),"Y","N")</f>
        <v>#NAME?</v>
      </c>
      <c r="N102" s="361" t="s">
        <v>3938</v>
      </c>
      <c r="O102" s="525"/>
      <c r="P102" s="525"/>
      <c r="Q102" s="361" t="s">
        <v>79</v>
      </c>
      <c r="R102" s="526" t="str">
        <f>IF(NOT(ISBLANK(HostBuild[Env Label])),IFERROR(VLOOKUP(HostBuild[Env Label],tEnv[],3,FALSE),""),"")</f>
        <v>PROD</v>
      </c>
      <c r="S102" s="598"/>
      <c r="T102" s="527"/>
      <c r="U102" s="599"/>
      <c r="V102" s="524" t="s">
        <v>4013</v>
      </c>
      <c r="W102" s="524" t="s">
        <v>4019</v>
      </c>
      <c r="X102" s="524" t="s">
        <v>35</v>
      </c>
      <c r="Y102" s="361" t="s">
        <v>4067</v>
      </c>
      <c r="Z102" s="526" t="str">
        <f>IF(NOT(ISBLANK(HostBuild[[#This Row],[Product 
(Acronym)]])),CONCATENATE(HostBuild[[#This Row],[Type]],"-",HostBuild[[#This Row],[Product 
(Acronym)]]),"")</f>
        <v>AP-CBOL</v>
      </c>
      <c r="AA102" s="600"/>
      <c r="AB102" s="600" t="s">
        <v>105</v>
      </c>
      <c r="AC102" s="528"/>
      <c r="AD102" s="529"/>
      <c r="AE102" s="529"/>
      <c r="AF102" s="530"/>
      <c r="AG102" s="531"/>
      <c r="AH102" s="601"/>
      <c r="AI102" s="362" t="s">
        <v>4024</v>
      </c>
      <c r="AJ102" s="524">
        <f>IF(COUNTIF(HostBuild[Alias],HostBuild[Alias]),1/COUNTIF(HostBuild[Alias],HostBuild[Alias]),0)</f>
        <v>1</v>
      </c>
      <c r="AK102" s="531"/>
      <c r="AL102" s="531"/>
      <c r="AM102" s="532" t="s">
        <v>2173</v>
      </c>
      <c r="AN102" s="533" t="str">
        <f>IF(NOT(ISBLANK(HostBuild[Server Model])),VLOOKUP(HostBuild[Server Model],ServerModelsTier[],2,FALSE),"")</f>
        <v>x86 Tier 3</v>
      </c>
      <c r="AO102" s="533" t="str">
        <f>IF(NOT(ISBLANK(HostBuild[Server Model])),VLOOKUP(HostBuild[Server Model],ServerModelsTier[],5,FALSE),"")</f>
        <v>x86</v>
      </c>
      <c r="AP102" s="532"/>
      <c r="AQ102" s="532" t="s">
        <v>2337</v>
      </c>
      <c r="AR102" s="534">
        <v>2</v>
      </c>
      <c r="AS102" s="602"/>
      <c r="AT102" s="535">
        <v>16</v>
      </c>
      <c r="AU102" s="603" t="str">
        <f>IF(IFERROR(FIND("P-Series",HostBuild[Server Tier]),0),CEILING((HostBuild[Existing CPUs]+HostBuild[CPU])*16,8),"")</f>
        <v/>
      </c>
      <c r="AV102" s="536">
        <v>128</v>
      </c>
      <c r="AW102" s="531"/>
      <c r="AX102" s="531"/>
      <c r="AY102" s="531"/>
      <c r="AZ102" s="537"/>
      <c r="BA102" s="531"/>
      <c r="BB102" s="531"/>
      <c r="BC102" s="529"/>
      <c r="BD102" s="531"/>
      <c r="BE102" s="531"/>
      <c r="BF102" s="531"/>
      <c r="BG102" s="531"/>
      <c r="BH102" s="531"/>
      <c r="BI102" s="531"/>
      <c r="BJ102" s="531"/>
      <c r="BK102"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2" s="538">
        <v>600</v>
      </c>
      <c r="BM102" s="540">
        <f>IF(ISNUMBER(HostBuild[Recommended SAN (GB)]),HostBuild[Recommended SAN (GB)])+IF(HostBuild[Additional SAN (GB)]&gt;0,CEILING(HostBuild[Additional SAN (GB)],LUN),-(CEILING(-HostBuild[Additional SAN (GB)],LUN)))</f>
        <v>808.80000000000007</v>
      </c>
      <c r="BN102" s="539"/>
      <c r="BO102" s="540">
        <f>HostBuild[SAN (GB)
NEEDED TODAY]+CEILING(HostBuild[SAN (GB)
RESERVED
DO NOT USE TO BUILD], LUN)</f>
        <v>808.80000000000007</v>
      </c>
      <c r="BP102" s="541"/>
      <c r="BQ102" s="542"/>
      <c r="BR102" s="432"/>
      <c r="BS102" s="605">
        <f>IF(HostBuild[Existing Server?]&lt;&gt;"Yes - Inside this BoM",IF(ISNUMBER(HostBuild[RAM 
(GB)]),IF(HostBuild[Existing RAM (GB)]+HostBuild[RAM 
(GB)]&gt;0,IF(HostBuild[Virtual Platform Storage Type]="NAS",110+HostBuild[Existing RAM (GB)]+HostBuild[RAM 
(GB)]*1.75,0),0),0),0)</f>
        <v>0</v>
      </c>
      <c r="BT102" s="606"/>
      <c r="BU102" s="607">
        <f>IF(ISNUMBER(HostBuild[Recommended NAS (GB)]),HostBuild[Recommended NAS (GB)])+HostBuild[Additional NAS (GB)]</f>
        <v>0</v>
      </c>
      <c r="BV102" s="543"/>
      <c r="BW102" s="543"/>
      <c r="BX102" s="604">
        <f>IFERROR((HostBuild[SAN (GB)
End-State
DO NOT USE TO BUILD]+HostBuild[SAN (GB) Shared])*25%,"")</f>
        <v>202.20000000000002</v>
      </c>
      <c r="BY102" s="608">
        <f>IFERROR(HostBuild[Archive
Full (GB)]*15%,"")</f>
        <v>30.330000000000002</v>
      </c>
      <c r="BZ102" s="544"/>
      <c r="CA102" s="544"/>
      <c r="CB102" s="545"/>
      <c r="CC102" s="546"/>
      <c r="CD102" s="545"/>
      <c r="CE102" s="547"/>
      <c r="CF102" s="539"/>
      <c r="CG102" s="609"/>
      <c r="CH102" s="548"/>
      <c r="CI102" s="549"/>
      <c r="CJ102" s="550"/>
      <c r="CK102" s="551"/>
      <c r="CL102" s="552">
        <f>IFERROR(IF(FIND(CL$1,$W102)&gt;0,IF(INDEX(Product_Pricing_Table[],MATCH(CL$1,Products,0),2)="Cores",IF(HostBuild[Use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2" s="552">
        <f>IFERROR(IF(FIND(CM$1,$W102)&gt;0,IF(INDEX(Product_Pricing_Table[],MATCH(CM$1,Products,0),2)="Cores",IF(HostBuild[Use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2" s="552">
        <f>IFERROR(IF(FIND(CN$1,$W102)&gt;0,IF(INDEX(Product_Pricing_Table[],MATCH(CN$1,Products,0),2)="Cores",IF(HostBuild[Use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2" s="552">
        <f>IFERROR(IF(FIND(CO$1,$W102)&gt;0,IF(INDEX(Product_Pricing_Table[],MATCH(CO$1,Products,0),2)="Cores",IF(HostBuild[Use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2" s="552">
        <f>IFERROR(IF(FIND(CP$1,$W102)&gt;0,IF(INDEX(Product_Pricing_Table[],MATCH(CP$1,Products,0),2)="Cores",IF(HostBuild[Use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2" s="552">
        <f>IFERROR(IF(FIND(CQ$1,$W102)&gt;0,IF(INDEX(Product_Pricing_Table[],MATCH(CQ$1,Products,0),2)="Cores",IF(HostBuild[Use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2" s="552">
        <f>IFERROR(IF(FIND(CR$1,$W102)&gt;0,IF(INDEX(Product_Pricing_Table[],MATCH(CR$1,Products,0),2)="Cores",IF(HostBuild[Use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2" s="552">
        <f>IFERROR(IF(FIND(CS$1,$W102)&gt;0,IF(INDEX(Product_Pricing_Table[],MATCH(CS$1,Products,0),2)="Cores",IF(HostBuild[Use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2" s="552">
        <f>IFERROR(IF(FIND(CT$1,$W102)&gt;0,IF(INDEX(Product_Pricing_Table[],MATCH(CT$1,Products,0),2)="Cores",IF(HostBuild[Use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2" s="552">
        <f>IFERROR(IF(FIND(CU$1,$W102)&gt;0,IF(INDEX(Product_Pricing_Table[],MATCH(CU$1,Products,0),2)="Cores",IF(HostBuild[Use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2" s="552">
        <f>IFERROR(IF(FIND(CV$1,$W102)&gt;0,IF(INDEX(Product_Pricing_Table[],MATCH(CV$1,Products,0),2)="Cores",IF(HostBuild[Use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2" s="552">
        <f>IFERROR(IF(FIND(CW$1,$W102)&gt;0,IF(INDEX(Product_Pricing_Table[],MATCH(CW$1,Products,0),2)="Cores",IF(HostBuild[Use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2" s="552">
        <f>IFERROR(IF(FIND(CX$1,$W102)&gt;0,IF(INDEX(Product_Pricing_Table[],MATCH(CX$1,Products,0),2)="Cores",IF(HostBuild[Use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2" s="552">
        <f>IFERROR(IF(FIND(CY$1,$W102)&gt;0,IF(INDEX(Product_Pricing_Table[],MATCH(CY$1,Products,0),2)="Cores",IF(HostBuild[Use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2" s="552">
        <f>IFERROR(IF(FIND(CZ$1,$W102)&gt;0,IF(INDEX(Product_Pricing_Table[],MATCH(CZ$1,Products,0),2)="Cores",IF(HostBuild[Use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2" s="552">
        <f>IFERROR(IF(FIND(DA$1,$W102)&gt;0,IF(INDEX(Product_Pricing_Table[],MATCH(DA$1,Products,0),2)="Cores",IF(HostBuild[Use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2" s="552">
        <f>IFERROR(IF(FIND(DB$1,$W102)&gt;0,IF(INDEX(Product_Pricing_Table[],MATCH(DB$1,Products,0),2)="Cores",IF(HostBuild[Use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2" s="552">
        <f>IFERROR(IF(FIND(DC$1,$W102)&gt;0,IF(INDEX(Product_Pricing_Table[],MATCH(DC$1,Products,0),2)="Cores",IF(HostBuild[Use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2" s="552">
        <f>IFERROR(IF(FIND(DD$1,$W102)&gt;0,IF(INDEX(Product_Pricing_Table[],MATCH(DD$1,Products,0),2)="Cores",IF(HostBuild[Use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2" s="552">
        <f>IFERROR(IF(FIND(DE$1,$W102)&gt;0,IF(INDEX(Product_Pricing_Table[],MATCH(DE$1,Products,0),2)="Cores",IF(HostBuild[Use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2" s="553">
        <f>IFERROR(IF(FIND(DF$1,$W102)&gt;0,IF(INDEX(Product_Pricing_Table[],MATCH(DF$1,Products,0),2)="Cores",IF(HostBuild[Use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2" s="553">
        <f>IFERROR(IF(FIND(DG$1,$W102)&gt;0,IF(INDEX(Product_Pricing_Table[],MATCH(DG$1,Products,0),2)="Cores",IF(HostBuild[Use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2" s="552">
        <f>IFERROR(IF(FIND(DH$1,$W102)&gt;0,IF(INDEX(Product_Pricing_Table[],MATCH(DH$1,Products,0),2)="Cores",IF(HostBuild[Use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2" s="553">
        <f>IFERROR(IF(FIND(DI$1,$W102)&gt;0,IF(INDEX(Product_Pricing_Table[],MATCH(DI$1,Products,0),2)="Cores",IF(HostBuild[Use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2" s="552">
        <f>IFERROR(IF(FIND(DJ$1,$W102)&gt;0,IF(INDEX(Product_Pricing_Table[],MATCH(DJ$1,Products,0),2)="Cores",IF(HostBuild[Use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2" s="552">
        <f>IFERROR(IF(FIND(DK$1,$W102)&gt;0,IF(INDEX(Product_Pricing_Table[],MATCH(DK$1,Products,0),2)="Cores",IF(HostBuild[Use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2" s="552">
        <f>IFERROR(IF(FIND(DL$1,$W102)&gt;0,IF(INDEX(Product_Pricing_Table[],MATCH(DL$1,Products,0),2)="Cores",IF(HostBuild[Use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2" s="552">
        <f>IFERROR(IF(FIND(DM$1,$W102)&gt;0,IF(INDEX(Product_Pricing_Table[],MATCH(DM$1,Products,0),2)="Cores",IF(HostBuild[Use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2" s="552">
        <f>IFERROR(IF(FIND(DN$1,$W102)&gt;0,IF(INDEX(Product_Pricing_Table[],MATCH(DN$1,Products,0),2)="Cores",IF(HostBuild[Use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2" s="552">
        <f>IFERROR(IF(FIND(DO$1,$W102)&gt;0,IF(INDEX(Product_Pricing_Table[],MATCH(DO$1,Products,0),2)="Cores",IF(HostBuild[Use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2" s="552">
        <f>IFERROR(IF(FIND(DP$1,$W102)&gt;0,IF(INDEX(Product_Pricing_Table[],MATCH(DP$1,Products,0),2)="Cores",IF(HostBuild[Use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2" s="552">
        <f>IFERROR(IF(FIND(DQ$1,$W102)&gt;0,IF(INDEX(Product_Pricing_Table[],MATCH(DQ$1,Products,0),2)="Cores",IF(HostBuild[Use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2" s="552">
        <f>IFERROR(IF(FIND(DR$1,$W102)&gt;0,IF(INDEX(Product_Pricing_Table[],MATCH(DR$1,Products,0),2)="Cores",IF(HostBuild[Use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2" s="552">
        <f>IFERROR(IF(FIND(DS$1,$W102)&gt;0,IF(INDEX(Product_Pricing_Table[],MATCH(DS$1,Products,0),2)="Cores",IF(HostBuild[Use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2" s="552">
        <f>IFERROR(IF(FIND(DT$1,$W102)&gt;0,IF(INDEX(Product_Pricing_Table[],MATCH(DT$1,Products,0),2)="Cores",IF(HostBuild[Use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2" s="552">
        <f>IFERROR(IF(FIND(DU$1,$W102)&gt;0,IF(INDEX(Product_Pricing_Table[],MATCH(DU$1,Products,0),2)="Cores",IF(HostBuild[Use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2" s="552">
        <f>IFERROR(IF(FIND(DV$1,$W102)&gt;0,IF(INDEX(Product_Pricing_Table[],MATCH(DV$1,Products,0),2)="Cores",IF(HostBuild[Use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2" s="552">
        <f>IFERROR(IF(FIND(DW$1,$W102)&gt;0,IF(INDEX(Product_Pricing_Table[],MATCH(DW$1,Products,0),2)="Cores",IF(HostBuild[Use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2" s="552">
        <f>IFERROR(IF(FIND(DX$1,$W102)&gt;0,IF(INDEX(Product_Pricing_Table[],MATCH(DX$1,Products,0),2)="Cores",IF(HostBuild[Use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2" s="552">
        <f>IFERROR(IF(FIND(DY$1,$W102)&gt;0,IF(INDEX(Product_Pricing_Table[],MATCH(DY$1,Products,0),2)="Cores",IF(HostBuild[Use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2" s="552">
        <f>IFERROR(IF(FIND(DZ$1,$W102)&gt;0,IF(INDEX(Product_Pricing_Table[],MATCH(DZ$1,Products,0),2)="Cores",IF(HostBuild[Use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2" s="552">
        <f>IFERROR(IF(FIND(EA$1,$W102)&gt;0,IF(INDEX(Product_Pricing_Table[],MATCH(EA$1,Products,0),2)="Cores",IF(HostBuild[Use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2" s="552">
        <f>IFERROR(IF(FIND(EB$1,$W102)&gt;0,IF(INDEX(Product_Pricing_Table[],MATCH(EB$1,Products,0),2)="Cores",IF(HostBuild[Use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2" s="553">
        <f>IFERROR(IF(FIND(EC$1,$W102)&gt;0,IF(INDEX(Product_Pricing_Table[],MATCH(EC$1,Products,0),2)="Cores",IF(HostBuild[Use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2" s="552">
        <f>IFERROR(IF(FIND(ED$1,$W102)&gt;0,IF(INDEX(Product_Pricing_Table[],MATCH(ED$1,Products,0),2)="Cores",IF(HostBuild[Use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2" s="552">
        <f>IFERROR(IF(FIND(EE$1,$W102)&gt;0,IF(INDEX(Product_Pricing_Table[],MATCH(EE$1,Products,0),2)="Cores",IF(HostBuild[Use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2" s="552">
        <f>IFERROR(IF(FIND(EF$1,$W102)&gt;0,IF(INDEX(Product_Pricing_Table[],MATCH(EF$1,Products,0),2)="Cores",IF(HostBuild[Use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2" s="552">
        <f>IFERROR(IF(FIND(EG$1,$W102)&gt;0,IF(INDEX(Product_Pricing_Table[],MATCH(EG$1,Products,0),2)="Cores",IF(HostBuild[Use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2" s="552">
        <f>IFERROR(IF(FIND(EH$1,$W102)&gt;0,IF(INDEX(Product_Pricing_Table[],MATCH(EH$1,Products,0),2)="Cores",IF(HostBuild[Use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2" s="552">
        <f>IFERROR(IF(FIND(EI$1,$W102)&gt;0,IF(INDEX(Product_Pricing_Table[],MATCH(EI$1,Products,0),2)="Cores",IF(HostBuild[Use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2" s="552">
        <f>IFERROR(IF(FIND(EJ$1,$W102)&gt;0,IF(INDEX(Product_Pricing_Table[],MATCH(EJ$1,Products,0),2)="Cores",IF(HostBuild[Use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2" s="553">
        <f>IFERROR(IF(FIND(EK$1,$W102)&gt;0,IF(INDEX(Product_Pricing_Table[],MATCH(EK$1,Products,0),2)="Cores",IF(HostBuild[Use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2" s="554"/>
      <c r="EM102" s="555">
        <v>0</v>
      </c>
      <c r="EN102" s="556">
        <v>0</v>
      </c>
      <c r="EO102"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02" s="558">
        <f>(HostBuild[Archive
Full (GB)]+HostBuild[Archive
Incr (GB)])*Storage_DC_Dist_Tape_2014</f>
        <v>81.385500000000008</v>
      </c>
      <c r="ER102" s="558">
        <f>IF(ISNUMBER(HostBuild[Server HW Costs
(Monthly)]),SUM(HostBuild[[#This Row],[Server HW Costs
(Monthly)]:[Tape Costs
(Monthly)]]),0)</f>
        <v>1334.0455000000002</v>
      </c>
      <c r="ES102" s="559">
        <f>HostBuild[Software Costs
'[Year 1']
(Monthly)]+HostBuild[Total Hardware Costs
(Monthly)]</f>
        <v>1334.0455000000002</v>
      </c>
      <c r="ET102" s="559">
        <f>IFERROR(IF(FIND("Safenet",HostBuild[Server Model]),Safenet_PSE_PL600_Maint,0),0)+IFERROR(IF(FIND("XI52",HostBuild[Server Model]),IBM_DIA_XI52_Maint,0),0)+HostBuild[Software Costs
'[After Year 1']
(Monthly)]+HostBuild[Total Hardware Costs
(Monthly)]</f>
        <v>1334.0455000000002</v>
      </c>
      <c r="EU102" s="560">
        <f>SUM(HostBuild[[#This Row],[Server Cost Breakdown]:[Network Cost]])</f>
        <v>888.7</v>
      </c>
      <c r="EV102" s="561">
        <f>IF(HostBuild[Existing Server?]="Yes - Inside this BoM",0,SUMIF(HostBuild[Alias],HostBuild[Alias],HostBuild[CPU])+SUMIF(HostBuild[Alias],HostBuild[Alias],HostBuild[Existing CPUs]))</f>
        <v>2</v>
      </c>
      <c r="EW102" s="561">
        <f>IF(HostBuild[Existing Server?]="Yes - Inside this BoM",0,SUMIF(HostBuild[Alias],HostBuild[Alias],HostBuild[Cores 
(Licensed Units)])+SUMIF(HostBuild[Alias],HostBuild[Alias],HostBuild[Existing Cores]))</f>
        <v>16</v>
      </c>
      <c r="EX102" s="561">
        <f>IF(HostBuild[Existing Server?]="Yes - Inside this BoM",0,SUMIF(HostBuild[Alias],HostBuild[Alias],HostBuild[RAM 
(GB)])+SUMIF(HostBuild[Alias],HostBuild[Alias],HostBuild[Existing RAM (GB)]))</f>
        <v>128</v>
      </c>
      <c r="EY10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2" s="560">
        <f>IF(ISBLANK(HostBuild[Server Model]),0,IF(HostBuild[Server Tier]="VMware",0,VLOOKUP(HostBuild[Server Tier],ServerTierRates[#Data],2,0))*HostBuild[CPU]*IF(AND(HostBuild[Server Type]="pSeries",HostBuild[Virtual Platform Storage Type]="Cloud-SAN"),0.25,1))</f>
        <v>608</v>
      </c>
      <c r="FD102" s="560">
        <f>0</f>
        <v>0</v>
      </c>
      <c r="FE102" s="560">
        <f>IF(HostBuild[Server Type]="VMware",HostBuild[RAM 
(GB)]*IF(ISERROR(FIND("DevCloud", HostBuild[Server Model])&gt;0),vRAM_per_vCPU_2014_Monthly,vRAM_per_vCPU_2014_Daily*30),0)</f>
        <v>0</v>
      </c>
      <c r="FF10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2" s="563">
        <f>IF(HostBuild[Server Tier]="VMware",0,IF(LEFT(HostBuild[Existing Server?],3)="Yes",0,IF(OR(HostBuild[Server Type]="Sun",HostBuild[Server Type]="pSeries"),Support_Direct_Server_Sun_per_OS_2014,IF(HostBuild[Server Type]="x86",Support_Direct_Server_x86_Wintel_per_OS_2014,0))))</f>
        <v>187.1</v>
      </c>
      <c r="FI10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3" spans="1:165" s="139" customFormat="1" ht="15" customHeight="1">
      <c r="A103" s="360" t="s">
        <v>3942</v>
      </c>
      <c r="B103" s="521"/>
      <c r="C103" s="521"/>
      <c r="D103" s="521"/>
      <c r="E103" s="522"/>
      <c r="F103" s="522"/>
      <c r="G103" s="597"/>
      <c r="H103" s="597"/>
      <c r="I103" s="523"/>
      <c r="J103" s="522"/>
      <c r="K103" s="522"/>
      <c r="L103" s="522"/>
      <c r="M103" s="597" t="e">
        <f ca="1">IF(rngIsDate(HostBuild[CTO Acceptance]),"Y","N")</f>
        <v>#NAME?</v>
      </c>
      <c r="N103" s="361" t="s">
        <v>3939</v>
      </c>
      <c r="O103" s="525"/>
      <c r="P103" s="525"/>
      <c r="Q103" s="361" t="s">
        <v>3932</v>
      </c>
      <c r="R103" s="526" t="str">
        <f>IF(NOT(ISBLANK(HostBuild[Env Label])),IFERROR(VLOOKUP(HostBuild[Env Label],tEnv[],3,FALSE),""),"")</f>
        <v>PROD</v>
      </c>
      <c r="S103" s="598"/>
      <c r="T103" s="527"/>
      <c r="U103" s="599"/>
      <c r="V103" s="524" t="s">
        <v>4013</v>
      </c>
      <c r="W103" s="524" t="s">
        <v>4019</v>
      </c>
      <c r="X103" s="524" t="s">
        <v>35</v>
      </c>
      <c r="Y103" s="361" t="s">
        <v>4067</v>
      </c>
      <c r="Z103" s="526" t="str">
        <f>IF(NOT(ISBLANK(HostBuild[[#This Row],[Product 
(Acronym)]])),CONCATENATE(HostBuild[[#This Row],[Type]],"-",HostBuild[[#This Row],[Product 
(Acronym)]]),"")</f>
        <v>AP-CBOL</v>
      </c>
      <c r="AA103" s="600"/>
      <c r="AB103" s="600" t="s">
        <v>105</v>
      </c>
      <c r="AC103" s="528"/>
      <c r="AD103" s="529"/>
      <c r="AE103" s="529"/>
      <c r="AF103" s="530"/>
      <c r="AG103" s="531"/>
      <c r="AH103" s="601"/>
      <c r="AI103" s="362" t="s">
        <v>4025</v>
      </c>
      <c r="AJ103" s="524">
        <f>IF(COUNTIF(HostBuild[Alias],HostBuild[Alias]),1/COUNTIF(HostBuild[Alias],HostBuild[Alias]),0)</f>
        <v>1</v>
      </c>
      <c r="AK103" s="531"/>
      <c r="AL103" s="531"/>
      <c r="AM103" s="532" t="s">
        <v>2173</v>
      </c>
      <c r="AN103" s="533" t="str">
        <f>IF(NOT(ISBLANK(HostBuild[Server Model])),VLOOKUP(HostBuild[Server Model],ServerModelsTier[],2,FALSE),"")</f>
        <v>x86 Tier 3</v>
      </c>
      <c r="AO103" s="533" t="str">
        <f>IF(NOT(ISBLANK(HostBuild[Server Model])),VLOOKUP(HostBuild[Server Model],ServerModelsTier[],5,FALSE),"")</f>
        <v>x86</v>
      </c>
      <c r="AP103" s="532"/>
      <c r="AQ103" s="532" t="s">
        <v>2337</v>
      </c>
      <c r="AR103" s="534">
        <v>2</v>
      </c>
      <c r="AS103" s="602"/>
      <c r="AT103" s="535">
        <v>16</v>
      </c>
      <c r="AU103" s="603" t="str">
        <f>IF(IFERROR(FIND("P-Series",HostBuild[Server Tier]),0),CEILING((HostBuild[Existing CPUs]+HostBuild[CPU])*16,8),"")</f>
        <v/>
      </c>
      <c r="AV103" s="536">
        <v>128</v>
      </c>
      <c r="AW103" s="531"/>
      <c r="AX103" s="531"/>
      <c r="AY103" s="531"/>
      <c r="AZ103" s="537"/>
      <c r="BA103" s="531"/>
      <c r="BB103" s="531"/>
      <c r="BC103" s="529"/>
      <c r="BD103" s="531"/>
      <c r="BE103" s="531"/>
      <c r="BF103" s="531"/>
      <c r="BG103" s="531"/>
      <c r="BH103" s="531"/>
      <c r="BI103" s="531"/>
      <c r="BJ103" s="531"/>
      <c r="BK103"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3" s="538">
        <v>600</v>
      </c>
      <c r="BM103" s="540">
        <f>IF(ISNUMBER(HostBuild[Recommended SAN (GB)]),HostBuild[Recommended SAN (GB)])+IF(HostBuild[Additional SAN (GB)]&gt;0,CEILING(HostBuild[Additional SAN (GB)],LUN),-(CEILING(-HostBuild[Additional SAN (GB)],LUN)))</f>
        <v>808.80000000000007</v>
      </c>
      <c r="BN103" s="539"/>
      <c r="BO103" s="540">
        <f>HostBuild[SAN (GB)
NEEDED TODAY]+CEILING(HostBuild[SAN (GB)
RESERVED
DO NOT USE TO BUILD], LUN)</f>
        <v>808.80000000000007</v>
      </c>
      <c r="BP103" s="541"/>
      <c r="BQ103" s="542"/>
      <c r="BR103" s="432"/>
      <c r="BS103" s="605">
        <f>IF(HostBuild[Existing Server?]&lt;&gt;"Yes - Inside this BoM",IF(ISNUMBER(HostBuild[RAM 
(GB)]),IF(HostBuild[Existing RAM (GB)]+HostBuild[RAM 
(GB)]&gt;0,IF(HostBuild[Virtual Platform Storage Type]="NAS",110+HostBuild[Existing RAM (GB)]+HostBuild[RAM 
(GB)]*1.75,0),0),0),0)</f>
        <v>0</v>
      </c>
      <c r="BT103" s="606"/>
      <c r="BU103" s="607">
        <f>IF(ISNUMBER(HostBuild[Recommended NAS (GB)]),HostBuild[Recommended NAS (GB)])+HostBuild[Additional NAS (GB)]</f>
        <v>0</v>
      </c>
      <c r="BV103" s="543"/>
      <c r="BW103" s="543"/>
      <c r="BX103" s="604">
        <f>IFERROR((HostBuild[SAN (GB)
End-State
DO NOT USE TO BUILD]+HostBuild[SAN (GB) Shared])*25%,"")</f>
        <v>202.20000000000002</v>
      </c>
      <c r="BY103" s="608">
        <f>IFERROR(HostBuild[Archive
Full (GB)]*15%,"")</f>
        <v>30.330000000000002</v>
      </c>
      <c r="BZ103" s="544"/>
      <c r="CA103" s="544"/>
      <c r="CB103" s="545"/>
      <c r="CC103" s="546"/>
      <c r="CD103" s="545"/>
      <c r="CE103" s="547"/>
      <c r="CF103" s="539"/>
      <c r="CG103" s="609"/>
      <c r="CH103" s="548"/>
      <c r="CI103" s="549"/>
      <c r="CJ103" s="550"/>
      <c r="CK103" s="551"/>
      <c r="CL103" s="552">
        <f>IFERROR(IF(FIND(CL$1,$W103)&gt;0,IF(INDEX(Product_Pricing_Table[],MATCH(CL$1,Products,0),2)="Cores",IF(HostBuild[Use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3" s="552">
        <f>IFERROR(IF(FIND(CM$1,$W103)&gt;0,IF(INDEX(Product_Pricing_Table[],MATCH(CM$1,Products,0),2)="Cores",IF(HostBuild[Use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3" s="552">
        <f>IFERROR(IF(FIND(CN$1,$W103)&gt;0,IF(INDEX(Product_Pricing_Table[],MATCH(CN$1,Products,0),2)="Cores",IF(HostBuild[Use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3" s="552">
        <f>IFERROR(IF(FIND(CO$1,$W103)&gt;0,IF(INDEX(Product_Pricing_Table[],MATCH(CO$1,Products,0),2)="Cores",IF(HostBuild[Use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3" s="552">
        <f>IFERROR(IF(FIND(CP$1,$W103)&gt;0,IF(INDEX(Product_Pricing_Table[],MATCH(CP$1,Products,0),2)="Cores",IF(HostBuild[Use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3" s="552">
        <f>IFERROR(IF(FIND(CQ$1,$W103)&gt;0,IF(INDEX(Product_Pricing_Table[],MATCH(CQ$1,Products,0),2)="Cores",IF(HostBuild[Use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3" s="552">
        <f>IFERROR(IF(FIND(CR$1,$W103)&gt;0,IF(INDEX(Product_Pricing_Table[],MATCH(CR$1,Products,0),2)="Cores",IF(HostBuild[Use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3" s="552">
        <f>IFERROR(IF(FIND(CS$1,$W103)&gt;0,IF(INDEX(Product_Pricing_Table[],MATCH(CS$1,Products,0),2)="Cores",IF(HostBuild[Use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3" s="552">
        <f>IFERROR(IF(FIND(CT$1,$W103)&gt;0,IF(INDEX(Product_Pricing_Table[],MATCH(CT$1,Products,0),2)="Cores",IF(HostBuild[Use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3" s="552">
        <f>IFERROR(IF(FIND(CU$1,$W103)&gt;0,IF(INDEX(Product_Pricing_Table[],MATCH(CU$1,Products,0),2)="Cores",IF(HostBuild[Use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3" s="552">
        <f>IFERROR(IF(FIND(CV$1,$W103)&gt;0,IF(INDEX(Product_Pricing_Table[],MATCH(CV$1,Products,0),2)="Cores",IF(HostBuild[Use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3" s="552">
        <f>IFERROR(IF(FIND(CW$1,$W103)&gt;0,IF(INDEX(Product_Pricing_Table[],MATCH(CW$1,Products,0),2)="Cores",IF(HostBuild[Use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3" s="552">
        <f>IFERROR(IF(FIND(CX$1,$W103)&gt;0,IF(INDEX(Product_Pricing_Table[],MATCH(CX$1,Products,0),2)="Cores",IF(HostBuild[Use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3" s="552">
        <f>IFERROR(IF(FIND(CY$1,$W103)&gt;0,IF(INDEX(Product_Pricing_Table[],MATCH(CY$1,Products,0),2)="Cores",IF(HostBuild[Use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3" s="552">
        <f>IFERROR(IF(FIND(CZ$1,$W103)&gt;0,IF(INDEX(Product_Pricing_Table[],MATCH(CZ$1,Products,0),2)="Cores",IF(HostBuild[Use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3" s="552">
        <f>IFERROR(IF(FIND(DA$1,$W103)&gt;0,IF(INDEX(Product_Pricing_Table[],MATCH(DA$1,Products,0),2)="Cores",IF(HostBuild[Use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3" s="552">
        <f>IFERROR(IF(FIND(DB$1,$W103)&gt;0,IF(INDEX(Product_Pricing_Table[],MATCH(DB$1,Products,0),2)="Cores",IF(HostBuild[Use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3" s="552">
        <f>IFERROR(IF(FIND(DC$1,$W103)&gt;0,IF(INDEX(Product_Pricing_Table[],MATCH(DC$1,Products,0),2)="Cores",IF(HostBuild[Use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3" s="552">
        <f>IFERROR(IF(FIND(DD$1,$W103)&gt;0,IF(INDEX(Product_Pricing_Table[],MATCH(DD$1,Products,0),2)="Cores",IF(HostBuild[Use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3" s="552">
        <f>IFERROR(IF(FIND(DE$1,$W103)&gt;0,IF(INDEX(Product_Pricing_Table[],MATCH(DE$1,Products,0),2)="Cores",IF(HostBuild[Use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3" s="553">
        <f>IFERROR(IF(FIND(DF$1,$W103)&gt;0,IF(INDEX(Product_Pricing_Table[],MATCH(DF$1,Products,0),2)="Cores",IF(HostBuild[Use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3" s="553">
        <f>IFERROR(IF(FIND(DG$1,$W103)&gt;0,IF(INDEX(Product_Pricing_Table[],MATCH(DG$1,Products,0),2)="Cores",IF(HostBuild[Use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3" s="552">
        <f>IFERROR(IF(FIND(DH$1,$W103)&gt;0,IF(INDEX(Product_Pricing_Table[],MATCH(DH$1,Products,0),2)="Cores",IF(HostBuild[Use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3" s="553">
        <f>IFERROR(IF(FIND(DI$1,$W103)&gt;0,IF(INDEX(Product_Pricing_Table[],MATCH(DI$1,Products,0),2)="Cores",IF(HostBuild[Use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3" s="552">
        <f>IFERROR(IF(FIND(DJ$1,$W103)&gt;0,IF(INDEX(Product_Pricing_Table[],MATCH(DJ$1,Products,0),2)="Cores",IF(HostBuild[Use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3" s="552">
        <f>IFERROR(IF(FIND(DK$1,$W103)&gt;0,IF(INDEX(Product_Pricing_Table[],MATCH(DK$1,Products,0),2)="Cores",IF(HostBuild[Use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3" s="552">
        <f>IFERROR(IF(FIND(DL$1,$W103)&gt;0,IF(INDEX(Product_Pricing_Table[],MATCH(DL$1,Products,0),2)="Cores",IF(HostBuild[Use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3" s="552">
        <f>IFERROR(IF(FIND(DM$1,$W103)&gt;0,IF(INDEX(Product_Pricing_Table[],MATCH(DM$1,Products,0),2)="Cores",IF(HostBuild[Use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3" s="552">
        <f>IFERROR(IF(FIND(DN$1,$W103)&gt;0,IF(INDEX(Product_Pricing_Table[],MATCH(DN$1,Products,0),2)="Cores",IF(HostBuild[Use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3" s="552">
        <f>IFERROR(IF(FIND(DO$1,$W103)&gt;0,IF(INDEX(Product_Pricing_Table[],MATCH(DO$1,Products,0),2)="Cores",IF(HostBuild[Use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3" s="552">
        <f>IFERROR(IF(FIND(DP$1,$W103)&gt;0,IF(INDEX(Product_Pricing_Table[],MATCH(DP$1,Products,0),2)="Cores",IF(HostBuild[Use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3" s="552">
        <f>IFERROR(IF(FIND(DQ$1,$W103)&gt;0,IF(INDEX(Product_Pricing_Table[],MATCH(DQ$1,Products,0),2)="Cores",IF(HostBuild[Use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3" s="552">
        <f>IFERROR(IF(FIND(DR$1,$W103)&gt;0,IF(INDEX(Product_Pricing_Table[],MATCH(DR$1,Products,0),2)="Cores",IF(HostBuild[Use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3" s="552">
        <f>IFERROR(IF(FIND(DS$1,$W103)&gt;0,IF(INDEX(Product_Pricing_Table[],MATCH(DS$1,Products,0),2)="Cores",IF(HostBuild[Use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3" s="552">
        <f>IFERROR(IF(FIND(DT$1,$W103)&gt;0,IF(INDEX(Product_Pricing_Table[],MATCH(DT$1,Products,0),2)="Cores",IF(HostBuild[Use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3" s="552">
        <f>IFERROR(IF(FIND(DU$1,$W103)&gt;0,IF(INDEX(Product_Pricing_Table[],MATCH(DU$1,Products,0),2)="Cores",IF(HostBuild[Use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3" s="552">
        <f>IFERROR(IF(FIND(DV$1,$W103)&gt;0,IF(INDEX(Product_Pricing_Table[],MATCH(DV$1,Products,0),2)="Cores",IF(HostBuild[Use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3" s="552">
        <f>IFERROR(IF(FIND(DW$1,$W103)&gt;0,IF(INDEX(Product_Pricing_Table[],MATCH(DW$1,Products,0),2)="Cores",IF(HostBuild[Use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3" s="552">
        <f>IFERROR(IF(FIND(DX$1,$W103)&gt;0,IF(INDEX(Product_Pricing_Table[],MATCH(DX$1,Products,0),2)="Cores",IF(HostBuild[Use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3" s="552">
        <f>IFERROR(IF(FIND(DY$1,$W103)&gt;0,IF(INDEX(Product_Pricing_Table[],MATCH(DY$1,Products,0),2)="Cores",IF(HostBuild[Use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3" s="552">
        <f>IFERROR(IF(FIND(DZ$1,$W103)&gt;0,IF(INDEX(Product_Pricing_Table[],MATCH(DZ$1,Products,0),2)="Cores",IF(HostBuild[Use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3" s="552">
        <f>IFERROR(IF(FIND(EA$1,$W103)&gt;0,IF(INDEX(Product_Pricing_Table[],MATCH(EA$1,Products,0),2)="Cores",IF(HostBuild[Use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3" s="552">
        <f>IFERROR(IF(FIND(EB$1,$W103)&gt;0,IF(INDEX(Product_Pricing_Table[],MATCH(EB$1,Products,0),2)="Cores",IF(HostBuild[Use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3" s="553">
        <f>IFERROR(IF(FIND(EC$1,$W103)&gt;0,IF(INDEX(Product_Pricing_Table[],MATCH(EC$1,Products,0),2)="Cores",IF(HostBuild[Use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3" s="552">
        <f>IFERROR(IF(FIND(ED$1,$W103)&gt;0,IF(INDEX(Product_Pricing_Table[],MATCH(ED$1,Products,0),2)="Cores",IF(HostBuild[Use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3" s="552">
        <f>IFERROR(IF(FIND(EE$1,$W103)&gt;0,IF(INDEX(Product_Pricing_Table[],MATCH(EE$1,Products,0),2)="Cores",IF(HostBuild[Use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3" s="552">
        <f>IFERROR(IF(FIND(EF$1,$W103)&gt;0,IF(INDEX(Product_Pricing_Table[],MATCH(EF$1,Products,0),2)="Cores",IF(HostBuild[Use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3" s="552">
        <f>IFERROR(IF(FIND(EG$1,$W103)&gt;0,IF(INDEX(Product_Pricing_Table[],MATCH(EG$1,Products,0),2)="Cores",IF(HostBuild[Use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3" s="552">
        <f>IFERROR(IF(FIND(EH$1,$W103)&gt;0,IF(INDEX(Product_Pricing_Table[],MATCH(EH$1,Products,0),2)="Cores",IF(HostBuild[Use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3" s="552">
        <f>IFERROR(IF(FIND(EI$1,$W103)&gt;0,IF(INDEX(Product_Pricing_Table[],MATCH(EI$1,Products,0),2)="Cores",IF(HostBuild[Use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3" s="552">
        <f>IFERROR(IF(FIND(EJ$1,$W103)&gt;0,IF(INDEX(Product_Pricing_Table[],MATCH(EJ$1,Products,0),2)="Cores",IF(HostBuild[Use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3" s="553">
        <f>IFERROR(IF(FIND(EK$1,$W103)&gt;0,IF(INDEX(Product_Pricing_Table[],MATCH(EK$1,Products,0),2)="Cores",IF(HostBuild[Use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3" s="554"/>
      <c r="EM103" s="555">
        <v>0</v>
      </c>
      <c r="EN103" s="556">
        <v>0</v>
      </c>
      <c r="EO103"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03" s="558">
        <f>(HostBuild[Archive
Full (GB)]+HostBuild[Archive
Incr (GB)])*Storage_DC_Dist_Tape_2014</f>
        <v>81.385500000000008</v>
      </c>
      <c r="ER103" s="558">
        <f>IF(ISNUMBER(HostBuild[Server HW Costs
(Monthly)]),SUM(HostBuild[[#This Row],[Server HW Costs
(Monthly)]:[Tape Costs
(Monthly)]]),0)</f>
        <v>1334.0455000000002</v>
      </c>
      <c r="ES103" s="559">
        <f>HostBuild[Software Costs
'[Year 1']
(Monthly)]+HostBuild[Total Hardware Costs
(Monthly)]</f>
        <v>1334.0455000000002</v>
      </c>
      <c r="ET103" s="559">
        <f>IFERROR(IF(FIND("Safenet",HostBuild[Server Model]),Safenet_PSE_PL600_Maint,0),0)+IFERROR(IF(FIND("XI52",HostBuild[Server Model]),IBM_DIA_XI52_Maint,0),0)+HostBuild[Software Costs
'[After Year 1']
(Monthly)]+HostBuild[Total Hardware Costs
(Monthly)]</f>
        <v>1334.0455000000002</v>
      </c>
      <c r="EU103" s="560">
        <f>SUM(HostBuild[[#This Row],[Server Cost Breakdown]:[Network Cost]])</f>
        <v>888.7</v>
      </c>
      <c r="EV103" s="561">
        <f>IF(HostBuild[Existing Server?]="Yes - Inside this BoM",0,SUMIF(HostBuild[Alias],HostBuild[Alias],HostBuild[CPU])+SUMIF(HostBuild[Alias],HostBuild[Alias],HostBuild[Existing CPUs]))</f>
        <v>2</v>
      </c>
      <c r="EW103" s="561">
        <f>IF(HostBuild[Existing Server?]="Yes - Inside this BoM",0,SUMIF(HostBuild[Alias],HostBuild[Alias],HostBuild[Cores 
(Licensed Units)])+SUMIF(HostBuild[Alias],HostBuild[Alias],HostBuild[Existing Cores]))</f>
        <v>16</v>
      </c>
      <c r="EX103" s="561">
        <f>IF(HostBuild[Existing Server?]="Yes - Inside this BoM",0,SUMIF(HostBuild[Alias],HostBuild[Alias],HostBuild[RAM 
(GB)])+SUMIF(HostBuild[Alias],HostBuild[Alias],HostBuild[Existing RAM (GB)]))</f>
        <v>128</v>
      </c>
      <c r="EY10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3" s="560">
        <f>IF(ISBLANK(HostBuild[Server Model]),0,IF(HostBuild[Server Tier]="VMware",0,VLOOKUP(HostBuild[Server Tier],ServerTierRates[#Data],2,0))*HostBuild[CPU]*IF(AND(HostBuild[Server Type]="pSeries",HostBuild[Virtual Platform Storage Type]="Cloud-SAN"),0.25,1))</f>
        <v>608</v>
      </c>
      <c r="FD103" s="560">
        <f>0</f>
        <v>0</v>
      </c>
      <c r="FE103" s="560">
        <f>IF(HostBuild[Server Type]="VMware",HostBuild[RAM 
(GB)]*IF(ISERROR(FIND("DevCloud", HostBuild[Server Model])&gt;0),vRAM_per_vCPU_2014_Monthly,vRAM_per_vCPU_2014_Daily*30),0)</f>
        <v>0</v>
      </c>
      <c r="FF10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3" s="563">
        <f>IF(HostBuild[Server Tier]="VMware",0,IF(LEFT(HostBuild[Existing Server?],3)="Yes",0,IF(OR(HostBuild[Server Type]="Sun",HostBuild[Server Type]="pSeries"),Support_Direct_Server_Sun_per_OS_2014,IF(HostBuild[Server Type]="x86",Support_Direct_Server_x86_Wintel_per_OS_2014,0))))</f>
        <v>187.1</v>
      </c>
      <c r="FI10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4" spans="1:165" s="139" customFormat="1" ht="15" customHeight="1">
      <c r="A104" s="360" t="s">
        <v>3942</v>
      </c>
      <c r="B104" s="521"/>
      <c r="C104" s="521"/>
      <c r="D104" s="521"/>
      <c r="E104" s="522"/>
      <c r="F104" s="522"/>
      <c r="G104" s="597"/>
      <c r="H104" s="597"/>
      <c r="I104" s="523"/>
      <c r="J104" s="522"/>
      <c r="K104" s="522"/>
      <c r="L104" s="522"/>
      <c r="M104" s="597" t="e">
        <f ca="1">IF(rngIsDate(HostBuild[CTO Acceptance]),"Y","N")</f>
        <v>#NAME?</v>
      </c>
      <c r="N104" s="361" t="s">
        <v>3938</v>
      </c>
      <c r="O104" s="525"/>
      <c r="P104" s="525"/>
      <c r="Q104" s="361" t="s">
        <v>79</v>
      </c>
      <c r="R104" s="526" t="str">
        <f>IF(NOT(ISBLANK(HostBuild[Env Label])),IFERROR(VLOOKUP(HostBuild[Env Label],tEnv[],3,FALSE),""),"")</f>
        <v>PROD</v>
      </c>
      <c r="S104" s="598"/>
      <c r="T104" s="527"/>
      <c r="U104" s="599"/>
      <c r="V104" s="524" t="s">
        <v>4013</v>
      </c>
      <c r="W104" s="524" t="s">
        <v>4019</v>
      </c>
      <c r="X104" s="524" t="s">
        <v>35</v>
      </c>
      <c r="Y104" s="361" t="s">
        <v>4067</v>
      </c>
      <c r="Z104" s="526" t="str">
        <f>IF(NOT(ISBLANK(HostBuild[[#This Row],[Product 
(Acronym)]])),CONCATENATE(HostBuild[[#This Row],[Type]],"-",HostBuild[[#This Row],[Product 
(Acronym)]]),"")</f>
        <v>AP-CBOL</v>
      </c>
      <c r="AA104" s="600"/>
      <c r="AB104" s="600" t="s">
        <v>105</v>
      </c>
      <c r="AC104" s="528"/>
      <c r="AD104" s="529"/>
      <c r="AE104" s="529"/>
      <c r="AF104" s="530"/>
      <c r="AG104" s="531"/>
      <c r="AH104" s="601"/>
      <c r="AI104" s="362" t="s">
        <v>4026</v>
      </c>
      <c r="AJ104" s="524">
        <f>IF(COUNTIF(HostBuild[Alias],HostBuild[Alias]),1/COUNTIF(HostBuild[Alias],HostBuild[Alias]),0)</f>
        <v>1</v>
      </c>
      <c r="AK104" s="531"/>
      <c r="AL104" s="531"/>
      <c r="AM104" s="532" t="s">
        <v>2173</v>
      </c>
      <c r="AN104" s="533" t="str">
        <f>IF(NOT(ISBLANK(HostBuild[Server Model])),VLOOKUP(HostBuild[Server Model],ServerModelsTier[],2,FALSE),"")</f>
        <v>x86 Tier 3</v>
      </c>
      <c r="AO104" s="533" t="str">
        <f>IF(NOT(ISBLANK(HostBuild[Server Model])),VLOOKUP(HostBuild[Server Model],ServerModelsTier[],5,FALSE),"")</f>
        <v>x86</v>
      </c>
      <c r="AP104" s="532"/>
      <c r="AQ104" s="532" t="s">
        <v>2337</v>
      </c>
      <c r="AR104" s="534">
        <v>2</v>
      </c>
      <c r="AS104" s="602"/>
      <c r="AT104" s="535">
        <v>16</v>
      </c>
      <c r="AU104" s="603" t="str">
        <f>IF(IFERROR(FIND("P-Series",HostBuild[Server Tier]),0),CEILING((HostBuild[Existing CPUs]+HostBuild[CPU])*16,8),"")</f>
        <v/>
      </c>
      <c r="AV104" s="536">
        <v>128</v>
      </c>
      <c r="AW104" s="531"/>
      <c r="AX104" s="531"/>
      <c r="AY104" s="531"/>
      <c r="AZ104" s="537"/>
      <c r="BA104" s="531"/>
      <c r="BB104" s="531"/>
      <c r="BC104" s="529"/>
      <c r="BD104" s="531"/>
      <c r="BE104" s="531"/>
      <c r="BF104" s="531"/>
      <c r="BG104" s="531"/>
      <c r="BH104" s="531"/>
      <c r="BI104" s="531"/>
      <c r="BJ104" s="531"/>
      <c r="BK104"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4" s="538">
        <v>600</v>
      </c>
      <c r="BM104" s="540">
        <f>IF(ISNUMBER(HostBuild[Recommended SAN (GB)]),HostBuild[Recommended SAN (GB)])+IF(HostBuild[Additional SAN (GB)]&gt;0,CEILING(HostBuild[Additional SAN (GB)],LUN),-(CEILING(-HostBuild[Additional SAN (GB)],LUN)))</f>
        <v>808.80000000000007</v>
      </c>
      <c r="BN104" s="539"/>
      <c r="BO104" s="540">
        <f>HostBuild[SAN (GB)
NEEDED TODAY]+CEILING(HostBuild[SAN (GB)
RESERVED
DO NOT USE TO BUILD], LUN)</f>
        <v>808.80000000000007</v>
      </c>
      <c r="BP104" s="541"/>
      <c r="BQ104" s="542"/>
      <c r="BR104" s="432"/>
      <c r="BS104" s="605">
        <f>IF(HostBuild[Existing Server?]&lt;&gt;"Yes - Inside this BoM",IF(ISNUMBER(HostBuild[RAM 
(GB)]),IF(HostBuild[Existing RAM (GB)]+HostBuild[RAM 
(GB)]&gt;0,IF(HostBuild[Virtual Platform Storage Type]="NAS",110+HostBuild[Existing RAM (GB)]+HostBuild[RAM 
(GB)]*1.75,0),0),0),0)</f>
        <v>0</v>
      </c>
      <c r="BT104" s="606"/>
      <c r="BU104" s="607">
        <f>IF(ISNUMBER(HostBuild[Recommended NAS (GB)]),HostBuild[Recommended NAS (GB)])+HostBuild[Additional NAS (GB)]</f>
        <v>0</v>
      </c>
      <c r="BV104" s="543"/>
      <c r="BW104" s="543"/>
      <c r="BX104" s="604">
        <f>IFERROR((HostBuild[SAN (GB)
End-State
DO NOT USE TO BUILD]+HostBuild[SAN (GB) Shared])*25%,"")</f>
        <v>202.20000000000002</v>
      </c>
      <c r="BY104" s="608">
        <f>IFERROR(HostBuild[Archive
Full (GB)]*15%,"")</f>
        <v>30.330000000000002</v>
      </c>
      <c r="BZ104" s="544"/>
      <c r="CA104" s="544"/>
      <c r="CB104" s="545"/>
      <c r="CC104" s="546"/>
      <c r="CD104" s="545"/>
      <c r="CE104" s="547"/>
      <c r="CF104" s="539"/>
      <c r="CG104" s="609"/>
      <c r="CH104" s="548"/>
      <c r="CI104" s="549"/>
      <c r="CJ104" s="550"/>
      <c r="CK104" s="551"/>
      <c r="CL104" s="552">
        <f>IFERROR(IF(FIND(CL$1,$W104)&gt;0,IF(INDEX(Product_Pricing_Table[],MATCH(CL$1,Products,0),2)="Cores",IF(HostBuild[Use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4" s="552">
        <f>IFERROR(IF(FIND(CM$1,$W104)&gt;0,IF(INDEX(Product_Pricing_Table[],MATCH(CM$1,Products,0),2)="Cores",IF(HostBuild[Use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4" s="552">
        <f>IFERROR(IF(FIND(CN$1,$W104)&gt;0,IF(INDEX(Product_Pricing_Table[],MATCH(CN$1,Products,0),2)="Cores",IF(HostBuild[Use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4" s="552">
        <f>IFERROR(IF(FIND(CO$1,$W104)&gt;0,IF(INDEX(Product_Pricing_Table[],MATCH(CO$1,Products,0),2)="Cores",IF(HostBuild[Use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4" s="552">
        <f>IFERROR(IF(FIND(CP$1,$W104)&gt;0,IF(INDEX(Product_Pricing_Table[],MATCH(CP$1,Products,0),2)="Cores",IF(HostBuild[Use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4" s="552">
        <f>IFERROR(IF(FIND(CQ$1,$W104)&gt;0,IF(INDEX(Product_Pricing_Table[],MATCH(CQ$1,Products,0),2)="Cores",IF(HostBuild[Use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4" s="552">
        <f>IFERROR(IF(FIND(CR$1,$W104)&gt;0,IF(INDEX(Product_Pricing_Table[],MATCH(CR$1,Products,0),2)="Cores",IF(HostBuild[Use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4" s="552">
        <f>IFERROR(IF(FIND(CS$1,$W104)&gt;0,IF(INDEX(Product_Pricing_Table[],MATCH(CS$1,Products,0),2)="Cores",IF(HostBuild[Use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4" s="552">
        <f>IFERROR(IF(FIND(CT$1,$W104)&gt;0,IF(INDEX(Product_Pricing_Table[],MATCH(CT$1,Products,0),2)="Cores",IF(HostBuild[Use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4" s="552">
        <f>IFERROR(IF(FIND(CU$1,$W104)&gt;0,IF(INDEX(Product_Pricing_Table[],MATCH(CU$1,Products,0),2)="Cores",IF(HostBuild[Use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4" s="552">
        <f>IFERROR(IF(FIND(CV$1,$W104)&gt;0,IF(INDEX(Product_Pricing_Table[],MATCH(CV$1,Products,0),2)="Cores",IF(HostBuild[Use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4" s="552">
        <f>IFERROR(IF(FIND(CW$1,$W104)&gt;0,IF(INDEX(Product_Pricing_Table[],MATCH(CW$1,Products,0),2)="Cores",IF(HostBuild[Use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4" s="552">
        <f>IFERROR(IF(FIND(CX$1,$W104)&gt;0,IF(INDEX(Product_Pricing_Table[],MATCH(CX$1,Products,0),2)="Cores",IF(HostBuild[Use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4" s="552">
        <f>IFERROR(IF(FIND(CY$1,$W104)&gt;0,IF(INDEX(Product_Pricing_Table[],MATCH(CY$1,Products,0),2)="Cores",IF(HostBuild[Use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4" s="552">
        <f>IFERROR(IF(FIND(CZ$1,$W104)&gt;0,IF(INDEX(Product_Pricing_Table[],MATCH(CZ$1,Products,0),2)="Cores",IF(HostBuild[Use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4" s="552">
        <f>IFERROR(IF(FIND(DA$1,$W104)&gt;0,IF(INDEX(Product_Pricing_Table[],MATCH(DA$1,Products,0),2)="Cores",IF(HostBuild[Use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4" s="552">
        <f>IFERROR(IF(FIND(DB$1,$W104)&gt;0,IF(INDEX(Product_Pricing_Table[],MATCH(DB$1,Products,0),2)="Cores",IF(HostBuild[Use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4" s="552">
        <f>IFERROR(IF(FIND(DC$1,$W104)&gt;0,IF(INDEX(Product_Pricing_Table[],MATCH(DC$1,Products,0),2)="Cores",IF(HostBuild[Use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4" s="552">
        <f>IFERROR(IF(FIND(DD$1,$W104)&gt;0,IF(INDEX(Product_Pricing_Table[],MATCH(DD$1,Products,0),2)="Cores",IF(HostBuild[Use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4" s="552">
        <f>IFERROR(IF(FIND(DE$1,$W104)&gt;0,IF(INDEX(Product_Pricing_Table[],MATCH(DE$1,Products,0),2)="Cores",IF(HostBuild[Use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4" s="553">
        <f>IFERROR(IF(FIND(DF$1,$W104)&gt;0,IF(INDEX(Product_Pricing_Table[],MATCH(DF$1,Products,0),2)="Cores",IF(HostBuild[Use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4" s="553">
        <f>IFERROR(IF(FIND(DG$1,$W104)&gt;0,IF(INDEX(Product_Pricing_Table[],MATCH(DG$1,Products,0),2)="Cores",IF(HostBuild[Use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4" s="552">
        <f>IFERROR(IF(FIND(DH$1,$W104)&gt;0,IF(INDEX(Product_Pricing_Table[],MATCH(DH$1,Products,0),2)="Cores",IF(HostBuild[Use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4" s="553">
        <f>IFERROR(IF(FIND(DI$1,$W104)&gt;0,IF(INDEX(Product_Pricing_Table[],MATCH(DI$1,Products,0),2)="Cores",IF(HostBuild[Use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4" s="552">
        <f>IFERROR(IF(FIND(DJ$1,$W104)&gt;0,IF(INDEX(Product_Pricing_Table[],MATCH(DJ$1,Products,0),2)="Cores",IF(HostBuild[Use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4" s="552">
        <f>IFERROR(IF(FIND(DK$1,$W104)&gt;0,IF(INDEX(Product_Pricing_Table[],MATCH(DK$1,Products,0),2)="Cores",IF(HostBuild[Use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4" s="552">
        <f>IFERROR(IF(FIND(DL$1,$W104)&gt;0,IF(INDEX(Product_Pricing_Table[],MATCH(DL$1,Products,0),2)="Cores",IF(HostBuild[Use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4" s="552">
        <f>IFERROR(IF(FIND(DM$1,$W104)&gt;0,IF(INDEX(Product_Pricing_Table[],MATCH(DM$1,Products,0),2)="Cores",IF(HostBuild[Use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4" s="552">
        <f>IFERROR(IF(FIND(DN$1,$W104)&gt;0,IF(INDEX(Product_Pricing_Table[],MATCH(DN$1,Products,0),2)="Cores",IF(HostBuild[Use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4" s="552">
        <f>IFERROR(IF(FIND(DO$1,$W104)&gt;0,IF(INDEX(Product_Pricing_Table[],MATCH(DO$1,Products,0),2)="Cores",IF(HostBuild[Use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4" s="552">
        <f>IFERROR(IF(FIND(DP$1,$W104)&gt;0,IF(INDEX(Product_Pricing_Table[],MATCH(DP$1,Products,0),2)="Cores",IF(HostBuild[Use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4" s="552">
        <f>IFERROR(IF(FIND(DQ$1,$W104)&gt;0,IF(INDEX(Product_Pricing_Table[],MATCH(DQ$1,Products,0),2)="Cores",IF(HostBuild[Use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4" s="552">
        <f>IFERROR(IF(FIND(DR$1,$W104)&gt;0,IF(INDEX(Product_Pricing_Table[],MATCH(DR$1,Products,0),2)="Cores",IF(HostBuild[Use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4" s="552">
        <f>IFERROR(IF(FIND(DS$1,$W104)&gt;0,IF(INDEX(Product_Pricing_Table[],MATCH(DS$1,Products,0),2)="Cores",IF(HostBuild[Use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4" s="552">
        <f>IFERROR(IF(FIND(DT$1,$W104)&gt;0,IF(INDEX(Product_Pricing_Table[],MATCH(DT$1,Products,0),2)="Cores",IF(HostBuild[Use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4" s="552">
        <f>IFERROR(IF(FIND(DU$1,$W104)&gt;0,IF(INDEX(Product_Pricing_Table[],MATCH(DU$1,Products,0),2)="Cores",IF(HostBuild[Use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4" s="552">
        <f>IFERROR(IF(FIND(DV$1,$W104)&gt;0,IF(INDEX(Product_Pricing_Table[],MATCH(DV$1,Products,0),2)="Cores",IF(HostBuild[Use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4" s="552">
        <f>IFERROR(IF(FIND(DW$1,$W104)&gt;0,IF(INDEX(Product_Pricing_Table[],MATCH(DW$1,Products,0),2)="Cores",IF(HostBuild[Use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4" s="552">
        <f>IFERROR(IF(FIND(DX$1,$W104)&gt;0,IF(INDEX(Product_Pricing_Table[],MATCH(DX$1,Products,0),2)="Cores",IF(HostBuild[Use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4" s="552">
        <f>IFERROR(IF(FIND(DY$1,$W104)&gt;0,IF(INDEX(Product_Pricing_Table[],MATCH(DY$1,Products,0),2)="Cores",IF(HostBuild[Use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4" s="552">
        <f>IFERROR(IF(FIND(DZ$1,$W104)&gt;0,IF(INDEX(Product_Pricing_Table[],MATCH(DZ$1,Products,0),2)="Cores",IF(HostBuild[Use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4" s="552">
        <f>IFERROR(IF(FIND(EA$1,$W104)&gt;0,IF(INDEX(Product_Pricing_Table[],MATCH(EA$1,Products,0),2)="Cores",IF(HostBuild[Use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4" s="552">
        <f>IFERROR(IF(FIND(EB$1,$W104)&gt;0,IF(INDEX(Product_Pricing_Table[],MATCH(EB$1,Products,0),2)="Cores",IF(HostBuild[Use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4" s="553">
        <f>IFERROR(IF(FIND(EC$1,$W104)&gt;0,IF(INDEX(Product_Pricing_Table[],MATCH(EC$1,Products,0),2)="Cores",IF(HostBuild[Use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4" s="552">
        <f>IFERROR(IF(FIND(ED$1,$W104)&gt;0,IF(INDEX(Product_Pricing_Table[],MATCH(ED$1,Products,0),2)="Cores",IF(HostBuild[Use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4" s="552">
        <f>IFERROR(IF(FIND(EE$1,$W104)&gt;0,IF(INDEX(Product_Pricing_Table[],MATCH(EE$1,Products,0),2)="Cores",IF(HostBuild[Use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4" s="552">
        <f>IFERROR(IF(FIND(EF$1,$W104)&gt;0,IF(INDEX(Product_Pricing_Table[],MATCH(EF$1,Products,0),2)="Cores",IF(HostBuild[Use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4" s="552">
        <f>IFERROR(IF(FIND(EG$1,$W104)&gt;0,IF(INDEX(Product_Pricing_Table[],MATCH(EG$1,Products,0),2)="Cores",IF(HostBuild[Use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4" s="552">
        <f>IFERROR(IF(FIND(EH$1,$W104)&gt;0,IF(INDEX(Product_Pricing_Table[],MATCH(EH$1,Products,0),2)="Cores",IF(HostBuild[Use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4" s="552">
        <f>IFERROR(IF(FIND(EI$1,$W104)&gt;0,IF(INDEX(Product_Pricing_Table[],MATCH(EI$1,Products,0),2)="Cores",IF(HostBuild[Use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4" s="552">
        <f>IFERROR(IF(FIND(EJ$1,$W104)&gt;0,IF(INDEX(Product_Pricing_Table[],MATCH(EJ$1,Products,0),2)="Cores",IF(HostBuild[Use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4" s="553">
        <f>IFERROR(IF(FIND(EK$1,$W104)&gt;0,IF(INDEX(Product_Pricing_Table[],MATCH(EK$1,Products,0),2)="Cores",IF(HostBuild[Use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4" s="554"/>
      <c r="EM104" s="555">
        <v>0</v>
      </c>
      <c r="EN104" s="556">
        <v>0</v>
      </c>
      <c r="EO10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04" s="558">
        <f>(HostBuild[Archive
Full (GB)]+HostBuild[Archive
Incr (GB)])*Storage_DC_Dist_Tape_2014</f>
        <v>81.385500000000008</v>
      </c>
      <c r="ER104" s="558">
        <f>IF(ISNUMBER(HostBuild[Server HW Costs
(Monthly)]),SUM(HostBuild[[#This Row],[Server HW Costs
(Monthly)]:[Tape Costs
(Monthly)]]),0)</f>
        <v>1334.0455000000002</v>
      </c>
      <c r="ES104" s="559">
        <f>HostBuild[Software Costs
'[Year 1']
(Monthly)]+HostBuild[Total Hardware Costs
(Monthly)]</f>
        <v>1334.0455000000002</v>
      </c>
      <c r="ET104" s="559">
        <f>IFERROR(IF(FIND("Safenet",HostBuild[Server Model]),Safenet_PSE_PL600_Maint,0),0)+IFERROR(IF(FIND("XI52",HostBuild[Server Model]),IBM_DIA_XI52_Maint,0),0)+HostBuild[Software Costs
'[After Year 1']
(Monthly)]+HostBuild[Total Hardware Costs
(Monthly)]</f>
        <v>1334.0455000000002</v>
      </c>
      <c r="EU104" s="560">
        <f>SUM(HostBuild[[#This Row],[Server Cost Breakdown]:[Network Cost]])</f>
        <v>888.7</v>
      </c>
      <c r="EV104" s="561">
        <f>IF(HostBuild[Existing Server?]="Yes - Inside this BoM",0,SUMIF(HostBuild[Alias],HostBuild[Alias],HostBuild[CPU])+SUMIF(HostBuild[Alias],HostBuild[Alias],HostBuild[Existing CPUs]))</f>
        <v>2</v>
      </c>
      <c r="EW104" s="561">
        <f>IF(HostBuild[Existing Server?]="Yes - Inside this BoM",0,SUMIF(HostBuild[Alias],HostBuild[Alias],HostBuild[Cores 
(Licensed Units)])+SUMIF(HostBuild[Alias],HostBuild[Alias],HostBuild[Existing Cores]))</f>
        <v>16</v>
      </c>
      <c r="EX104" s="561">
        <f>IF(HostBuild[Existing Server?]="Yes - Inside this BoM",0,SUMIF(HostBuild[Alias],HostBuild[Alias],HostBuild[RAM 
(GB)])+SUMIF(HostBuild[Alias],HostBuild[Alias],HostBuild[Existing RAM (GB)]))</f>
        <v>128</v>
      </c>
      <c r="EY10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4" s="560">
        <f>IF(ISBLANK(HostBuild[Server Model]),0,IF(HostBuild[Server Tier]="VMware",0,VLOOKUP(HostBuild[Server Tier],ServerTierRates[#Data],2,0))*HostBuild[CPU]*IF(AND(HostBuild[Server Type]="pSeries",HostBuild[Virtual Platform Storage Type]="Cloud-SAN"),0.25,1))</f>
        <v>608</v>
      </c>
      <c r="FD104" s="560">
        <f>0</f>
        <v>0</v>
      </c>
      <c r="FE104" s="560">
        <f>IF(HostBuild[Server Type]="VMware",HostBuild[RAM 
(GB)]*IF(ISERROR(FIND("DevCloud", HostBuild[Server Model])&gt;0),vRAM_per_vCPU_2014_Monthly,vRAM_per_vCPU_2014_Daily*30),0)</f>
        <v>0</v>
      </c>
      <c r="FF10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4" s="563">
        <f>IF(HostBuild[Server Tier]="VMware",0,IF(LEFT(HostBuild[Existing Server?],3)="Yes",0,IF(OR(HostBuild[Server Type]="Sun",HostBuild[Server Type]="pSeries"),Support_Direct_Server_Sun_per_OS_2014,IF(HostBuild[Server Type]="x86",Support_Direct_Server_x86_Wintel_per_OS_2014,0))))</f>
        <v>187.1</v>
      </c>
      <c r="FI10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5" spans="1:165" s="139" customFormat="1" ht="15" customHeight="1">
      <c r="A105" s="360" t="s">
        <v>3942</v>
      </c>
      <c r="B105" s="521"/>
      <c r="C105" s="521"/>
      <c r="D105" s="521"/>
      <c r="E105" s="522"/>
      <c r="F105" s="522"/>
      <c r="G105" s="597"/>
      <c r="H105" s="597"/>
      <c r="I105" s="523"/>
      <c r="J105" s="522"/>
      <c r="K105" s="522"/>
      <c r="L105" s="522"/>
      <c r="M105" s="597" t="e">
        <f ca="1">IF(rngIsDate(HostBuild[CTO Acceptance]),"Y","N")</f>
        <v>#NAME?</v>
      </c>
      <c r="N105" s="361" t="s">
        <v>3939</v>
      </c>
      <c r="O105" s="525"/>
      <c r="P105" s="525"/>
      <c r="Q105" s="361" t="s">
        <v>3932</v>
      </c>
      <c r="R105" s="526" t="str">
        <f>IF(NOT(ISBLANK(HostBuild[Env Label])),IFERROR(VLOOKUP(HostBuild[Env Label],tEnv[],3,FALSE),""),"")</f>
        <v>PROD</v>
      </c>
      <c r="S105" s="598"/>
      <c r="T105" s="527"/>
      <c r="U105" s="599"/>
      <c r="V105" s="524" t="s">
        <v>4013</v>
      </c>
      <c r="W105" s="524" t="s">
        <v>4019</v>
      </c>
      <c r="X105" s="524" t="s">
        <v>35</v>
      </c>
      <c r="Y105" s="361" t="s">
        <v>4067</v>
      </c>
      <c r="Z105" s="526" t="str">
        <f>IF(NOT(ISBLANK(HostBuild[[#This Row],[Product 
(Acronym)]])),CONCATENATE(HostBuild[[#This Row],[Type]],"-",HostBuild[[#This Row],[Product 
(Acronym)]]),"")</f>
        <v>AP-CBOL</v>
      </c>
      <c r="AA105" s="600"/>
      <c r="AB105" s="600" t="s">
        <v>105</v>
      </c>
      <c r="AC105" s="528"/>
      <c r="AD105" s="529"/>
      <c r="AE105" s="529"/>
      <c r="AF105" s="530"/>
      <c r="AG105" s="531"/>
      <c r="AH105" s="601"/>
      <c r="AI105" s="362" t="s">
        <v>4027</v>
      </c>
      <c r="AJ105" s="524">
        <f>IF(COUNTIF(HostBuild[Alias],HostBuild[Alias]),1/COUNTIF(HostBuild[Alias],HostBuild[Alias]),0)</f>
        <v>1</v>
      </c>
      <c r="AK105" s="531"/>
      <c r="AL105" s="531"/>
      <c r="AM105" s="532" t="s">
        <v>2173</v>
      </c>
      <c r="AN105" s="533" t="str">
        <f>IF(NOT(ISBLANK(HostBuild[Server Model])),VLOOKUP(HostBuild[Server Model],ServerModelsTier[],2,FALSE),"")</f>
        <v>x86 Tier 3</v>
      </c>
      <c r="AO105" s="533" t="str">
        <f>IF(NOT(ISBLANK(HostBuild[Server Model])),VLOOKUP(HostBuild[Server Model],ServerModelsTier[],5,FALSE),"")</f>
        <v>x86</v>
      </c>
      <c r="AP105" s="532"/>
      <c r="AQ105" s="532" t="s">
        <v>2337</v>
      </c>
      <c r="AR105" s="534">
        <v>2</v>
      </c>
      <c r="AS105" s="602"/>
      <c r="AT105" s="535">
        <v>16</v>
      </c>
      <c r="AU105" s="603" t="str">
        <f>IF(IFERROR(FIND("P-Series",HostBuild[Server Tier]),0),CEILING((HostBuild[Existing CPUs]+HostBuild[CPU])*16,8),"")</f>
        <v/>
      </c>
      <c r="AV105" s="536">
        <v>128</v>
      </c>
      <c r="AW105" s="531"/>
      <c r="AX105" s="531"/>
      <c r="AY105" s="531"/>
      <c r="AZ105" s="537"/>
      <c r="BA105" s="531"/>
      <c r="BB105" s="531"/>
      <c r="BC105" s="529"/>
      <c r="BD105" s="531"/>
      <c r="BE105" s="531"/>
      <c r="BF105" s="531"/>
      <c r="BG105" s="531"/>
      <c r="BH105" s="531"/>
      <c r="BI105" s="531"/>
      <c r="BJ105" s="531"/>
      <c r="BK105"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05" s="538">
        <v>600</v>
      </c>
      <c r="BM105" s="540">
        <f>IF(ISNUMBER(HostBuild[Recommended SAN (GB)]),HostBuild[Recommended SAN (GB)])+IF(HostBuild[Additional SAN (GB)]&gt;0,CEILING(HostBuild[Additional SAN (GB)],LUN),-(CEILING(-HostBuild[Additional SAN (GB)],LUN)))</f>
        <v>808.80000000000007</v>
      </c>
      <c r="BN105" s="539"/>
      <c r="BO105" s="540">
        <f>HostBuild[SAN (GB)
NEEDED TODAY]+CEILING(HostBuild[SAN (GB)
RESERVED
DO NOT USE TO BUILD], LUN)</f>
        <v>808.80000000000007</v>
      </c>
      <c r="BP105" s="541"/>
      <c r="BQ105" s="542"/>
      <c r="BR105" s="432"/>
      <c r="BS105" s="605">
        <f>IF(HostBuild[Existing Server?]&lt;&gt;"Yes - Inside this BoM",IF(ISNUMBER(HostBuild[RAM 
(GB)]),IF(HostBuild[Existing RAM (GB)]+HostBuild[RAM 
(GB)]&gt;0,IF(HostBuild[Virtual Platform Storage Type]="NAS",110+HostBuild[Existing RAM (GB)]+HostBuild[RAM 
(GB)]*1.75,0),0),0),0)</f>
        <v>0</v>
      </c>
      <c r="BT105" s="606"/>
      <c r="BU105" s="607">
        <f>IF(ISNUMBER(HostBuild[Recommended NAS (GB)]),HostBuild[Recommended NAS (GB)])+HostBuild[Additional NAS (GB)]</f>
        <v>0</v>
      </c>
      <c r="BV105" s="543"/>
      <c r="BW105" s="543"/>
      <c r="BX105" s="604">
        <f>IFERROR((HostBuild[SAN (GB)
End-State
DO NOT USE TO BUILD]+HostBuild[SAN (GB) Shared])*25%,"")</f>
        <v>202.20000000000002</v>
      </c>
      <c r="BY105" s="608">
        <f>IFERROR(HostBuild[Archive
Full (GB)]*15%,"")</f>
        <v>30.330000000000002</v>
      </c>
      <c r="BZ105" s="544"/>
      <c r="CA105" s="544"/>
      <c r="CB105" s="545"/>
      <c r="CC105" s="546"/>
      <c r="CD105" s="545"/>
      <c r="CE105" s="547"/>
      <c r="CF105" s="539"/>
      <c r="CG105" s="609"/>
      <c r="CH105" s="548"/>
      <c r="CI105" s="549"/>
      <c r="CJ105" s="550"/>
      <c r="CK105" s="551"/>
      <c r="CL105" s="552">
        <f>IFERROR(IF(FIND(CL$1,$W105)&gt;0,IF(INDEX(Product_Pricing_Table[],MATCH(CL$1,Products,0),2)="Cores",IF(HostBuild[Use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5" s="552">
        <f>IFERROR(IF(FIND(CM$1,$W105)&gt;0,IF(INDEX(Product_Pricing_Table[],MATCH(CM$1,Products,0),2)="Cores",IF(HostBuild[Use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5" s="552">
        <f>IFERROR(IF(FIND(CN$1,$W105)&gt;0,IF(INDEX(Product_Pricing_Table[],MATCH(CN$1,Products,0),2)="Cores",IF(HostBuild[Use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5" s="552">
        <f>IFERROR(IF(FIND(CO$1,$W105)&gt;0,IF(INDEX(Product_Pricing_Table[],MATCH(CO$1,Products,0),2)="Cores",IF(HostBuild[Use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5" s="552">
        <f>IFERROR(IF(FIND(CP$1,$W105)&gt;0,IF(INDEX(Product_Pricing_Table[],MATCH(CP$1,Products,0),2)="Cores",IF(HostBuild[Use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5" s="552">
        <f>IFERROR(IF(FIND(CQ$1,$W105)&gt;0,IF(INDEX(Product_Pricing_Table[],MATCH(CQ$1,Products,0),2)="Cores",IF(HostBuild[Use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5" s="552">
        <f>IFERROR(IF(FIND(CR$1,$W105)&gt;0,IF(INDEX(Product_Pricing_Table[],MATCH(CR$1,Products,0),2)="Cores",IF(HostBuild[Use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5" s="552">
        <f>IFERROR(IF(FIND(CS$1,$W105)&gt;0,IF(INDEX(Product_Pricing_Table[],MATCH(CS$1,Products,0),2)="Cores",IF(HostBuild[Use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5" s="552">
        <f>IFERROR(IF(FIND(CT$1,$W105)&gt;0,IF(INDEX(Product_Pricing_Table[],MATCH(CT$1,Products,0),2)="Cores",IF(HostBuild[Use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5" s="552">
        <f>IFERROR(IF(FIND(CU$1,$W105)&gt;0,IF(INDEX(Product_Pricing_Table[],MATCH(CU$1,Products,0),2)="Cores",IF(HostBuild[Use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5" s="552">
        <f>IFERROR(IF(FIND(CV$1,$W105)&gt;0,IF(INDEX(Product_Pricing_Table[],MATCH(CV$1,Products,0),2)="Cores",IF(HostBuild[Use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5" s="552">
        <f>IFERROR(IF(FIND(CW$1,$W105)&gt;0,IF(INDEX(Product_Pricing_Table[],MATCH(CW$1,Products,0),2)="Cores",IF(HostBuild[Use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5" s="552">
        <f>IFERROR(IF(FIND(CX$1,$W105)&gt;0,IF(INDEX(Product_Pricing_Table[],MATCH(CX$1,Products,0),2)="Cores",IF(HostBuild[Use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5" s="552">
        <f>IFERROR(IF(FIND(CY$1,$W105)&gt;0,IF(INDEX(Product_Pricing_Table[],MATCH(CY$1,Products,0),2)="Cores",IF(HostBuild[Use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5" s="552">
        <f>IFERROR(IF(FIND(CZ$1,$W105)&gt;0,IF(INDEX(Product_Pricing_Table[],MATCH(CZ$1,Products,0),2)="Cores",IF(HostBuild[Use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5" s="552">
        <f>IFERROR(IF(FIND(DA$1,$W105)&gt;0,IF(INDEX(Product_Pricing_Table[],MATCH(DA$1,Products,0),2)="Cores",IF(HostBuild[Use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5" s="552">
        <f>IFERROR(IF(FIND(DB$1,$W105)&gt;0,IF(INDEX(Product_Pricing_Table[],MATCH(DB$1,Products,0),2)="Cores",IF(HostBuild[Use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5" s="552">
        <f>IFERROR(IF(FIND(DC$1,$W105)&gt;0,IF(INDEX(Product_Pricing_Table[],MATCH(DC$1,Products,0),2)="Cores",IF(HostBuild[Use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5" s="552">
        <f>IFERROR(IF(FIND(DD$1,$W105)&gt;0,IF(INDEX(Product_Pricing_Table[],MATCH(DD$1,Products,0),2)="Cores",IF(HostBuild[Use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5" s="552">
        <f>IFERROR(IF(FIND(DE$1,$W105)&gt;0,IF(INDEX(Product_Pricing_Table[],MATCH(DE$1,Products,0),2)="Cores",IF(HostBuild[Use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5" s="553">
        <f>IFERROR(IF(FIND(DF$1,$W105)&gt;0,IF(INDEX(Product_Pricing_Table[],MATCH(DF$1,Products,0),2)="Cores",IF(HostBuild[Use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5" s="553">
        <f>IFERROR(IF(FIND(DG$1,$W105)&gt;0,IF(INDEX(Product_Pricing_Table[],MATCH(DG$1,Products,0),2)="Cores",IF(HostBuild[Use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5" s="552">
        <f>IFERROR(IF(FIND(DH$1,$W105)&gt;0,IF(INDEX(Product_Pricing_Table[],MATCH(DH$1,Products,0),2)="Cores",IF(HostBuild[Use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5" s="553">
        <f>IFERROR(IF(FIND(DI$1,$W105)&gt;0,IF(INDEX(Product_Pricing_Table[],MATCH(DI$1,Products,0),2)="Cores",IF(HostBuild[Use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5" s="552">
        <f>IFERROR(IF(FIND(DJ$1,$W105)&gt;0,IF(INDEX(Product_Pricing_Table[],MATCH(DJ$1,Products,0),2)="Cores",IF(HostBuild[Use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5" s="552">
        <f>IFERROR(IF(FIND(DK$1,$W105)&gt;0,IF(INDEX(Product_Pricing_Table[],MATCH(DK$1,Products,0),2)="Cores",IF(HostBuild[Use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5" s="552">
        <f>IFERROR(IF(FIND(DL$1,$W105)&gt;0,IF(INDEX(Product_Pricing_Table[],MATCH(DL$1,Products,0),2)="Cores",IF(HostBuild[Use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5" s="552">
        <f>IFERROR(IF(FIND(DM$1,$W105)&gt;0,IF(INDEX(Product_Pricing_Table[],MATCH(DM$1,Products,0),2)="Cores",IF(HostBuild[Use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5" s="552">
        <f>IFERROR(IF(FIND(DN$1,$W105)&gt;0,IF(INDEX(Product_Pricing_Table[],MATCH(DN$1,Products,0),2)="Cores",IF(HostBuild[Use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5" s="552">
        <f>IFERROR(IF(FIND(DO$1,$W105)&gt;0,IF(INDEX(Product_Pricing_Table[],MATCH(DO$1,Products,0),2)="Cores",IF(HostBuild[Use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5" s="552">
        <f>IFERROR(IF(FIND(DP$1,$W105)&gt;0,IF(INDEX(Product_Pricing_Table[],MATCH(DP$1,Products,0),2)="Cores",IF(HostBuild[Use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5" s="552">
        <f>IFERROR(IF(FIND(DQ$1,$W105)&gt;0,IF(INDEX(Product_Pricing_Table[],MATCH(DQ$1,Products,0),2)="Cores",IF(HostBuild[Use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5" s="552">
        <f>IFERROR(IF(FIND(DR$1,$W105)&gt;0,IF(INDEX(Product_Pricing_Table[],MATCH(DR$1,Products,0),2)="Cores",IF(HostBuild[Use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5" s="552">
        <f>IFERROR(IF(FIND(DS$1,$W105)&gt;0,IF(INDEX(Product_Pricing_Table[],MATCH(DS$1,Products,0),2)="Cores",IF(HostBuild[Use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5" s="552">
        <f>IFERROR(IF(FIND(DT$1,$W105)&gt;0,IF(INDEX(Product_Pricing_Table[],MATCH(DT$1,Products,0),2)="Cores",IF(HostBuild[Use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5" s="552">
        <f>IFERROR(IF(FIND(DU$1,$W105)&gt;0,IF(INDEX(Product_Pricing_Table[],MATCH(DU$1,Products,0),2)="Cores",IF(HostBuild[Use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5" s="552">
        <f>IFERROR(IF(FIND(DV$1,$W105)&gt;0,IF(INDEX(Product_Pricing_Table[],MATCH(DV$1,Products,0),2)="Cores",IF(HostBuild[Use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5" s="552">
        <f>IFERROR(IF(FIND(DW$1,$W105)&gt;0,IF(INDEX(Product_Pricing_Table[],MATCH(DW$1,Products,0),2)="Cores",IF(HostBuild[Use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5" s="552">
        <f>IFERROR(IF(FIND(DX$1,$W105)&gt;0,IF(INDEX(Product_Pricing_Table[],MATCH(DX$1,Products,0),2)="Cores",IF(HostBuild[Use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5" s="552">
        <f>IFERROR(IF(FIND(DY$1,$W105)&gt;0,IF(INDEX(Product_Pricing_Table[],MATCH(DY$1,Products,0),2)="Cores",IF(HostBuild[Use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5" s="552">
        <f>IFERROR(IF(FIND(DZ$1,$W105)&gt;0,IF(INDEX(Product_Pricing_Table[],MATCH(DZ$1,Products,0),2)="Cores",IF(HostBuild[Use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5" s="552">
        <f>IFERROR(IF(FIND(EA$1,$W105)&gt;0,IF(INDEX(Product_Pricing_Table[],MATCH(EA$1,Products,0),2)="Cores",IF(HostBuild[Use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5" s="552">
        <f>IFERROR(IF(FIND(EB$1,$W105)&gt;0,IF(INDEX(Product_Pricing_Table[],MATCH(EB$1,Products,0),2)="Cores",IF(HostBuild[Use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5" s="553">
        <f>IFERROR(IF(FIND(EC$1,$W105)&gt;0,IF(INDEX(Product_Pricing_Table[],MATCH(EC$1,Products,0),2)="Cores",IF(HostBuild[Use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5" s="552">
        <f>IFERROR(IF(FIND(ED$1,$W105)&gt;0,IF(INDEX(Product_Pricing_Table[],MATCH(ED$1,Products,0),2)="Cores",IF(HostBuild[Use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5" s="552">
        <f>IFERROR(IF(FIND(EE$1,$W105)&gt;0,IF(INDEX(Product_Pricing_Table[],MATCH(EE$1,Products,0),2)="Cores",IF(HostBuild[Use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5" s="552">
        <f>IFERROR(IF(FIND(EF$1,$W105)&gt;0,IF(INDEX(Product_Pricing_Table[],MATCH(EF$1,Products,0),2)="Cores",IF(HostBuild[Use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5" s="552">
        <f>IFERROR(IF(FIND(EG$1,$W105)&gt;0,IF(INDEX(Product_Pricing_Table[],MATCH(EG$1,Products,0),2)="Cores",IF(HostBuild[Use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5" s="552">
        <f>IFERROR(IF(FIND(EH$1,$W105)&gt;0,IF(INDEX(Product_Pricing_Table[],MATCH(EH$1,Products,0),2)="Cores",IF(HostBuild[Use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5" s="552">
        <f>IFERROR(IF(FIND(EI$1,$W105)&gt;0,IF(INDEX(Product_Pricing_Table[],MATCH(EI$1,Products,0),2)="Cores",IF(HostBuild[Use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5" s="552">
        <f>IFERROR(IF(FIND(EJ$1,$W105)&gt;0,IF(INDEX(Product_Pricing_Table[],MATCH(EJ$1,Products,0),2)="Cores",IF(HostBuild[Use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5" s="553">
        <f>IFERROR(IF(FIND(EK$1,$W105)&gt;0,IF(INDEX(Product_Pricing_Table[],MATCH(EK$1,Products,0),2)="Cores",IF(HostBuild[Use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5" s="554"/>
      <c r="EM105" s="555"/>
      <c r="EN105" s="556"/>
      <c r="EO10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0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05" s="558">
        <f>(HostBuild[Archive
Full (GB)]+HostBuild[Archive
Incr (GB)])*Storage_DC_Dist_Tape_2014</f>
        <v>81.385500000000008</v>
      </c>
      <c r="ER105" s="558">
        <f>IF(ISNUMBER(HostBuild[Server HW Costs
(Monthly)]),SUM(HostBuild[[#This Row],[Server HW Costs
(Monthly)]:[Tape Costs
(Monthly)]]),0)</f>
        <v>1334.0455000000002</v>
      </c>
      <c r="ES105" s="559">
        <f>HostBuild[Software Costs
'[Year 1']
(Monthly)]+HostBuild[Total Hardware Costs
(Monthly)]</f>
        <v>1334.0455000000002</v>
      </c>
      <c r="ET105" s="559">
        <f>IFERROR(IF(FIND("Safenet",HostBuild[Server Model]),Safenet_PSE_PL600_Maint,0),0)+IFERROR(IF(FIND("XI52",HostBuild[Server Model]),IBM_DIA_XI52_Maint,0),0)+HostBuild[Software Costs
'[After Year 1']
(Monthly)]+HostBuild[Total Hardware Costs
(Monthly)]</f>
        <v>1334.0455000000002</v>
      </c>
      <c r="EU105" s="560">
        <f>SUM(HostBuild[[#This Row],[Server Cost Breakdown]:[Network Cost]])</f>
        <v>888.7</v>
      </c>
      <c r="EV105" s="561">
        <f>IF(HostBuild[Existing Server?]="Yes - Inside this BoM",0,SUMIF(HostBuild[Alias],HostBuild[Alias],HostBuild[CPU])+SUMIF(HostBuild[Alias],HostBuild[Alias],HostBuild[Existing CPUs]))</f>
        <v>2</v>
      </c>
      <c r="EW105" s="561">
        <f>IF(HostBuild[Existing Server?]="Yes - Inside this BoM",0,SUMIF(HostBuild[Alias],HostBuild[Alias],HostBuild[Cores 
(Licensed Units)])+SUMIF(HostBuild[Alias],HostBuild[Alias],HostBuild[Existing Cores]))</f>
        <v>16</v>
      </c>
      <c r="EX105" s="561">
        <f>IF(HostBuild[Existing Server?]="Yes - Inside this BoM",0,SUMIF(HostBuild[Alias],HostBuild[Alias],HostBuild[RAM 
(GB)])+SUMIF(HostBuild[Alias],HostBuild[Alias],HostBuild[Existing RAM (GB)]))</f>
        <v>128</v>
      </c>
      <c r="EY10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5" s="560">
        <f>IF(ISBLANK(HostBuild[Server Model]),0,IF(HostBuild[Server Tier]="VMware",0,VLOOKUP(HostBuild[Server Tier],ServerTierRates[#Data],2,0))*HostBuild[CPU]*IF(AND(HostBuild[Server Type]="pSeries",HostBuild[Virtual Platform Storage Type]="Cloud-SAN"),0.25,1))</f>
        <v>608</v>
      </c>
      <c r="FD105" s="560">
        <f>0</f>
        <v>0</v>
      </c>
      <c r="FE105" s="560">
        <f>IF(HostBuild[Server Type]="VMware",HostBuild[RAM 
(GB)]*IF(ISERROR(FIND("DevCloud", HostBuild[Server Model])&gt;0),vRAM_per_vCPU_2014_Monthly,vRAM_per_vCPU_2014_Daily*30),0)</f>
        <v>0</v>
      </c>
      <c r="FF10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0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5" s="563">
        <f>IF(HostBuild[Server Tier]="VMware",0,IF(LEFT(HostBuild[Existing Server?],3)="Yes",0,IF(OR(HostBuild[Server Type]="Sun",HostBuild[Server Type]="pSeries"),Support_Direct_Server_Sun_per_OS_2014,IF(HostBuild[Server Type]="x86",Support_Direct_Server_x86_Wintel_per_OS_2014,0))))</f>
        <v>187.1</v>
      </c>
      <c r="FI10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6" spans="1:165" s="139" customFormat="1" ht="15" customHeight="1">
      <c r="A106" s="360" t="s">
        <v>3942</v>
      </c>
      <c r="B106" s="521"/>
      <c r="C106" s="521"/>
      <c r="D106" s="521"/>
      <c r="E106" s="522"/>
      <c r="F106" s="522"/>
      <c r="G106" s="597"/>
      <c r="H106" s="597"/>
      <c r="I106" s="523"/>
      <c r="J106" s="522"/>
      <c r="K106" s="522"/>
      <c r="L106" s="522"/>
      <c r="M106" s="597" t="e">
        <f ca="1">IF(rngIsDate(HostBuild[CTO Acceptance]),"Y","N")</f>
        <v>#NAME?</v>
      </c>
      <c r="N106" s="361" t="s">
        <v>3938</v>
      </c>
      <c r="O106" s="525"/>
      <c r="P106" s="525"/>
      <c r="Q106" s="361" t="s">
        <v>79</v>
      </c>
      <c r="R106" s="526" t="str">
        <f>IF(NOT(ISBLANK(HostBuild[Env Label])),IFERROR(VLOOKUP(HostBuild[Env Label],tEnv[],3,FALSE),""),"")</f>
        <v>PROD</v>
      </c>
      <c r="S106" s="598"/>
      <c r="T106" s="527"/>
      <c r="U106" s="599"/>
      <c r="V106" s="524" t="s">
        <v>4014</v>
      </c>
      <c r="W106" s="524" t="s">
        <v>4019</v>
      </c>
      <c r="X106" s="524" t="s">
        <v>35</v>
      </c>
      <c r="Y106" s="361" t="s">
        <v>4067</v>
      </c>
      <c r="Z106" s="526" t="str">
        <f>IF(NOT(ISBLANK(HostBuild[[#This Row],[Product 
(Acronym)]])),CONCATENATE(HostBuild[[#This Row],[Type]],"-",HostBuild[[#This Row],[Product 
(Acronym)]]),"")</f>
        <v>AP-CBOL</v>
      </c>
      <c r="AA106" s="600"/>
      <c r="AB106" s="600" t="s">
        <v>105</v>
      </c>
      <c r="AC106" s="528"/>
      <c r="AD106" s="529"/>
      <c r="AE106" s="529"/>
      <c r="AF106" s="530"/>
      <c r="AG106" s="531"/>
      <c r="AH106" s="601"/>
      <c r="AI106" s="362" t="s">
        <v>4028</v>
      </c>
      <c r="AJ106" s="524">
        <f>IF(COUNTIF(HostBuild[Alias],HostBuild[Alias]),1/COUNTIF(HostBuild[Alias],HostBuild[Alias]),0)</f>
        <v>1</v>
      </c>
      <c r="AK106" s="531"/>
      <c r="AL106" s="531"/>
      <c r="AM106" s="532" t="s">
        <v>2173</v>
      </c>
      <c r="AN106" s="533" t="str">
        <f>IF(NOT(ISBLANK(HostBuild[Server Model])),VLOOKUP(HostBuild[Server Model],ServerModelsTier[],2,FALSE),"")</f>
        <v>x86 Tier 3</v>
      </c>
      <c r="AO106" s="533" t="str">
        <f>IF(NOT(ISBLANK(HostBuild[Server Model])),VLOOKUP(HostBuild[Server Model],ServerModelsTier[],5,FALSE),"")</f>
        <v>x86</v>
      </c>
      <c r="AP106" s="532"/>
      <c r="AQ106" s="532" t="s">
        <v>2337</v>
      </c>
      <c r="AR106" s="534">
        <v>2</v>
      </c>
      <c r="AS106" s="602"/>
      <c r="AT106" s="535">
        <v>16</v>
      </c>
      <c r="AU106" s="603" t="str">
        <f>IF(IFERROR(FIND("P-Series",HostBuild[Server Tier]),0),CEILING((HostBuild[Existing CPUs]+HostBuild[CPU])*16,8),"")</f>
        <v/>
      </c>
      <c r="AV106" s="536">
        <v>256</v>
      </c>
      <c r="AW106" s="531"/>
      <c r="AX106" s="531"/>
      <c r="AY106" s="531"/>
      <c r="AZ106" s="537"/>
      <c r="BA106" s="531"/>
      <c r="BB106" s="531"/>
      <c r="BC106" s="529"/>
      <c r="BD106" s="531"/>
      <c r="BE106" s="531"/>
      <c r="BF106" s="531"/>
      <c r="BG106" s="531"/>
      <c r="BH106" s="531"/>
      <c r="BI106" s="531"/>
      <c r="BJ106" s="531"/>
      <c r="BK106"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6" s="538">
        <v>800</v>
      </c>
      <c r="BM106" s="540">
        <f>IF(ISNUMBER(HostBuild[Recommended SAN (GB)]),HostBuild[Recommended SAN (GB)])+IF(HostBuild[Additional SAN (GB)]&gt;0,CEILING(HostBuild[Additional SAN (GB)],LUN),-(CEILING(-HostBuild[Additional SAN (GB)],LUN)))</f>
        <v>1145.8000000000002</v>
      </c>
      <c r="BN106" s="539"/>
      <c r="BO106" s="540">
        <f>HostBuild[SAN (GB)
NEEDED TODAY]+CEILING(HostBuild[SAN (GB)
RESERVED
DO NOT USE TO BUILD], LUN)</f>
        <v>1145.8000000000002</v>
      </c>
      <c r="BP106" s="541"/>
      <c r="BQ106" s="542"/>
      <c r="BR106" s="432"/>
      <c r="BS106" s="605">
        <f>IF(HostBuild[Existing Server?]&lt;&gt;"Yes - Inside this BoM",IF(ISNUMBER(HostBuild[RAM 
(GB)]),IF(HostBuild[Existing RAM (GB)]+HostBuild[RAM 
(GB)]&gt;0,IF(HostBuild[Virtual Platform Storage Type]="NAS",110+HostBuild[Existing RAM (GB)]+HostBuild[RAM 
(GB)]*1.75,0),0),0),0)</f>
        <v>0</v>
      </c>
      <c r="BT106" s="606"/>
      <c r="BU106" s="607">
        <f>IF(ISNUMBER(HostBuild[Recommended NAS (GB)]),HostBuild[Recommended NAS (GB)])+HostBuild[Additional NAS (GB)]</f>
        <v>0</v>
      </c>
      <c r="BV106" s="543"/>
      <c r="BW106" s="543"/>
      <c r="BX106" s="604">
        <f>IFERROR((HostBuild[SAN (GB)
End-State
DO NOT USE TO BUILD]+HostBuild[SAN (GB) Shared])*25%,"")</f>
        <v>286.45000000000005</v>
      </c>
      <c r="BY106" s="608">
        <f>IFERROR(HostBuild[Archive
Full (GB)]*15%,"")</f>
        <v>42.967500000000008</v>
      </c>
      <c r="BZ106" s="544"/>
      <c r="CA106" s="544"/>
      <c r="CB106" s="545"/>
      <c r="CC106" s="546"/>
      <c r="CD106" s="545"/>
      <c r="CE106" s="547"/>
      <c r="CF106" s="539"/>
      <c r="CG106" s="609"/>
      <c r="CH106" s="548"/>
      <c r="CI106" s="549"/>
      <c r="CJ106" s="550"/>
      <c r="CK106" s="551"/>
      <c r="CL106" s="552">
        <f>IFERROR(IF(FIND(CL$1,$W106)&gt;0,IF(INDEX(Product_Pricing_Table[],MATCH(CL$1,Products,0),2)="Cores",IF(HostBuild[Use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6" s="552">
        <f>IFERROR(IF(FIND(CM$1,$W106)&gt;0,IF(INDEX(Product_Pricing_Table[],MATCH(CM$1,Products,0),2)="Cores",IF(HostBuild[Use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6" s="552">
        <f>IFERROR(IF(FIND(CN$1,$W106)&gt;0,IF(INDEX(Product_Pricing_Table[],MATCH(CN$1,Products,0),2)="Cores",IF(HostBuild[Use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6" s="552">
        <f>IFERROR(IF(FIND(CO$1,$W106)&gt;0,IF(INDEX(Product_Pricing_Table[],MATCH(CO$1,Products,0),2)="Cores",IF(HostBuild[Use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6" s="552">
        <f>IFERROR(IF(FIND(CP$1,$W106)&gt;0,IF(INDEX(Product_Pricing_Table[],MATCH(CP$1,Products,0),2)="Cores",IF(HostBuild[Use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6" s="552">
        <f>IFERROR(IF(FIND(CQ$1,$W106)&gt;0,IF(INDEX(Product_Pricing_Table[],MATCH(CQ$1,Products,0),2)="Cores",IF(HostBuild[Use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6" s="552">
        <f>IFERROR(IF(FIND(CR$1,$W106)&gt;0,IF(INDEX(Product_Pricing_Table[],MATCH(CR$1,Products,0),2)="Cores",IF(HostBuild[Use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6" s="552">
        <f>IFERROR(IF(FIND(CS$1,$W106)&gt;0,IF(INDEX(Product_Pricing_Table[],MATCH(CS$1,Products,0),2)="Cores",IF(HostBuild[Use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6" s="552">
        <f>IFERROR(IF(FIND(CT$1,$W106)&gt;0,IF(INDEX(Product_Pricing_Table[],MATCH(CT$1,Products,0),2)="Cores",IF(HostBuild[Use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6" s="552">
        <f>IFERROR(IF(FIND(CU$1,$W106)&gt;0,IF(INDEX(Product_Pricing_Table[],MATCH(CU$1,Products,0),2)="Cores",IF(HostBuild[Use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6" s="552">
        <f>IFERROR(IF(FIND(CV$1,$W106)&gt;0,IF(INDEX(Product_Pricing_Table[],MATCH(CV$1,Products,0),2)="Cores",IF(HostBuild[Use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6" s="552">
        <f>IFERROR(IF(FIND(CW$1,$W106)&gt;0,IF(INDEX(Product_Pricing_Table[],MATCH(CW$1,Products,0),2)="Cores",IF(HostBuild[Use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6" s="552">
        <f>IFERROR(IF(FIND(CX$1,$W106)&gt;0,IF(INDEX(Product_Pricing_Table[],MATCH(CX$1,Products,0),2)="Cores",IF(HostBuild[Use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6" s="552">
        <f>IFERROR(IF(FIND(CY$1,$W106)&gt;0,IF(INDEX(Product_Pricing_Table[],MATCH(CY$1,Products,0),2)="Cores",IF(HostBuild[Use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6" s="552">
        <f>IFERROR(IF(FIND(CZ$1,$W106)&gt;0,IF(INDEX(Product_Pricing_Table[],MATCH(CZ$1,Products,0),2)="Cores",IF(HostBuild[Use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6" s="552">
        <f>IFERROR(IF(FIND(DA$1,$W106)&gt;0,IF(INDEX(Product_Pricing_Table[],MATCH(DA$1,Products,0),2)="Cores",IF(HostBuild[Use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6" s="552">
        <f>IFERROR(IF(FIND(DB$1,$W106)&gt;0,IF(INDEX(Product_Pricing_Table[],MATCH(DB$1,Products,0),2)="Cores",IF(HostBuild[Use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6" s="552">
        <f>IFERROR(IF(FIND(DC$1,$W106)&gt;0,IF(INDEX(Product_Pricing_Table[],MATCH(DC$1,Products,0),2)="Cores",IF(HostBuild[Use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6" s="552">
        <f>IFERROR(IF(FIND(DD$1,$W106)&gt;0,IF(INDEX(Product_Pricing_Table[],MATCH(DD$1,Products,0),2)="Cores",IF(HostBuild[Use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6" s="552">
        <f>IFERROR(IF(FIND(DE$1,$W106)&gt;0,IF(INDEX(Product_Pricing_Table[],MATCH(DE$1,Products,0),2)="Cores",IF(HostBuild[Use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6" s="553">
        <f>IFERROR(IF(FIND(DF$1,$W106)&gt;0,IF(INDEX(Product_Pricing_Table[],MATCH(DF$1,Products,0),2)="Cores",IF(HostBuild[Use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6" s="553">
        <f>IFERROR(IF(FIND(DG$1,$W106)&gt;0,IF(INDEX(Product_Pricing_Table[],MATCH(DG$1,Products,0),2)="Cores",IF(HostBuild[Use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6" s="552">
        <f>IFERROR(IF(FIND(DH$1,$W106)&gt;0,IF(INDEX(Product_Pricing_Table[],MATCH(DH$1,Products,0),2)="Cores",IF(HostBuild[Use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6" s="553">
        <f>IFERROR(IF(FIND(DI$1,$W106)&gt;0,IF(INDEX(Product_Pricing_Table[],MATCH(DI$1,Products,0),2)="Cores",IF(HostBuild[Use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6" s="552">
        <f>IFERROR(IF(FIND(DJ$1,$W106)&gt;0,IF(INDEX(Product_Pricing_Table[],MATCH(DJ$1,Products,0),2)="Cores",IF(HostBuild[Use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6" s="552">
        <f>IFERROR(IF(FIND(DK$1,$W106)&gt;0,IF(INDEX(Product_Pricing_Table[],MATCH(DK$1,Products,0),2)="Cores",IF(HostBuild[Use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6" s="552">
        <f>IFERROR(IF(FIND(DL$1,$W106)&gt;0,IF(INDEX(Product_Pricing_Table[],MATCH(DL$1,Products,0),2)="Cores",IF(HostBuild[Use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6" s="552">
        <f>IFERROR(IF(FIND(DM$1,$W106)&gt;0,IF(INDEX(Product_Pricing_Table[],MATCH(DM$1,Products,0),2)="Cores",IF(HostBuild[Use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6" s="552">
        <f>IFERROR(IF(FIND(DN$1,$W106)&gt;0,IF(INDEX(Product_Pricing_Table[],MATCH(DN$1,Products,0),2)="Cores",IF(HostBuild[Use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6" s="552">
        <f>IFERROR(IF(FIND(DO$1,$W106)&gt;0,IF(INDEX(Product_Pricing_Table[],MATCH(DO$1,Products,0),2)="Cores",IF(HostBuild[Use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6" s="552">
        <f>IFERROR(IF(FIND(DP$1,$W106)&gt;0,IF(INDEX(Product_Pricing_Table[],MATCH(DP$1,Products,0),2)="Cores",IF(HostBuild[Use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6" s="552">
        <f>IFERROR(IF(FIND(DQ$1,$W106)&gt;0,IF(INDEX(Product_Pricing_Table[],MATCH(DQ$1,Products,0),2)="Cores",IF(HostBuild[Use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6" s="552">
        <f>IFERROR(IF(FIND(DR$1,$W106)&gt;0,IF(INDEX(Product_Pricing_Table[],MATCH(DR$1,Products,0),2)="Cores",IF(HostBuild[Use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6" s="552">
        <f>IFERROR(IF(FIND(DS$1,$W106)&gt;0,IF(INDEX(Product_Pricing_Table[],MATCH(DS$1,Products,0),2)="Cores",IF(HostBuild[Use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6" s="552">
        <f>IFERROR(IF(FIND(DT$1,$W106)&gt;0,IF(INDEX(Product_Pricing_Table[],MATCH(DT$1,Products,0),2)="Cores",IF(HostBuild[Use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6" s="552">
        <f>IFERROR(IF(FIND(DU$1,$W106)&gt;0,IF(INDEX(Product_Pricing_Table[],MATCH(DU$1,Products,0),2)="Cores",IF(HostBuild[Use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6" s="552">
        <f>IFERROR(IF(FIND(DV$1,$W106)&gt;0,IF(INDEX(Product_Pricing_Table[],MATCH(DV$1,Products,0),2)="Cores",IF(HostBuild[Use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6" s="552">
        <f>IFERROR(IF(FIND(DW$1,$W106)&gt;0,IF(INDEX(Product_Pricing_Table[],MATCH(DW$1,Products,0),2)="Cores",IF(HostBuild[Use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6" s="552">
        <f>IFERROR(IF(FIND(DX$1,$W106)&gt;0,IF(INDEX(Product_Pricing_Table[],MATCH(DX$1,Products,0),2)="Cores",IF(HostBuild[Use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6" s="552">
        <f>IFERROR(IF(FIND(DY$1,$W106)&gt;0,IF(INDEX(Product_Pricing_Table[],MATCH(DY$1,Products,0),2)="Cores",IF(HostBuild[Use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6" s="552">
        <f>IFERROR(IF(FIND(DZ$1,$W106)&gt;0,IF(INDEX(Product_Pricing_Table[],MATCH(DZ$1,Products,0),2)="Cores",IF(HostBuild[Use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6" s="552">
        <f>IFERROR(IF(FIND(EA$1,$W106)&gt;0,IF(INDEX(Product_Pricing_Table[],MATCH(EA$1,Products,0),2)="Cores",IF(HostBuild[Use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6" s="552">
        <f>IFERROR(IF(FIND(EB$1,$W106)&gt;0,IF(INDEX(Product_Pricing_Table[],MATCH(EB$1,Products,0),2)="Cores",IF(HostBuild[Use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6" s="553">
        <f>IFERROR(IF(FIND(EC$1,$W106)&gt;0,IF(INDEX(Product_Pricing_Table[],MATCH(EC$1,Products,0),2)="Cores",IF(HostBuild[Use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6" s="552">
        <f>IFERROR(IF(FIND(ED$1,$W106)&gt;0,IF(INDEX(Product_Pricing_Table[],MATCH(ED$1,Products,0),2)="Cores",IF(HostBuild[Use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6" s="552">
        <f>IFERROR(IF(FIND(EE$1,$W106)&gt;0,IF(INDEX(Product_Pricing_Table[],MATCH(EE$1,Products,0),2)="Cores",IF(HostBuild[Use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6" s="552">
        <f>IFERROR(IF(FIND(EF$1,$W106)&gt;0,IF(INDEX(Product_Pricing_Table[],MATCH(EF$1,Products,0),2)="Cores",IF(HostBuild[Use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6" s="552">
        <f>IFERROR(IF(FIND(EG$1,$W106)&gt;0,IF(INDEX(Product_Pricing_Table[],MATCH(EG$1,Products,0),2)="Cores",IF(HostBuild[Use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6" s="552">
        <f>IFERROR(IF(FIND(EH$1,$W106)&gt;0,IF(INDEX(Product_Pricing_Table[],MATCH(EH$1,Products,0),2)="Cores",IF(HostBuild[Use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6" s="552">
        <f>IFERROR(IF(FIND(EI$1,$W106)&gt;0,IF(INDEX(Product_Pricing_Table[],MATCH(EI$1,Products,0),2)="Cores",IF(HostBuild[Use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6" s="552">
        <f>IFERROR(IF(FIND(EJ$1,$W106)&gt;0,IF(INDEX(Product_Pricing_Table[],MATCH(EJ$1,Products,0),2)="Cores",IF(HostBuild[Use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6" s="553">
        <f>IFERROR(IF(FIND(EK$1,$W106)&gt;0,IF(INDEX(Product_Pricing_Table[],MATCH(EK$1,Products,0),2)="Cores",IF(HostBuild[Use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6" s="554"/>
      <c r="EM106" s="555"/>
      <c r="EN106" s="556"/>
      <c r="EO106"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06" s="558">
        <f>(HostBuild[Archive
Full (GB)]+HostBuild[Archive
Incr (GB)])*Storage_DC_Dist_Tape_2014</f>
        <v>115.29612500000002</v>
      </c>
      <c r="ER106" s="558">
        <f>IF(ISNUMBER(HostBuild[Server HW Costs
(Monthly)]),SUM(HostBuild[[#This Row],[Server HW Costs
(Monthly)]:[Tape Costs
(Monthly)]]),0)</f>
        <v>1634.8061250000003</v>
      </c>
      <c r="ES106" s="559">
        <f>HostBuild[Software Costs
'[Year 1']
(Monthly)]+HostBuild[Total Hardware Costs
(Monthly)]</f>
        <v>1634.8061250000003</v>
      </c>
      <c r="ET106" s="559">
        <f>IFERROR(IF(FIND("Safenet",HostBuild[Server Model]),Safenet_PSE_PL600_Maint,0),0)+IFERROR(IF(FIND("XI52",HostBuild[Server Model]),IBM_DIA_XI52_Maint,0),0)+HostBuild[Software Costs
'[After Year 1']
(Monthly)]+HostBuild[Total Hardware Costs
(Monthly)]</f>
        <v>1634.8061250000003</v>
      </c>
      <c r="EU106" s="560">
        <f>SUM(HostBuild[[#This Row],[Server Cost Breakdown]:[Network Cost]])</f>
        <v>1003.9</v>
      </c>
      <c r="EV106" s="561">
        <f>IF(HostBuild[Existing Server?]="Yes - Inside this BoM",0,SUMIF(HostBuild[Alias],HostBuild[Alias],HostBuild[CPU])+SUMIF(HostBuild[Alias],HostBuild[Alias],HostBuild[Existing CPUs]))</f>
        <v>2</v>
      </c>
      <c r="EW106" s="561">
        <f>IF(HostBuild[Existing Server?]="Yes - Inside this BoM",0,SUMIF(HostBuild[Alias],HostBuild[Alias],HostBuild[Cores 
(Licensed Units)])+SUMIF(HostBuild[Alias],HostBuild[Alias],HostBuild[Existing Cores]))</f>
        <v>16</v>
      </c>
      <c r="EX106" s="561">
        <f>IF(HostBuild[Existing Server?]="Yes - Inside this BoM",0,SUMIF(HostBuild[Alias],HostBuild[Alias],HostBuild[RAM 
(GB)])+SUMIF(HostBuild[Alias],HostBuild[Alias],HostBuild[Existing RAM (GB)]))</f>
        <v>256</v>
      </c>
      <c r="EY10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6" s="560">
        <f>IF(ISBLANK(HostBuild[Server Model]),0,IF(HostBuild[Server Tier]="VMware",0,VLOOKUP(HostBuild[Server Tier],ServerTierRates[#Data],2,0))*HostBuild[CPU]*IF(AND(HostBuild[Server Type]="pSeries",HostBuild[Virtual Platform Storage Type]="Cloud-SAN"),0.25,1))</f>
        <v>608</v>
      </c>
      <c r="FD106" s="560">
        <f>0</f>
        <v>0</v>
      </c>
      <c r="FE106" s="560">
        <f>IF(HostBuild[Server Type]="VMware",HostBuild[RAM 
(GB)]*IF(ISERROR(FIND("DevCloud", HostBuild[Server Model])&gt;0),vRAM_per_vCPU_2014_Monthly,vRAM_per_vCPU_2014_Daily*30),0)</f>
        <v>0</v>
      </c>
      <c r="FF10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6" s="563">
        <f>IF(HostBuild[Server Tier]="VMware",0,IF(LEFT(HostBuild[Existing Server?],3)="Yes",0,IF(OR(HostBuild[Server Type]="Sun",HostBuild[Server Type]="pSeries"),Support_Direct_Server_Sun_per_OS_2014,IF(HostBuild[Server Type]="x86",Support_Direct_Server_x86_Wintel_per_OS_2014,0))))</f>
        <v>187.1</v>
      </c>
      <c r="FI10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7" spans="1:165" s="139" customFormat="1" ht="15" customHeight="1">
      <c r="A107" s="360" t="s">
        <v>3942</v>
      </c>
      <c r="B107" s="521"/>
      <c r="C107" s="521"/>
      <c r="D107" s="521"/>
      <c r="E107" s="522"/>
      <c r="F107" s="522"/>
      <c r="G107" s="597"/>
      <c r="H107" s="597"/>
      <c r="I107" s="523"/>
      <c r="J107" s="522"/>
      <c r="K107" s="522"/>
      <c r="L107" s="522"/>
      <c r="M107" s="597" t="e">
        <f ca="1">IF(rngIsDate(HostBuild[CTO Acceptance]),"Y","N")</f>
        <v>#NAME?</v>
      </c>
      <c r="N107" s="361" t="s">
        <v>3938</v>
      </c>
      <c r="O107" s="525"/>
      <c r="P107" s="525"/>
      <c r="Q107" s="361" t="s">
        <v>79</v>
      </c>
      <c r="R107" s="526" t="str">
        <f>IF(NOT(ISBLANK(HostBuild[Env Label])),IFERROR(VLOOKUP(HostBuild[Env Label],tEnv[],3,FALSE),""),"")</f>
        <v>PROD</v>
      </c>
      <c r="S107" s="598"/>
      <c r="T107" s="527"/>
      <c r="U107" s="599"/>
      <c r="V107" s="524" t="s">
        <v>4014</v>
      </c>
      <c r="W107" s="524" t="s">
        <v>4019</v>
      </c>
      <c r="X107" s="524" t="s">
        <v>35</v>
      </c>
      <c r="Y107" s="361" t="s">
        <v>4067</v>
      </c>
      <c r="Z107" s="526" t="str">
        <f>IF(NOT(ISBLANK(HostBuild[[#This Row],[Product 
(Acronym)]])),CONCATENATE(HostBuild[[#This Row],[Type]],"-",HostBuild[[#This Row],[Product 
(Acronym)]]),"")</f>
        <v>AP-CBOL</v>
      </c>
      <c r="AA107" s="600"/>
      <c r="AB107" s="600" t="s">
        <v>105</v>
      </c>
      <c r="AC107" s="528"/>
      <c r="AD107" s="529"/>
      <c r="AE107" s="529"/>
      <c r="AF107" s="530"/>
      <c r="AG107" s="531"/>
      <c r="AH107" s="601"/>
      <c r="AI107" s="362" t="s">
        <v>4029</v>
      </c>
      <c r="AJ107" s="524">
        <f>IF(COUNTIF(HostBuild[Alias],HostBuild[Alias]),1/COUNTIF(HostBuild[Alias],HostBuild[Alias]),0)</f>
        <v>1</v>
      </c>
      <c r="AK107" s="531"/>
      <c r="AL107" s="531"/>
      <c r="AM107" s="532" t="s">
        <v>2173</v>
      </c>
      <c r="AN107" s="533" t="str">
        <f>IF(NOT(ISBLANK(HostBuild[Server Model])),VLOOKUP(HostBuild[Server Model],ServerModelsTier[],2,FALSE),"")</f>
        <v>x86 Tier 3</v>
      </c>
      <c r="AO107" s="533" t="str">
        <f>IF(NOT(ISBLANK(HostBuild[Server Model])),VLOOKUP(HostBuild[Server Model],ServerModelsTier[],5,FALSE),"")</f>
        <v>x86</v>
      </c>
      <c r="AP107" s="532"/>
      <c r="AQ107" s="532" t="s">
        <v>2337</v>
      </c>
      <c r="AR107" s="534">
        <v>2</v>
      </c>
      <c r="AS107" s="602"/>
      <c r="AT107" s="535">
        <v>16</v>
      </c>
      <c r="AU107" s="603" t="str">
        <f>IF(IFERROR(FIND("P-Series",HostBuild[Server Tier]),0),CEILING((HostBuild[Existing CPUs]+HostBuild[CPU])*16,8),"")</f>
        <v/>
      </c>
      <c r="AV107" s="536">
        <v>256</v>
      </c>
      <c r="AW107" s="531"/>
      <c r="AX107" s="531"/>
      <c r="AY107" s="531"/>
      <c r="AZ107" s="537"/>
      <c r="BA107" s="531"/>
      <c r="BB107" s="531"/>
      <c r="BC107" s="529"/>
      <c r="BD107" s="531"/>
      <c r="BE107" s="531"/>
      <c r="BF107" s="531"/>
      <c r="BG107" s="531"/>
      <c r="BH107" s="531"/>
      <c r="BI107" s="531"/>
      <c r="BJ107" s="531"/>
      <c r="BK107"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7" s="538">
        <v>800</v>
      </c>
      <c r="BM107" s="540">
        <f>IF(ISNUMBER(HostBuild[Recommended SAN (GB)]),HostBuild[Recommended SAN (GB)])+IF(HostBuild[Additional SAN (GB)]&gt;0,CEILING(HostBuild[Additional SAN (GB)],LUN),-(CEILING(-HostBuild[Additional SAN (GB)],LUN)))</f>
        <v>1145.8000000000002</v>
      </c>
      <c r="BN107" s="539"/>
      <c r="BO107" s="540">
        <f>HostBuild[SAN (GB)
NEEDED TODAY]+CEILING(HostBuild[SAN (GB)
RESERVED
DO NOT USE TO BUILD], LUN)</f>
        <v>1145.8000000000002</v>
      </c>
      <c r="BP107" s="541"/>
      <c r="BQ107" s="542"/>
      <c r="BR107" s="432"/>
      <c r="BS107" s="605">
        <f>IF(HostBuild[Existing Server?]&lt;&gt;"Yes - Inside this BoM",IF(ISNUMBER(HostBuild[RAM 
(GB)]),IF(HostBuild[Existing RAM (GB)]+HostBuild[RAM 
(GB)]&gt;0,IF(HostBuild[Virtual Platform Storage Type]="NAS",110+HostBuild[Existing RAM (GB)]+HostBuild[RAM 
(GB)]*1.75,0),0),0),0)</f>
        <v>0</v>
      </c>
      <c r="BT107" s="606"/>
      <c r="BU107" s="607">
        <f>IF(ISNUMBER(HostBuild[Recommended NAS (GB)]),HostBuild[Recommended NAS (GB)])+HostBuild[Additional NAS (GB)]</f>
        <v>0</v>
      </c>
      <c r="BV107" s="543"/>
      <c r="BW107" s="543"/>
      <c r="BX107" s="604">
        <f>IFERROR((HostBuild[SAN (GB)
End-State
DO NOT USE TO BUILD]+HostBuild[SAN (GB) Shared])*25%,"")</f>
        <v>286.45000000000005</v>
      </c>
      <c r="BY107" s="608">
        <f>IFERROR(HostBuild[Archive
Full (GB)]*15%,"")</f>
        <v>42.967500000000008</v>
      </c>
      <c r="BZ107" s="544"/>
      <c r="CA107" s="544"/>
      <c r="CB107" s="545"/>
      <c r="CC107" s="546"/>
      <c r="CD107" s="545"/>
      <c r="CE107" s="547"/>
      <c r="CF107" s="539"/>
      <c r="CG107" s="609"/>
      <c r="CH107" s="548"/>
      <c r="CI107" s="549"/>
      <c r="CJ107" s="550"/>
      <c r="CK107" s="551"/>
      <c r="CL107" s="552">
        <f>IFERROR(IF(FIND(CL$1,$W107)&gt;0,IF(INDEX(Product_Pricing_Table[],MATCH(CL$1,Products,0),2)="Cores",IF(HostBuild[Use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7" s="552">
        <f>IFERROR(IF(FIND(CM$1,$W107)&gt;0,IF(INDEX(Product_Pricing_Table[],MATCH(CM$1,Products,0),2)="Cores",IF(HostBuild[Use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7" s="552">
        <f>IFERROR(IF(FIND(CN$1,$W107)&gt;0,IF(INDEX(Product_Pricing_Table[],MATCH(CN$1,Products,0),2)="Cores",IF(HostBuild[Use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7" s="552">
        <f>IFERROR(IF(FIND(CO$1,$W107)&gt;0,IF(INDEX(Product_Pricing_Table[],MATCH(CO$1,Products,0),2)="Cores",IF(HostBuild[Use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7" s="552">
        <f>IFERROR(IF(FIND(CP$1,$W107)&gt;0,IF(INDEX(Product_Pricing_Table[],MATCH(CP$1,Products,0),2)="Cores",IF(HostBuild[Use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7" s="552">
        <f>IFERROR(IF(FIND(CQ$1,$W107)&gt;0,IF(INDEX(Product_Pricing_Table[],MATCH(CQ$1,Products,0),2)="Cores",IF(HostBuild[Use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7" s="552">
        <f>IFERROR(IF(FIND(CR$1,$W107)&gt;0,IF(INDEX(Product_Pricing_Table[],MATCH(CR$1,Products,0),2)="Cores",IF(HostBuild[Use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7" s="552">
        <f>IFERROR(IF(FIND(CS$1,$W107)&gt;0,IF(INDEX(Product_Pricing_Table[],MATCH(CS$1,Products,0),2)="Cores",IF(HostBuild[Use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7" s="552">
        <f>IFERROR(IF(FIND(CT$1,$W107)&gt;0,IF(INDEX(Product_Pricing_Table[],MATCH(CT$1,Products,0),2)="Cores",IF(HostBuild[Use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7" s="552">
        <f>IFERROR(IF(FIND(CU$1,$W107)&gt;0,IF(INDEX(Product_Pricing_Table[],MATCH(CU$1,Products,0),2)="Cores",IF(HostBuild[Use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7" s="552">
        <f>IFERROR(IF(FIND(CV$1,$W107)&gt;0,IF(INDEX(Product_Pricing_Table[],MATCH(CV$1,Products,0),2)="Cores",IF(HostBuild[Use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7" s="552">
        <f>IFERROR(IF(FIND(CW$1,$W107)&gt;0,IF(INDEX(Product_Pricing_Table[],MATCH(CW$1,Products,0),2)="Cores",IF(HostBuild[Use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7" s="552">
        <f>IFERROR(IF(FIND(CX$1,$W107)&gt;0,IF(INDEX(Product_Pricing_Table[],MATCH(CX$1,Products,0),2)="Cores",IF(HostBuild[Use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7" s="552">
        <f>IFERROR(IF(FIND(CY$1,$W107)&gt;0,IF(INDEX(Product_Pricing_Table[],MATCH(CY$1,Products,0),2)="Cores",IF(HostBuild[Use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7" s="552">
        <f>IFERROR(IF(FIND(CZ$1,$W107)&gt;0,IF(INDEX(Product_Pricing_Table[],MATCH(CZ$1,Products,0),2)="Cores",IF(HostBuild[Use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7" s="552">
        <f>IFERROR(IF(FIND(DA$1,$W107)&gt;0,IF(INDEX(Product_Pricing_Table[],MATCH(DA$1,Products,0),2)="Cores",IF(HostBuild[Use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7" s="552">
        <f>IFERROR(IF(FIND(DB$1,$W107)&gt;0,IF(INDEX(Product_Pricing_Table[],MATCH(DB$1,Products,0),2)="Cores",IF(HostBuild[Use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7" s="552">
        <f>IFERROR(IF(FIND(DC$1,$W107)&gt;0,IF(INDEX(Product_Pricing_Table[],MATCH(DC$1,Products,0),2)="Cores",IF(HostBuild[Use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7" s="552">
        <f>IFERROR(IF(FIND(DD$1,$W107)&gt;0,IF(INDEX(Product_Pricing_Table[],MATCH(DD$1,Products,0),2)="Cores",IF(HostBuild[Use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7" s="552">
        <f>IFERROR(IF(FIND(DE$1,$W107)&gt;0,IF(INDEX(Product_Pricing_Table[],MATCH(DE$1,Products,0),2)="Cores",IF(HostBuild[Use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7" s="553">
        <f>IFERROR(IF(FIND(DF$1,$W107)&gt;0,IF(INDEX(Product_Pricing_Table[],MATCH(DF$1,Products,0),2)="Cores",IF(HostBuild[Use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7" s="553">
        <f>IFERROR(IF(FIND(DG$1,$W107)&gt;0,IF(INDEX(Product_Pricing_Table[],MATCH(DG$1,Products,0),2)="Cores",IF(HostBuild[Use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7" s="552">
        <f>IFERROR(IF(FIND(DH$1,$W107)&gt;0,IF(INDEX(Product_Pricing_Table[],MATCH(DH$1,Products,0),2)="Cores",IF(HostBuild[Use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7" s="553">
        <f>IFERROR(IF(FIND(DI$1,$W107)&gt;0,IF(INDEX(Product_Pricing_Table[],MATCH(DI$1,Products,0),2)="Cores",IF(HostBuild[Use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7" s="552">
        <f>IFERROR(IF(FIND(DJ$1,$W107)&gt;0,IF(INDEX(Product_Pricing_Table[],MATCH(DJ$1,Products,0),2)="Cores",IF(HostBuild[Use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7" s="552">
        <f>IFERROR(IF(FIND(DK$1,$W107)&gt;0,IF(INDEX(Product_Pricing_Table[],MATCH(DK$1,Products,0),2)="Cores",IF(HostBuild[Use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7" s="552">
        <f>IFERROR(IF(FIND(DL$1,$W107)&gt;0,IF(INDEX(Product_Pricing_Table[],MATCH(DL$1,Products,0),2)="Cores",IF(HostBuild[Use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7" s="552">
        <f>IFERROR(IF(FIND(DM$1,$W107)&gt;0,IF(INDEX(Product_Pricing_Table[],MATCH(DM$1,Products,0),2)="Cores",IF(HostBuild[Use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7" s="552">
        <f>IFERROR(IF(FIND(DN$1,$W107)&gt;0,IF(INDEX(Product_Pricing_Table[],MATCH(DN$1,Products,0),2)="Cores",IF(HostBuild[Use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7" s="552">
        <f>IFERROR(IF(FIND(DO$1,$W107)&gt;0,IF(INDEX(Product_Pricing_Table[],MATCH(DO$1,Products,0),2)="Cores",IF(HostBuild[Use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7" s="552">
        <f>IFERROR(IF(FIND(DP$1,$W107)&gt;0,IF(INDEX(Product_Pricing_Table[],MATCH(DP$1,Products,0),2)="Cores",IF(HostBuild[Use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7" s="552">
        <f>IFERROR(IF(FIND(DQ$1,$W107)&gt;0,IF(INDEX(Product_Pricing_Table[],MATCH(DQ$1,Products,0),2)="Cores",IF(HostBuild[Use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7" s="552">
        <f>IFERROR(IF(FIND(DR$1,$W107)&gt;0,IF(INDEX(Product_Pricing_Table[],MATCH(DR$1,Products,0),2)="Cores",IF(HostBuild[Use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7" s="552">
        <f>IFERROR(IF(FIND(DS$1,$W107)&gt;0,IF(INDEX(Product_Pricing_Table[],MATCH(DS$1,Products,0),2)="Cores",IF(HostBuild[Use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7" s="552">
        <f>IFERROR(IF(FIND(DT$1,$W107)&gt;0,IF(INDEX(Product_Pricing_Table[],MATCH(DT$1,Products,0),2)="Cores",IF(HostBuild[Use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7" s="552">
        <f>IFERROR(IF(FIND(DU$1,$W107)&gt;0,IF(INDEX(Product_Pricing_Table[],MATCH(DU$1,Products,0),2)="Cores",IF(HostBuild[Use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7" s="552">
        <f>IFERROR(IF(FIND(DV$1,$W107)&gt;0,IF(INDEX(Product_Pricing_Table[],MATCH(DV$1,Products,0),2)="Cores",IF(HostBuild[Use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7" s="552">
        <f>IFERROR(IF(FIND(DW$1,$W107)&gt;0,IF(INDEX(Product_Pricing_Table[],MATCH(DW$1,Products,0),2)="Cores",IF(HostBuild[Use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7" s="552">
        <f>IFERROR(IF(FIND(DX$1,$W107)&gt;0,IF(INDEX(Product_Pricing_Table[],MATCH(DX$1,Products,0),2)="Cores",IF(HostBuild[Use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7" s="552">
        <f>IFERROR(IF(FIND(DY$1,$W107)&gt;0,IF(INDEX(Product_Pricing_Table[],MATCH(DY$1,Products,0),2)="Cores",IF(HostBuild[Use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7" s="552">
        <f>IFERROR(IF(FIND(DZ$1,$W107)&gt;0,IF(INDEX(Product_Pricing_Table[],MATCH(DZ$1,Products,0),2)="Cores",IF(HostBuild[Use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7" s="552">
        <f>IFERROR(IF(FIND(EA$1,$W107)&gt;0,IF(INDEX(Product_Pricing_Table[],MATCH(EA$1,Products,0),2)="Cores",IF(HostBuild[Use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7" s="552">
        <f>IFERROR(IF(FIND(EB$1,$W107)&gt;0,IF(INDEX(Product_Pricing_Table[],MATCH(EB$1,Products,0),2)="Cores",IF(HostBuild[Use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7" s="553">
        <f>IFERROR(IF(FIND(EC$1,$W107)&gt;0,IF(INDEX(Product_Pricing_Table[],MATCH(EC$1,Products,0),2)="Cores",IF(HostBuild[Use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7" s="552">
        <f>IFERROR(IF(FIND(ED$1,$W107)&gt;0,IF(INDEX(Product_Pricing_Table[],MATCH(ED$1,Products,0),2)="Cores",IF(HostBuild[Use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7" s="552">
        <f>IFERROR(IF(FIND(EE$1,$W107)&gt;0,IF(INDEX(Product_Pricing_Table[],MATCH(EE$1,Products,0),2)="Cores",IF(HostBuild[Use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7" s="552">
        <f>IFERROR(IF(FIND(EF$1,$W107)&gt;0,IF(INDEX(Product_Pricing_Table[],MATCH(EF$1,Products,0),2)="Cores",IF(HostBuild[Use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7" s="552">
        <f>IFERROR(IF(FIND(EG$1,$W107)&gt;0,IF(INDEX(Product_Pricing_Table[],MATCH(EG$1,Products,0),2)="Cores",IF(HostBuild[Use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7" s="552">
        <f>IFERROR(IF(FIND(EH$1,$W107)&gt;0,IF(INDEX(Product_Pricing_Table[],MATCH(EH$1,Products,0),2)="Cores",IF(HostBuild[Use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7" s="552">
        <f>IFERROR(IF(FIND(EI$1,$W107)&gt;0,IF(INDEX(Product_Pricing_Table[],MATCH(EI$1,Products,0),2)="Cores",IF(HostBuild[Use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7" s="552">
        <f>IFERROR(IF(FIND(EJ$1,$W107)&gt;0,IF(INDEX(Product_Pricing_Table[],MATCH(EJ$1,Products,0),2)="Cores",IF(HostBuild[Use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7" s="553">
        <f>IFERROR(IF(FIND(EK$1,$W107)&gt;0,IF(INDEX(Product_Pricing_Table[],MATCH(EK$1,Products,0),2)="Cores",IF(HostBuild[Use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7" s="554"/>
      <c r="EM107" s="555"/>
      <c r="EN107" s="556"/>
      <c r="EO107"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07" s="558">
        <f>(HostBuild[Archive
Full (GB)]+HostBuild[Archive
Incr (GB)])*Storage_DC_Dist_Tape_2014</f>
        <v>115.29612500000002</v>
      </c>
      <c r="ER107" s="558">
        <f>IF(ISNUMBER(HostBuild[Server HW Costs
(Monthly)]),SUM(HostBuild[[#This Row],[Server HW Costs
(Monthly)]:[Tape Costs
(Monthly)]]),0)</f>
        <v>1634.8061250000003</v>
      </c>
      <c r="ES107" s="559">
        <f>HostBuild[Software Costs
'[Year 1']
(Monthly)]+HostBuild[Total Hardware Costs
(Monthly)]</f>
        <v>1634.8061250000003</v>
      </c>
      <c r="ET107" s="559">
        <f>IFERROR(IF(FIND("Safenet",HostBuild[Server Model]),Safenet_PSE_PL600_Maint,0),0)+IFERROR(IF(FIND("XI52",HostBuild[Server Model]),IBM_DIA_XI52_Maint,0),0)+HostBuild[Software Costs
'[After Year 1']
(Monthly)]+HostBuild[Total Hardware Costs
(Monthly)]</f>
        <v>1634.8061250000003</v>
      </c>
      <c r="EU107" s="560">
        <f>SUM(HostBuild[[#This Row],[Server Cost Breakdown]:[Network Cost]])</f>
        <v>1003.9</v>
      </c>
      <c r="EV107" s="561">
        <f>IF(HostBuild[Existing Server?]="Yes - Inside this BoM",0,SUMIF(HostBuild[Alias],HostBuild[Alias],HostBuild[CPU])+SUMIF(HostBuild[Alias],HostBuild[Alias],HostBuild[Existing CPUs]))</f>
        <v>2</v>
      </c>
      <c r="EW107" s="561">
        <f>IF(HostBuild[Existing Server?]="Yes - Inside this BoM",0,SUMIF(HostBuild[Alias],HostBuild[Alias],HostBuild[Cores 
(Licensed Units)])+SUMIF(HostBuild[Alias],HostBuild[Alias],HostBuild[Existing Cores]))</f>
        <v>16</v>
      </c>
      <c r="EX107" s="561">
        <f>IF(HostBuild[Existing Server?]="Yes - Inside this BoM",0,SUMIF(HostBuild[Alias],HostBuild[Alias],HostBuild[RAM 
(GB)])+SUMIF(HostBuild[Alias],HostBuild[Alias],HostBuild[Existing RAM (GB)]))</f>
        <v>256</v>
      </c>
      <c r="EY10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7" s="560">
        <f>IF(ISBLANK(HostBuild[Server Model]),0,IF(HostBuild[Server Tier]="VMware",0,VLOOKUP(HostBuild[Server Tier],ServerTierRates[#Data],2,0))*HostBuild[CPU]*IF(AND(HostBuild[Server Type]="pSeries",HostBuild[Virtual Platform Storage Type]="Cloud-SAN"),0.25,1))</f>
        <v>608</v>
      </c>
      <c r="FD107" s="560">
        <f>0</f>
        <v>0</v>
      </c>
      <c r="FE107" s="560">
        <f>IF(HostBuild[Server Type]="VMware",HostBuild[RAM 
(GB)]*IF(ISERROR(FIND("DevCloud", HostBuild[Server Model])&gt;0),vRAM_per_vCPU_2014_Monthly,vRAM_per_vCPU_2014_Daily*30),0)</f>
        <v>0</v>
      </c>
      <c r="FF10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7" s="563">
        <f>IF(HostBuild[Server Tier]="VMware",0,IF(LEFT(HostBuild[Existing Server?],3)="Yes",0,IF(OR(HostBuild[Server Type]="Sun",HostBuild[Server Type]="pSeries"),Support_Direct_Server_Sun_per_OS_2014,IF(HostBuild[Server Type]="x86",Support_Direct_Server_x86_Wintel_per_OS_2014,0))))</f>
        <v>187.1</v>
      </c>
      <c r="FI10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8" spans="1:165" s="139" customFormat="1" ht="15" customHeight="1">
      <c r="A108" s="360" t="s">
        <v>3942</v>
      </c>
      <c r="B108" s="521"/>
      <c r="C108" s="521"/>
      <c r="D108" s="521"/>
      <c r="E108" s="522"/>
      <c r="F108" s="522"/>
      <c r="G108" s="597"/>
      <c r="H108" s="597"/>
      <c r="I108" s="523"/>
      <c r="J108" s="522"/>
      <c r="K108" s="522"/>
      <c r="L108" s="522"/>
      <c r="M108" s="597" t="e">
        <f ca="1">IF(rngIsDate(HostBuild[CTO Acceptance]),"Y","N")</f>
        <v>#NAME?</v>
      </c>
      <c r="N108" s="361" t="s">
        <v>3938</v>
      </c>
      <c r="O108" s="525"/>
      <c r="P108" s="525"/>
      <c r="Q108" s="361" t="s">
        <v>79</v>
      </c>
      <c r="R108" s="526" t="str">
        <f>IF(NOT(ISBLANK(HostBuild[Env Label])),IFERROR(VLOOKUP(HostBuild[Env Label],tEnv[],3,FALSE),""),"")</f>
        <v>PROD</v>
      </c>
      <c r="S108" s="598"/>
      <c r="T108" s="527"/>
      <c r="U108" s="599"/>
      <c r="V108" s="524" t="s">
        <v>4014</v>
      </c>
      <c r="W108" s="524" t="s">
        <v>4019</v>
      </c>
      <c r="X108" s="524" t="s">
        <v>35</v>
      </c>
      <c r="Y108" s="361" t="s">
        <v>4067</v>
      </c>
      <c r="Z108" s="526" t="str">
        <f>IF(NOT(ISBLANK(HostBuild[[#This Row],[Product 
(Acronym)]])),CONCATENATE(HostBuild[[#This Row],[Type]],"-",HostBuild[[#This Row],[Product 
(Acronym)]]),"")</f>
        <v>AP-CBOL</v>
      </c>
      <c r="AA108" s="600"/>
      <c r="AB108" s="600" t="s">
        <v>105</v>
      </c>
      <c r="AC108" s="528"/>
      <c r="AD108" s="529"/>
      <c r="AE108" s="529"/>
      <c r="AF108" s="530"/>
      <c r="AG108" s="531"/>
      <c r="AH108" s="601"/>
      <c r="AI108" s="362" t="s">
        <v>4030</v>
      </c>
      <c r="AJ108" s="524">
        <f>IF(COUNTIF(HostBuild[Alias],HostBuild[Alias]),1/COUNTIF(HostBuild[Alias],HostBuild[Alias]),0)</f>
        <v>1</v>
      </c>
      <c r="AK108" s="531"/>
      <c r="AL108" s="531"/>
      <c r="AM108" s="532" t="s">
        <v>2173</v>
      </c>
      <c r="AN108" s="533" t="str">
        <f>IF(NOT(ISBLANK(HostBuild[Server Model])),VLOOKUP(HostBuild[Server Model],ServerModelsTier[],2,FALSE),"")</f>
        <v>x86 Tier 3</v>
      </c>
      <c r="AO108" s="533" t="str">
        <f>IF(NOT(ISBLANK(HostBuild[Server Model])),VLOOKUP(HostBuild[Server Model],ServerModelsTier[],5,FALSE),"")</f>
        <v>x86</v>
      </c>
      <c r="AP108" s="532"/>
      <c r="AQ108" s="532" t="s">
        <v>2337</v>
      </c>
      <c r="AR108" s="534">
        <v>2</v>
      </c>
      <c r="AS108" s="602"/>
      <c r="AT108" s="535">
        <v>16</v>
      </c>
      <c r="AU108" s="603" t="str">
        <f>IF(IFERROR(FIND("P-Series",HostBuild[Server Tier]),0),CEILING((HostBuild[Existing CPUs]+HostBuild[CPU])*16,8),"")</f>
        <v/>
      </c>
      <c r="AV108" s="536">
        <v>256</v>
      </c>
      <c r="AW108" s="531"/>
      <c r="AX108" s="531"/>
      <c r="AY108" s="531"/>
      <c r="AZ108" s="537"/>
      <c r="BA108" s="531"/>
      <c r="BB108" s="531"/>
      <c r="BC108" s="529"/>
      <c r="BD108" s="531"/>
      <c r="BE108" s="531"/>
      <c r="BF108" s="531"/>
      <c r="BG108" s="531"/>
      <c r="BH108" s="531"/>
      <c r="BI108" s="531"/>
      <c r="BJ108" s="531"/>
      <c r="BK108"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8" s="538">
        <v>800</v>
      </c>
      <c r="BM108" s="540">
        <f>IF(ISNUMBER(HostBuild[Recommended SAN (GB)]),HostBuild[Recommended SAN (GB)])+IF(HostBuild[Additional SAN (GB)]&gt;0,CEILING(HostBuild[Additional SAN (GB)],LUN),-(CEILING(-HostBuild[Additional SAN (GB)],LUN)))</f>
        <v>1145.8000000000002</v>
      </c>
      <c r="BN108" s="539"/>
      <c r="BO108" s="540">
        <f>HostBuild[SAN (GB)
NEEDED TODAY]+CEILING(HostBuild[SAN (GB)
RESERVED
DO NOT USE TO BUILD], LUN)</f>
        <v>1145.8000000000002</v>
      </c>
      <c r="BP108" s="541"/>
      <c r="BQ108" s="542"/>
      <c r="BR108" s="432"/>
      <c r="BS108" s="605">
        <f>IF(HostBuild[Existing Server?]&lt;&gt;"Yes - Inside this BoM",IF(ISNUMBER(HostBuild[RAM 
(GB)]),IF(HostBuild[Existing RAM (GB)]+HostBuild[RAM 
(GB)]&gt;0,IF(HostBuild[Virtual Platform Storage Type]="NAS",110+HostBuild[Existing RAM (GB)]+HostBuild[RAM 
(GB)]*1.75,0),0),0),0)</f>
        <v>0</v>
      </c>
      <c r="BT108" s="606"/>
      <c r="BU108" s="607">
        <f>IF(ISNUMBER(HostBuild[Recommended NAS (GB)]),HostBuild[Recommended NAS (GB)])+HostBuild[Additional NAS (GB)]</f>
        <v>0</v>
      </c>
      <c r="BV108" s="543"/>
      <c r="BW108" s="543"/>
      <c r="BX108" s="604">
        <f>IFERROR((HostBuild[SAN (GB)
End-State
DO NOT USE TO BUILD]+HostBuild[SAN (GB) Shared])*25%,"")</f>
        <v>286.45000000000005</v>
      </c>
      <c r="BY108" s="608">
        <f>IFERROR(HostBuild[Archive
Full (GB)]*15%,"")</f>
        <v>42.967500000000008</v>
      </c>
      <c r="BZ108" s="544"/>
      <c r="CA108" s="544"/>
      <c r="CB108" s="545"/>
      <c r="CC108" s="546"/>
      <c r="CD108" s="545"/>
      <c r="CE108" s="547"/>
      <c r="CF108" s="539"/>
      <c r="CG108" s="609"/>
      <c r="CH108" s="548"/>
      <c r="CI108" s="549"/>
      <c r="CJ108" s="550"/>
      <c r="CK108" s="551"/>
      <c r="CL108" s="552">
        <f>IFERROR(IF(FIND(CL$1,$W108)&gt;0,IF(INDEX(Product_Pricing_Table[],MATCH(CL$1,Products,0),2)="Cores",IF(HostBuild[Use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8" s="552">
        <f>IFERROR(IF(FIND(CM$1,$W108)&gt;0,IF(INDEX(Product_Pricing_Table[],MATCH(CM$1,Products,0),2)="Cores",IF(HostBuild[Use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8" s="552">
        <f>IFERROR(IF(FIND(CN$1,$W108)&gt;0,IF(INDEX(Product_Pricing_Table[],MATCH(CN$1,Products,0),2)="Cores",IF(HostBuild[Use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8" s="552">
        <f>IFERROR(IF(FIND(CO$1,$W108)&gt;0,IF(INDEX(Product_Pricing_Table[],MATCH(CO$1,Products,0),2)="Cores",IF(HostBuild[Use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8" s="552">
        <f>IFERROR(IF(FIND(CP$1,$W108)&gt;0,IF(INDEX(Product_Pricing_Table[],MATCH(CP$1,Products,0),2)="Cores",IF(HostBuild[Use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8" s="552">
        <f>IFERROR(IF(FIND(CQ$1,$W108)&gt;0,IF(INDEX(Product_Pricing_Table[],MATCH(CQ$1,Products,0),2)="Cores",IF(HostBuild[Use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8" s="552">
        <f>IFERROR(IF(FIND(CR$1,$W108)&gt;0,IF(INDEX(Product_Pricing_Table[],MATCH(CR$1,Products,0),2)="Cores",IF(HostBuild[Use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8" s="552">
        <f>IFERROR(IF(FIND(CS$1,$W108)&gt;0,IF(INDEX(Product_Pricing_Table[],MATCH(CS$1,Products,0),2)="Cores",IF(HostBuild[Use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8" s="552">
        <f>IFERROR(IF(FIND(CT$1,$W108)&gt;0,IF(INDEX(Product_Pricing_Table[],MATCH(CT$1,Products,0),2)="Cores",IF(HostBuild[Use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8" s="552">
        <f>IFERROR(IF(FIND(CU$1,$W108)&gt;0,IF(INDEX(Product_Pricing_Table[],MATCH(CU$1,Products,0),2)="Cores",IF(HostBuild[Use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8" s="552">
        <f>IFERROR(IF(FIND(CV$1,$W108)&gt;0,IF(INDEX(Product_Pricing_Table[],MATCH(CV$1,Products,0),2)="Cores",IF(HostBuild[Use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8" s="552">
        <f>IFERROR(IF(FIND(CW$1,$W108)&gt;0,IF(INDEX(Product_Pricing_Table[],MATCH(CW$1,Products,0),2)="Cores",IF(HostBuild[Use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8" s="552">
        <f>IFERROR(IF(FIND(CX$1,$W108)&gt;0,IF(INDEX(Product_Pricing_Table[],MATCH(CX$1,Products,0),2)="Cores",IF(HostBuild[Use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8" s="552">
        <f>IFERROR(IF(FIND(CY$1,$W108)&gt;0,IF(INDEX(Product_Pricing_Table[],MATCH(CY$1,Products,0),2)="Cores",IF(HostBuild[Use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8" s="552">
        <f>IFERROR(IF(FIND(CZ$1,$W108)&gt;0,IF(INDEX(Product_Pricing_Table[],MATCH(CZ$1,Products,0),2)="Cores",IF(HostBuild[Use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8" s="552">
        <f>IFERROR(IF(FIND(DA$1,$W108)&gt;0,IF(INDEX(Product_Pricing_Table[],MATCH(DA$1,Products,0),2)="Cores",IF(HostBuild[Use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8" s="552">
        <f>IFERROR(IF(FIND(DB$1,$W108)&gt;0,IF(INDEX(Product_Pricing_Table[],MATCH(DB$1,Products,0),2)="Cores",IF(HostBuild[Use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8" s="552">
        <f>IFERROR(IF(FIND(DC$1,$W108)&gt;0,IF(INDEX(Product_Pricing_Table[],MATCH(DC$1,Products,0),2)="Cores",IF(HostBuild[Use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8" s="552">
        <f>IFERROR(IF(FIND(DD$1,$W108)&gt;0,IF(INDEX(Product_Pricing_Table[],MATCH(DD$1,Products,0),2)="Cores",IF(HostBuild[Use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8" s="552">
        <f>IFERROR(IF(FIND(DE$1,$W108)&gt;0,IF(INDEX(Product_Pricing_Table[],MATCH(DE$1,Products,0),2)="Cores",IF(HostBuild[Use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8" s="553">
        <f>IFERROR(IF(FIND(DF$1,$W108)&gt;0,IF(INDEX(Product_Pricing_Table[],MATCH(DF$1,Products,0),2)="Cores",IF(HostBuild[Use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8" s="553">
        <f>IFERROR(IF(FIND(DG$1,$W108)&gt;0,IF(INDEX(Product_Pricing_Table[],MATCH(DG$1,Products,0),2)="Cores",IF(HostBuild[Use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8" s="552">
        <f>IFERROR(IF(FIND(DH$1,$W108)&gt;0,IF(INDEX(Product_Pricing_Table[],MATCH(DH$1,Products,0),2)="Cores",IF(HostBuild[Use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8" s="553">
        <f>IFERROR(IF(FIND(DI$1,$W108)&gt;0,IF(INDEX(Product_Pricing_Table[],MATCH(DI$1,Products,0),2)="Cores",IF(HostBuild[Use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8" s="552">
        <f>IFERROR(IF(FIND(DJ$1,$W108)&gt;0,IF(INDEX(Product_Pricing_Table[],MATCH(DJ$1,Products,0),2)="Cores",IF(HostBuild[Use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8" s="552">
        <f>IFERROR(IF(FIND(DK$1,$W108)&gt;0,IF(INDEX(Product_Pricing_Table[],MATCH(DK$1,Products,0),2)="Cores",IF(HostBuild[Use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8" s="552">
        <f>IFERROR(IF(FIND(DL$1,$W108)&gt;0,IF(INDEX(Product_Pricing_Table[],MATCH(DL$1,Products,0),2)="Cores",IF(HostBuild[Use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8" s="552">
        <f>IFERROR(IF(FIND(DM$1,$W108)&gt;0,IF(INDEX(Product_Pricing_Table[],MATCH(DM$1,Products,0),2)="Cores",IF(HostBuild[Use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8" s="552">
        <f>IFERROR(IF(FIND(DN$1,$W108)&gt;0,IF(INDEX(Product_Pricing_Table[],MATCH(DN$1,Products,0),2)="Cores",IF(HostBuild[Use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8" s="552">
        <f>IFERROR(IF(FIND(DO$1,$W108)&gt;0,IF(INDEX(Product_Pricing_Table[],MATCH(DO$1,Products,0),2)="Cores",IF(HostBuild[Use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8" s="552">
        <f>IFERROR(IF(FIND(DP$1,$W108)&gt;0,IF(INDEX(Product_Pricing_Table[],MATCH(DP$1,Products,0),2)="Cores",IF(HostBuild[Use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8" s="552">
        <f>IFERROR(IF(FIND(DQ$1,$W108)&gt;0,IF(INDEX(Product_Pricing_Table[],MATCH(DQ$1,Products,0),2)="Cores",IF(HostBuild[Use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8" s="552">
        <f>IFERROR(IF(FIND(DR$1,$W108)&gt;0,IF(INDEX(Product_Pricing_Table[],MATCH(DR$1,Products,0),2)="Cores",IF(HostBuild[Use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8" s="552">
        <f>IFERROR(IF(FIND(DS$1,$W108)&gt;0,IF(INDEX(Product_Pricing_Table[],MATCH(DS$1,Products,0),2)="Cores",IF(HostBuild[Use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8" s="552">
        <f>IFERROR(IF(FIND(DT$1,$W108)&gt;0,IF(INDEX(Product_Pricing_Table[],MATCH(DT$1,Products,0),2)="Cores",IF(HostBuild[Use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8" s="552">
        <f>IFERROR(IF(FIND(DU$1,$W108)&gt;0,IF(INDEX(Product_Pricing_Table[],MATCH(DU$1,Products,0),2)="Cores",IF(HostBuild[Use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8" s="552">
        <f>IFERROR(IF(FIND(DV$1,$W108)&gt;0,IF(INDEX(Product_Pricing_Table[],MATCH(DV$1,Products,0),2)="Cores",IF(HostBuild[Use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8" s="552">
        <f>IFERROR(IF(FIND(DW$1,$W108)&gt;0,IF(INDEX(Product_Pricing_Table[],MATCH(DW$1,Products,0),2)="Cores",IF(HostBuild[Use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8" s="552">
        <f>IFERROR(IF(FIND(DX$1,$W108)&gt;0,IF(INDEX(Product_Pricing_Table[],MATCH(DX$1,Products,0),2)="Cores",IF(HostBuild[Use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8" s="552">
        <f>IFERROR(IF(FIND(DY$1,$W108)&gt;0,IF(INDEX(Product_Pricing_Table[],MATCH(DY$1,Products,0),2)="Cores",IF(HostBuild[Use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8" s="552">
        <f>IFERROR(IF(FIND(DZ$1,$W108)&gt;0,IF(INDEX(Product_Pricing_Table[],MATCH(DZ$1,Products,0),2)="Cores",IF(HostBuild[Use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8" s="552">
        <f>IFERROR(IF(FIND(EA$1,$W108)&gt;0,IF(INDEX(Product_Pricing_Table[],MATCH(EA$1,Products,0),2)="Cores",IF(HostBuild[Use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8" s="552">
        <f>IFERROR(IF(FIND(EB$1,$W108)&gt;0,IF(INDEX(Product_Pricing_Table[],MATCH(EB$1,Products,0),2)="Cores",IF(HostBuild[Use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8" s="553">
        <f>IFERROR(IF(FIND(EC$1,$W108)&gt;0,IF(INDEX(Product_Pricing_Table[],MATCH(EC$1,Products,0),2)="Cores",IF(HostBuild[Use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8" s="552">
        <f>IFERROR(IF(FIND(ED$1,$W108)&gt;0,IF(INDEX(Product_Pricing_Table[],MATCH(ED$1,Products,0),2)="Cores",IF(HostBuild[Use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8" s="552">
        <f>IFERROR(IF(FIND(EE$1,$W108)&gt;0,IF(INDEX(Product_Pricing_Table[],MATCH(EE$1,Products,0),2)="Cores",IF(HostBuild[Use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8" s="552">
        <f>IFERROR(IF(FIND(EF$1,$W108)&gt;0,IF(INDEX(Product_Pricing_Table[],MATCH(EF$1,Products,0),2)="Cores",IF(HostBuild[Use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8" s="552">
        <f>IFERROR(IF(FIND(EG$1,$W108)&gt;0,IF(INDEX(Product_Pricing_Table[],MATCH(EG$1,Products,0),2)="Cores",IF(HostBuild[Use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8" s="552">
        <f>IFERROR(IF(FIND(EH$1,$W108)&gt;0,IF(INDEX(Product_Pricing_Table[],MATCH(EH$1,Products,0),2)="Cores",IF(HostBuild[Use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8" s="552">
        <f>IFERROR(IF(FIND(EI$1,$W108)&gt;0,IF(INDEX(Product_Pricing_Table[],MATCH(EI$1,Products,0),2)="Cores",IF(HostBuild[Use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8" s="552">
        <f>IFERROR(IF(FIND(EJ$1,$W108)&gt;0,IF(INDEX(Product_Pricing_Table[],MATCH(EJ$1,Products,0),2)="Cores",IF(HostBuild[Use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8" s="553">
        <f>IFERROR(IF(FIND(EK$1,$W108)&gt;0,IF(INDEX(Product_Pricing_Table[],MATCH(EK$1,Products,0),2)="Cores",IF(HostBuild[Use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8" s="554"/>
      <c r="EM108" s="555"/>
      <c r="EN108" s="556"/>
      <c r="EO108"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08" s="558">
        <f>(HostBuild[Archive
Full (GB)]+HostBuild[Archive
Incr (GB)])*Storage_DC_Dist_Tape_2014</f>
        <v>115.29612500000002</v>
      </c>
      <c r="ER108" s="558">
        <f>IF(ISNUMBER(HostBuild[Server HW Costs
(Monthly)]),SUM(HostBuild[[#This Row],[Server HW Costs
(Monthly)]:[Tape Costs
(Monthly)]]),0)</f>
        <v>1634.8061250000003</v>
      </c>
      <c r="ES108" s="559">
        <f>HostBuild[Software Costs
'[Year 1']
(Monthly)]+HostBuild[Total Hardware Costs
(Monthly)]</f>
        <v>1634.8061250000003</v>
      </c>
      <c r="ET108" s="559">
        <f>IFERROR(IF(FIND("Safenet",HostBuild[Server Model]),Safenet_PSE_PL600_Maint,0),0)+IFERROR(IF(FIND("XI52",HostBuild[Server Model]),IBM_DIA_XI52_Maint,0),0)+HostBuild[Software Costs
'[After Year 1']
(Monthly)]+HostBuild[Total Hardware Costs
(Monthly)]</f>
        <v>1634.8061250000003</v>
      </c>
      <c r="EU108" s="560">
        <f>SUM(HostBuild[[#This Row],[Server Cost Breakdown]:[Network Cost]])</f>
        <v>1003.9</v>
      </c>
      <c r="EV108" s="561">
        <f>IF(HostBuild[Existing Server?]="Yes - Inside this BoM",0,SUMIF(HostBuild[Alias],HostBuild[Alias],HostBuild[CPU])+SUMIF(HostBuild[Alias],HostBuild[Alias],HostBuild[Existing CPUs]))</f>
        <v>2</v>
      </c>
      <c r="EW108" s="561">
        <f>IF(HostBuild[Existing Server?]="Yes - Inside this BoM",0,SUMIF(HostBuild[Alias],HostBuild[Alias],HostBuild[Cores 
(Licensed Units)])+SUMIF(HostBuild[Alias],HostBuild[Alias],HostBuild[Existing Cores]))</f>
        <v>16</v>
      </c>
      <c r="EX108" s="561">
        <f>IF(HostBuild[Existing Server?]="Yes - Inside this BoM",0,SUMIF(HostBuild[Alias],HostBuild[Alias],HostBuild[RAM 
(GB)])+SUMIF(HostBuild[Alias],HostBuild[Alias],HostBuild[Existing RAM (GB)]))</f>
        <v>256</v>
      </c>
      <c r="EY10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8" s="560">
        <f>IF(ISBLANK(HostBuild[Server Model]),0,IF(HostBuild[Server Tier]="VMware",0,VLOOKUP(HostBuild[Server Tier],ServerTierRates[#Data],2,0))*HostBuild[CPU]*IF(AND(HostBuild[Server Type]="pSeries",HostBuild[Virtual Platform Storage Type]="Cloud-SAN"),0.25,1))</f>
        <v>608</v>
      </c>
      <c r="FD108" s="560">
        <f>0</f>
        <v>0</v>
      </c>
      <c r="FE108" s="560">
        <f>IF(HostBuild[Server Type]="VMware",HostBuild[RAM 
(GB)]*IF(ISERROR(FIND("DevCloud", HostBuild[Server Model])&gt;0),vRAM_per_vCPU_2014_Monthly,vRAM_per_vCPU_2014_Daily*30),0)</f>
        <v>0</v>
      </c>
      <c r="FF10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8" s="563">
        <f>IF(HostBuild[Server Tier]="VMware",0,IF(LEFT(HostBuild[Existing Server?],3)="Yes",0,IF(OR(HostBuild[Server Type]="Sun",HostBuild[Server Type]="pSeries"),Support_Direct_Server_Sun_per_OS_2014,IF(HostBuild[Server Type]="x86",Support_Direct_Server_x86_Wintel_per_OS_2014,0))))</f>
        <v>187.1</v>
      </c>
      <c r="FI10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09" spans="1:165" s="139" customFormat="1" ht="15" customHeight="1">
      <c r="A109" s="360" t="s">
        <v>3942</v>
      </c>
      <c r="B109" s="521"/>
      <c r="C109" s="521"/>
      <c r="D109" s="521"/>
      <c r="E109" s="522"/>
      <c r="F109" s="522"/>
      <c r="G109" s="597"/>
      <c r="H109" s="597"/>
      <c r="I109" s="523"/>
      <c r="J109" s="522"/>
      <c r="K109" s="522"/>
      <c r="L109" s="522"/>
      <c r="M109" s="597" t="e">
        <f ca="1">IF(rngIsDate(HostBuild[CTO Acceptance]),"Y","N")</f>
        <v>#NAME?</v>
      </c>
      <c r="N109" s="361" t="s">
        <v>3939</v>
      </c>
      <c r="O109" s="525"/>
      <c r="P109" s="525"/>
      <c r="Q109" s="361" t="s">
        <v>3932</v>
      </c>
      <c r="R109" s="526" t="str">
        <f>IF(NOT(ISBLANK(HostBuild[Env Label])),IFERROR(VLOOKUP(HostBuild[Env Label],tEnv[],3,FALSE),""),"")</f>
        <v>PROD</v>
      </c>
      <c r="S109" s="598"/>
      <c r="T109" s="527"/>
      <c r="U109" s="599"/>
      <c r="V109" s="524" t="s">
        <v>4014</v>
      </c>
      <c r="W109" s="524" t="s">
        <v>4019</v>
      </c>
      <c r="X109" s="524" t="s">
        <v>35</v>
      </c>
      <c r="Y109" s="361" t="s">
        <v>4067</v>
      </c>
      <c r="Z109" s="526" t="str">
        <f>IF(NOT(ISBLANK(HostBuild[[#This Row],[Product 
(Acronym)]])),CONCATENATE(HostBuild[[#This Row],[Type]],"-",HostBuild[[#This Row],[Product 
(Acronym)]]),"")</f>
        <v>AP-CBOL</v>
      </c>
      <c r="AA109" s="600"/>
      <c r="AB109" s="600" t="s">
        <v>105</v>
      </c>
      <c r="AC109" s="528"/>
      <c r="AD109" s="529"/>
      <c r="AE109" s="529"/>
      <c r="AF109" s="530"/>
      <c r="AG109" s="531"/>
      <c r="AH109" s="601"/>
      <c r="AI109" s="362" t="s">
        <v>4031</v>
      </c>
      <c r="AJ109" s="524">
        <f>IF(COUNTIF(HostBuild[Alias],HostBuild[Alias]),1/COUNTIF(HostBuild[Alias],HostBuild[Alias]),0)</f>
        <v>1</v>
      </c>
      <c r="AK109" s="531"/>
      <c r="AL109" s="531"/>
      <c r="AM109" s="532" t="s">
        <v>2173</v>
      </c>
      <c r="AN109" s="533" t="str">
        <f>IF(NOT(ISBLANK(HostBuild[Server Model])),VLOOKUP(HostBuild[Server Model],ServerModelsTier[],2,FALSE),"")</f>
        <v>x86 Tier 3</v>
      </c>
      <c r="AO109" s="533" t="str">
        <f>IF(NOT(ISBLANK(HostBuild[Server Model])),VLOOKUP(HostBuild[Server Model],ServerModelsTier[],5,FALSE),"")</f>
        <v>x86</v>
      </c>
      <c r="AP109" s="532"/>
      <c r="AQ109" s="532" t="s">
        <v>2337</v>
      </c>
      <c r="AR109" s="534">
        <v>2</v>
      </c>
      <c r="AS109" s="602"/>
      <c r="AT109" s="535">
        <v>16</v>
      </c>
      <c r="AU109" s="603" t="str">
        <f>IF(IFERROR(FIND("P-Series",HostBuild[Server Tier]),0),CEILING((HostBuild[Existing CPUs]+HostBuild[CPU])*16,8),"")</f>
        <v/>
      </c>
      <c r="AV109" s="536">
        <v>256</v>
      </c>
      <c r="AW109" s="531"/>
      <c r="AX109" s="531"/>
      <c r="AY109" s="531"/>
      <c r="AZ109" s="537"/>
      <c r="BA109" s="531"/>
      <c r="BB109" s="531"/>
      <c r="BC109" s="529"/>
      <c r="BD109" s="531"/>
      <c r="BE109" s="531"/>
      <c r="BF109" s="531"/>
      <c r="BG109" s="531"/>
      <c r="BH109" s="531"/>
      <c r="BI109" s="531"/>
      <c r="BJ109" s="531"/>
      <c r="BK109"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09" s="538">
        <v>800</v>
      </c>
      <c r="BM109" s="540">
        <f>IF(ISNUMBER(HostBuild[Recommended SAN (GB)]),HostBuild[Recommended SAN (GB)])+IF(HostBuild[Additional SAN (GB)]&gt;0,CEILING(HostBuild[Additional SAN (GB)],LUN),-(CEILING(-HostBuild[Additional SAN (GB)],LUN)))</f>
        <v>1145.8000000000002</v>
      </c>
      <c r="BN109" s="539"/>
      <c r="BO109" s="540">
        <f>HostBuild[SAN (GB)
NEEDED TODAY]+CEILING(HostBuild[SAN (GB)
RESERVED
DO NOT USE TO BUILD], LUN)</f>
        <v>1145.8000000000002</v>
      </c>
      <c r="BP109" s="541"/>
      <c r="BQ109" s="542"/>
      <c r="BR109" s="432"/>
      <c r="BS109" s="605">
        <f>IF(HostBuild[Existing Server?]&lt;&gt;"Yes - Inside this BoM",IF(ISNUMBER(HostBuild[RAM 
(GB)]),IF(HostBuild[Existing RAM (GB)]+HostBuild[RAM 
(GB)]&gt;0,IF(HostBuild[Virtual Platform Storage Type]="NAS",110+HostBuild[Existing RAM (GB)]+HostBuild[RAM 
(GB)]*1.75,0),0),0),0)</f>
        <v>0</v>
      </c>
      <c r="BT109" s="606"/>
      <c r="BU109" s="607">
        <f>IF(ISNUMBER(HostBuild[Recommended NAS (GB)]),HostBuild[Recommended NAS (GB)])+HostBuild[Additional NAS (GB)]</f>
        <v>0</v>
      </c>
      <c r="BV109" s="543"/>
      <c r="BW109" s="543"/>
      <c r="BX109" s="604">
        <f>IFERROR((HostBuild[SAN (GB)
End-State
DO NOT USE TO BUILD]+HostBuild[SAN (GB) Shared])*25%,"")</f>
        <v>286.45000000000005</v>
      </c>
      <c r="BY109" s="608">
        <f>IFERROR(HostBuild[Archive
Full (GB)]*15%,"")</f>
        <v>42.967500000000008</v>
      </c>
      <c r="BZ109" s="544"/>
      <c r="CA109" s="544"/>
      <c r="CB109" s="545"/>
      <c r="CC109" s="546"/>
      <c r="CD109" s="545"/>
      <c r="CE109" s="547"/>
      <c r="CF109" s="539"/>
      <c r="CG109" s="609"/>
      <c r="CH109" s="548"/>
      <c r="CI109" s="549"/>
      <c r="CJ109" s="550"/>
      <c r="CK109" s="551"/>
      <c r="CL109" s="552">
        <f>IFERROR(IF(FIND(CL$1,$W109)&gt;0,IF(INDEX(Product_Pricing_Table[],MATCH(CL$1,Products,0),2)="Cores",IF(HostBuild[Use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09" s="552">
        <f>IFERROR(IF(FIND(CM$1,$W109)&gt;0,IF(INDEX(Product_Pricing_Table[],MATCH(CM$1,Products,0),2)="Cores",IF(HostBuild[Use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09" s="552">
        <f>IFERROR(IF(FIND(CN$1,$W109)&gt;0,IF(INDEX(Product_Pricing_Table[],MATCH(CN$1,Products,0),2)="Cores",IF(HostBuild[Use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09" s="552">
        <f>IFERROR(IF(FIND(CO$1,$W109)&gt;0,IF(INDEX(Product_Pricing_Table[],MATCH(CO$1,Products,0),2)="Cores",IF(HostBuild[Use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09" s="552">
        <f>IFERROR(IF(FIND(CP$1,$W109)&gt;0,IF(INDEX(Product_Pricing_Table[],MATCH(CP$1,Products,0),2)="Cores",IF(HostBuild[Use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09" s="552">
        <f>IFERROR(IF(FIND(CQ$1,$W109)&gt;0,IF(INDEX(Product_Pricing_Table[],MATCH(CQ$1,Products,0),2)="Cores",IF(HostBuild[Use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09" s="552">
        <f>IFERROR(IF(FIND(CR$1,$W109)&gt;0,IF(INDEX(Product_Pricing_Table[],MATCH(CR$1,Products,0),2)="Cores",IF(HostBuild[Use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09" s="552">
        <f>IFERROR(IF(FIND(CS$1,$W109)&gt;0,IF(INDEX(Product_Pricing_Table[],MATCH(CS$1,Products,0),2)="Cores",IF(HostBuild[Use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09" s="552">
        <f>IFERROR(IF(FIND(CT$1,$W109)&gt;0,IF(INDEX(Product_Pricing_Table[],MATCH(CT$1,Products,0),2)="Cores",IF(HostBuild[Use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09" s="552">
        <f>IFERROR(IF(FIND(CU$1,$W109)&gt;0,IF(INDEX(Product_Pricing_Table[],MATCH(CU$1,Products,0),2)="Cores",IF(HostBuild[Use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09" s="552">
        <f>IFERROR(IF(FIND(CV$1,$W109)&gt;0,IF(INDEX(Product_Pricing_Table[],MATCH(CV$1,Products,0),2)="Cores",IF(HostBuild[Use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09" s="552">
        <f>IFERROR(IF(FIND(CW$1,$W109)&gt;0,IF(INDEX(Product_Pricing_Table[],MATCH(CW$1,Products,0),2)="Cores",IF(HostBuild[Use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09" s="552">
        <f>IFERROR(IF(FIND(CX$1,$W109)&gt;0,IF(INDEX(Product_Pricing_Table[],MATCH(CX$1,Products,0),2)="Cores",IF(HostBuild[Use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09" s="552">
        <f>IFERROR(IF(FIND(CY$1,$W109)&gt;0,IF(INDEX(Product_Pricing_Table[],MATCH(CY$1,Products,0),2)="Cores",IF(HostBuild[Use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09" s="552">
        <f>IFERROR(IF(FIND(CZ$1,$W109)&gt;0,IF(INDEX(Product_Pricing_Table[],MATCH(CZ$1,Products,0),2)="Cores",IF(HostBuild[Use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09" s="552">
        <f>IFERROR(IF(FIND(DA$1,$W109)&gt;0,IF(INDEX(Product_Pricing_Table[],MATCH(DA$1,Products,0),2)="Cores",IF(HostBuild[Use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09" s="552">
        <f>IFERROR(IF(FIND(DB$1,$W109)&gt;0,IF(INDEX(Product_Pricing_Table[],MATCH(DB$1,Products,0),2)="Cores",IF(HostBuild[Use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09" s="552">
        <f>IFERROR(IF(FIND(DC$1,$W109)&gt;0,IF(INDEX(Product_Pricing_Table[],MATCH(DC$1,Products,0),2)="Cores",IF(HostBuild[Use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09" s="552">
        <f>IFERROR(IF(FIND(DD$1,$W109)&gt;0,IF(INDEX(Product_Pricing_Table[],MATCH(DD$1,Products,0),2)="Cores",IF(HostBuild[Use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09" s="552">
        <f>IFERROR(IF(FIND(DE$1,$W109)&gt;0,IF(INDEX(Product_Pricing_Table[],MATCH(DE$1,Products,0),2)="Cores",IF(HostBuild[Use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09" s="553">
        <f>IFERROR(IF(FIND(DF$1,$W109)&gt;0,IF(INDEX(Product_Pricing_Table[],MATCH(DF$1,Products,0),2)="Cores",IF(HostBuild[Use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09" s="553">
        <f>IFERROR(IF(FIND(DG$1,$W109)&gt;0,IF(INDEX(Product_Pricing_Table[],MATCH(DG$1,Products,0),2)="Cores",IF(HostBuild[Use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09" s="552">
        <f>IFERROR(IF(FIND(DH$1,$W109)&gt;0,IF(INDEX(Product_Pricing_Table[],MATCH(DH$1,Products,0),2)="Cores",IF(HostBuild[Use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09" s="553">
        <f>IFERROR(IF(FIND(DI$1,$W109)&gt;0,IF(INDEX(Product_Pricing_Table[],MATCH(DI$1,Products,0),2)="Cores",IF(HostBuild[Use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09" s="552">
        <f>IFERROR(IF(FIND(DJ$1,$W109)&gt;0,IF(INDEX(Product_Pricing_Table[],MATCH(DJ$1,Products,0),2)="Cores",IF(HostBuild[Use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09" s="552">
        <f>IFERROR(IF(FIND(DK$1,$W109)&gt;0,IF(INDEX(Product_Pricing_Table[],MATCH(DK$1,Products,0),2)="Cores",IF(HostBuild[Use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09" s="552">
        <f>IFERROR(IF(FIND(DL$1,$W109)&gt;0,IF(INDEX(Product_Pricing_Table[],MATCH(DL$1,Products,0),2)="Cores",IF(HostBuild[Use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09" s="552">
        <f>IFERROR(IF(FIND(DM$1,$W109)&gt;0,IF(INDEX(Product_Pricing_Table[],MATCH(DM$1,Products,0),2)="Cores",IF(HostBuild[Use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09" s="552">
        <f>IFERROR(IF(FIND(DN$1,$W109)&gt;0,IF(INDEX(Product_Pricing_Table[],MATCH(DN$1,Products,0),2)="Cores",IF(HostBuild[Use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09" s="552">
        <f>IFERROR(IF(FIND(DO$1,$W109)&gt;0,IF(INDEX(Product_Pricing_Table[],MATCH(DO$1,Products,0),2)="Cores",IF(HostBuild[Use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09" s="552">
        <f>IFERROR(IF(FIND(DP$1,$W109)&gt;0,IF(INDEX(Product_Pricing_Table[],MATCH(DP$1,Products,0),2)="Cores",IF(HostBuild[Use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09" s="552">
        <f>IFERROR(IF(FIND(DQ$1,$W109)&gt;0,IF(INDEX(Product_Pricing_Table[],MATCH(DQ$1,Products,0),2)="Cores",IF(HostBuild[Use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09" s="552">
        <f>IFERROR(IF(FIND(DR$1,$W109)&gt;0,IF(INDEX(Product_Pricing_Table[],MATCH(DR$1,Products,0),2)="Cores",IF(HostBuild[Use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09" s="552">
        <f>IFERROR(IF(FIND(DS$1,$W109)&gt;0,IF(INDEX(Product_Pricing_Table[],MATCH(DS$1,Products,0),2)="Cores",IF(HostBuild[Use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09" s="552">
        <f>IFERROR(IF(FIND(DT$1,$W109)&gt;0,IF(INDEX(Product_Pricing_Table[],MATCH(DT$1,Products,0),2)="Cores",IF(HostBuild[Use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09" s="552">
        <f>IFERROR(IF(FIND(DU$1,$W109)&gt;0,IF(INDEX(Product_Pricing_Table[],MATCH(DU$1,Products,0),2)="Cores",IF(HostBuild[Use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09" s="552">
        <f>IFERROR(IF(FIND(DV$1,$W109)&gt;0,IF(INDEX(Product_Pricing_Table[],MATCH(DV$1,Products,0),2)="Cores",IF(HostBuild[Use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09" s="552">
        <f>IFERROR(IF(FIND(DW$1,$W109)&gt;0,IF(INDEX(Product_Pricing_Table[],MATCH(DW$1,Products,0),2)="Cores",IF(HostBuild[Use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09" s="552">
        <f>IFERROR(IF(FIND(DX$1,$W109)&gt;0,IF(INDEX(Product_Pricing_Table[],MATCH(DX$1,Products,0),2)="Cores",IF(HostBuild[Use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09" s="552">
        <f>IFERROR(IF(FIND(DY$1,$W109)&gt;0,IF(INDEX(Product_Pricing_Table[],MATCH(DY$1,Products,0),2)="Cores",IF(HostBuild[Use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09" s="552">
        <f>IFERROR(IF(FIND(DZ$1,$W109)&gt;0,IF(INDEX(Product_Pricing_Table[],MATCH(DZ$1,Products,0),2)="Cores",IF(HostBuild[Use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09" s="552">
        <f>IFERROR(IF(FIND(EA$1,$W109)&gt;0,IF(INDEX(Product_Pricing_Table[],MATCH(EA$1,Products,0),2)="Cores",IF(HostBuild[Use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09" s="552">
        <f>IFERROR(IF(FIND(EB$1,$W109)&gt;0,IF(INDEX(Product_Pricing_Table[],MATCH(EB$1,Products,0),2)="Cores",IF(HostBuild[Use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09" s="553">
        <f>IFERROR(IF(FIND(EC$1,$W109)&gt;0,IF(INDEX(Product_Pricing_Table[],MATCH(EC$1,Products,0),2)="Cores",IF(HostBuild[Use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09" s="552">
        <f>IFERROR(IF(FIND(ED$1,$W109)&gt;0,IF(INDEX(Product_Pricing_Table[],MATCH(ED$1,Products,0),2)="Cores",IF(HostBuild[Use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09" s="552">
        <f>IFERROR(IF(FIND(EE$1,$W109)&gt;0,IF(INDEX(Product_Pricing_Table[],MATCH(EE$1,Products,0),2)="Cores",IF(HostBuild[Use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09" s="552">
        <f>IFERROR(IF(FIND(EF$1,$W109)&gt;0,IF(INDEX(Product_Pricing_Table[],MATCH(EF$1,Products,0),2)="Cores",IF(HostBuild[Use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09" s="552">
        <f>IFERROR(IF(FIND(EG$1,$W109)&gt;0,IF(INDEX(Product_Pricing_Table[],MATCH(EG$1,Products,0),2)="Cores",IF(HostBuild[Use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09" s="552">
        <f>IFERROR(IF(FIND(EH$1,$W109)&gt;0,IF(INDEX(Product_Pricing_Table[],MATCH(EH$1,Products,0),2)="Cores",IF(HostBuild[Use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09" s="552">
        <f>IFERROR(IF(FIND(EI$1,$W109)&gt;0,IF(INDEX(Product_Pricing_Table[],MATCH(EI$1,Products,0),2)="Cores",IF(HostBuild[Use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09" s="552">
        <f>IFERROR(IF(FIND(EJ$1,$W109)&gt;0,IF(INDEX(Product_Pricing_Table[],MATCH(EJ$1,Products,0),2)="Cores",IF(HostBuild[Use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09" s="553">
        <f>IFERROR(IF(FIND(EK$1,$W109)&gt;0,IF(INDEX(Product_Pricing_Table[],MATCH(EK$1,Products,0),2)="Cores",IF(HostBuild[Use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09" s="554"/>
      <c r="EM109" s="555"/>
      <c r="EN109" s="556"/>
      <c r="EO109"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0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09" s="558">
        <f>(HostBuild[Archive
Full (GB)]+HostBuild[Archive
Incr (GB)])*Storage_DC_Dist_Tape_2014</f>
        <v>115.29612500000002</v>
      </c>
      <c r="ER109" s="558">
        <f>IF(ISNUMBER(HostBuild[Server HW Costs
(Monthly)]),SUM(HostBuild[[#This Row],[Server HW Costs
(Monthly)]:[Tape Costs
(Monthly)]]),0)</f>
        <v>1634.8061250000003</v>
      </c>
      <c r="ES109" s="559">
        <f>HostBuild[Software Costs
'[Year 1']
(Monthly)]+HostBuild[Total Hardware Costs
(Monthly)]</f>
        <v>1634.8061250000003</v>
      </c>
      <c r="ET109" s="559">
        <f>IFERROR(IF(FIND("Safenet",HostBuild[Server Model]),Safenet_PSE_PL600_Maint,0),0)+IFERROR(IF(FIND("XI52",HostBuild[Server Model]),IBM_DIA_XI52_Maint,0),0)+HostBuild[Software Costs
'[After Year 1']
(Monthly)]+HostBuild[Total Hardware Costs
(Monthly)]</f>
        <v>1634.8061250000003</v>
      </c>
      <c r="EU109" s="560">
        <f>SUM(HostBuild[[#This Row],[Server Cost Breakdown]:[Network Cost]])</f>
        <v>1003.9</v>
      </c>
      <c r="EV109" s="561">
        <f>IF(HostBuild[Existing Server?]="Yes - Inside this BoM",0,SUMIF(HostBuild[Alias],HostBuild[Alias],HostBuild[CPU])+SUMIF(HostBuild[Alias],HostBuild[Alias],HostBuild[Existing CPUs]))</f>
        <v>2</v>
      </c>
      <c r="EW109" s="561">
        <f>IF(HostBuild[Existing Server?]="Yes - Inside this BoM",0,SUMIF(HostBuild[Alias],HostBuild[Alias],HostBuild[Cores 
(Licensed Units)])+SUMIF(HostBuild[Alias],HostBuild[Alias],HostBuild[Existing Cores]))</f>
        <v>16</v>
      </c>
      <c r="EX109" s="561">
        <f>IF(HostBuild[Existing Server?]="Yes - Inside this BoM",0,SUMIF(HostBuild[Alias],HostBuild[Alias],HostBuild[RAM 
(GB)])+SUMIF(HostBuild[Alias],HostBuild[Alias],HostBuild[Existing RAM (GB)]))</f>
        <v>256</v>
      </c>
      <c r="EY10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0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0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0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09" s="560">
        <f>IF(ISBLANK(HostBuild[Server Model]),0,IF(HostBuild[Server Tier]="VMware",0,VLOOKUP(HostBuild[Server Tier],ServerTierRates[#Data],2,0))*HostBuild[CPU]*IF(AND(HostBuild[Server Type]="pSeries",HostBuild[Virtual Platform Storage Type]="Cloud-SAN"),0.25,1))</f>
        <v>608</v>
      </c>
      <c r="FD109" s="560">
        <f>0</f>
        <v>0</v>
      </c>
      <c r="FE109" s="560">
        <f>IF(HostBuild[Server Type]="VMware",HostBuild[RAM 
(GB)]*IF(ISERROR(FIND("DevCloud", HostBuild[Server Model])&gt;0),vRAM_per_vCPU_2014_Monthly,vRAM_per_vCPU_2014_Daily*30),0)</f>
        <v>0</v>
      </c>
      <c r="FF10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0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09" s="563">
        <f>IF(HostBuild[Server Tier]="VMware",0,IF(LEFT(HostBuild[Existing Server?],3)="Yes",0,IF(OR(HostBuild[Server Type]="Sun",HostBuild[Server Type]="pSeries"),Support_Direct_Server_Sun_per_OS_2014,IF(HostBuild[Server Type]="x86",Support_Direct_Server_x86_Wintel_per_OS_2014,0))))</f>
        <v>187.1</v>
      </c>
      <c r="FI10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0" spans="1:165" s="139" customFormat="1" ht="15" customHeight="1">
      <c r="A110" s="360" t="s">
        <v>3942</v>
      </c>
      <c r="B110" s="521"/>
      <c r="C110" s="521"/>
      <c r="D110" s="521"/>
      <c r="E110" s="522"/>
      <c r="F110" s="522"/>
      <c r="G110" s="597"/>
      <c r="H110" s="597"/>
      <c r="I110" s="523"/>
      <c r="J110" s="522"/>
      <c r="K110" s="522"/>
      <c r="L110" s="522"/>
      <c r="M110" s="597" t="e">
        <f ca="1">IF(rngIsDate(HostBuild[CTO Acceptance]),"Y","N")</f>
        <v>#NAME?</v>
      </c>
      <c r="N110" s="361" t="s">
        <v>3939</v>
      </c>
      <c r="O110" s="525"/>
      <c r="P110" s="525"/>
      <c r="Q110" s="361" t="s">
        <v>3932</v>
      </c>
      <c r="R110" s="526" t="str">
        <f>IF(NOT(ISBLANK(HostBuild[Env Label])),IFERROR(VLOOKUP(HostBuild[Env Label],tEnv[],3,FALSE),""),"")</f>
        <v>PROD</v>
      </c>
      <c r="S110" s="598"/>
      <c r="T110" s="527"/>
      <c r="U110" s="599"/>
      <c r="V110" s="524" t="s">
        <v>4014</v>
      </c>
      <c r="W110" s="524" t="s">
        <v>4019</v>
      </c>
      <c r="X110" s="524" t="s">
        <v>35</v>
      </c>
      <c r="Y110" s="361" t="s">
        <v>4067</v>
      </c>
      <c r="Z110" s="526" t="str">
        <f>IF(NOT(ISBLANK(HostBuild[[#This Row],[Product 
(Acronym)]])),CONCATENATE(HostBuild[[#This Row],[Type]],"-",HostBuild[[#This Row],[Product 
(Acronym)]]),"")</f>
        <v>AP-CBOL</v>
      </c>
      <c r="AA110" s="600"/>
      <c r="AB110" s="600" t="s">
        <v>105</v>
      </c>
      <c r="AC110" s="528"/>
      <c r="AD110" s="529"/>
      <c r="AE110" s="529"/>
      <c r="AF110" s="530"/>
      <c r="AG110" s="531"/>
      <c r="AH110" s="601"/>
      <c r="AI110" s="362" t="s">
        <v>4032</v>
      </c>
      <c r="AJ110" s="524">
        <f>IF(COUNTIF(HostBuild[Alias],HostBuild[Alias]),1/COUNTIF(HostBuild[Alias],HostBuild[Alias]),0)</f>
        <v>1</v>
      </c>
      <c r="AK110" s="531"/>
      <c r="AL110" s="531"/>
      <c r="AM110" s="532" t="s">
        <v>2173</v>
      </c>
      <c r="AN110" s="533" t="str">
        <f>IF(NOT(ISBLANK(HostBuild[Server Model])),VLOOKUP(HostBuild[Server Model],ServerModelsTier[],2,FALSE),"")</f>
        <v>x86 Tier 3</v>
      </c>
      <c r="AO110" s="533" t="str">
        <f>IF(NOT(ISBLANK(HostBuild[Server Model])),VLOOKUP(HostBuild[Server Model],ServerModelsTier[],5,FALSE),"")</f>
        <v>x86</v>
      </c>
      <c r="AP110" s="532"/>
      <c r="AQ110" s="532" t="s">
        <v>2337</v>
      </c>
      <c r="AR110" s="534">
        <v>2</v>
      </c>
      <c r="AS110" s="602"/>
      <c r="AT110" s="535">
        <v>16</v>
      </c>
      <c r="AU110" s="603" t="str">
        <f>IF(IFERROR(FIND("P-Series",HostBuild[Server Tier]),0),CEILING((HostBuild[Existing CPUs]+HostBuild[CPU])*16,8),"")</f>
        <v/>
      </c>
      <c r="AV110" s="536">
        <v>256</v>
      </c>
      <c r="AW110" s="531"/>
      <c r="AX110" s="531"/>
      <c r="AY110" s="531"/>
      <c r="AZ110" s="537"/>
      <c r="BA110" s="531"/>
      <c r="BB110" s="531"/>
      <c r="BC110" s="529"/>
      <c r="BD110" s="531"/>
      <c r="BE110" s="531"/>
      <c r="BF110" s="531"/>
      <c r="BG110" s="531"/>
      <c r="BH110" s="531"/>
      <c r="BI110" s="531"/>
      <c r="BJ110" s="531"/>
      <c r="BK110"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10" s="538">
        <v>800</v>
      </c>
      <c r="BM110" s="540">
        <f>IF(ISNUMBER(HostBuild[Recommended SAN (GB)]),HostBuild[Recommended SAN (GB)])+IF(HostBuild[Additional SAN (GB)]&gt;0,CEILING(HostBuild[Additional SAN (GB)],LUN),-(CEILING(-HostBuild[Additional SAN (GB)],LUN)))</f>
        <v>1145.8000000000002</v>
      </c>
      <c r="BN110" s="539"/>
      <c r="BO110" s="540">
        <f>HostBuild[SAN (GB)
NEEDED TODAY]+CEILING(HostBuild[SAN (GB)
RESERVED
DO NOT USE TO BUILD], LUN)</f>
        <v>1145.8000000000002</v>
      </c>
      <c r="BP110" s="541"/>
      <c r="BQ110" s="542"/>
      <c r="BR110" s="432"/>
      <c r="BS110" s="605">
        <f>IF(HostBuild[Existing Server?]&lt;&gt;"Yes - Inside this BoM",IF(ISNUMBER(HostBuild[RAM 
(GB)]),IF(HostBuild[Existing RAM (GB)]+HostBuild[RAM 
(GB)]&gt;0,IF(HostBuild[Virtual Platform Storage Type]="NAS",110+HostBuild[Existing RAM (GB)]+HostBuild[RAM 
(GB)]*1.75,0),0),0),0)</f>
        <v>0</v>
      </c>
      <c r="BT110" s="606"/>
      <c r="BU110" s="607">
        <f>IF(ISNUMBER(HostBuild[Recommended NAS (GB)]),HostBuild[Recommended NAS (GB)])+HostBuild[Additional NAS (GB)]</f>
        <v>0</v>
      </c>
      <c r="BV110" s="543"/>
      <c r="BW110" s="543"/>
      <c r="BX110" s="604">
        <f>IFERROR((HostBuild[SAN (GB)
End-State
DO NOT USE TO BUILD]+HostBuild[SAN (GB) Shared])*25%,"")</f>
        <v>286.45000000000005</v>
      </c>
      <c r="BY110" s="608">
        <f>IFERROR(HostBuild[Archive
Full (GB)]*15%,"")</f>
        <v>42.967500000000008</v>
      </c>
      <c r="BZ110" s="544"/>
      <c r="CA110" s="544"/>
      <c r="CB110" s="545"/>
      <c r="CC110" s="546"/>
      <c r="CD110" s="545"/>
      <c r="CE110" s="547"/>
      <c r="CF110" s="539"/>
      <c r="CG110" s="609"/>
      <c r="CH110" s="548"/>
      <c r="CI110" s="549"/>
      <c r="CJ110" s="550"/>
      <c r="CK110" s="551"/>
      <c r="CL110" s="552">
        <f>IFERROR(IF(FIND(CL$1,$W110)&gt;0,IF(INDEX(Product_Pricing_Table[],MATCH(CL$1,Products,0),2)="Cores",IF(HostBuild[Use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0" s="552">
        <f>IFERROR(IF(FIND(CM$1,$W110)&gt;0,IF(INDEX(Product_Pricing_Table[],MATCH(CM$1,Products,0),2)="Cores",IF(HostBuild[Use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10" s="552">
        <f>IFERROR(IF(FIND(CN$1,$W110)&gt;0,IF(INDEX(Product_Pricing_Table[],MATCH(CN$1,Products,0),2)="Cores",IF(HostBuild[Use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0" s="552">
        <f>IFERROR(IF(FIND(CO$1,$W110)&gt;0,IF(INDEX(Product_Pricing_Table[],MATCH(CO$1,Products,0),2)="Cores",IF(HostBuild[Use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0" s="552">
        <f>IFERROR(IF(FIND(CP$1,$W110)&gt;0,IF(INDEX(Product_Pricing_Table[],MATCH(CP$1,Products,0),2)="Cores",IF(HostBuild[Use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0" s="552">
        <f>IFERROR(IF(FIND(CQ$1,$W110)&gt;0,IF(INDEX(Product_Pricing_Table[],MATCH(CQ$1,Products,0),2)="Cores",IF(HostBuild[Use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0" s="552">
        <f>IFERROR(IF(FIND(CR$1,$W110)&gt;0,IF(INDEX(Product_Pricing_Table[],MATCH(CR$1,Products,0),2)="Cores",IF(HostBuild[Use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0" s="552">
        <f>IFERROR(IF(FIND(CS$1,$W110)&gt;0,IF(INDEX(Product_Pricing_Table[],MATCH(CS$1,Products,0),2)="Cores",IF(HostBuild[Use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0" s="552">
        <f>IFERROR(IF(FIND(CT$1,$W110)&gt;0,IF(INDEX(Product_Pricing_Table[],MATCH(CT$1,Products,0),2)="Cores",IF(HostBuild[Use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0" s="552">
        <f>IFERROR(IF(FIND(CU$1,$W110)&gt;0,IF(INDEX(Product_Pricing_Table[],MATCH(CU$1,Products,0),2)="Cores",IF(HostBuild[Use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10" s="552">
        <f>IFERROR(IF(FIND(CV$1,$W110)&gt;0,IF(INDEX(Product_Pricing_Table[],MATCH(CV$1,Products,0),2)="Cores",IF(HostBuild[Use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0" s="552">
        <f>IFERROR(IF(FIND(CW$1,$W110)&gt;0,IF(INDEX(Product_Pricing_Table[],MATCH(CW$1,Products,0),2)="Cores",IF(HostBuild[Use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0" s="552">
        <f>IFERROR(IF(FIND(CX$1,$W110)&gt;0,IF(INDEX(Product_Pricing_Table[],MATCH(CX$1,Products,0),2)="Cores",IF(HostBuild[Use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10" s="552">
        <f>IFERROR(IF(FIND(CY$1,$W110)&gt;0,IF(INDEX(Product_Pricing_Table[],MATCH(CY$1,Products,0),2)="Cores",IF(HostBuild[Use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0" s="552">
        <f>IFERROR(IF(FIND(CZ$1,$W110)&gt;0,IF(INDEX(Product_Pricing_Table[],MATCH(CZ$1,Products,0),2)="Cores",IF(HostBuild[Use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0" s="552">
        <f>IFERROR(IF(FIND(DA$1,$W110)&gt;0,IF(INDEX(Product_Pricing_Table[],MATCH(DA$1,Products,0),2)="Cores",IF(HostBuild[Use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0" s="552">
        <f>IFERROR(IF(FIND(DB$1,$W110)&gt;0,IF(INDEX(Product_Pricing_Table[],MATCH(DB$1,Products,0),2)="Cores",IF(HostBuild[Use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0" s="552">
        <f>IFERROR(IF(FIND(DC$1,$W110)&gt;0,IF(INDEX(Product_Pricing_Table[],MATCH(DC$1,Products,0),2)="Cores",IF(HostBuild[Use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0" s="552">
        <f>IFERROR(IF(FIND(DD$1,$W110)&gt;0,IF(INDEX(Product_Pricing_Table[],MATCH(DD$1,Products,0),2)="Cores",IF(HostBuild[Use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0" s="552">
        <f>IFERROR(IF(FIND(DE$1,$W110)&gt;0,IF(INDEX(Product_Pricing_Table[],MATCH(DE$1,Products,0),2)="Cores",IF(HostBuild[Use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0" s="553">
        <f>IFERROR(IF(FIND(DF$1,$W110)&gt;0,IF(INDEX(Product_Pricing_Table[],MATCH(DF$1,Products,0),2)="Cores",IF(HostBuild[Use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0" s="553">
        <f>IFERROR(IF(FIND(DG$1,$W110)&gt;0,IF(INDEX(Product_Pricing_Table[],MATCH(DG$1,Products,0),2)="Cores",IF(HostBuild[Use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0" s="552">
        <f>IFERROR(IF(FIND(DH$1,$W110)&gt;0,IF(INDEX(Product_Pricing_Table[],MATCH(DH$1,Products,0),2)="Cores",IF(HostBuild[Use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0" s="553">
        <f>IFERROR(IF(FIND(DI$1,$W110)&gt;0,IF(INDEX(Product_Pricing_Table[],MATCH(DI$1,Products,0),2)="Cores",IF(HostBuild[Use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0" s="552">
        <f>IFERROR(IF(FIND(DJ$1,$W110)&gt;0,IF(INDEX(Product_Pricing_Table[],MATCH(DJ$1,Products,0),2)="Cores",IF(HostBuild[Use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0" s="552">
        <f>IFERROR(IF(FIND(DK$1,$W110)&gt;0,IF(INDEX(Product_Pricing_Table[],MATCH(DK$1,Products,0),2)="Cores",IF(HostBuild[Use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0" s="552">
        <f>IFERROR(IF(FIND(DL$1,$W110)&gt;0,IF(INDEX(Product_Pricing_Table[],MATCH(DL$1,Products,0),2)="Cores",IF(HostBuild[Use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0" s="552">
        <f>IFERROR(IF(FIND(DM$1,$W110)&gt;0,IF(INDEX(Product_Pricing_Table[],MATCH(DM$1,Products,0),2)="Cores",IF(HostBuild[Use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0" s="552">
        <f>IFERROR(IF(FIND(DN$1,$W110)&gt;0,IF(INDEX(Product_Pricing_Table[],MATCH(DN$1,Products,0),2)="Cores",IF(HostBuild[Use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0" s="552">
        <f>IFERROR(IF(FIND(DO$1,$W110)&gt;0,IF(INDEX(Product_Pricing_Table[],MATCH(DO$1,Products,0),2)="Cores",IF(HostBuild[Use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0" s="552">
        <f>IFERROR(IF(FIND(DP$1,$W110)&gt;0,IF(INDEX(Product_Pricing_Table[],MATCH(DP$1,Products,0),2)="Cores",IF(HostBuild[Use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0" s="552">
        <f>IFERROR(IF(FIND(DQ$1,$W110)&gt;0,IF(INDEX(Product_Pricing_Table[],MATCH(DQ$1,Products,0),2)="Cores",IF(HostBuild[Use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0" s="552">
        <f>IFERROR(IF(FIND(DR$1,$W110)&gt;0,IF(INDEX(Product_Pricing_Table[],MATCH(DR$1,Products,0),2)="Cores",IF(HostBuild[Use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0" s="552">
        <f>IFERROR(IF(FIND(DS$1,$W110)&gt;0,IF(INDEX(Product_Pricing_Table[],MATCH(DS$1,Products,0),2)="Cores",IF(HostBuild[Use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0" s="552">
        <f>IFERROR(IF(FIND(DT$1,$W110)&gt;0,IF(INDEX(Product_Pricing_Table[],MATCH(DT$1,Products,0),2)="Cores",IF(HostBuild[Use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0" s="552">
        <f>IFERROR(IF(FIND(DU$1,$W110)&gt;0,IF(INDEX(Product_Pricing_Table[],MATCH(DU$1,Products,0),2)="Cores",IF(HostBuild[Use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0" s="552">
        <f>IFERROR(IF(FIND(DV$1,$W110)&gt;0,IF(INDEX(Product_Pricing_Table[],MATCH(DV$1,Products,0),2)="Cores",IF(HostBuild[Use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10" s="552">
        <f>IFERROR(IF(FIND(DW$1,$W110)&gt;0,IF(INDEX(Product_Pricing_Table[],MATCH(DW$1,Products,0),2)="Cores",IF(HostBuild[Use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0" s="552">
        <f>IFERROR(IF(FIND(DX$1,$W110)&gt;0,IF(INDEX(Product_Pricing_Table[],MATCH(DX$1,Products,0),2)="Cores",IF(HostBuild[Use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0" s="552">
        <f>IFERROR(IF(FIND(DY$1,$W110)&gt;0,IF(INDEX(Product_Pricing_Table[],MATCH(DY$1,Products,0),2)="Cores",IF(HostBuild[Use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0" s="552">
        <f>IFERROR(IF(FIND(DZ$1,$W110)&gt;0,IF(INDEX(Product_Pricing_Table[],MATCH(DZ$1,Products,0),2)="Cores",IF(HostBuild[Use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0" s="552">
        <f>IFERROR(IF(FIND(EA$1,$W110)&gt;0,IF(INDEX(Product_Pricing_Table[],MATCH(EA$1,Products,0),2)="Cores",IF(HostBuild[Use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0" s="552">
        <f>IFERROR(IF(FIND(EB$1,$W110)&gt;0,IF(INDEX(Product_Pricing_Table[],MATCH(EB$1,Products,0),2)="Cores",IF(HostBuild[Use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0" s="553">
        <f>IFERROR(IF(FIND(EC$1,$W110)&gt;0,IF(INDEX(Product_Pricing_Table[],MATCH(EC$1,Products,0),2)="Cores",IF(HostBuild[Use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0" s="552">
        <f>IFERROR(IF(FIND(ED$1,$W110)&gt;0,IF(INDEX(Product_Pricing_Table[],MATCH(ED$1,Products,0),2)="Cores",IF(HostBuild[Use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0" s="552">
        <f>IFERROR(IF(FIND(EE$1,$W110)&gt;0,IF(INDEX(Product_Pricing_Table[],MATCH(EE$1,Products,0),2)="Cores",IF(HostBuild[Use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0" s="552">
        <f>IFERROR(IF(FIND(EF$1,$W110)&gt;0,IF(INDEX(Product_Pricing_Table[],MATCH(EF$1,Products,0),2)="Cores",IF(HostBuild[Use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0" s="552">
        <f>IFERROR(IF(FIND(EG$1,$W110)&gt;0,IF(INDEX(Product_Pricing_Table[],MATCH(EG$1,Products,0),2)="Cores",IF(HostBuild[Use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0" s="552">
        <f>IFERROR(IF(FIND(EH$1,$W110)&gt;0,IF(INDEX(Product_Pricing_Table[],MATCH(EH$1,Products,0),2)="Cores",IF(HostBuild[Use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0" s="552">
        <f>IFERROR(IF(FIND(EI$1,$W110)&gt;0,IF(INDEX(Product_Pricing_Table[],MATCH(EI$1,Products,0),2)="Cores",IF(HostBuild[Use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0" s="552">
        <f>IFERROR(IF(FIND(EJ$1,$W110)&gt;0,IF(INDEX(Product_Pricing_Table[],MATCH(EJ$1,Products,0),2)="Cores",IF(HostBuild[Use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0" s="553">
        <f>IFERROR(IF(FIND(EK$1,$W110)&gt;0,IF(INDEX(Product_Pricing_Table[],MATCH(EK$1,Products,0),2)="Cores",IF(HostBuild[Use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0" s="554"/>
      <c r="EM110" s="555"/>
      <c r="EN110" s="556"/>
      <c r="EO110"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1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10" s="558">
        <f>(HostBuild[Archive
Full (GB)]+HostBuild[Archive
Incr (GB)])*Storage_DC_Dist_Tape_2014</f>
        <v>115.29612500000002</v>
      </c>
      <c r="ER110" s="558">
        <f>IF(ISNUMBER(HostBuild[Server HW Costs
(Monthly)]),SUM(HostBuild[[#This Row],[Server HW Costs
(Monthly)]:[Tape Costs
(Monthly)]]),0)</f>
        <v>1634.8061250000003</v>
      </c>
      <c r="ES110" s="559">
        <f>HostBuild[Software Costs
'[Year 1']
(Monthly)]+HostBuild[Total Hardware Costs
(Monthly)]</f>
        <v>1634.8061250000003</v>
      </c>
      <c r="ET110" s="559">
        <f>IFERROR(IF(FIND("Safenet",HostBuild[Server Model]),Safenet_PSE_PL600_Maint,0),0)+IFERROR(IF(FIND("XI52",HostBuild[Server Model]),IBM_DIA_XI52_Maint,0),0)+HostBuild[Software Costs
'[After Year 1']
(Monthly)]+HostBuild[Total Hardware Costs
(Monthly)]</f>
        <v>1634.8061250000003</v>
      </c>
      <c r="EU110" s="560">
        <f>SUM(HostBuild[[#This Row],[Server Cost Breakdown]:[Network Cost]])</f>
        <v>1003.9</v>
      </c>
      <c r="EV110" s="561">
        <f>IF(HostBuild[Existing Server?]="Yes - Inside this BoM",0,SUMIF(HostBuild[Alias],HostBuild[Alias],HostBuild[CPU])+SUMIF(HostBuild[Alias],HostBuild[Alias],HostBuild[Existing CPUs]))</f>
        <v>2</v>
      </c>
      <c r="EW110" s="561">
        <f>IF(HostBuild[Existing Server?]="Yes - Inside this BoM",0,SUMIF(HostBuild[Alias],HostBuild[Alias],HostBuild[Cores 
(Licensed Units)])+SUMIF(HostBuild[Alias],HostBuild[Alias],HostBuild[Existing Cores]))</f>
        <v>16</v>
      </c>
      <c r="EX110" s="561">
        <f>IF(HostBuild[Existing Server?]="Yes - Inside this BoM",0,SUMIF(HostBuild[Alias],HostBuild[Alias],HostBuild[RAM 
(GB)])+SUMIF(HostBuild[Alias],HostBuild[Alias],HostBuild[Existing RAM (GB)]))</f>
        <v>256</v>
      </c>
      <c r="EY11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0" s="560">
        <f>IF(ISBLANK(HostBuild[Server Model]),0,IF(HostBuild[Server Tier]="VMware",0,VLOOKUP(HostBuild[Server Tier],ServerTierRates[#Data],2,0))*HostBuild[CPU]*IF(AND(HostBuild[Server Type]="pSeries",HostBuild[Virtual Platform Storage Type]="Cloud-SAN"),0.25,1))</f>
        <v>608</v>
      </c>
      <c r="FD110" s="560">
        <f>0</f>
        <v>0</v>
      </c>
      <c r="FE110" s="560">
        <f>IF(HostBuild[Server Type]="VMware",HostBuild[RAM 
(GB)]*IF(ISERROR(FIND("DevCloud", HostBuild[Server Model])&gt;0),vRAM_per_vCPU_2014_Monthly,vRAM_per_vCPU_2014_Daily*30),0)</f>
        <v>0</v>
      </c>
      <c r="FF11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1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0" s="563">
        <f>IF(HostBuild[Server Tier]="VMware",0,IF(LEFT(HostBuild[Existing Server?],3)="Yes",0,IF(OR(HostBuild[Server Type]="Sun",HostBuild[Server Type]="pSeries"),Support_Direct_Server_Sun_per_OS_2014,IF(HostBuild[Server Type]="x86",Support_Direct_Server_x86_Wintel_per_OS_2014,0))))</f>
        <v>187.1</v>
      </c>
      <c r="FI11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1" spans="1:165" s="139" customFormat="1" ht="15" customHeight="1">
      <c r="A111" s="360" t="s">
        <v>3942</v>
      </c>
      <c r="B111" s="521"/>
      <c r="C111" s="521"/>
      <c r="D111" s="521"/>
      <c r="E111" s="522"/>
      <c r="F111" s="522"/>
      <c r="G111" s="597"/>
      <c r="H111" s="597"/>
      <c r="I111" s="523"/>
      <c r="J111" s="522"/>
      <c r="K111" s="522"/>
      <c r="L111" s="522"/>
      <c r="M111" s="597" t="e">
        <f ca="1">IF(rngIsDate(HostBuild[CTO Acceptance]),"Y","N")</f>
        <v>#NAME?</v>
      </c>
      <c r="N111" s="361" t="s">
        <v>3939</v>
      </c>
      <c r="O111" s="525"/>
      <c r="P111" s="525"/>
      <c r="Q111" s="361" t="s">
        <v>3932</v>
      </c>
      <c r="R111" s="526" t="str">
        <f>IF(NOT(ISBLANK(HostBuild[Env Label])),IFERROR(VLOOKUP(HostBuild[Env Label],tEnv[],3,FALSE),""),"")</f>
        <v>PROD</v>
      </c>
      <c r="S111" s="598"/>
      <c r="T111" s="527"/>
      <c r="U111" s="599"/>
      <c r="V111" s="524" t="s">
        <v>4014</v>
      </c>
      <c r="W111" s="524" t="s">
        <v>4019</v>
      </c>
      <c r="X111" s="524" t="s">
        <v>35</v>
      </c>
      <c r="Y111" s="361" t="s">
        <v>4067</v>
      </c>
      <c r="Z111" s="526" t="str">
        <f>IF(NOT(ISBLANK(HostBuild[[#This Row],[Product 
(Acronym)]])),CONCATENATE(HostBuild[[#This Row],[Type]],"-",HostBuild[[#This Row],[Product 
(Acronym)]]),"")</f>
        <v>AP-CBOL</v>
      </c>
      <c r="AA111" s="600"/>
      <c r="AB111" s="600" t="s">
        <v>105</v>
      </c>
      <c r="AC111" s="528"/>
      <c r="AD111" s="529"/>
      <c r="AE111" s="529"/>
      <c r="AF111" s="530"/>
      <c r="AG111" s="531"/>
      <c r="AH111" s="601"/>
      <c r="AI111" s="362" t="s">
        <v>4033</v>
      </c>
      <c r="AJ111" s="524">
        <f>IF(COUNTIF(HostBuild[Alias],HostBuild[Alias]),1/COUNTIF(HostBuild[Alias],HostBuild[Alias]),0)</f>
        <v>1</v>
      </c>
      <c r="AK111" s="531"/>
      <c r="AL111" s="531"/>
      <c r="AM111" s="532" t="s">
        <v>2173</v>
      </c>
      <c r="AN111" s="533" t="str">
        <f>IF(NOT(ISBLANK(HostBuild[Server Model])),VLOOKUP(HostBuild[Server Model],ServerModelsTier[],2,FALSE),"")</f>
        <v>x86 Tier 3</v>
      </c>
      <c r="AO111" s="533" t="str">
        <f>IF(NOT(ISBLANK(HostBuild[Server Model])),VLOOKUP(HostBuild[Server Model],ServerModelsTier[],5,FALSE),"")</f>
        <v>x86</v>
      </c>
      <c r="AP111" s="532"/>
      <c r="AQ111" s="532" t="s">
        <v>2337</v>
      </c>
      <c r="AR111" s="534">
        <v>2</v>
      </c>
      <c r="AS111" s="602"/>
      <c r="AT111" s="535">
        <v>16</v>
      </c>
      <c r="AU111" s="603" t="str">
        <f>IF(IFERROR(FIND("P-Series",HostBuild[Server Tier]),0),CEILING((HostBuild[Existing CPUs]+HostBuild[CPU])*16,8),"")</f>
        <v/>
      </c>
      <c r="AV111" s="536">
        <v>256</v>
      </c>
      <c r="AW111" s="531"/>
      <c r="AX111" s="531"/>
      <c r="AY111" s="531"/>
      <c r="AZ111" s="537"/>
      <c r="BA111" s="531"/>
      <c r="BB111" s="531"/>
      <c r="BC111" s="529"/>
      <c r="BD111" s="531"/>
      <c r="BE111" s="531"/>
      <c r="BF111" s="531"/>
      <c r="BG111" s="531"/>
      <c r="BH111" s="531"/>
      <c r="BI111" s="531"/>
      <c r="BJ111" s="531"/>
      <c r="BK111" s="604">
        <f>IF(HostBuild[Existing Server?]&lt;&gt;"Yes - Inside this BoM",IF(ISNUMBER(HostBuild[RAM 
(GB)]),IF(HostBuild[Existing RAM (GB)]+HostBuild[RAM 
(GB)]&gt;0,IF(OR(HostBuild[Server Type]="x86",IFERROR(FIND("SAN", HostBuild[Virtual Platform Storage Type]),FALSE)),CEILING(2*LUN+(HostBuild[Existing RAM (GB)]+HostBuild[RAM 
(GB)]),LUN),0),0),0),0)</f>
        <v>337</v>
      </c>
      <c r="BL111" s="538">
        <v>800</v>
      </c>
      <c r="BM111" s="540">
        <f>IF(ISNUMBER(HostBuild[Recommended SAN (GB)]),HostBuild[Recommended SAN (GB)])+IF(HostBuild[Additional SAN (GB)]&gt;0,CEILING(HostBuild[Additional SAN (GB)],LUN),-(CEILING(-HostBuild[Additional SAN (GB)],LUN)))</f>
        <v>1145.8000000000002</v>
      </c>
      <c r="BN111" s="539"/>
      <c r="BO111" s="540">
        <f>HostBuild[SAN (GB)
NEEDED TODAY]+CEILING(HostBuild[SAN (GB)
RESERVED
DO NOT USE TO BUILD], LUN)</f>
        <v>1145.8000000000002</v>
      </c>
      <c r="BP111" s="541"/>
      <c r="BQ111" s="542"/>
      <c r="BR111" s="432"/>
      <c r="BS111" s="605">
        <f>IF(HostBuild[Existing Server?]&lt;&gt;"Yes - Inside this BoM",IF(ISNUMBER(HostBuild[RAM 
(GB)]),IF(HostBuild[Existing RAM (GB)]+HostBuild[RAM 
(GB)]&gt;0,IF(HostBuild[Virtual Platform Storage Type]="NAS",110+HostBuild[Existing RAM (GB)]+HostBuild[RAM 
(GB)]*1.75,0),0),0),0)</f>
        <v>0</v>
      </c>
      <c r="BT111" s="606"/>
      <c r="BU111" s="607">
        <f>IF(ISNUMBER(HostBuild[Recommended NAS (GB)]),HostBuild[Recommended NAS (GB)])+HostBuild[Additional NAS (GB)]</f>
        <v>0</v>
      </c>
      <c r="BV111" s="543"/>
      <c r="BW111" s="543"/>
      <c r="BX111" s="604">
        <f>IFERROR((HostBuild[SAN (GB)
End-State
DO NOT USE TO BUILD]+HostBuild[SAN (GB) Shared])*25%,"")</f>
        <v>286.45000000000005</v>
      </c>
      <c r="BY111" s="608">
        <f>IFERROR(HostBuild[Archive
Full (GB)]*15%,"")</f>
        <v>42.967500000000008</v>
      </c>
      <c r="BZ111" s="544"/>
      <c r="CA111" s="544"/>
      <c r="CB111" s="545"/>
      <c r="CC111" s="546"/>
      <c r="CD111" s="545"/>
      <c r="CE111" s="547"/>
      <c r="CF111" s="539"/>
      <c r="CG111" s="609"/>
      <c r="CH111" s="548"/>
      <c r="CI111" s="549"/>
      <c r="CJ111" s="550"/>
      <c r="CK111" s="551"/>
      <c r="CL111" s="552">
        <f>IFERROR(IF(FIND(CL$1,$W111)&gt;0,IF(INDEX(Product_Pricing_Table[],MATCH(CL$1,Products,0),2)="Cores",IF(HostBuild[Use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1" s="552">
        <f>IFERROR(IF(FIND(CM$1,$W111)&gt;0,IF(INDEX(Product_Pricing_Table[],MATCH(CM$1,Products,0),2)="Cores",IF(HostBuild[Use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11" s="552">
        <f>IFERROR(IF(FIND(CN$1,$W111)&gt;0,IF(INDEX(Product_Pricing_Table[],MATCH(CN$1,Products,0),2)="Cores",IF(HostBuild[Use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1" s="552">
        <f>IFERROR(IF(FIND(CO$1,$W111)&gt;0,IF(INDEX(Product_Pricing_Table[],MATCH(CO$1,Products,0),2)="Cores",IF(HostBuild[Use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1" s="552">
        <f>IFERROR(IF(FIND(CP$1,$W111)&gt;0,IF(INDEX(Product_Pricing_Table[],MATCH(CP$1,Products,0),2)="Cores",IF(HostBuild[Use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1" s="552">
        <f>IFERROR(IF(FIND(CQ$1,$W111)&gt;0,IF(INDEX(Product_Pricing_Table[],MATCH(CQ$1,Products,0),2)="Cores",IF(HostBuild[Use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1" s="552">
        <f>IFERROR(IF(FIND(CR$1,$W111)&gt;0,IF(INDEX(Product_Pricing_Table[],MATCH(CR$1,Products,0),2)="Cores",IF(HostBuild[Use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1" s="552">
        <f>IFERROR(IF(FIND(CS$1,$W111)&gt;0,IF(INDEX(Product_Pricing_Table[],MATCH(CS$1,Products,0),2)="Cores",IF(HostBuild[Use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1" s="552">
        <f>IFERROR(IF(FIND(CT$1,$W111)&gt;0,IF(INDEX(Product_Pricing_Table[],MATCH(CT$1,Products,0),2)="Cores",IF(HostBuild[Use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1" s="552">
        <f>IFERROR(IF(FIND(CU$1,$W111)&gt;0,IF(INDEX(Product_Pricing_Table[],MATCH(CU$1,Products,0),2)="Cores",IF(HostBuild[Use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11" s="552">
        <f>IFERROR(IF(FIND(CV$1,$W111)&gt;0,IF(INDEX(Product_Pricing_Table[],MATCH(CV$1,Products,0),2)="Cores",IF(HostBuild[Use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1" s="552">
        <f>IFERROR(IF(FIND(CW$1,$W111)&gt;0,IF(INDEX(Product_Pricing_Table[],MATCH(CW$1,Products,0),2)="Cores",IF(HostBuild[Use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1" s="552">
        <f>IFERROR(IF(FIND(CX$1,$W111)&gt;0,IF(INDEX(Product_Pricing_Table[],MATCH(CX$1,Products,0),2)="Cores",IF(HostBuild[Use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11" s="552">
        <f>IFERROR(IF(FIND(CY$1,$W111)&gt;0,IF(INDEX(Product_Pricing_Table[],MATCH(CY$1,Products,0),2)="Cores",IF(HostBuild[Use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1" s="552">
        <f>IFERROR(IF(FIND(CZ$1,$W111)&gt;0,IF(INDEX(Product_Pricing_Table[],MATCH(CZ$1,Products,0),2)="Cores",IF(HostBuild[Use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1" s="552">
        <f>IFERROR(IF(FIND(DA$1,$W111)&gt;0,IF(INDEX(Product_Pricing_Table[],MATCH(DA$1,Products,0),2)="Cores",IF(HostBuild[Use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1" s="552">
        <f>IFERROR(IF(FIND(DB$1,$W111)&gt;0,IF(INDEX(Product_Pricing_Table[],MATCH(DB$1,Products,0),2)="Cores",IF(HostBuild[Use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1" s="552">
        <f>IFERROR(IF(FIND(DC$1,$W111)&gt;0,IF(INDEX(Product_Pricing_Table[],MATCH(DC$1,Products,0),2)="Cores",IF(HostBuild[Use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1" s="552">
        <f>IFERROR(IF(FIND(DD$1,$W111)&gt;0,IF(INDEX(Product_Pricing_Table[],MATCH(DD$1,Products,0),2)="Cores",IF(HostBuild[Use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1" s="552">
        <f>IFERROR(IF(FIND(DE$1,$W111)&gt;0,IF(INDEX(Product_Pricing_Table[],MATCH(DE$1,Products,0),2)="Cores",IF(HostBuild[Use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1" s="553">
        <f>IFERROR(IF(FIND(DF$1,$W111)&gt;0,IF(INDEX(Product_Pricing_Table[],MATCH(DF$1,Products,0),2)="Cores",IF(HostBuild[Use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1" s="553">
        <f>IFERROR(IF(FIND(DG$1,$W111)&gt;0,IF(INDEX(Product_Pricing_Table[],MATCH(DG$1,Products,0),2)="Cores",IF(HostBuild[Use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1" s="552">
        <f>IFERROR(IF(FIND(DH$1,$W111)&gt;0,IF(INDEX(Product_Pricing_Table[],MATCH(DH$1,Products,0),2)="Cores",IF(HostBuild[Use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1" s="553">
        <f>IFERROR(IF(FIND(DI$1,$W111)&gt;0,IF(INDEX(Product_Pricing_Table[],MATCH(DI$1,Products,0),2)="Cores",IF(HostBuild[Use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1" s="552">
        <f>IFERROR(IF(FIND(DJ$1,$W111)&gt;0,IF(INDEX(Product_Pricing_Table[],MATCH(DJ$1,Products,0),2)="Cores",IF(HostBuild[Use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1" s="552">
        <f>IFERROR(IF(FIND(DK$1,$W111)&gt;0,IF(INDEX(Product_Pricing_Table[],MATCH(DK$1,Products,0),2)="Cores",IF(HostBuild[Use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1" s="552">
        <f>IFERROR(IF(FIND(DL$1,$W111)&gt;0,IF(INDEX(Product_Pricing_Table[],MATCH(DL$1,Products,0),2)="Cores",IF(HostBuild[Use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1" s="552">
        <f>IFERROR(IF(FIND(DM$1,$W111)&gt;0,IF(INDEX(Product_Pricing_Table[],MATCH(DM$1,Products,0),2)="Cores",IF(HostBuild[Use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1" s="552">
        <f>IFERROR(IF(FIND(DN$1,$W111)&gt;0,IF(INDEX(Product_Pricing_Table[],MATCH(DN$1,Products,0),2)="Cores",IF(HostBuild[Use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1" s="552">
        <f>IFERROR(IF(FIND(DO$1,$W111)&gt;0,IF(INDEX(Product_Pricing_Table[],MATCH(DO$1,Products,0),2)="Cores",IF(HostBuild[Use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1" s="552">
        <f>IFERROR(IF(FIND(DP$1,$W111)&gt;0,IF(INDEX(Product_Pricing_Table[],MATCH(DP$1,Products,0),2)="Cores",IF(HostBuild[Use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1" s="552">
        <f>IFERROR(IF(FIND(DQ$1,$W111)&gt;0,IF(INDEX(Product_Pricing_Table[],MATCH(DQ$1,Products,0),2)="Cores",IF(HostBuild[Use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1" s="552">
        <f>IFERROR(IF(FIND(DR$1,$W111)&gt;0,IF(INDEX(Product_Pricing_Table[],MATCH(DR$1,Products,0),2)="Cores",IF(HostBuild[Use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1" s="552">
        <f>IFERROR(IF(FIND(DS$1,$W111)&gt;0,IF(INDEX(Product_Pricing_Table[],MATCH(DS$1,Products,0),2)="Cores",IF(HostBuild[Use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1" s="552">
        <f>IFERROR(IF(FIND(DT$1,$W111)&gt;0,IF(INDEX(Product_Pricing_Table[],MATCH(DT$1,Products,0),2)="Cores",IF(HostBuild[Use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1" s="552">
        <f>IFERROR(IF(FIND(DU$1,$W111)&gt;0,IF(INDEX(Product_Pricing_Table[],MATCH(DU$1,Products,0),2)="Cores",IF(HostBuild[Use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1" s="552">
        <f>IFERROR(IF(FIND(DV$1,$W111)&gt;0,IF(INDEX(Product_Pricing_Table[],MATCH(DV$1,Products,0),2)="Cores",IF(HostBuild[Use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11" s="552">
        <f>IFERROR(IF(FIND(DW$1,$W111)&gt;0,IF(INDEX(Product_Pricing_Table[],MATCH(DW$1,Products,0),2)="Cores",IF(HostBuild[Use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1" s="552">
        <f>IFERROR(IF(FIND(DX$1,$W111)&gt;0,IF(INDEX(Product_Pricing_Table[],MATCH(DX$1,Products,0),2)="Cores",IF(HostBuild[Use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1" s="552">
        <f>IFERROR(IF(FIND(DY$1,$W111)&gt;0,IF(INDEX(Product_Pricing_Table[],MATCH(DY$1,Products,0),2)="Cores",IF(HostBuild[Use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1" s="552">
        <f>IFERROR(IF(FIND(DZ$1,$W111)&gt;0,IF(INDEX(Product_Pricing_Table[],MATCH(DZ$1,Products,0),2)="Cores",IF(HostBuild[Use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1" s="552">
        <f>IFERROR(IF(FIND(EA$1,$W111)&gt;0,IF(INDEX(Product_Pricing_Table[],MATCH(EA$1,Products,0),2)="Cores",IF(HostBuild[Use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1" s="552">
        <f>IFERROR(IF(FIND(EB$1,$W111)&gt;0,IF(INDEX(Product_Pricing_Table[],MATCH(EB$1,Products,0),2)="Cores",IF(HostBuild[Use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1" s="553">
        <f>IFERROR(IF(FIND(EC$1,$W111)&gt;0,IF(INDEX(Product_Pricing_Table[],MATCH(EC$1,Products,0),2)="Cores",IF(HostBuild[Use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1" s="552">
        <f>IFERROR(IF(FIND(ED$1,$W111)&gt;0,IF(INDEX(Product_Pricing_Table[],MATCH(ED$1,Products,0),2)="Cores",IF(HostBuild[Use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1" s="552">
        <f>IFERROR(IF(FIND(EE$1,$W111)&gt;0,IF(INDEX(Product_Pricing_Table[],MATCH(EE$1,Products,0),2)="Cores",IF(HostBuild[Use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1" s="552">
        <f>IFERROR(IF(FIND(EF$1,$W111)&gt;0,IF(INDEX(Product_Pricing_Table[],MATCH(EF$1,Products,0),2)="Cores",IF(HostBuild[Use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1" s="552">
        <f>IFERROR(IF(FIND(EG$1,$W111)&gt;0,IF(INDEX(Product_Pricing_Table[],MATCH(EG$1,Products,0),2)="Cores",IF(HostBuild[Use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1" s="552">
        <f>IFERROR(IF(FIND(EH$1,$W111)&gt;0,IF(INDEX(Product_Pricing_Table[],MATCH(EH$1,Products,0),2)="Cores",IF(HostBuild[Use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1" s="552">
        <f>IFERROR(IF(FIND(EI$1,$W111)&gt;0,IF(INDEX(Product_Pricing_Table[],MATCH(EI$1,Products,0),2)="Cores",IF(HostBuild[Use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1" s="552">
        <f>IFERROR(IF(FIND(EJ$1,$W111)&gt;0,IF(INDEX(Product_Pricing_Table[],MATCH(EJ$1,Products,0),2)="Cores",IF(HostBuild[Use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1" s="553">
        <f>IFERROR(IF(FIND(EK$1,$W111)&gt;0,IF(INDEX(Product_Pricing_Table[],MATCH(EK$1,Products,0),2)="Cores",IF(HostBuild[Use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1" s="554"/>
      <c r="EM111" s="555"/>
      <c r="EN111" s="556"/>
      <c r="EO111" s="557">
        <f>IF(OR(ISBLANK(HostBuild[Alias]),HostBuild[Server Tier]="",),0,IF(HostBuild[Server Tier]="SafeNet",Safenet_PSE_PL600+HostBuild[Network Cost],IF(HostBuild[Server Tier]="VMware",HostBuild[New VMware (Adjusted)]+HostBuild[Initial Server Cost],IF(HostBuild[Server Tier]="XI52",IBM_DIA_XI52,HostBuild[Initial Server Cost]))))</f>
        <v>1003.9</v>
      </c>
      <c r="EP11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515.61000000000013</v>
      </c>
      <c r="EQ111" s="558">
        <f>(HostBuild[Archive
Full (GB)]+HostBuild[Archive
Incr (GB)])*Storage_DC_Dist_Tape_2014</f>
        <v>115.29612500000002</v>
      </c>
      <c r="ER111" s="558">
        <f>IF(ISNUMBER(HostBuild[Server HW Costs
(Monthly)]),SUM(HostBuild[[#This Row],[Server HW Costs
(Monthly)]:[Tape Costs
(Monthly)]]),0)</f>
        <v>1634.8061250000003</v>
      </c>
      <c r="ES111" s="559">
        <f>HostBuild[Software Costs
'[Year 1']
(Monthly)]+HostBuild[Total Hardware Costs
(Monthly)]</f>
        <v>1634.8061250000003</v>
      </c>
      <c r="ET111" s="559">
        <f>IFERROR(IF(FIND("Safenet",HostBuild[Server Model]),Safenet_PSE_PL600_Maint,0),0)+IFERROR(IF(FIND("XI52",HostBuild[Server Model]),IBM_DIA_XI52_Maint,0),0)+HostBuild[Software Costs
'[After Year 1']
(Monthly)]+HostBuild[Total Hardware Costs
(Monthly)]</f>
        <v>1634.8061250000003</v>
      </c>
      <c r="EU111" s="560">
        <f>SUM(HostBuild[[#This Row],[Server Cost Breakdown]:[Network Cost]])</f>
        <v>1003.9</v>
      </c>
      <c r="EV111" s="561">
        <f>IF(HostBuild[Existing Server?]="Yes - Inside this BoM",0,SUMIF(HostBuild[Alias],HostBuild[Alias],HostBuild[CPU])+SUMIF(HostBuild[Alias],HostBuild[Alias],HostBuild[Existing CPUs]))</f>
        <v>2</v>
      </c>
      <c r="EW111" s="561">
        <f>IF(HostBuild[Existing Server?]="Yes - Inside this BoM",0,SUMIF(HostBuild[Alias],HostBuild[Alias],HostBuild[Cores 
(Licensed Units)])+SUMIF(HostBuild[Alias],HostBuild[Alias],HostBuild[Existing Cores]))</f>
        <v>16</v>
      </c>
      <c r="EX111" s="561">
        <f>IF(HostBuild[Existing Server?]="Yes - Inside this BoM",0,SUMIF(HostBuild[Alias],HostBuild[Alias],HostBuild[RAM 
(GB)])+SUMIF(HostBuild[Alias],HostBuild[Alias],HostBuild[Existing RAM (GB)]))</f>
        <v>256</v>
      </c>
      <c r="EY11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1" s="560">
        <f>IF(ISBLANK(HostBuild[Server Model]),0,IF(HostBuild[Server Tier]="VMware",0,VLOOKUP(HostBuild[Server Tier],ServerTierRates[#Data],2,0))*HostBuild[CPU]*IF(AND(HostBuild[Server Type]="pSeries",HostBuild[Virtual Platform Storage Type]="Cloud-SAN"),0.25,1))</f>
        <v>608</v>
      </c>
      <c r="FD111" s="560">
        <f>0</f>
        <v>0</v>
      </c>
      <c r="FE111" s="560">
        <f>IF(HostBuild[Server Type]="VMware",HostBuild[RAM 
(GB)]*IF(ISERROR(FIND("DevCloud", HostBuild[Server Model])&gt;0),vRAM_per_vCPU_2014_Monthly,vRAM_per_vCPU_2014_Daily*30),0)</f>
        <v>0</v>
      </c>
      <c r="FF11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208.8</v>
      </c>
      <c r="FG11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1" s="563">
        <f>IF(HostBuild[Server Tier]="VMware",0,IF(LEFT(HostBuild[Existing Server?],3)="Yes",0,IF(OR(HostBuild[Server Type]="Sun",HostBuild[Server Type]="pSeries"),Support_Direct_Server_Sun_per_OS_2014,IF(HostBuild[Server Type]="x86",Support_Direct_Server_x86_Wintel_per_OS_2014,0))))</f>
        <v>187.1</v>
      </c>
      <c r="FI11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2" spans="1:165" s="139" customFormat="1" ht="15" customHeight="1">
      <c r="A112" s="360" t="s">
        <v>3942</v>
      </c>
      <c r="B112" s="521"/>
      <c r="C112" s="521"/>
      <c r="D112" s="521"/>
      <c r="E112" s="522"/>
      <c r="F112" s="522"/>
      <c r="G112" s="597"/>
      <c r="H112" s="597"/>
      <c r="I112" s="523"/>
      <c r="J112" s="522"/>
      <c r="K112" s="522"/>
      <c r="L112" s="522"/>
      <c r="M112" s="597" t="e">
        <f ca="1">IF(rngIsDate(HostBuild[CTO Acceptance]),"Y","N")</f>
        <v>#NAME?</v>
      </c>
      <c r="N112" s="361" t="s">
        <v>3938</v>
      </c>
      <c r="O112" s="525"/>
      <c r="P112" s="525"/>
      <c r="Q112" s="361" t="s">
        <v>79</v>
      </c>
      <c r="R112" s="526" t="str">
        <f>IF(NOT(ISBLANK(HostBuild[Env Label])),IFERROR(VLOOKUP(HostBuild[Env Label],tEnv[],3,FALSE),""),"")</f>
        <v>PROD</v>
      </c>
      <c r="S112" s="598"/>
      <c r="T112" s="527"/>
      <c r="U112" s="599"/>
      <c r="V112" s="524" t="s">
        <v>4015</v>
      </c>
      <c r="W112" s="524" t="s">
        <v>2249</v>
      </c>
      <c r="X112" s="524" t="s">
        <v>32</v>
      </c>
      <c r="Y112" s="361" t="s">
        <v>4067</v>
      </c>
      <c r="Z112" s="526" t="str">
        <f>IF(NOT(ISBLANK(HostBuild[[#This Row],[Product 
(Acronym)]])),CONCATENATE(HostBuild[[#This Row],[Type]],"-",HostBuild[[#This Row],[Product 
(Acronym)]]),"")</f>
        <v>DB-CBOL</v>
      </c>
      <c r="AA112" s="600"/>
      <c r="AB112" s="600" t="s">
        <v>105</v>
      </c>
      <c r="AC112" s="528"/>
      <c r="AD112" s="529"/>
      <c r="AE112" s="529"/>
      <c r="AF112" s="530"/>
      <c r="AG112" s="531"/>
      <c r="AH112" s="601"/>
      <c r="AI112" s="362" t="s">
        <v>4034</v>
      </c>
      <c r="AJ112" s="524">
        <f>IF(COUNTIF(HostBuild[Alias],HostBuild[Alias]),1/COUNTIF(HostBuild[Alias],HostBuild[Alias]),0)</f>
        <v>1</v>
      </c>
      <c r="AK112" s="531"/>
      <c r="AL112" s="531"/>
      <c r="AM112" s="532" t="s">
        <v>2173</v>
      </c>
      <c r="AN112" s="533" t="str">
        <f>IF(NOT(ISBLANK(HostBuild[Server Model])),VLOOKUP(HostBuild[Server Model],ServerModelsTier[],2,FALSE),"")</f>
        <v>x86 Tier 3</v>
      </c>
      <c r="AO112" s="533" t="str">
        <f>IF(NOT(ISBLANK(HostBuild[Server Model])),VLOOKUP(HostBuild[Server Model],ServerModelsTier[],5,FALSE),"")</f>
        <v>x86</v>
      </c>
      <c r="AP112" s="532"/>
      <c r="AQ112" s="532" t="s">
        <v>2337</v>
      </c>
      <c r="AR112" s="534">
        <v>2</v>
      </c>
      <c r="AS112" s="602"/>
      <c r="AT112" s="535">
        <v>16</v>
      </c>
      <c r="AU112" s="603" t="str">
        <f>IF(IFERROR(FIND("P-Series",HostBuild[Server Tier]),0),CEILING((HostBuild[Existing CPUs]+HostBuild[CPU])*16,8),"")</f>
        <v/>
      </c>
      <c r="AV112" s="536">
        <v>128</v>
      </c>
      <c r="AW112" s="531"/>
      <c r="AX112" s="531"/>
      <c r="AY112" s="531"/>
      <c r="AZ112" s="537"/>
      <c r="BA112" s="531"/>
      <c r="BB112" s="531"/>
      <c r="BC112" s="529"/>
      <c r="BD112" s="531"/>
      <c r="BE112" s="531"/>
      <c r="BF112" s="531"/>
      <c r="BG112" s="531"/>
      <c r="BH112" s="531"/>
      <c r="BI112" s="531"/>
      <c r="BJ112" s="531"/>
      <c r="BK112"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2" s="538">
        <v>3200</v>
      </c>
      <c r="BM112" s="540">
        <f>IF(ISNUMBER(HostBuild[Recommended SAN (GB)]),HostBuild[Recommended SAN (GB)])+IF(HostBuild[Additional SAN (GB)]&gt;0,CEILING(HostBuild[Additional SAN (GB)],LUN),-(CEILING(-HostBuild[Additional SAN (GB)],LUN)))</f>
        <v>3403.7000000000003</v>
      </c>
      <c r="BN112" s="539"/>
      <c r="BO112" s="540">
        <f>HostBuild[SAN (GB)
NEEDED TODAY]+CEILING(HostBuild[SAN (GB)
RESERVED
DO NOT USE TO BUILD], LUN)</f>
        <v>3403.7000000000003</v>
      </c>
      <c r="BP112" s="541">
        <v>3000</v>
      </c>
      <c r="BQ112" s="542"/>
      <c r="BR112" s="432"/>
      <c r="BS112" s="605">
        <f>IF(HostBuild[Existing Server?]&lt;&gt;"Yes - Inside this BoM",IF(ISNUMBER(HostBuild[RAM 
(GB)]),IF(HostBuild[Existing RAM (GB)]+HostBuild[RAM 
(GB)]&gt;0,IF(HostBuild[Virtual Platform Storage Type]="NAS",110+HostBuild[Existing RAM (GB)]+HostBuild[RAM 
(GB)]*1.75,0),0),0),0)</f>
        <v>0</v>
      </c>
      <c r="BT112" s="606"/>
      <c r="BU112" s="607">
        <f>IF(ISNUMBER(HostBuild[Recommended NAS (GB)]),HostBuild[Recommended NAS (GB)])+HostBuild[Additional NAS (GB)]</f>
        <v>0</v>
      </c>
      <c r="BV112" s="543"/>
      <c r="BW112" s="543"/>
      <c r="BX112" s="604">
        <f>IFERROR((HostBuild[SAN (GB)
End-State
DO NOT USE TO BUILD]+HostBuild[SAN (GB) Shared])*25%,"")</f>
        <v>1600.9250000000002</v>
      </c>
      <c r="BY112" s="608">
        <f>IFERROR(HostBuild[Archive
Full (GB)]*15%,"")</f>
        <v>240.13875000000002</v>
      </c>
      <c r="BZ112" s="544"/>
      <c r="CA112" s="544"/>
      <c r="CB112" s="545"/>
      <c r="CC112" s="546"/>
      <c r="CD112" s="545"/>
      <c r="CE112" s="547"/>
      <c r="CF112" s="539"/>
      <c r="CG112" s="609"/>
      <c r="CH112" s="548"/>
      <c r="CI112" s="549"/>
      <c r="CJ112" s="550"/>
      <c r="CK112" s="551"/>
      <c r="CL112" s="552">
        <f>IFERROR(IF(FIND(CL$1,$W112)&gt;0,IF(INDEX(Product_Pricing_Table[],MATCH(CL$1,Products,0),2)="Cores",IF(HostBuild[Use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2" s="552">
        <f>IFERROR(IF(FIND(CM$1,$W112)&gt;0,IF(INDEX(Product_Pricing_Table[],MATCH(CM$1,Products,0),2)="Cores",IF(HostBuild[Use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2" s="552">
        <f>IFERROR(IF(FIND(CN$1,$W112)&gt;0,IF(INDEX(Product_Pricing_Table[],MATCH(CN$1,Products,0),2)="Cores",IF(HostBuild[Use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2" s="552">
        <f>IFERROR(IF(FIND(CO$1,$W112)&gt;0,IF(INDEX(Product_Pricing_Table[],MATCH(CO$1,Products,0),2)="Cores",IF(HostBuild[Use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2" s="552">
        <f>IFERROR(IF(FIND(CP$1,$W112)&gt;0,IF(INDEX(Product_Pricing_Table[],MATCH(CP$1,Products,0),2)="Cores",IF(HostBuild[Use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2" s="552">
        <f>IFERROR(IF(FIND(CQ$1,$W112)&gt;0,IF(INDEX(Product_Pricing_Table[],MATCH(CQ$1,Products,0),2)="Cores",IF(HostBuild[Use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2" s="552">
        <f>IFERROR(IF(FIND(CR$1,$W112)&gt;0,IF(INDEX(Product_Pricing_Table[],MATCH(CR$1,Products,0),2)="Cores",IF(HostBuild[Use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2" s="552">
        <f>IFERROR(IF(FIND(CS$1,$W112)&gt;0,IF(INDEX(Product_Pricing_Table[],MATCH(CS$1,Products,0),2)="Cores",IF(HostBuild[Use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2" s="552">
        <f>IFERROR(IF(FIND(CT$1,$W112)&gt;0,IF(INDEX(Product_Pricing_Table[],MATCH(CT$1,Products,0),2)="Cores",IF(HostBuild[Use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2" s="552">
        <f>IFERROR(IF(FIND(CU$1,$W112)&gt;0,IF(INDEX(Product_Pricing_Table[],MATCH(CU$1,Products,0),2)="Cores",IF(HostBuild[Use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2" s="552">
        <f>IFERROR(IF(FIND(CV$1,$W112)&gt;0,IF(INDEX(Product_Pricing_Table[],MATCH(CV$1,Products,0),2)="Cores",IF(HostBuild[Use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2" s="552">
        <f>IFERROR(IF(FIND(CW$1,$W112)&gt;0,IF(INDEX(Product_Pricing_Table[],MATCH(CW$1,Products,0),2)="Cores",IF(HostBuild[Use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2" s="552">
        <f>IFERROR(IF(FIND(CX$1,$W112)&gt;0,IF(INDEX(Product_Pricing_Table[],MATCH(CX$1,Products,0),2)="Cores",IF(HostBuild[Use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2" s="552">
        <f>IFERROR(IF(FIND(CY$1,$W112)&gt;0,IF(INDEX(Product_Pricing_Table[],MATCH(CY$1,Products,0),2)="Cores",IF(HostBuild[Use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2" s="552">
        <f>IFERROR(IF(FIND(CZ$1,$W112)&gt;0,IF(INDEX(Product_Pricing_Table[],MATCH(CZ$1,Products,0),2)="Cores",IF(HostBuild[Use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2" s="552">
        <f>IFERROR(IF(FIND(DA$1,$W112)&gt;0,IF(INDEX(Product_Pricing_Table[],MATCH(DA$1,Products,0),2)="Cores",IF(HostBuild[Use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2" s="552">
        <f>IFERROR(IF(FIND(DB$1,$W112)&gt;0,IF(INDEX(Product_Pricing_Table[],MATCH(DB$1,Products,0),2)="Cores",IF(HostBuild[Use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2" s="552">
        <f>IFERROR(IF(FIND(DC$1,$W112)&gt;0,IF(INDEX(Product_Pricing_Table[],MATCH(DC$1,Products,0),2)="Cores",IF(HostBuild[Use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2" s="552">
        <f>IFERROR(IF(FIND(DD$1,$W112)&gt;0,IF(INDEX(Product_Pricing_Table[],MATCH(DD$1,Products,0),2)="Cores",IF(HostBuild[Use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2" s="552">
        <f>IFERROR(IF(FIND(DE$1,$W112)&gt;0,IF(INDEX(Product_Pricing_Table[],MATCH(DE$1,Products,0),2)="Cores",IF(HostBuild[Use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2" s="553">
        <f>IFERROR(IF(FIND(DF$1,$W112)&gt;0,IF(INDEX(Product_Pricing_Table[],MATCH(DF$1,Products,0),2)="Cores",IF(HostBuild[Use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2" s="553">
        <f>IFERROR(IF(FIND(DG$1,$W112)&gt;0,IF(INDEX(Product_Pricing_Table[],MATCH(DG$1,Products,0),2)="Cores",IF(HostBuild[Use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2" s="552">
        <f>IFERROR(IF(FIND(DH$1,$W112)&gt;0,IF(INDEX(Product_Pricing_Table[],MATCH(DH$1,Products,0),2)="Cores",IF(HostBuild[Use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2" s="553">
        <f>IFERROR(IF(FIND(DI$1,$W112)&gt;0,IF(INDEX(Product_Pricing_Table[],MATCH(DI$1,Products,0),2)="Cores",IF(HostBuild[Use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2" s="552">
        <f>IFERROR(IF(FIND(DJ$1,$W112)&gt;0,IF(INDEX(Product_Pricing_Table[],MATCH(DJ$1,Products,0),2)="Cores",IF(HostBuild[Use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2" s="552">
        <f>IFERROR(IF(FIND(DK$1,$W112)&gt;0,IF(INDEX(Product_Pricing_Table[],MATCH(DK$1,Products,0),2)="Cores",IF(HostBuild[Use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2" s="552">
        <f>IFERROR(IF(FIND(DL$1,$W112)&gt;0,IF(INDEX(Product_Pricing_Table[],MATCH(DL$1,Products,0),2)="Cores",IF(HostBuild[Use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2" s="552">
        <f>IFERROR(IF(FIND(DM$1,$W112)&gt;0,IF(INDEX(Product_Pricing_Table[],MATCH(DM$1,Products,0),2)="Cores",IF(HostBuild[Use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2" s="552">
        <f>IFERROR(IF(FIND(DN$1,$W112)&gt;0,IF(INDEX(Product_Pricing_Table[],MATCH(DN$1,Products,0),2)="Cores",IF(HostBuild[Use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2" s="552">
        <f>IFERROR(IF(FIND(DO$1,$W112)&gt;0,IF(INDEX(Product_Pricing_Table[],MATCH(DO$1,Products,0),2)="Cores",IF(HostBuild[Use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2" s="552">
        <f>IFERROR(IF(FIND(DP$1,$W112)&gt;0,IF(INDEX(Product_Pricing_Table[],MATCH(DP$1,Products,0),2)="Cores",IF(HostBuild[Use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2" s="552">
        <f>IFERROR(IF(FIND(DQ$1,$W112)&gt;0,IF(INDEX(Product_Pricing_Table[],MATCH(DQ$1,Products,0),2)="Cores",IF(HostBuild[Use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2" s="552">
        <f>IFERROR(IF(FIND(DR$1,$W112)&gt;0,IF(INDEX(Product_Pricing_Table[],MATCH(DR$1,Products,0),2)="Cores",IF(HostBuild[Use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2" s="552">
        <f>IFERROR(IF(FIND(DS$1,$W112)&gt;0,IF(INDEX(Product_Pricing_Table[],MATCH(DS$1,Products,0),2)="Cores",IF(HostBuild[Use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2" s="552">
        <f>IFERROR(IF(FIND(DT$1,$W112)&gt;0,IF(INDEX(Product_Pricing_Table[],MATCH(DT$1,Products,0),2)="Cores",IF(HostBuild[Use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2" s="552">
        <f>IFERROR(IF(FIND(DU$1,$W112)&gt;0,IF(INDEX(Product_Pricing_Table[],MATCH(DU$1,Products,0),2)="Cores",IF(HostBuild[Use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2" s="552">
        <f>IFERROR(IF(FIND(DV$1,$W112)&gt;0,IF(INDEX(Product_Pricing_Table[],MATCH(DV$1,Products,0),2)="Cores",IF(HostBuild[Use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2" s="552">
        <f>IFERROR(IF(FIND(DW$1,$W112)&gt;0,IF(INDEX(Product_Pricing_Table[],MATCH(DW$1,Products,0),2)="Cores",IF(HostBuild[Use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2" s="552">
        <f>IFERROR(IF(FIND(DX$1,$W112)&gt;0,IF(INDEX(Product_Pricing_Table[],MATCH(DX$1,Products,0),2)="Cores",IF(HostBuild[Use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2" s="552">
        <f>IFERROR(IF(FIND(DY$1,$W112)&gt;0,IF(INDEX(Product_Pricing_Table[],MATCH(DY$1,Products,0),2)="Cores",IF(HostBuild[Use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2" s="552">
        <f>IFERROR(IF(FIND(DZ$1,$W112)&gt;0,IF(INDEX(Product_Pricing_Table[],MATCH(DZ$1,Products,0),2)="Cores",IF(HostBuild[Use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2" s="552">
        <f>IFERROR(IF(FIND(EA$1,$W112)&gt;0,IF(INDEX(Product_Pricing_Table[],MATCH(EA$1,Products,0),2)="Cores",IF(HostBuild[Use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2" s="552">
        <f>IFERROR(IF(FIND(EB$1,$W112)&gt;0,IF(INDEX(Product_Pricing_Table[],MATCH(EB$1,Products,0),2)="Cores",IF(HostBuild[Use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2" s="553">
        <f>IFERROR(IF(FIND(EC$1,$W112)&gt;0,IF(INDEX(Product_Pricing_Table[],MATCH(EC$1,Products,0),2)="Cores",IF(HostBuild[Use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2" s="552">
        <f>IFERROR(IF(FIND(ED$1,$W112)&gt;0,IF(INDEX(Product_Pricing_Table[],MATCH(ED$1,Products,0),2)="Cores",IF(HostBuild[Use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2" s="552">
        <f>IFERROR(IF(FIND(EE$1,$W112)&gt;0,IF(INDEX(Product_Pricing_Table[],MATCH(EE$1,Products,0),2)="Cores",IF(HostBuild[Use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2" s="552">
        <f>IFERROR(IF(FIND(EF$1,$W112)&gt;0,IF(INDEX(Product_Pricing_Table[],MATCH(EF$1,Products,0),2)="Cores",IF(HostBuild[Use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2" s="552">
        <f>IFERROR(IF(FIND(EG$1,$W112)&gt;0,IF(INDEX(Product_Pricing_Table[],MATCH(EG$1,Products,0),2)="Cores",IF(HostBuild[Use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2" s="552">
        <f>IFERROR(IF(FIND(EH$1,$W112)&gt;0,IF(INDEX(Product_Pricing_Table[],MATCH(EH$1,Products,0),2)="Cores",IF(HostBuild[Use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2" s="552">
        <f>IFERROR(IF(FIND(EI$1,$W112)&gt;0,IF(INDEX(Product_Pricing_Table[],MATCH(EI$1,Products,0),2)="Cores",IF(HostBuild[Use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2" s="552">
        <f>IFERROR(IF(FIND(EJ$1,$W112)&gt;0,IF(INDEX(Product_Pricing_Table[],MATCH(EJ$1,Products,0),2)="Cores",IF(HostBuild[Use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2" s="553">
        <f>IFERROR(IF(FIND(EK$1,$W112)&gt;0,IF(INDEX(Product_Pricing_Table[],MATCH(EK$1,Products,0),2)="Cores",IF(HostBuild[Use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2" s="554"/>
      <c r="EM112" s="555">
        <v>0</v>
      </c>
      <c r="EN112" s="556">
        <v>0</v>
      </c>
      <c r="EO112"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4564.6650000000009</v>
      </c>
      <c r="EQ112" s="558">
        <f>(HostBuild[Archive
Full (GB)]+HostBuild[Archive
Incr (GB)])*Storage_DC_Dist_Tape_2014</f>
        <v>644.37231250000002</v>
      </c>
      <c r="ER112" s="558">
        <f>IF(ISNUMBER(HostBuild[Server HW Costs
(Monthly)]),SUM(HostBuild[[#This Row],[Server HW Costs
(Monthly)]:[Tape Costs
(Monthly)]]),0)</f>
        <v>6097.7373125000004</v>
      </c>
      <c r="ES112" s="559">
        <f>HostBuild[Software Costs
'[Year 1']
(Monthly)]+HostBuild[Total Hardware Costs
(Monthly)]</f>
        <v>6097.7373125000004</v>
      </c>
      <c r="ET112" s="559">
        <f>IFERROR(IF(FIND("Safenet",HostBuild[Server Model]),Safenet_PSE_PL600_Maint,0),0)+IFERROR(IF(FIND("XI52",HostBuild[Server Model]),IBM_DIA_XI52_Maint,0),0)+HostBuild[Software Costs
'[After Year 1']
(Monthly)]+HostBuild[Total Hardware Costs
(Monthly)]</f>
        <v>6097.7373125000004</v>
      </c>
      <c r="EU112" s="560">
        <f>SUM(HostBuild[[#This Row],[Server Cost Breakdown]:[Network Cost]])</f>
        <v>888.7</v>
      </c>
      <c r="EV112" s="561">
        <f>IF(HostBuild[Existing Server?]="Yes - Inside this BoM",0,SUMIF(HostBuild[Alias],HostBuild[Alias],HostBuild[CPU])+SUMIF(HostBuild[Alias],HostBuild[Alias],HostBuild[Existing CPUs]))</f>
        <v>2</v>
      </c>
      <c r="EW112" s="561">
        <f>IF(HostBuild[Existing Server?]="Yes - Inside this BoM",0,SUMIF(HostBuild[Alias],HostBuild[Alias],HostBuild[Cores 
(Licensed Units)])+SUMIF(HostBuild[Alias],HostBuild[Alias],HostBuild[Existing Cores]))</f>
        <v>16</v>
      </c>
      <c r="EX112" s="561">
        <f>IF(HostBuild[Existing Server?]="Yes - Inside this BoM",0,SUMIF(HostBuild[Alias],HostBuild[Alias],HostBuild[RAM 
(GB)])+SUMIF(HostBuild[Alias],HostBuild[Alias],HostBuild[Existing RAM (GB)]))</f>
        <v>128</v>
      </c>
      <c r="EY11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2" s="560">
        <f>IF(ISBLANK(HostBuild[Server Model]),0,IF(HostBuild[Server Tier]="VMware",0,VLOOKUP(HostBuild[Server Tier],ServerTierRates[#Data],2,0))*HostBuild[CPU]*IF(AND(HostBuild[Server Type]="pSeries",HostBuild[Virtual Platform Storage Type]="Cloud-SAN"),0.25,1))</f>
        <v>608</v>
      </c>
      <c r="FD112" s="560">
        <f>0</f>
        <v>0</v>
      </c>
      <c r="FE112" s="560">
        <f>IF(HostBuild[Server Type]="VMware",HostBuild[RAM 
(GB)]*IF(ISERROR(FIND("DevCloud", HostBuild[Server Model])&gt;0),vRAM_per_vCPU_2014_Monthly,vRAM_per_vCPU_2014_Daily*30),0)</f>
        <v>0</v>
      </c>
      <c r="FF11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2" s="563">
        <f>IF(HostBuild[Server Tier]="VMware",0,IF(LEFT(HostBuild[Existing Server?],3)="Yes",0,IF(OR(HostBuild[Server Type]="Sun",HostBuild[Server Type]="pSeries"),Support_Direct_Server_Sun_per_OS_2014,IF(HostBuild[Server Type]="x86",Support_Direct_Server_x86_Wintel_per_OS_2014,0))))</f>
        <v>187.1</v>
      </c>
      <c r="FI11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3" spans="1:165" s="139" customFormat="1" ht="15" customHeight="1">
      <c r="A113" s="360" t="s">
        <v>3942</v>
      </c>
      <c r="B113" s="521"/>
      <c r="C113" s="521"/>
      <c r="D113" s="521"/>
      <c r="E113" s="522"/>
      <c r="F113" s="522"/>
      <c r="G113" s="597"/>
      <c r="H113" s="597"/>
      <c r="I113" s="523"/>
      <c r="J113" s="522"/>
      <c r="K113" s="522"/>
      <c r="L113" s="522"/>
      <c r="M113" s="597" t="e">
        <f ca="1">IF(rngIsDate(HostBuild[CTO Acceptance]),"Y","N")</f>
        <v>#NAME?</v>
      </c>
      <c r="N113" s="361" t="s">
        <v>3938</v>
      </c>
      <c r="O113" s="525"/>
      <c r="P113" s="525"/>
      <c r="Q113" s="361" t="s">
        <v>79</v>
      </c>
      <c r="R113" s="526" t="str">
        <f>IF(NOT(ISBLANK(HostBuild[Env Label])),IFERROR(VLOOKUP(HostBuild[Env Label],tEnv[],3,FALSE),""),"")</f>
        <v>PROD</v>
      </c>
      <c r="S113" s="598"/>
      <c r="T113" s="527"/>
      <c r="U113" s="599"/>
      <c r="V113" s="524" t="s">
        <v>4015</v>
      </c>
      <c r="W113" s="524" t="s">
        <v>2249</v>
      </c>
      <c r="X113" s="524" t="s">
        <v>32</v>
      </c>
      <c r="Y113" s="361" t="s">
        <v>4067</v>
      </c>
      <c r="Z113" s="526" t="str">
        <f>IF(NOT(ISBLANK(HostBuild[[#This Row],[Product 
(Acronym)]])),CONCATENATE(HostBuild[[#This Row],[Type]],"-",HostBuild[[#This Row],[Product 
(Acronym)]]),"")</f>
        <v>DB-CBOL</v>
      </c>
      <c r="AA113" s="600"/>
      <c r="AB113" s="600" t="s">
        <v>105</v>
      </c>
      <c r="AC113" s="528"/>
      <c r="AD113" s="529"/>
      <c r="AE113" s="529"/>
      <c r="AF113" s="530"/>
      <c r="AG113" s="531"/>
      <c r="AH113" s="601"/>
      <c r="AI113" s="362" t="s">
        <v>4035</v>
      </c>
      <c r="AJ113" s="524">
        <f>IF(COUNTIF(HostBuild[Alias],HostBuild[Alias]),1/COUNTIF(HostBuild[Alias],HostBuild[Alias]),0)</f>
        <v>1</v>
      </c>
      <c r="AK113" s="531"/>
      <c r="AL113" s="531"/>
      <c r="AM113" s="532" t="s">
        <v>2173</v>
      </c>
      <c r="AN113" s="533" t="str">
        <f>IF(NOT(ISBLANK(HostBuild[Server Model])),VLOOKUP(HostBuild[Server Model],ServerModelsTier[],2,FALSE),"")</f>
        <v>x86 Tier 3</v>
      </c>
      <c r="AO113" s="533" t="str">
        <f>IF(NOT(ISBLANK(HostBuild[Server Model])),VLOOKUP(HostBuild[Server Model],ServerModelsTier[],5,FALSE),"")</f>
        <v>x86</v>
      </c>
      <c r="AP113" s="532"/>
      <c r="AQ113" s="532" t="s">
        <v>2337</v>
      </c>
      <c r="AR113" s="534">
        <v>2</v>
      </c>
      <c r="AS113" s="602"/>
      <c r="AT113" s="535">
        <v>16</v>
      </c>
      <c r="AU113" s="603" t="str">
        <f>IF(IFERROR(FIND("P-Series",HostBuild[Server Tier]),0),CEILING((HostBuild[Existing CPUs]+HostBuild[CPU])*16,8),"")</f>
        <v/>
      </c>
      <c r="AV113" s="536">
        <v>128</v>
      </c>
      <c r="AW113" s="531"/>
      <c r="AX113" s="531"/>
      <c r="AY113" s="531"/>
      <c r="AZ113" s="537"/>
      <c r="BA113" s="531"/>
      <c r="BB113" s="531"/>
      <c r="BC113" s="529"/>
      <c r="BD113" s="531"/>
      <c r="BE113" s="531"/>
      <c r="BF113" s="531"/>
      <c r="BG113" s="531"/>
      <c r="BH113" s="531"/>
      <c r="BI113" s="531"/>
      <c r="BJ113" s="531"/>
      <c r="BK113"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3" s="538">
        <v>200</v>
      </c>
      <c r="BM113" s="540">
        <f>IF(ISNUMBER(HostBuild[Recommended SAN (GB)]),HostBuild[Recommended SAN (GB)])+IF(HostBuild[Additional SAN (GB)]&gt;0,CEILING(HostBuild[Additional SAN (GB)],LUN),-(CEILING(-HostBuild[Additional SAN (GB)],LUN)))</f>
        <v>404.40000000000003</v>
      </c>
      <c r="BN113" s="539"/>
      <c r="BO113" s="540">
        <f>HostBuild[SAN (GB)
NEEDED TODAY]+CEILING(HostBuild[SAN (GB)
RESERVED
DO NOT USE TO BUILD], LUN)</f>
        <v>404.40000000000003</v>
      </c>
      <c r="BP113" s="541"/>
      <c r="BQ113" s="542"/>
      <c r="BR113" s="432"/>
      <c r="BS113" s="605">
        <f>IF(HostBuild[Existing Server?]&lt;&gt;"Yes - Inside this BoM",IF(ISNUMBER(HostBuild[RAM 
(GB)]),IF(HostBuild[Existing RAM (GB)]+HostBuild[RAM 
(GB)]&gt;0,IF(HostBuild[Virtual Platform Storage Type]="NAS",110+HostBuild[Existing RAM (GB)]+HostBuild[RAM 
(GB)]*1.75,0),0),0),0)</f>
        <v>0</v>
      </c>
      <c r="BT113" s="606"/>
      <c r="BU113" s="607">
        <f>IF(ISNUMBER(HostBuild[Recommended NAS (GB)]),HostBuild[Recommended NAS (GB)])+HostBuild[Additional NAS (GB)]</f>
        <v>0</v>
      </c>
      <c r="BV113" s="543"/>
      <c r="BW113" s="543"/>
      <c r="BX113" s="604">
        <f>IFERROR((HostBuild[SAN (GB)
End-State
DO NOT USE TO BUILD]+HostBuild[SAN (GB) Shared])*25%,"")</f>
        <v>101.10000000000001</v>
      </c>
      <c r="BY113" s="608">
        <f>IFERROR(HostBuild[Archive
Full (GB)]*15%,"")</f>
        <v>15.165000000000001</v>
      </c>
      <c r="BZ113" s="544"/>
      <c r="CA113" s="544"/>
      <c r="CB113" s="545"/>
      <c r="CC113" s="546"/>
      <c r="CD113" s="545"/>
      <c r="CE113" s="547"/>
      <c r="CF113" s="539"/>
      <c r="CG113" s="609"/>
      <c r="CH113" s="548"/>
      <c r="CI113" s="549"/>
      <c r="CJ113" s="550"/>
      <c r="CK113" s="551"/>
      <c r="CL113" s="552">
        <f>IFERROR(IF(FIND(CL$1,$W113)&gt;0,IF(INDEX(Product_Pricing_Table[],MATCH(CL$1,Products,0),2)="Cores",IF(HostBuild[Use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3" s="552">
        <f>IFERROR(IF(FIND(CM$1,$W113)&gt;0,IF(INDEX(Product_Pricing_Table[],MATCH(CM$1,Products,0),2)="Cores",IF(HostBuild[Use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3" s="552">
        <f>IFERROR(IF(FIND(CN$1,$W113)&gt;0,IF(INDEX(Product_Pricing_Table[],MATCH(CN$1,Products,0),2)="Cores",IF(HostBuild[Use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3" s="552">
        <f>IFERROR(IF(FIND(CO$1,$W113)&gt;0,IF(INDEX(Product_Pricing_Table[],MATCH(CO$1,Products,0),2)="Cores",IF(HostBuild[Use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3" s="552">
        <f>IFERROR(IF(FIND(CP$1,$W113)&gt;0,IF(INDEX(Product_Pricing_Table[],MATCH(CP$1,Products,0),2)="Cores",IF(HostBuild[Use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3" s="552">
        <f>IFERROR(IF(FIND(CQ$1,$W113)&gt;0,IF(INDEX(Product_Pricing_Table[],MATCH(CQ$1,Products,0),2)="Cores",IF(HostBuild[Use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3" s="552">
        <f>IFERROR(IF(FIND(CR$1,$W113)&gt;0,IF(INDEX(Product_Pricing_Table[],MATCH(CR$1,Products,0),2)="Cores",IF(HostBuild[Use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3" s="552">
        <f>IFERROR(IF(FIND(CS$1,$W113)&gt;0,IF(INDEX(Product_Pricing_Table[],MATCH(CS$1,Products,0),2)="Cores",IF(HostBuild[Use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3" s="552">
        <f>IFERROR(IF(FIND(CT$1,$W113)&gt;0,IF(INDEX(Product_Pricing_Table[],MATCH(CT$1,Products,0),2)="Cores",IF(HostBuild[Use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3" s="552">
        <f>IFERROR(IF(FIND(CU$1,$W113)&gt;0,IF(INDEX(Product_Pricing_Table[],MATCH(CU$1,Products,0),2)="Cores",IF(HostBuild[Use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3" s="552">
        <f>IFERROR(IF(FIND(CV$1,$W113)&gt;0,IF(INDEX(Product_Pricing_Table[],MATCH(CV$1,Products,0),2)="Cores",IF(HostBuild[Use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3" s="552">
        <f>IFERROR(IF(FIND(CW$1,$W113)&gt;0,IF(INDEX(Product_Pricing_Table[],MATCH(CW$1,Products,0),2)="Cores",IF(HostBuild[Use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3" s="552">
        <f>IFERROR(IF(FIND(CX$1,$W113)&gt;0,IF(INDEX(Product_Pricing_Table[],MATCH(CX$1,Products,0),2)="Cores",IF(HostBuild[Use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3" s="552">
        <f>IFERROR(IF(FIND(CY$1,$W113)&gt;0,IF(INDEX(Product_Pricing_Table[],MATCH(CY$1,Products,0),2)="Cores",IF(HostBuild[Use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3" s="552">
        <f>IFERROR(IF(FIND(CZ$1,$W113)&gt;0,IF(INDEX(Product_Pricing_Table[],MATCH(CZ$1,Products,0),2)="Cores",IF(HostBuild[Use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3" s="552">
        <f>IFERROR(IF(FIND(DA$1,$W113)&gt;0,IF(INDEX(Product_Pricing_Table[],MATCH(DA$1,Products,0),2)="Cores",IF(HostBuild[Use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3" s="552">
        <f>IFERROR(IF(FIND(DB$1,$W113)&gt;0,IF(INDEX(Product_Pricing_Table[],MATCH(DB$1,Products,0),2)="Cores",IF(HostBuild[Use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3" s="552">
        <f>IFERROR(IF(FIND(DC$1,$W113)&gt;0,IF(INDEX(Product_Pricing_Table[],MATCH(DC$1,Products,0),2)="Cores",IF(HostBuild[Use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3" s="552">
        <f>IFERROR(IF(FIND(DD$1,$W113)&gt;0,IF(INDEX(Product_Pricing_Table[],MATCH(DD$1,Products,0),2)="Cores",IF(HostBuild[Use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3" s="552">
        <f>IFERROR(IF(FIND(DE$1,$W113)&gt;0,IF(INDEX(Product_Pricing_Table[],MATCH(DE$1,Products,0),2)="Cores",IF(HostBuild[Use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3" s="553">
        <f>IFERROR(IF(FIND(DF$1,$W113)&gt;0,IF(INDEX(Product_Pricing_Table[],MATCH(DF$1,Products,0),2)="Cores",IF(HostBuild[Use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3" s="553">
        <f>IFERROR(IF(FIND(DG$1,$W113)&gt;0,IF(INDEX(Product_Pricing_Table[],MATCH(DG$1,Products,0),2)="Cores",IF(HostBuild[Use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3" s="552">
        <f>IFERROR(IF(FIND(DH$1,$W113)&gt;0,IF(INDEX(Product_Pricing_Table[],MATCH(DH$1,Products,0),2)="Cores",IF(HostBuild[Use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3" s="553">
        <f>IFERROR(IF(FIND(DI$1,$W113)&gt;0,IF(INDEX(Product_Pricing_Table[],MATCH(DI$1,Products,0),2)="Cores",IF(HostBuild[Use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3" s="552">
        <f>IFERROR(IF(FIND(DJ$1,$W113)&gt;0,IF(INDEX(Product_Pricing_Table[],MATCH(DJ$1,Products,0),2)="Cores",IF(HostBuild[Use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3" s="552">
        <f>IFERROR(IF(FIND(DK$1,$W113)&gt;0,IF(INDEX(Product_Pricing_Table[],MATCH(DK$1,Products,0),2)="Cores",IF(HostBuild[Use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3" s="552">
        <f>IFERROR(IF(FIND(DL$1,$W113)&gt;0,IF(INDEX(Product_Pricing_Table[],MATCH(DL$1,Products,0),2)="Cores",IF(HostBuild[Use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3" s="552">
        <f>IFERROR(IF(FIND(DM$1,$W113)&gt;0,IF(INDEX(Product_Pricing_Table[],MATCH(DM$1,Products,0),2)="Cores",IF(HostBuild[Use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3" s="552">
        <f>IFERROR(IF(FIND(DN$1,$W113)&gt;0,IF(INDEX(Product_Pricing_Table[],MATCH(DN$1,Products,0),2)="Cores",IF(HostBuild[Use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3" s="552">
        <f>IFERROR(IF(FIND(DO$1,$W113)&gt;0,IF(INDEX(Product_Pricing_Table[],MATCH(DO$1,Products,0),2)="Cores",IF(HostBuild[Use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3" s="552">
        <f>IFERROR(IF(FIND(DP$1,$W113)&gt;0,IF(INDEX(Product_Pricing_Table[],MATCH(DP$1,Products,0),2)="Cores",IF(HostBuild[Use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3" s="552">
        <f>IFERROR(IF(FIND(DQ$1,$W113)&gt;0,IF(INDEX(Product_Pricing_Table[],MATCH(DQ$1,Products,0),2)="Cores",IF(HostBuild[Use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3" s="552">
        <f>IFERROR(IF(FIND(DR$1,$W113)&gt;0,IF(INDEX(Product_Pricing_Table[],MATCH(DR$1,Products,0),2)="Cores",IF(HostBuild[Use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3" s="552">
        <f>IFERROR(IF(FIND(DS$1,$W113)&gt;0,IF(INDEX(Product_Pricing_Table[],MATCH(DS$1,Products,0),2)="Cores",IF(HostBuild[Use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3" s="552">
        <f>IFERROR(IF(FIND(DT$1,$W113)&gt;0,IF(INDEX(Product_Pricing_Table[],MATCH(DT$1,Products,0),2)="Cores",IF(HostBuild[Use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3" s="552">
        <f>IFERROR(IF(FIND(DU$1,$W113)&gt;0,IF(INDEX(Product_Pricing_Table[],MATCH(DU$1,Products,0),2)="Cores",IF(HostBuild[Use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3" s="552">
        <f>IFERROR(IF(FIND(DV$1,$W113)&gt;0,IF(INDEX(Product_Pricing_Table[],MATCH(DV$1,Products,0),2)="Cores",IF(HostBuild[Use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3" s="552">
        <f>IFERROR(IF(FIND(DW$1,$W113)&gt;0,IF(INDEX(Product_Pricing_Table[],MATCH(DW$1,Products,0),2)="Cores",IF(HostBuild[Use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3" s="552">
        <f>IFERROR(IF(FIND(DX$1,$W113)&gt;0,IF(INDEX(Product_Pricing_Table[],MATCH(DX$1,Products,0),2)="Cores",IF(HostBuild[Use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3" s="552">
        <f>IFERROR(IF(FIND(DY$1,$W113)&gt;0,IF(INDEX(Product_Pricing_Table[],MATCH(DY$1,Products,0),2)="Cores",IF(HostBuild[Use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3" s="552">
        <f>IFERROR(IF(FIND(DZ$1,$W113)&gt;0,IF(INDEX(Product_Pricing_Table[],MATCH(DZ$1,Products,0),2)="Cores",IF(HostBuild[Use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3" s="552">
        <f>IFERROR(IF(FIND(EA$1,$W113)&gt;0,IF(INDEX(Product_Pricing_Table[],MATCH(EA$1,Products,0),2)="Cores",IF(HostBuild[Use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3" s="552">
        <f>IFERROR(IF(FIND(EB$1,$W113)&gt;0,IF(INDEX(Product_Pricing_Table[],MATCH(EB$1,Products,0),2)="Cores",IF(HostBuild[Use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3" s="553">
        <f>IFERROR(IF(FIND(EC$1,$W113)&gt;0,IF(INDEX(Product_Pricing_Table[],MATCH(EC$1,Products,0),2)="Cores",IF(HostBuild[Use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3" s="552">
        <f>IFERROR(IF(FIND(ED$1,$W113)&gt;0,IF(INDEX(Product_Pricing_Table[],MATCH(ED$1,Products,0),2)="Cores",IF(HostBuild[Use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3" s="552">
        <f>IFERROR(IF(FIND(EE$1,$W113)&gt;0,IF(INDEX(Product_Pricing_Table[],MATCH(EE$1,Products,0),2)="Cores",IF(HostBuild[Use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3" s="552">
        <f>IFERROR(IF(FIND(EF$1,$W113)&gt;0,IF(INDEX(Product_Pricing_Table[],MATCH(EF$1,Products,0),2)="Cores",IF(HostBuild[Use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3" s="552">
        <f>IFERROR(IF(FIND(EG$1,$W113)&gt;0,IF(INDEX(Product_Pricing_Table[],MATCH(EG$1,Products,0),2)="Cores",IF(HostBuild[Use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3" s="552">
        <f>IFERROR(IF(FIND(EH$1,$W113)&gt;0,IF(INDEX(Product_Pricing_Table[],MATCH(EH$1,Products,0),2)="Cores",IF(HostBuild[Use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3" s="552">
        <f>IFERROR(IF(FIND(EI$1,$W113)&gt;0,IF(INDEX(Product_Pricing_Table[],MATCH(EI$1,Products,0),2)="Cores",IF(HostBuild[Use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3" s="552">
        <f>IFERROR(IF(FIND(EJ$1,$W113)&gt;0,IF(INDEX(Product_Pricing_Table[],MATCH(EJ$1,Products,0),2)="Cores",IF(HostBuild[Use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3" s="553">
        <f>IFERROR(IF(FIND(EK$1,$W113)&gt;0,IF(INDEX(Product_Pricing_Table[],MATCH(EK$1,Products,0),2)="Cores",IF(HostBuild[Use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3" s="554"/>
      <c r="EM113" s="555"/>
      <c r="EN113" s="556"/>
      <c r="EO113"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181.98000000000002</v>
      </c>
      <c r="EQ113" s="558">
        <f>(HostBuild[Archive
Full (GB)]+HostBuild[Archive
Incr (GB)])*Storage_DC_Dist_Tape_2014</f>
        <v>40.692750000000004</v>
      </c>
      <c r="ER113" s="558">
        <f>IF(ISNUMBER(HostBuild[Server HW Costs
(Monthly)]),SUM(HostBuild[[#This Row],[Server HW Costs
(Monthly)]:[Tape Costs
(Monthly)]]),0)</f>
        <v>1111.37275</v>
      </c>
      <c r="ES113" s="559">
        <f>HostBuild[Software Costs
'[Year 1']
(Monthly)]+HostBuild[Total Hardware Costs
(Monthly)]</f>
        <v>1111.37275</v>
      </c>
      <c r="ET113" s="559">
        <f>IFERROR(IF(FIND("Safenet",HostBuild[Server Model]),Safenet_PSE_PL600_Maint,0),0)+IFERROR(IF(FIND("XI52",HostBuild[Server Model]),IBM_DIA_XI52_Maint,0),0)+HostBuild[Software Costs
'[After Year 1']
(Monthly)]+HostBuild[Total Hardware Costs
(Monthly)]</f>
        <v>1111.37275</v>
      </c>
      <c r="EU113" s="560">
        <f>SUM(HostBuild[[#This Row],[Server Cost Breakdown]:[Network Cost]])</f>
        <v>888.7</v>
      </c>
      <c r="EV113" s="561">
        <f>IF(HostBuild[Existing Server?]="Yes - Inside this BoM",0,SUMIF(HostBuild[Alias],HostBuild[Alias],HostBuild[CPU])+SUMIF(HostBuild[Alias],HostBuild[Alias],HostBuild[Existing CPUs]))</f>
        <v>2</v>
      </c>
      <c r="EW113" s="561">
        <f>IF(HostBuild[Existing Server?]="Yes - Inside this BoM",0,SUMIF(HostBuild[Alias],HostBuild[Alias],HostBuild[Cores 
(Licensed Units)])+SUMIF(HostBuild[Alias],HostBuild[Alias],HostBuild[Existing Cores]))</f>
        <v>16</v>
      </c>
      <c r="EX113" s="561">
        <f>IF(HostBuild[Existing Server?]="Yes - Inside this BoM",0,SUMIF(HostBuild[Alias],HostBuild[Alias],HostBuild[RAM 
(GB)])+SUMIF(HostBuild[Alias],HostBuild[Alias],HostBuild[Existing RAM (GB)]))</f>
        <v>128</v>
      </c>
      <c r="EY11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3" s="560">
        <f>IF(ISBLANK(HostBuild[Server Model]),0,IF(HostBuild[Server Tier]="VMware",0,VLOOKUP(HostBuild[Server Tier],ServerTierRates[#Data],2,0))*HostBuild[CPU]*IF(AND(HostBuild[Server Type]="pSeries",HostBuild[Virtual Platform Storage Type]="Cloud-SAN"),0.25,1))</f>
        <v>608</v>
      </c>
      <c r="FD113" s="560">
        <f>0</f>
        <v>0</v>
      </c>
      <c r="FE113" s="560">
        <f>IF(HostBuild[Server Type]="VMware",HostBuild[RAM 
(GB)]*IF(ISERROR(FIND("DevCloud", HostBuild[Server Model])&gt;0),vRAM_per_vCPU_2014_Monthly,vRAM_per_vCPU_2014_Daily*30),0)</f>
        <v>0</v>
      </c>
      <c r="FF11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3" s="563">
        <f>IF(HostBuild[Server Tier]="VMware",0,IF(LEFT(HostBuild[Existing Server?],3)="Yes",0,IF(OR(HostBuild[Server Type]="Sun",HostBuild[Server Type]="pSeries"),Support_Direct_Server_Sun_per_OS_2014,IF(HostBuild[Server Type]="x86",Support_Direct_Server_x86_Wintel_per_OS_2014,0))))</f>
        <v>187.1</v>
      </c>
      <c r="FI11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4" spans="1:165" s="139" customFormat="1" ht="15" customHeight="1">
      <c r="A114" s="360" t="s">
        <v>3942</v>
      </c>
      <c r="B114" s="521"/>
      <c r="C114" s="521"/>
      <c r="D114" s="521"/>
      <c r="E114" s="522"/>
      <c r="F114" s="522"/>
      <c r="G114" s="597"/>
      <c r="H114" s="597"/>
      <c r="I114" s="523"/>
      <c r="J114" s="522"/>
      <c r="K114" s="522"/>
      <c r="L114" s="522"/>
      <c r="M114" s="597" t="e">
        <f ca="1">IF(rngIsDate(HostBuild[CTO Acceptance]),"Y","N")</f>
        <v>#NAME?</v>
      </c>
      <c r="N114" s="361" t="s">
        <v>3939</v>
      </c>
      <c r="O114" s="525"/>
      <c r="P114" s="525"/>
      <c r="Q114" s="361" t="s">
        <v>3932</v>
      </c>
      <c r="R114" s="526" t="str">
        <f>IF(NOT(ISBLANK(HostBuild[Env Label])),IFERROR(VLOOKUP(HostBuild[Env Label],tEnv[],3,FALSE),""),"")</f>
        <v>PROD</v>
      </c>
      <c r="S114" s="598"/>
      <c r="T114" s="527"/>
      <c r="U114" s="599"/>
      <c r="V114" s="524" t="s">
        <v>4016</v>
      </c>
      <c r="W114" s="524" t="s">
        <v>2249</v>
      </c>
      <c r="X114" s="524" t="s">
        <v>32</v>
      </c>
      <c r="Y114" s="361" t="s">
        <v>4067</v>
      </c>
      <c r="Z114" s="526" t="str">
        <f>IF(NOT(ISBLANK(HostBuild[[#This Row],[Product 
(Acronym)]])),CONCATENATE(HostBuild[[#This Row],[Type]],"-",HostBuild[[#This Row],[Product 
(Acronym)]]),"")</f>
        <v>DB-CBOL</v>
      </c>
      <c r="AA114" s="600"/>
      <c r="AB114" s="600" t="s">
        <v>105</v>
      </c>
      <c r="AC114" s="528"/>
      <c r="AD114" s="529"/>
      <c r="AE114" s="529"/>
      <c r="AF114" s="530"/>
      <c r="AG114" s="531"/>
      <c r="AH114" s="601"/>
      <c r="AI114" s="362" t="s">
        <v>4036</v>
      </c>
      <c r="AJ114" s="524">
        <f>IF(COUNTIF(HostBuild[Alias],HostBuild[Alias]),1/COUNTIF(HostBuild[Alias],HostBuild[Alias]),0)</f>
        <v>1</v>
      </c>
      <c r="AK114" s="531"/>
      <c r="AL114" s="531"/>
      <c r="AM114" s="532" t="s">
        <v>2173</v>
      </c>
      <c r="AN114" s="533" t="str">
        <f>IF(NOT(ISBLANK(HostBuild[Server Model])),VLOOKUP(HostBuild[Server Model],ServerModelsTier[],2,FALSE),"")</f>
        <v>x86 Tier 3</v>
      </c>
      <c r="AO114" s="533" t="str">
        <f>IF(NOT(ISBLANK(HostBuild[Server Model])),VLOOKUP(HostBuild[Server Model],ServerModelsTier[],5,FALSE),"")</f>
        <v>x86</v>
      </c>
      <c r="AP114" s="532"/>
      <c r="AQ114" s="532" t="s">
        <v>2337</v>
      </c>
      <c r="AR114" s="534">
        <v>2</v>
      </c>
      <c r="AS114" s="602"/>
      <c r="AT114" s="535">
        <v>16</v>
      </c>
      <c r="AU114" s="603" t="str">
        <f>IF(IFERROR(FIND("P-Series",HostBuild[Server Tier]),0),CEILING((HostBuild[Existing CPUs]+HostBuild[CPU])*16,8),"")</f>
        <v/>
      </c>
      <c r="AV114" s="536">
        <v>128</v>
      </c>
      <c r="AW114" s="531"/>
      <c r="AX114" s="531"/>
      <c r="AY114" s="531"/>
      <c r="AZ114" s="537"/>
      <c r="BA114" s="531"/>
      <c r="BB114" s="531"/>
      <c r="BC114" s="529"/>
      <c r="BD114" s="531"/>
      <c r="BE114" s="531"/>
      <c r="BF114" s="531"/>
      <c r="BG114" s="531"/>
      <c r="BH114" s="531"/>
      <c r="BI114" s="531"/>
      <c r="BJ114" s="531"/>
      <c r="BK114"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4" s="538">
        <v>3200</v>
      </c>
      <c r="BM114" s="540">
        <f>IF(ISNUMBER(HostBuild[Recommended SAN (GB)]),HostBuild[Recommended SAN (GB)])+IF(HostBuild[Additional SAN (GB)]&gt;0,CEILING(HostBuild[Additional SAN (GB)],LUN),-(CEILING(-HostBuild[Additional SAN (GB)],LUN)))</f>
        <v>3403.7000000000003</v>
      </c>
      <c r="BN114" s="539"/>
      <c r="BO114" s="540">
        <f>HostBuild[SAN (GB)
NEEDED TODAY]+CEILING(HostBuild[SAN (GB)
RESERVED
DO NOT USE TO BUILD], LUN)</f>
        <v>3403.7000000000003</v>
      </c>
      <c r="BP114" s="541">
        <v>3000</v>
      </c>
      <c r="BQ114" s="542"/>
      <c r="BR114" s="432"/>
      <c r="BS114" s="605">
        <f>IF(HostBuild[Existing Server?]&lt;&gt;"Yes - Inside this BoM",IF(ISNUMBER(HostBuild[RAM 
(GB)]),IF(HostBuild[Existing RAM (GB)]+HostBuild[RAM 
(GB)]&gt;0,IF(HostBuild[Virtual Platform Storage Type]="NAS",110+HostBuild[Existing RAM (GB)]+HostBuild[RAM 
(GB)]*1.75,0),0),0),0)</f>
        <v>0</v>
      </c>
      <c r="BT114" s="606"/>
      <c r="BU114" s="607">
        <f>IF(ISNUMBER(HostBuild[Recommended NAS (GB)]),HostBuild[Recommended NAS (GB)])+HostBuild[Additional NAS (GB)]</f>
        <v>0</v>
      </c>
      <c r="BV114" s="543"/>
      <c r="BW114" s="543"/>
      <c r="BX114" s="604">
        <f>IFERROR((HostBuild[SAN (GB)
End-State
DO NOT USE TO BUILD]+HostBuild[SAN (GB) Shared])*25%,"")</f>
        <v>1600.9250000000002</v>
      </c>
      <c r="BY114" s="608">
        <f>IFERROR(HostBuild[Archive
Full (GB)]*15%,"")</f>
        <v>240.13875000000002</v>
      </c>
      <c r="BZ114" s="544"/>
      <c r="CA114" s="544"/>
      <c r="CB114" s="545"/>
      <c r="CC114" s="546"/>
      <c r="CD114" s="545"/>
      <c r="CE114" s="547"/>
      <c r="CF114" s="539"/>
      <c r="CG114" s="609"/>
      <c r="CH114" s="548"/>
      <c r="CI114" s="549"/>
      <c r="CJ114" s="550"/>
      <c r="CK114" s="551"/>
      <c r="CL114" s="552">
        <f>IFERROR(IF(FIND(CL$1,$W114)&gt;0,IF(INDEX(Product_Pricing_Table[],MATCH(CL$1,Products,0),2)="Cores",IF(HostBuild[Use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4" s="552">
        <f>IFERROR(IF(FIND(CM$1,$W114)&gt;0,IF(INDEX(Product_Pricing_Table[],MATCH(CM$1,Products,0),2)="Cores",IF(HostBuild[Use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4" s="552">
        <f>IFERROR(IF(FIND(CN$1,$W114)&gt;0,IF(INDEX(Product_Pricing_Table[],MATCH(CN$1,Products,0),2)="Cores",IF(HostBuild[Use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4" s="552">
        <f>IFERROR(IF(FIND(CO$1,$W114)&gt;0,IF(INDEX(Product_Pricing_Table[],MATCH(CO$1,Products,0),2)="Cores",IF(HostBuild[Use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4" s="552">
        <f>IFERROR(IF(FIND(CP$1,$W114)&gt;0,IF(INDEX(Product_Pricing_Table[],MATCH(CP$1,Products,0),2)="Cores",IF(HostBuild[Use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4" s="552">
        <f>IFERROR(IF(FIND(CQ$1,$W114)&gt;0,IF(INDEX(Product_Pricing_Table[],MATCH(CQ$1,Products,0),2)="Cores",IF(HostBuild[Use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4" s="552">
        <f>IFERROR(IF(FIND(CR$1,$W114)&gt;0,IF(INDEX(Product_Pricing_Table[],MATCH(CR$1,Products,0),2)="Cores",IF(HostBuild[Use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4" s="552">
        <f>IFERROR(IF(FIND(CS$1,$W114)&gt;0,IF(INDEX(Product_Pricing_Table[],MATCH(CS$1,Products,0),2)="Cores",IF(HostBuild[Use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4" s="552">
        <f>IFERROR(IF(FIND(CT$1,$W114)&gt;0,IF(INDEX(Product_Pricing_Table[],MATCH(CT$1,Products,0),2)="Cores",IF(HostBuild[Use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4" s="552">
        <f>IFERROR(IF(FIND(CU$1,$W114)&gt;0,IF(INDEX(Product_Pricing_Table[],MATCH(CU$1,Products,0),2)="Cores",IF(HostBuild[Use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4" s="552">
        <f>IFERROR(IF(FIND(CV$1,$W114)&gt;0,IF(INDEX(Product_Pricing_Table[],MATCH(CV$1,Products,0),2)="Cores",IF(HostBuild[Use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4" s="552">
        <f>IFERROR(IF(FIND(CW$1,$W114)&gt;0,IF(INDEX(Product_Pricing_Table[],MATCH(CW$1,Products,0),2)="Cores",IF(HostBuild[Use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4" s="552">
        <f>IFERROR(IF(FIND(CX$1,$W114)&gt;0,IF(INDEX(Product_Pricing_Table[],MATCH(CX$1,Products,0),2)="Cores",IF(HostBuild[Use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4" s="552">
        <f>IFERROR(IF(FIND(CY$1,$W114)&gt;0,IF(INDEX(Product_Pricing_Table[],MATCH(CY$1,Products,0),2)="Cores",IF(HostBuild[Use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4" s="552">
        <f>IFERROR(IF(FIND(CZ$1,$W114)&gt;0,IF(INDEX(Product_Pricing_Table[],MATCH(CZ$1,Products,0),2)="Cores",IF(HostBuild[Use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4" s="552">
        <f>IFERROR(IF(FIND(DA$1,$W114)&gt;0,IF(INDEX(Product_Pricing_Table[],MATCH(DA$1,Products,0),2)="Cores",IF(HostBuild[Use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4" s="552">
        <f>IFERROR(IF(FIND(DB$1,$W114)&gt;0,IF(INDEX(Product_Pricing_Table[],MATCH(DB$1,Products,0),2)="Cores",IF(HostBuild[Use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4" s="552">
        <f>IFERROR(IF(FIND(DC$1,$W114)&gt;0,IF(INDEX(Product_Pricing_Table[],MATCH(DC$1,Products,0),2)="Cores",IF(HostBuild[Use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4" s="552">
        <f>IFERROR(IF(FIND(DD$1,$W114)&gt;0,IF(INDEX(Product_Pricing_Table[],MATCH(DD$1,Products,0),2)="Cores",IF(HostBuild[Use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4" s="552">
        <f>IFERROR(IF(FIND(DE$1,$W114)&gt;0,IF(INDEX(Product_Pricing_Table[],MATCH(DE$1,Products,0),2)="Cores",IF(HostBuild[Use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4" s="553">
        <f>IFERROR(IF(FIND(DF$1,$W114)&gt;0,IF(INDEX(Product_Pricing_Table[],MATCH(DF$1,Products,0),2)="Cores",IF(HostBuild[Use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4" s="553">
        <f>IFERROR(IF(FIND(DG$1,$W114)&gt;0,IF(INDEX(Product_Pricing_Table[],MATCH(DG$1,Products,0),2)="Cores",IF(HostBuild[Use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4" s="552">
        <f>IFERROR(IF(FIND(DH$1,$W114)&gt;0,IF(INDEX(Product_Pricing_Table[],MATCH(DH$1,Products,0),2)="Cores",IF(HostBuild[Use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4" s="553">
        <f>IFERROR(IF(FIND(DI$1,$W114)&gt;0,IF(INDEX(Product_Pricing_Table[],MATCH(DI$1,Products,0),2)="Cores",IF(HostBuild[Use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4" s="552">
        <f>IFERROR(IF(FIND(DJ$1,$W114)&gt;0,IF(INDEX(Product_Pricing_Table[],MATCH(DJ$1,Products,0),2)="Cores",IF(HostBuild[Use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4" s="552">
        <f>IFERROR(IF(FIND(DK$1,$W114)&gt;0,IF(INDEX(Product_Pricing_Table[],MATCH(DK$1,Products,0),2)="Cores",IF(HostBuild[Use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4" s="552">
        <f>IFERROR(IF(FIND(DL$1,$W114)&gt;0,IF(INDEX(Product_Pricing_Table[],MATCH(DL$1,Products,0),2)="Cores",IF(HostBuild[Use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4" s="552">
        <f>IFERROR(IF(FIND(DM$1,$W114)&gt;0,IF(INDEX(Product_Pricing_Table[],MATCH(DM$1,Products,0),2)="Cores",IF(HostBuild[Use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4" s="552">
        <f>IFERROR(IF(FIND(DN$1,$W114)&gt;0,IF(INDEX(Product_Pricing_Table[],MATCH(DN$1,Products,0),2)="Cores",IF(HostBuild[Use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4" s="552">
        <f>IFERROR(IF(FIND(DO$1,$W114)&gt;0,IF(INDEX(Product_Pricing_Table[],MATCH(DO$1,Products,0),2)="Cores",IF(HostBuild[Use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4" s="552">
        <f>IFERROR(IF(FIND(DP$1,$W114)&gt;0,IF(INDEX(Product_Pricing_Table[],MATCH(DP$1,Products,0),2)="Cores",IF(HostBuild[Use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4" s="552">
        <f>IFERROR(IF(FIND(DQ$1,$W114)&gt;0,IF(INDEX(Product_Pricing_Table[],MATCH(DQ$1,Products,0),2)="Cores",IF(HostBuild[Use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4" s="552">
        <f>IFERROR(IF(FIND(DR$1,$W114)&gt;0,IF(INDEX(Product_Pricing_Table[],MATCH(DR$1,Products,0),2)="Cores",IF(HostBuild[Use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4" s="552">
        <f>IFERROR(IF(FIND(DS$1,$W114)&gt;0,IF(INDEX(Product_Pricing_Table[],MATCH(DS$1,Products,0),2)="Cores",IF(HostBuild[Use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4" s="552">
        <f>IFERROR(IF(FIND(DT$1,$W114)&gt;0,IF(INDEX(Product_Pricing_Table[],MATCH(DT$1,Products,0),2)="Cores",IF(HostBuild[Use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4" s="552">
        <f>IFERROR(IF(FIND(DU$1,$W114)&gt;0,IF(INDEX(Product_Pricing_Table[],MATCH(DU$1,Products,0),2)="Cores",IF(HostBuild[Use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4" s="552">
        <f>IFERROR(IF(FIND(DV$1,$W114)&gt;0,IF(INDEX(Product_Pricing_Table[],MATCH(DV$1,Products,0),2)="Cores",IF(HostBuild[Use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4" s="552">
        <f>IFERROR(IF(FIND(DW$1,$W114)&gt;0,IF(INDEX(Product_Pricing_Table[],MATCH(DW$1,Products,0),2)="Cores",IF(HostBuild[Use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4" s="552">
        <f>IFERROR(IF(FIND(DX$1,$W114)&gt;0,IF(INDEX(Product_Pricing_Table[],MATCH(DX$1,Products,0),2)="Cores",IF(HostBuild[Use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4" s="552">
        <f>IFERROR(IF(FIND(DY$1,$W114)&gt;0,IF(INDEX(Product_Pricing_Table[],MATCH(DY$1,Products,0),2)="Cores",IF(HostBuild[Use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4" s="552">
        <f>IFERROR(IF(FIND(DZ$1,$W114)&gt;0,IF(INDEX(Product_Pricing_Table[],MATCH(DZ$1,Products,0),2)="Cores",IF(HostBuild[Use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4" s="552">
        <f>IFERROR(IF(FIND(EA$1,$W114)&gt;0,IF(INDEX(Product_Pricing_Table[],MATCH(EA$1,Products,0),2)="Cores",IF(HostBuild[Use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4" s="552">
        <f>IFERROR(IF(FIND(EB$1,$W114)&gt;0,IF(INDEX(Product_Pricing_Table[],MATCH(EB$1,Products,0),2)="Cores",IF(HostBuild[Use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4" s="553">
        <f>IFERROR(IF(FIND(EC$1,$W114)&gt;0,IF(INDEX(Product_Pricing_Table[],MATCH(EC$1,Products,0),2)="Cores",IF(HostBuild[Use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4" s="552">
        <f>IFERROR(IF(FIND(ED$1,$W114)&gt;0,IF(INDEX(Product_Pricing_Table[],MATCH(ED$1,Products,0),2)="Cores",IF(HostBuild[Use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4" s="552">
        <f>IFERROR(IF(FIND(EE$1,$W114)&gt;0,IF(INDEX(Product_Pricing_Table[],MATCH(EE$1,Products,0),2)="Cores",IF(HostBuild[Use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4" s="552">
        <f>IFERROR(IF(FIND(EF$1,$W114)&gt;0,IF(INDEX(Product_Pricing_Table[],MATCH(EF$1,Products,0),2)="Cores",IF(HostBuild[Use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4" s="552">
        <f>IFERROR(IF(FIND(EG$1,$W114)&gt;0,IF(INDEX(Product_Pricing_Table[],MATCH(EG$1,Products,0),2)="Cores",IF(HostBuild[Use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4" s="552">
        <f>IFERROR(IF(FIND(EH$1,$W114)&gt;0,IF(INDEX(Product_Pricing_Table[],MATCH(EH$1,Products,0),2)="Cores",IF(HostBuild[Use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4" s="552">
        <f>IFERROR(IF(FIND(EI$1,$W114)&gt;0,IF(INDEX(Product_Pricing_Table[],MATCH(EI$1,Products,0),2)="Cores",IF(HostBuild[Use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4" s="552">
        <f>IFERROR(IF(FIND(EJ$1,$W114)&gt;0,IF(INDEX(Product_Pricing_Table[],MATCH(EJ$1,Products,0),2)="Cores",IF(HostBuild[Use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4" s="553">
        <f>IFERROR(IF(FIND(EK$1,$W114)&gt;0,IF(INDEX(Product_Pricing_Table[],MATCH(EK$1,Products,0),2)="Cores",IF(HostBuild[Use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4" s="554"/>
      <c r="EM114" s="555">
        <v>898.26250000000005</v>
      </c>
      <c r="EN114" s="556">
        <v>157.28333333333333</v>
      </c>
      <c r="EO11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4564.6650000000009</v>
      </c>
      <c r="EQ114" s="558">
        <f>(HostBuild[Archive
Full (GB)]+HostBuild[Archive
Incr (GB)])*Storage_DC_Dist_Tape_2014</f>
        <v>644.37231250000002</v>
      </c>
      <c r="ER114" s="558">
        <f>IF(ISNUMBER(HostBuild[Server HW Costs
(Monthly)]),SUM(HostBuild[[#This Row],[Server HW Costs
(Monthly)]:[Tape Costs
(Monthly)]]),0)</f>
        <v>6097.7373125000004</v>
      </c>
      <c r="ES114" s="559">
        <f>HostBuild[Software Costs
'[Year 1']
(Monthly)]+HostBuild[Total Hardware Costs
(Monthly)]</f>
        <v>6995.9998125000002</v>
      </c>
      <c r="ET114" s="559">
        <f>IFERROR(IF(FIND("Safenet",HostBuild[Server Model]),Safenet_PSE_PL600_Maint,0),0)+IFERROR(IF(FIND("XI52",HostBuild[Server Model]),IBM_DIA_XI52_Maint,0),0)+HostBuild[Software Costs
'[After Year 1']
(Monthly)]+HostBuild[Total Hardware Costs
(Monthly)]</f>
        <v>6255.0206458333341</v>
      </c>
      <c r="EU114" s="560">
        <f>SUM(HostBuild[[#This Row],[Server Cost Breakdown]:[Network Cost]])</f>
        <v>888.7</v>
      </c>
      <c r="EV114" s="561">
        <f>IF(HostBuild[Existing Server?]="Yes - Inside this BoM",0,SUMIF(HostBuild[Alias],HostBuild[Alias],HostBuild[CPU])+SUMIF(HostBuild[Alias],HostBuild[Alias],HostBuild[Existing CPUs]))</f>
        <v>2</v>
      </c>
      <c r="EW114" s="561">
        <f>IF(HostBuild[Existing Server?]="Yes - Inside this BoM",0,SUMIF(HostBuild[Alias],HostBuild[Alias],HostBuild[Cores 
(Licensed Units)])+SUMIF(HostBuild[Alias],HostBuild[Alias],HostBuild[Existing Cores]))</f>
        <v>16</v>
      </c>
      <c r="EX114" s="561">
        <f>IF(HostBuild[Existing Server?]="Yes - Inside this BoM",0,SUMIF(HostBuild[Alias],HostBuild[Alias],HostBuild[RAM 
(GB)])+SUMIF(HostBuild[Alias],HostBuild[Alias],HostBuild[Existing RAM (GB)]))</f>
        <v>128</v>
      </c>
      <c r="EY11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4" s="560">
        <f>IF(ISBLANK(HostBuild[Server Model]),0,IF(HostBuild[Server Tier]="VMware",0,VLOOKUP(HostBuild[Server Tier],ServerTierRates[#Data],2,0))*HostBuild[CPU]*IF(AND(HostBuild[Server Type]="pSeries",HostBuild[Virtual Platform Storage Type]="Cloud-SAN"),0.25,1))</f>
        <v>608</v>
      </c>
      <c r="FD114" s="560">
        <f>0</f>
        <v>0</v>
      </c>
      <c r="FE114" s="560">
        <f>IF(HostBuild[Server Type]="VMware",HostBuild[RAM 
(GB)]*IF(ISERROR(FIND("DevCloud", HostBuild[Server Model])&gt;0),vRAM_per_vCPU_2014_Monthly,vRAM_per_vCPU_2014_Daily*30),0)</f>
        <v>0</v>
      </c>
      <c r="FF11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4" s="563">
        <f>IF(HostBuild[Server Tier]="VMware",0,IF(LEFT(HostBuild[Existing Server?],3)="Yes",0,IF(OR(HostBuild[Server Type]="Sun",HostBuild[Server Type]="pSeries"),Support_Direct_Server_Sun_per_OS_2014,IF(HostBuild[Server Type]="x86",Support_Direct_Server_x86_Wintel_per_OS_2014,0))))</f>
        <v>187.1</v>
      </c>
      <c r="FI11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5" spans="1:165" s="139" customFormat="1" ht="15" customHeight="1">
      <c r="A115" s="360" t="s">
        <v>3942</v>
      </c>
      <c r="B115" s="521"/>
      <c r="C115" s="521"/>
      <c r="D115" s="521"/>
      <c r="E115" s="522"/>
      <c r="F115" s="522"/>
      <c r="G115" s="597"/>
      <c r="H115" s="597"/>
      <c r="I115" s="523"/>
      <c r="J115" s="522"/>
      <c r="K115" s="522"/>
      <c r="L115" s="522"/>
      <c r="M115" s="597" t="e">
        <f ca="1">IF(rngIsDate(HostBuild[CTO Acceptance]),"Y","N")</f>
        <v>#NAME?</v>
      </c>
      <c r="N115" s="361" t="s">
        <v>3939</v>
      </c>
      <c r="O115" s="525"/>
      <c r="P115" s="525"/>
      <c r="Q115" s="361" t="s">
        <v>3932</v>
      </c>
      <c r="R115" s="526" t="str">
        <f>IF(NOT(ISBLANK(HostBuild[Env Label])),IFERROR(VLOOKUP(HostBuild[Env Label],tEnv[],3,FALSE),""),"")</f>
        <v>PROD</v>
      </c>
      <c r="S115" s="598"/>
      <c r="T115" s="527"/>
      <c r="U115" s="599"/>
      <c r="V115" s="524" t="s">
        <v>4016</v>
      </c>
      <c r="W115" s="524" t="s">
        <v>2249</v>
      </c>
      <c r="X115" s="524" t="s">
        <v>32</v>
      </c>
      <c r="Y115" s="361" t="s">
        <v>4067</v>
      </c>
      <c r="Z115" s="526" t="str">
        <f>IF(NOT(ISBLANK(HostBuild[[#This Row],[Product 
(Acronym)]])),CONCATENATE(HostBuild[[#This Row],[Type]],"-",HostBuild[[#This Row],[Product 
(Acronym)]]),"")</f>
        <v>DB-CBOL</v>
      </c>
      <c r="AA115" s="600"/>
      <c r="AB115" s="600" t="s">
        <v>105</v>
      </c>
      <c r="AC115" s="528"/>
      <c r="AD115" s="529"/>
      <c r="AE115" s="529"/>
      <c r="AF115" s="530"/>
      <c r="AG115" s="531"/>
      <c r="AH115" s="601"/>
      <c r="AI115" s="362" t="s">
        <v>4037</v>
      </c>
      <c r="AJ115" s="524">
        <f>IF(COUNTIF(HostBuild[Alias],HostBuild[Alias]),1/COUNTIF(HostBuild[Alias],HostBuild[Alias]),0)</f>
        <v>1</v>
      </c>
      <c r="AK115" s="531"/>
      <c r="AL115" s="531"/>
      <c r="AM115" s="532" t="s">
        <v>2173</v>
      </c>
      <c r="AN115" s="533" t="str">
        <f>IF(NOT(ISBLANK(HostBuild[Server Model])),VLOOKUP(HostBuild[Server Model],ServerModelsTier[],2,FALSE),"")</f>
        <v>x86 Tier 3</v>
      </c>
      <c r="AO115" s="533" t="str">
        <f>IF(NOT(ISBLANK(HostBuild[Server Model])),VLOOKUP(HostBuild[Server Model],ServerModelsTier[],5,FALSE),"")</f>
        <v>x86</v>
      </c>
      <c r="AP115" s="532"/>
      <c r="AQ115" s="532" t="s">
        <v>2337</v>
      </c>
      <c r="AR115" s="534">
        <v>2</v>
      </c>
      <c r="AS115" s="602"/>
      <c r="AT115" s="535">
        <v>16</v>
      </c>
      <c r="AU115" s="603" t="str">
        <f>IF(IFERROR(FIND("P-Series",HostBuild[Server Tier]),0),CEILING((HostBuild[Existing CPUs]+HostBuild[CPU])*16,8),"")</f>
        <v/>
      </c>
      <c r="AV115" s="536">
        <v>128</v>
      </c>
      <c r="AW115" s="531"/>
      <c r="AX115" s="531"/>
      <c r="AY115" s="531"/>
      <c r="AZ115" s="537"/>
      <c r="BA115" s="531"/>
      <c r="BB115" s="531"/>
      <c r="BC115" s="529"/>
      <c r="BD115" s="531"/>
      <c r="BE115" s="531"/>
      <c r="BF115" s="531"/>
      <c r="BG115" s="531"/>
      <c r="BH115" s="531"/>
      <c r="BI115" s="531"/>
      <c r="BJ115" s="531"/>
      <c r="BK115"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5" s="538">
        <v>200</v>
      </c>
      <c r="BM115" s="540">
        <f>IF(ISNUMBER(HostBuild[Recommended SAN (GB)]),HostBuild[Recommended SAN (GB)])+IF(HostBuild[Additional SAN (GB)]&gt;0,CEILING(HostBuild[Additional SAN (GB)],LUN),-(CEILING(-HostBuild[Additional SAN (GB)],LUN)))</f>
        <v>404.40000000000003</v>
      </c>
      <c r="BN115" s="539"/>
      <c r="BO115" s="540">
        <f>HostBuild[SAN (GB)
NEEDED TODAY]+CEILING(HostBuild[SAN (GB)
RESERVED
DO NOT USE TO BUILD], LUN)</f>
        <v>404.40000000000003</v>
      </c>
      <c r="BP115" s="541"/>
      <c r="BQ115" s="542"/>
      <c r="BR115" s="432"/>
      <c r="BS115" s="605">
        <f>IF(HostBuild[Existing Server?]&lt;&gt;"Yes - Inside this BoM",IF(ISNUMBER(HostBuild[RAM 
(GB)]),IF(HostBuild[Existing RAM (GB)]+HostBuild[RAM 
(GB)]&gt;0,IF(HostBuild[Virtual Platform Storage Type]="NAS",110+HostBuild[Existing RAM (GB)]+HostBuild[RAM 
(GB)]*1.75,0),0),0),0)</f>
        <v>0</v>
      </c>
      <c r="BT115" s="606"/>
      <c r="BU115" s="607">
        <f>IF(ISNUMBER(HostBuild[Recommended NAS (GB)]),HostBuild[Recommended NAS (GB)])+HostBuild[Additional NAS (GB)]</f>
        <v>0</v>
      </c>
      <c r="BV115" s="543"/>
      <c r="BW115" s="543"/>
      <c r="BX115" s="604">
        <f>IFERROR((HostBuild[SAN (GB)
End-State
DO NOT USE TO BUILD]+HostBuild[SAN (GB) Shared])*25%,"")</f>
        <v>101.10000000000001</v>
      </c>
      <c r="BY115" s="608">
        <f>IFERROR(HostBuild[Archive
Full (GB)]*15%,"")</f>
        <v>15.165000000000001</v>
      </c>
      <c r="BZ115" s="544"/>
      <c r="CA115" s="544"/>
      <c r="CB115" s="545"/>
      <c r="CC115" s="546"/>
      <c r="CD115" s="545"/>
      <c r="CE115" s="547"/>
      <c r="CF115" s="539"/>
      <c r="CG115" s="609"/>
      <c r="CH115" s="548"/>
      <c r="CI115" s="549"/>
      <c r="CJ115" s="550"/>
      <c r="CK115" s="551"/>
      <c r="CL115" s="552">
        <f>IFERROR(IF(FIND(CL$1,$W115)&gt;0,IF(INDEX(Product_Pricing_Table[],MATCH(CL$1,Products,0),2)="Cores",IF(HostBuild[Use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5" s="552">
        <f>IFERROR(IF(FIND(CM$1,$W115)&gt;0,IF(INDEX(Product_Pricing_Table[],MATCH(CM$1,Products,0),2)="Cores",IF(HostBuild[Use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5" s="552">
        <f>IFERROR(IF(FIND(CN$1,$W115)&gt;0,IF(INDEX(Product_Pricing_Table[],MATCH(CN$1,Products,0),2)="Cores",IF(HostBuild[Use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5" s="552">
        <f>IFERROR(IF(FIND(CO$1,$W115)&gt;0,IF(INDEX(Product_Pricing_Table[],MATCH(CO$1,Products,0),2)="Cores",IF(HostBuild[Use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5" s="552">
        <f>IFERROR(IF(FIND(CP$1,$W115)&gt;0,IF(INDEX(Product_Pricing_Table[],MATCH(CP$1,Products,0),2)="Cores",IF(HostBuild[Use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5" s="552">
        <f>IFERROR(IF(FIND(CQ$1,$W115)&gt;0,IF(INDEX(Product_Pricing_Table[],MATCH(CQ$1,Products,0),2)="Cores",IF(HostBuild[Use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5" s="552">
        <f>IFERROR(IF(FIND(CR$1,$W115)&gt;0,IF(INDEX(Product_Pricing_Table[],MATCH(CR$1,Products,0),2)="Cores",IF(HostBuild[Use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5" s="552">
        <f>IFERROR(IF(FIND(CS$1,$W115)&gt;0,IF(INDEX(Product_Pricing_Table[],MATCH(CS$1,Products,0),2)="Cores",IF(HostBuild[Use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5" s="552">
        <f>IFERROR(IF(FIND(CT$1,$W115)&gt;0,IF(INDEX(Product_Pricing_Table[],MATCH(CT$1,Products,0),2)="Cores",IF(HostBuild[Use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5" s="552">
        <f>IFERROR(IF(FIND(CU$1,$W115)&gt;0,IF(INDEX(Product_Pricing_Table[],MATCH(CU$1,Products,0),2)="Cores",IF(HostBuild[Use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5" s="552">
        <f>IFERROR(IF(FIND(CV$1,$W115)&gt;0,IF(INDEX(Product_Pricing_Table[],MATCH(CV$1,Products,0),2)="Cores",IF(HostBuild[Use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5" s="552">
        <f>IFERROR(IF(FIND(CW$1,$W115)&gt;0,IF(INDEX(Product_Pricing_Table[],MATCH(CW$1,Products,0),2)="Cores",IF(HostBuild[Use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5" s="552">
        <f>IFERROR(IF(FIND(CX$1,$W115)&gt;0,IF(INDEX(Product_Pricing_Table[],MATCH(CX$1,Products,0),2)="Cores",IF(HostBuild[Use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5" s="552">
        <f>IFERROR(IF(FIND(CY$1,$W115)&gt;0,IF(INDEX(Product_Pricing_Table[],MATCH(CY$1,Products,0),2)="Cores",IF(HostBuild[Use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5" s="552">
        <f>IFERROR(IF(FIND(CZ$1,$W115)&gt;0,IF(INDEX(Product_Pricing_Table[],MATCH(CZ$1,Products,0),2)="Cores",IF(HostBuild[Use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5" s="552">
        <f>IFERROR(IF(FIND(DA$1,$W115)&gt;0,IF(INDEX(Product_Pricing_Table[],MATCH(DA$1,Products,0),2)="Cores",IF(HostBuild[Use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5" s="552">
        <f>IFERROR(IF(FIND(DB$1,$W115)&gt;0,IF(INDEX(Product_Pricing_Table[],MATCH(DB$1,Products,0),2)="Cores",IF(HostBuild[Use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5" s="552">
        <f>IFERROR(IF(FIND(DC$1,$W115)&gt;0,IF(INDEX(Product_Pricing_Table[],MATCH(DC$1,Products,0),2)="Cores",IF(HostBuild[Use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5" s="552">
        <f>IFERROR(IF(FIND(DD$1,$W115)&gt;0,IF(INDEX(Product_Pricing_Table[],MATCH(DD$1,Products,0),2)="Cores",IF(HostBuild[Use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5" s="552">
        <f>IFERROR(IF(FIND(DE$1,$W115)&gt;0,IF(INDEX(Product_Pricing_Table[],MATCH(DE$1,Products,0),2)="Cores",IF(HostBuild[Use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5" s="553">
        <f>IFERROR(IF(FIND(DF$1,$W115)&gt;0,IF(INDEX(Product_Pricing_Table[],MATCH(DF$1,Products,0),2)="Cores",IF(HostBuild[Use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5" s="553">
        <f>IFERROR(IF(FIND(DG$1,$W115)&gt;0,IF(INDEX(Product_Pricing_Table[],MATCH(DG$1,Products,0),2)="Cores",IF(HostBuild[Use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5" s="552">
        <f>IFERROR(IF(FIND(DH$1,$W115)&gt;0,IF(INDEX(Product_Pricing_Table[],MATCH(DH$1,Products,0),2)="Cores",IF(HostBuild[Use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5" s="553">
        <f>IFERROR(IF(FIND(DI$1,$W115)&gt;0,IF(INDEX(Product_Pricing_Table[],MATCH(DI$1,Products,0),2)="Cores",IF(HostBuild[Use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5" s="552">
        <f>IFERROR(IF(FIND(DJ$1,$W115)&gt;0,IF(INDEX(Product_Pricing_Table[],MATCH(DJ$1,Products,0),2)="Cores",IF(HostBuild[Use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5" s="552">
        <f>IFERROR(IF(FIND(DK$1,$W115)&gt;0,IF(INDEX(Product_Pricing_Table[],MATCH(DK$1,Products,0),2)="Cores",IF(HostBuild[Use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5" s="552">
        <f>IFERROR(IF(FIND(DL$1,$W115)&gt;0,IF(INDEX(Product_Pricing_Table[],MATCH(DL$1,Products,0),2)="Cores",IF(HostBuild[Use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5" s="552">
        <f>IFERROR(IF(FIND(DM$1,$W115)&gt;0,IF(INDEX(Product_Pricing_Table[],MATCH(DM$1,Products,0),2)="Cores",IF(HostBuild[Use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5" s="552">
        <f>IFERROR(IF(FIND(DN$1,$W115)&gt;0,IF(INDEX(Product_Pricing_Table[],MATCH(DN$1,Products,0),2)="Cores",IF(HostBuild[Use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5" s="552">
        <f>IFERROR(IF(FIND(DO$1,$W115)&gt;0,IF(INDEX(Product_Pricing_Table[],MATCH(DO$1,Products,0),2)="Cores",IF(HostBuild[Use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5" s="552">
        <f>IFERROR(IF(FIND(DP$1,$W115)&gt;0,IF(INDEX(Product_Pricing_Table[],MATCH(DP$1,Products,0),2)="Cores",IF(HostBuild[Use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5" s="552">
        <f>IFERROR(IF(FIND(DQ$1,$W115)&gt;0,IF(INDEX(Product_Pricing_Table[],MATCH(DQ$1,Products,0),2)="Cores",IF(HostBuild[Use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5" s="552">
        <f>IFERROR(IF(FIND(DR$1,$W115)&gt;0,IF(INDEX(Product_Pricing_Table[],MATCH(DR$1,Products,0),2)="Cores",IF(HostBuild[Use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5" s="552">
        <f>IFERROR(IF(FIND(DS$1,$W115)&gt;0,IF(INDEX(Product_Pricing_Table[],MATCH(DS$1,Products,0),2)="Cores",IF(HostBuild[Use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5" s="552">
        <f>IFERROR(IF(FIND(DT$1,$W115)&gt;0,IF(INDEX(Product_Pricing_Table[],MATCH(DT$1,Products,0),2)="Cores",IF(HostBuild[Use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5" s="552">
        <f>IFERROR(IF(FIND(DU$1,$W115)&gt;0,IF(INDEX(Product_Pricing_Table[],MATCH(DU$1,Products,0),2)="Cores",IF(HostBuild[Use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5" s="552">
        <f>IFERROR(IF(FIND(DV$1,$W115)&gt;0,IF(INDEX(Product_Pricing_Table[],MATCH(DV$1,Products,0),2)="Cores",IF(HostBuild[Use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5" s="552">
        <f>IFERROR(IF(FIND(DW$1,$W115)&gt;0,IF(INDEX(Product_Pricing_Table[],MATCH(DW$1,Products,0),2)="Cores",IF(HostBuild[Use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5" s="552">
        <f>IFERROR(IF(FIND(DX$1,$W115)&gt;0,IF(INDEX(Product_Pricing_Table[],MATCH(DX$1,Products,0),2)="Cores",IF(HostBuild[Use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5" s="552">
        <f>IFERROR(IF(FIND(DY$1,$W115)&gt;0,IF(INDEX(Product_Pricing_Table[],MATCH(DY$1,Products,0),2)="Cores",IF(HostBuild[Use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5" s="552">
        <f>IFERROR(IF(FIND(DZ$1,$W115)&gt;0,IF(INDEX(Product_Pricing_Table[],MATCH(DZ$1,Products,0),2)="Cores",IF(HostBuild[Use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5" s="552">
        <f>IFERROR(IF(FIND(EA$1,$W115)&gt;0,IF(INDEX(Product_Pricing_Table[],MATCH(EA$1,Products,0),2)="Cores",IF(HostBuild[Use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5" s="552">
        <f>IFERROR(IF(FIND(EB$1,$W115)&gt;0,IF(INDEX(Product_Pricing_Table[],MATCH(EB$1,Products,0),2)="Cores",IF(HostBuild[Use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5" s="553">
        <f>IFERROR(IF(FIND(EC$1,$W115)&gt;0,IF(INDEX(Product_Pricing_Table[],MATCH(EC$1,Products,0),2)="Cores",IF(HostBuild[Use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5" s="552">
        <f>IFERROR(IF(FIND(ED$1,$W115)&gt;0,IF(INDEX(Product_Pricing_Table[],MATCH(ED$1,Products,0),2)="Cores",IF(HostBuild[Use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5" s="552">
        <f>IFERROR(IF(FIND(EE$1,$W115)&gt;0,IF(INDEX(Product_Pricing_Table[],MATCH(EE$1,Products,0),2)="Cores",IF(HostBuild[Use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5" s="552">
        <f>IFERROR(IF(FIND(EF$1,$W115)&gt;0,IF(INDEX(Product_Pricing_Table[],MATCH(EF$1,Products,0),2)="Cores",IF(HostBuild[Use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5" s="552">
        <f>IFERROR(IF(FIND(EG$1,$W115)&gt;0,IF(INDEX(Product_Pricing_Table[],MATCH(EG$1,Products,0),2)="Cores",IF(HostBuild[Use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5" s="552">
        <f>IFERROR(IF(FIND(EH$1,$W115)&gt;0,IF(INDEX(Product_Pricing_Table[],MATCH(EH$1,Products,0),2)="Cores",IF(HostBuild[Use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5" s="552">
        <f>IFERROR(IF(FIND(EI$1,$W115)&gt;0,IF(INDEX(Product_Pricing_Table[],MATCH(EI$1,Products,0),2)="Cores",IF(HostBuild[Use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5" s="552">
        <f>IFERROR(IF(FIND(EJ$1,$W115)&gt;0,IF(INDEX(Product_Pricing_Table[],MATCH(EJ$1,Products,0),2)="Cores",IF(HostBuild[Use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5" s="553">
        <f>IFERROR(IF(FIND(EK$1,$W115)&gt;0,IF(INDEX(Product_Pricing_Table[],MATCH(EK$1,Products,0),2)="Cores",IF(HostBuild[Use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5" s="554"/>
      <c r="EM115" s="555">
        <v>898.26250000000005</v>
      </c>
      <c r="EN115" s="556">
        <v>157.28333333333333</v>
      </c>
      <c r="EO11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181.98000000000002</v>
      </c>
      <c r="EQ115" s="558">
        <f>(HostBuild[Archive
Full (GB)]+HostBuild[Archive
Incr (GB)])*Storage_DC_Dist_Tape_2014</f>
        <v>40.692750000000004</v>
      </c>
      <c r="ER115" s="558">
        <f>IF(ISNUMBER(HostBuild[Server HW Costs
(Monthly)]),SUM(HostBuild[[#This Row],[Server HW Costs
(Monthly)]:[Tape Costs
(Monthly)]]),0)</f>
        <v>1111.37275</v>
      </c>
      <c r="ES115" s="559">
        <f>HostBuild[Software Costs
'[Year 1']
(Monthly)]+HostBuild[Total Hardware Costs
(Monthly)]</f>
        <v>2009.63525</v>
      </c>
      <c r="ET115" s="559">
        <f>IFERROR(IF(FIND("Safenet",HostBuild[Server Model]),Safenet_PSE_PL600_Maint,0),0)+IFERROR(IF(FIND("XI52",HostBuild[Server Model]),IBM_DIA_XI52_Maint,0),0)+HostBuild[Software Costs
'[After Year 1']
(Monthly)]+HostBuild[Total Hardware Costs
(Monthly)]</f>
        <v>1268.6560833333333</v>
      </c>
      <c r="EU115" s="560">
        <f>SUM(HostBuild[[#This Row],[Server Cost Breakdown]:[Network Cost]])</f>
        <v>888.7</v>
      </c>
      <c r="EV115" s="561">
        <f>IF(HostBuild[Existing Server?]="Yes - Inside this BoM",0,SUMIF(HostBuild[Alias],HostBuild[Alias],HostBuild[CPU])+SUMIF(HostBuild[Alias],HostBuild[Alias],HostBuild[Existing CPUs]))</f>
        <v>2</v>
      </c>
      <c r="EW115" s="561">
        <f>IF(HostBuild[Existing Server?]="Yes - Inside this BoM",0,SUMIF(HostBuild[Alias],HostBuild[Alias],HostBuild[Cores 
(Licensed Units)])+SUMIF(HostBuild[Alias],HostBuild[Alias],HostBuild[Existing Cores]))</f>
        <v>16</v>
      </c>
      <c r="EX115" s="561">
        <f>IF(HostBuild[Existing Server?]="Yes - Inside this BoM",0,SUMIF(HostBuild[Alias],HostBuild[Alias],HostBuild[RAM 
(GB)])+SUMIF(HostBuild[Alias],HostBuild[Alias],HostBuild[Existing RAM (GB)]))</f>
        <v>128</v>
      </c>
      <c r="EY11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5" s="560">
        <f>IF(ISBLANK(HostBuild[Server Model]),0,IF(HostBuild[Server Tier]="VMware",0,VLOOKUP(HostBuild[Server Tier],ServerTierRates[#Data],2,0))*HostBuild[CPU]*IF(AND(HostBuild[Server Type]="pSeries",HostBuild[Virtual Platform Storage Type]="Cloud-SAN"),0.25,1))</f>
        <v>608</v>
      </c>
      <c r="FD115" s="560">
        <f>0</f>
        <v>0</v>
      </c>
      <c r="FE115" s="560">
        <f>IF(HostBuild[Server Type]="VMware",HostBuild[RAM 
(GB)]*IF(ISERROR(FIND("DevCloud", HostBuild[Server Model])&gt;0),vRAM_per_vCPU_2014_Monthly,vRAM_per_vCPU_2014_Daily*30),0)</f>
        <v>0</v>
      </c>
      <c r="FF11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5" s="563">
        <f>IF(HostBuild[Server Tier]="VMware",0,IF(LEFT(HostBuild[Existing Server?],3)="Yes",0,IF(OR(HostBuild[Server Type]="Sun",HostBuild[Server Type]="pSeries"),Support_Direct_Server_Sun_per_OS_2014,IF(HostBuild[Server Type]="x86",Support_Direct_Server_x86_Wintel_per_OS_2014,0))))</f>
        <v>187.1</v>
      </c>
      <c r="FI11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6" spans="1:165" s="139" customFormat="1" ht="15" customHeight="1">
      <c r="A116" s="360" t="s">
        <v>3942</v>
      </c>
      <c r="B116" s="521"/>
      <c r="C116" s="521"/>
      <c r="D116" s="521"/>
      <c r="E116" s="522"/>
      <c r="F116" s="522"/>
      <c r="G116" s="597"/>
      <c r="H116" s="597"/>
      <c r="I116" s="523"/>
      <c r="J116" s="522"/>
      <c r="K116" s="522"/>
      <c r="L116" s="522"/>
      <c r="M116" s="597" t="e">
        <f ca="1">IF(rngIsDate(HostBuild[CTO Acceptance]),"Y","N")</f>
        <v>#NAME?</v>
      </c>
      <c r="N116" s="361" t="s">
        <v>3938</v>
      </c>
      <c r="O116" s="525"/>
      <c r="P116" s="525"/>
      <c r="Q116" s="361" t="s">
        <v>79</v>
      </c>
      <c r="R116" s="526" t="str">
        <f>IF(NOT(ISBLANK(HostBuild[Env Label])),IFERROR(VLOOKUP(HostBuild[Env Label],tEnv[],3,FALSE),""),"")</f>
        <v>PROD</v>
      </c>
      <c r="S116" s="598"/>
      <c r="T116" s="527"/>
      <c r="U116" s="599"/>
      <c r="V116" s="524" t="s">
        <v>4017</v>
      </c>
      <c r="W116" s="524" t="s">
        <v>2249</v>
      </c>
      <c r="X116" s="524" t="s">
        <v>32</v>
      </c>
      <c r="Y116" s="361" t="s">
        <v>4067</v>
      </c>
      <c r="Z116" s="526" t="str">
        <f>IF(NOT(ISBLANK(HostBuild[[#This Row],[Product 
(Acronym)]])),CONCATENATE(HostBuild[[#This Row],[Type]],"-",HostBuild[[#This Row],[Product 
(Acronym)]]),"")</f>
        <v>DB-CBOL</v>
      </c>
      <c r="AA116" s="600"/>
      <c r="AB116" s="600" t="s">
        <v>105</v>
      </c>
      <c r="AC116" s="528"/>
      <c r="AD116" s="529"/>
      <c r="AE116" s="529"/>
      <c r="AF116" s="530"/>
      <c r="AG116" s="531"/>
      <c r="AH116" s="601"/>
      <c r="AI116" s="362" t="s">
        <v>4038</v>
      </c>
      <c r="AJ116" s="524">
        <f>IF(COUNTIF(HostBuild[Alias],HostBuild[Alias]),1/COUNTIF(HostBuild[Alias],HostBuild[Alias]),0)</f>
        <v>1</v>
      </c>
      <c r="AK116" s="531"/>
      <c r="AL116" s="531"/>
      <c r="AM116" s="532" t="s">
        <v>2173</v>
      </c>
      <c r="AN116" s="533" t="str">
        <f>IF(NOT(ISBLANK(HostBuild[Server Model])),VLOOKUP(HostBuild[Server Model],ServerModelsTier[],2,FALSE),"")</f>
        <v>x86 Tier 3</v>
      </c>
      <c r="AO116" s="533" t="str">
        <f>IF(NOT(ISBLANK(HostBuild[Server Model])),VLOOKUP(HostBuild[Server Model],ServerModelsTier[],5,FALSE),"")</f>
        <v>x86</v>
      </c>
      <c r="AP116" s="532"/>
      <c r="AQ116" s="532" t="s">
        <v>2337</v>
      </c>
      <c r="AR116" s="534">
        <v>2</v>
      </c>
      <c r="AS116" s="602"/>
      <c r="AT116" s="535">
        <v>16</v>
      </c>
      <c r="AU116" s="603" t="str">
        <f>IF(IFERROR(FIND("P-Series",HostBuild[Server Tier]),0),CEILING((HostBuild[Existing CPUs]+HostBuild[CPU])*16,8),"")</f>
        <v/>
      </c>
      <c r="AV116" s="536">
        <v>128</v>
      </c>
      <c r="AW116" s="531"/>
      <c r="AX116" s="531"/>
      <c r="AY116" s="531"/>
      <c r="AZ116" s="537"/>
      <c r="BA116" s="531"/>
      <c r="BB116" s="531"/>
      <c r="BC116" s="529"/>
      <c r="BD116" s="531"/>
      <c r="BE116" s="531"/>
      <c r="BF116" s="531"/>
      <c r="BG116" s="531"/>
      <c r="BH116" s="531"/>
      <c r="BI116" s="531"/>
      <c r="BJ116" s="531"/>
      <c r="BK116"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6" s="538">
        <v>3200</v>
      </c>
      <c r="BM116" s="540">
        <f>IF(ISNUMBER(HostBuild[Recommended SAN (GB)]),HostBuild[Recommended SAN (GB)])+IF(HostBuild[Additional SAN (GB)]&gt;0,CEILING(HostBuild[Additional SAN (GB)],LUN),-(CEILING(-HostBuild[Additional SAN (GB)],LUN)))</f>
        <v>3403.7000000000003</v>
      </c>
      <c r="BN116" s="539"/>
      <c r="BO116" s="540">
        <f>HostBuild[SAN (GB)
NEEDED TODAY]+CEILING(HostBuild[SAN (GB)
RESERVED
DO NOT USE TO BUILD], LUN)</f>
        <v>3403.7000000000003</v>
      </c>
      <c r="BP116" s="541">
        <v>3000</v>
      </c>
      <c r="BQ116" s="542"/>
      <c r="BR116" s="432"/>
      <c r="BS116" s="605">
        <f>IF(HostBuild[Existing Server?]&lt;&gt;"Yes - Inside this BoM",IF(ISNUMBER(HostBuild[RAM 
(GB)]),IF(HostBuild[Existing RAM (GB)]+HostBuild[RAM 
(GB)]&gt;0,IF(HostBuild[Virtual Platform Storage Type]="NAS",110+HostBuild[Existing RAM (GB)]+HostBuild[RAM 
(GB)]*1.75,0),0),0),0)</f>
        <v>0</v>
      </c>
      <c r="BT116" s="606"/>
      <c r="BU116" s="607">
        <f>IF(ISNUMBER(HostBuild[Recommended NAS (GB)]),HostBuild[Recommended NAS (GB)])+HostBuild[Additional NAS (GB)]</f>
        <v>0</v>
      </c>
      <c r="BV116" s="543"/>
      <c r="BW116" s="543"/>
      <c r="BX116" s="604">
        <f>IFERROR((HostBuild[SAN (GB)
End-State
DO NOT USE TO BUILD]+HostBuild[SAN (GB) Shared])*25%,"")</f>
        <v>1600.9250000000002</v>
      </c>
      <c r="BY116" s="608">
        <f>IFERROR(HostBuild[Archive
Full (GB)]*15%,"")</f>
        <v>240.13875000000002</v>
      </c>
      <c r="BZ116" s="544"/>
      <c r="CA116" s="544"/>
      <c r="CB116" s="545"/>
      <c r="CC116" s="546"/>
      <c r="CD116" s="545"/>
      <c r="CE116" s="547"/>
      <c r="CF116" s="539"/>
      <c r="CG116" s="609"/>
      <c r="CH116" s="548"/>
      <c r="CI116" s="549"/>
      <c r="CJ116" s="550"/>
      <c r="CK116" s="551"/>
      <c r="CL116" s="552">
        <f>IFERROR(IF(FIND(CL$1,$W116)&gt;0,IF(INDEX(Product_Pricing_Table[],MATCH(CL$1,Products,0),2)="Cores",IF(HostBuild[Use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6" s="552">
        <f>IFERROR(IF(FIND(CM$1,$W116)&gt;0,IF(INDEX(Product_Pricing_Table[],MATCH(CM$1,Products,0),2)="Cores",IF(HostBuild[Use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6" s="552">
        <f>IFERROR(IF(FIND(CN$1,$W116)&gt;0,IF(INDEX(Product_Pricing_Table[],MATCH(CN$1,Products,0),2)="Cores",IF(HostBuild[Use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6" s="552">
        <f>IFERROR(IF(FIND(CO$1,$W116)&gt;0,IF(INDEX(Product_Pricing_Table[],MATCH(CO$1,Products,0),2)="Cores",IF(HostBuild[Use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6" s="552">
        <f>IFERROR(IF(FIND(CP$1,$W116)&gt;0,IF(INDEX(Product_Pricing_Table[],MATCH(CP$1,Products,0),2)="Cores",IF(HostBuild[Use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6" s="552">
        <f>IFERROR(IF(FIND(CQ$1,$W116)&gt;0,IF(INDEX(Product_Pricing_Table[],MATCH(CQ$1,Products,0),2)="Cores",IF(HostBuild[Use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6" s="552">
        <f>IFERROR(IF(FIND(CR$1,$W116)&gt;0,IF(INDEX(Product_Pricing_Table[],MATCH(CR$1,Products,0),2)="Cores",IF(HostBuild[Use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6" s="552">
        <f>IFERROR(IF(FIND(CS$1,$W116)&gt;0,IF(INDEX(Product_Pricing_Table[],MATCH(CS$1,Products,0),2)="Cores",IF(HostBuild[Use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6" s="552">
        <f>IFERROR(IF(FIND(CT$1,$W116)&gt;0,IF(INDEX(Product_Pricing_Table[],MATCH(CT$1,Products,0),2)="Cores",IF(HostBuild[Use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6" s="552">
        <f>IFERROR(IF(FIND(CU$1,$W116)&gt;0,IF(INDEX(Product_Pricing_Table[],MATCH(CU$1,Products,0),2)="Cores",IF(HostBuild[Use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6" s="552">
        <f>IFERROR(IF(FIND(CV$1,$W116)&gt;0,IF(INDEX(Product_Pricing_Table[],MATCH(CV$1,Products,0),2)="Cores",IF(HostBuild[Use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6" s="552">
        <f>IFERROR(IF(FIND(CW$1,$W116)&gt;0,IF(INDEX(Product_Pricing_Table[],MATCH(CW$1,Products,0),2)="Cores",IF(HostBuild[Use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6" s="552">
        <f>IFERROR(IF(FIND(CX$1,$W116)&gt;0,IF(INDEX(Product_Pricing_Table[],MATCH(CX$1,Products,0),2)="Cores",IF(HostBuild[Use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6" s="552">
        <f>IFERROR(IF(FIND(CY$1,$W116)&gt;0,IF(INDEX(Product_Pricing_Table[],MATCH(CY$1,Products,0),2)="Cores",IF(HostBuild[Use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6" s="552">
        <f>IFERROR(IF(FIND(CZ$1,$W116)&gt;0,IF(INDEX(Product_Pricing_Table[],MATCH(CZ$1,Products,0),2)="Cores",IF(HostBuild[Use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6" s="552">
        <f>IFERROR(IF(FIND(DA$1,$W116)&gt;0,IF(INDEX(Product_Pricing_Table[],MATCH(DA$1,Products,0),2)="Cores",IF(HostBuild[Use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6" s="552">
        <f>IFERROR(IF(FIND(DB$1,$W116)&gt;0,IF(INDEX(Product_Pricing_Table[],MATCH(DB$1,Products,0),2)="Cores",IF(HostBuild[Use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6" s="552">
        <f>IFERROR(IF(FIND(DC$1,$W116)&gt;0,IF(INDEX(Product_Pricing_Table[],MATCH(DC$1,Products,0),2)="Cores",IF(HostBuild[Use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6" s="552">
        <f>IFERROR(IF(FIND(DD$1,$W116)&gt;0,IF(INDEX(Product_Pricing_Table[],MATCH(DD$1,Products,0),2)="Cores",IF(HostBuild[Use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6" s="552">
        <f>IFERROR(IF(FIND(DE$1,$W116)&gt;0,IF(INDEX(Product_Pricing_Table[],MATCH(DE$1,Products,0),2)="Cores",IF(HostBuild[Use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6" s="553">
        <f>IFERROR(IF(FIND(DF$1,$W116)&gt;0,IF(INDEX(Product_Pricing_Table[],MATCH(DF$1,Products,0),2)="Cores",IF(HostBuild[Use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6" s="553">
        <f>IFERROR(IF(FIND(DG$1,$W116)&gt;0,IF(INDEX(Product_Pricing_Table[],MATCH(DG$1,Products,0),2)="Cores",IF(HostBuild[Use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6" s="552">
        <f>IFERROR(IF(FIND(DH$1,$W116)&gt;0,IF(INDEX(Product_Pricing_Table[],MATCH(DH$1,Products,0),2)="Cores",IF(HostBuild[Use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6" s="553">
        <f>IFERROR(IF(FIND(DI$1,$W116)&gt;0,IF(INDEX(Product_Pricing_Table[],MATCH(DI$1,Products,0),2)="Cores",IF(HostBuild[Use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6" s="552">
        <f>IFERROR(IF(FIND(DJ$1,$W116)&gt;0,IF(INDEX(Product_Pricing_Table[],MATCH(DJ$1,Products,0),2)="Cores",IF(HostBuild[Use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6" s="552">
        <f>IFERROR(IF(FIND(DK$1,$W116)&gt;0,IF(INDEX(Product_Pricing_Table[],MATCH(DK$1,Products,0),2)="Cores",IF(HostBuild[Use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6" s="552">
        <f>IFERROR(IF(FIND(DL$1,$W116)&gt;0,IF(INDEX(Product_Pricing_Table[],MATCH(DL$1,Products,0),2)="Cores",IF(HostBuild[Use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6" s="552">
        <f>IFERROR(IF(FIND(DM$1,$W116)&gt;0,IF(INDEX(Product_Pricing_Table[],MATCH(DM$1,Products,0),2)="Cores",IF(HostBuild[Use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6" s="552">
        <f>IFERROR(IF(FIND(DN$1,$W116)&gt;0,IF(INDEX(Product_Pricing_Table[],MATCH(DN$1,Products,0),2)="Cores",IF(HostBuild[Use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6" s="552">
        <f>IFERROR(IF(FIND(DO$1,$W116)&gt;0,IF(INDEX(Product_Pricing_Table[],MATCH(DO$1,Products,0),2)="Cores",IF(HostBuild[Use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6" s="552">
        <f>IFERROR(IF(FIND(DP$1,$W116)&gt;0,IF(INDEX(Product_Pricing_Table[],MATCH(DP$1,Products,0),2)="Cores",IF(HostBuild[Use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6" s="552">
        <f>IFERROR(IF(FIND(DQ$1,$W116)&gt;0,IF(INDEX(Product_Pricing_Table[],MATCH(DQ$1,Products,0),2)="Cores",IF(HostBuild[Use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6" s="552">
        <f>IFERROR(IF(FIND(DR$1,$W116)&gt;0,IF(INDEX(Product_Pricing_Table[],MATCH(DR$1,Products,0),2)="Cores",IF(HostBuild[Use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6" s="552">
        <f>IFERROR(IF(FIND(DS$1,$W116)&gt;0,IF(INDEX(Product_Pricing_Table[],MATCH(DS$1,Products,0),2)="Cores",IF(HostBuild[Use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6" s="552">
        <f>IFERROR(IF(FIND(DT$1,$W116)&gt;0,IF(INDEX(Product_Pricing_Table[],MATCH(DT$1,Products,0),2)="Cores",IF(HostBuild[Use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6" s="552">
        <f>IFERROR(IF(FIND(DU$1,$W116)&gt;0,IF(INDEX(Product_Pricing_Table[],MATCH(DU$1,Products,0),2)="Cores",IF(HostBuild[Use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6" s="552">
        <f>IFERROR(IF(FIND(DV$1,$W116)&gt;0,IF(INDEX(Product_Pricing_Table[],MATCH(DV$1,Products,0),2)="Cores",IF(HostBuild[Use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6" s="552">
        <f>IFERROR(IF(FIND(DW$1,$W116)&gt;0,IF(INDEX(Product_Pricing_Table[],MATCH(DW$1,Products,0),2)="Cores",IF(HostBuild[Use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6" s="552">
        <f>IFERROR(IF(FIND(DX$1,$W116)&gt;0,IF(INDEX(Product_Pricing_Table[],MATCH(DX$1,Products,0),2)="Cores",IF(HostBuild[Use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6" s="552">
        <f>IFERROR(IF(FIND(DY$1,$W116)&gt;0,IF(INDEX(Product_Pricing_Table[],MATCH(DY$1,Products,0),2)="Cores",IF(HostBuild[Use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6" s="552">
        <f>IFERROR(IF(FIND(DZ$1,$W116)&gt;0,IF(INDEX(Product_Pricing_Table[],MATCH(DZ$1,Products,0),2)="Cores",IF(HostBuild[Use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6" s="552">
        <f>IFERROR(IF(FIND(EA$1,$W116)&gt;0,IF(INDEX(Product_Pricing_Table[],MATCH(EA$1,Products,0),2)="Cores",IF(HostBuild[Use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6" s="552">
        <f>IFERROR(IF(FIND(EB$1,$W116)&gt;0,IF(INDEX(Product_Pricing_Table[],MATCH(EB$1,Products,0),2)="Cores",IF(HostBuild[Use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6" s="553">
        <f>IFERROR(IF(FIND(EC$1,$W116)&gt;0,IF(INDEX(Product_Pricing_Table[],MATCH(EC$1,Products,0),2)="Cores",IF(HostBuild[Use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6" s="552">
        <f>IFERROR(IF(FIND(ED$1,$W116)&gt;0,IF(INDEX(Product_Pricing_Table[],MATCH(ED$1,Products,0),2)="Cores",IF(HostBuild[Use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6" s="552">
        <f>IFERROR(IF(FIND(EE$1,$W116)&gt;0,IF(INDEX(Product_Pricing_Table[],MATCH(EE$1,Products,0),2)="Cores",IF(HostBuild[Use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6" s="552">
        <f>IFERROR(IF(FIND(EF$1,$W116)&gt;0,IF(INDEX(Product_Pricing_Table[],MATCH(EF$1,Products,0),2)="Cores",IF(HostBuild[Use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6" s="552">
        <f>IFERROR(IF(FIND(EG$1,$W116)&gt;0,IF(INDEX(Product_Pricing_Table[],MATCH(EG$1,Products,0),2)="Cores",IF(HostBuild[Use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6" s="552">
        <f>IFERROR(IF(FIND(EH$1,$W116)&gt;0,IF(INDEX(Product_Pricing_Table[],MATCH(EH$1,Products,0),2)="Cores",IF(HostBuild[Use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6" s="552">
        <f>IFERROR(IF(FIND(EI$1,$W116)&gt;0,IF(INDEX(Product_Pricing_Table[],MATCH(EI$1,Products,0),2)="Cores",IF(HostBuild[Use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6" s="552">
        <f>IFERROR(IF(FIND(EJ$1,$W116)&gt;0,IF(INDEX(Product_Pricing_Table[],MATCH(EJ$1,Products,0),2)="Cores",IF(HostBuild[Use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6" s="553">
        <f>IFERROR(IF(FIND(EK$1,$W116)&gt;0,IF(INDEX(Product_Pricing_Table[],MATCH(EK$1,Products,0),2)="Cores",IF(HostBuild[Use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6" s="554"/>
      <c r="EM116" s="555"/>
      <c r="EN116" s="556"/>
      <c r="EO116"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4564.6650000000009</v>
      </c>
      <c r="EQ116" s="558">
        <f>(HostBuild[Archive
Full (GB)]+HostBuild[Archive
Incr (GB)])*Storage_DC_Dist_Tape_2014</f>
        <v>644.37231250000002</v>
      </c>
      <c r="ER116" s="558">
        <f>IF(ISNUMBER(HostBuild[Server HW Costs
(Monthly)]),SUM(HostBuild[[#This Row],[Server HW Costs
(Monthly)]:[Tape Costs
(Monthly)]]),0)</f>
        <v>6097.7373125000004</v>
      </c>
      <c r="ES116" s="559">
        <f>HostBuild[Software Costs
'[Year 1']
(Monthly)]+HostBuild[Total Hardware Costs
(Monthly)]</f>
        <v>6097.7373125000004</v>
      </c>
      <c r="ET116" s="559">
        <f>IFERROR(IF(FIND("Safenet",HostBuild[Server Model]),Safenet_PSE_PL600_Maint,0),0)+IFERROR(IF(FIND("XI52",HostBuild[Server Model]),IBM_DIA_XI52_Maint,0),0)+HostBuild[Software Costs
'[After Year 1']
(Monthly)]+HostBuild[Total Hardware Costs
(Monthly)]</f>
        <v>6097.7373125000004</v>
      </c>
      <c r="EU116" s="560">
        <f>SUM(HostBuild[[#This Row],[Server Cost Breakdown]:[Network Cost]])</f>
        <v>888.7</v>
      </c>
      <c r="EV116" s="561">
        <f>IF(HostBuild[Existing Server?]="Yes - Inside this BoM",0,SUMIF(HostBuild[Alias],HostBuild[Alias],HostBuild[CPU])+SUMIF(HostBuild[Alias],HostBuild[Alias],HostBuild[Existing CPUs]))</f>
        <v>2</v>
      </c>
      <c r="EW116" s="561">
        <f>IF(HostBuild[Existing Server?]="Yes - Inside this BoM",0,SUMIF(HostBuild[Alias],HostBuild[Alias],HostBuild[Cores 
(Licensed Units)])+SUMIF(HostBuild[Alias],HostBuild[Alias],HostBuild[Existing Cores]))</f>
        <v>16</v>
      </c>
      <c r="EX116" s="561">
        <f>IF(HostBuild[Existing Server?]="Yes - Inside this BoM",0,SUMIF(HostBuild[Alias],HostBuild[Alias],HostBuild[RAM 
(GB)])+SUMIF(HostBuild[Alias],HostBuild[Alias],HostBuild[Existing RAM (GB)]))</f>
        <v>128</v>
      </c>
      <c r="EY11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6" s="560">
        <f>IF(ISBLANK(HostBuild[Server Model]),0,IF(HostBuild[Server Tier]="VMware",0,VLOOKUP(HostBuild[Server Tier],ServerTierRates[#Data],2,0))*HostBuild[CPU]*IF(AND(HostBuild[Server Type]="pSeries",HostBuild[Virtual Platform Storage Type]="Cloud-SAN"),0.25,1))</f>
        <v>608</v>
      </c>
      <c r="FD116" s="560">
        <f>0</f>
        <v>0</v>
      </c>
      <c r="FE116" s="560">
        <f>IF(HostBuild[Server Type]="VMware",HostBuild[RAM 
(GB)]*IF(ISERROR(FIND("DevCloud", HostBuild[Server Model])&gt;0),vRAM_per_vCPU_2014_Monthly,vRAM_per_vCPU_2014_Daily*30),0)</f>
        <v>0</v>
      </c>
      <c r="FF11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6" s="563">
        <f>IF(HostBuild[Server Tier]="VMware",0,IF(LEFT(HostBuild[Existing Server?],3)="Yes",0,IF(OR(HostBuild[Server Type]="Sun",HostBuild[Server Type]="pSeries"),Support_Direct_Server_Sun_per_OS_2014,IF(HostBuild[Server Type]="x86",Support_Direct_Server_x86_Wintel_per_OS_2014,0))))</f>
        <v>187.1</v>
      </c>
      <c r="FI11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7" spans="1:165" s="139" customFormat="1" ht="15" customHeight="1">
      <c r="A117" s="360" t="s">
        <v>3942</v>
      </c>
      <c r="B117" s="521"/>
      <c r="C117" s="521"/>
      <c r="D117" s="521"/>
      <c r="E117" s="522"/>
      <c r="F117" s="522"/>
      <c r="G117" s="597"/>
      <c r="H117" s="597"/>
      <c r="I117" s="523"/>
      <c r="J117" s="522"/>
      <c r="K117" s="522"/>
      <c r="L117" s="522"/>
      <c r="M117" s="597" t="e">
        <f ca="1">IF(rngIsDate(HostBuild[CTO Acceptance]),"Y","N")</f>
        <v>#NAME?</v>
      </c>
      <c r="N117" s="361" t="s">
        <v>3938</v>
      </c>
      <c r="O117" s="525"/>
      <c r="P117" s="525"/>
      <c r="Q117" s="361" t="s">
        <v>79</v>
      </c>
      <c r="R117" s="526" t="str">
        <f>IF(NOT(ISBLANK(HostBuild[Env Label])),IFERROR(VLOOKUP(HostBuild[Env Label],tEnv[],3,FALSE),""),"")</f>
        <v>PROD</v>
      </c>
      <c r="S117" s="598"/>
      <c r="T117" s="527"/>
      <c r="U117" s="599"/>
      <c r="V117" s="524" t="s">
        <v>4017</v>
      </c>
      <c r="W117" s="524" t="s">
        <v>2249</v>
      </c>
      <c r="X117" s="524" t="s">
        <v>32</v>
      </c>
      <c r="Y117" s="361" t="s">
        <v>4067</v>
      </c>
      <c r="Z117" s="526" t="str">
        <f>IF(NOT(ISBLANK(HostBuild[[#This Row],[Product 
(Acronym)]])),CONCATENATE(HostBuild[[#This Row],[Type]],"-",HostBuild[[#This Row],[Product 
(Acronym)]]),"")</f>
        <v>DB-CBOL</v>
      </c>
      <c r="AA117" s="600"/>
      <c r="AB117" s="600" t="s">
        <v>105</v>
      </c>
      <c r="AC117" s="528"/>
      <c r="AD117" s="529"/>
      <c r="AE117" s="529"/>
      <c r="AF117" s="530"/>
      <c r="AG117" s="531"/>
      <c r="AH117" s="601"/>
      <c r="AI117" s="362" t="s">
        <v>4039</v>
      </c>
      <c r="AJ117" s="524">
        <f>IF(COUNTIF(HostBuild[Alias],HostBuild[Alias]),1/COUNTIF(HostBuild[Alias],HostBuild[Alias]),0)</f>
        <v>1</v>
      </c>
      <c r="AK117" s="531"/>
      <c r="AL117" s="531"/>
      <c r="AM117" s="532" t="s">
        <v>2173</v>
      </c>
      <c r="AN117" s="533" t="str">
        <f>IF(NOT(ISBLANK(HostBuild[Server Model])),VLOOKUP(HostBuild[Server Model],ServerModelsTier[],2,FALSE),"")</f>
        <v>x86 Tier 3</v>
      </c>
      <c r="AO117" s="533" t="str">
        <f>IF(NOT(ISBLANK(HostBuild[Server Model])),VLOOKUP(HostBuild[Server Model],ServerModelsTier[],5,FALSE),"")</f>
        <v>x86</v>
      </c>
      <c r="AP117" s="532"/>
      <c r="AQ117" s="532" t="s">
        <v>2337</v>
      </c>
      <c r="AR117" s="534">
        <v>2</v>
      </c>
      <c r="AS117" s="602"/>
      <c r="AT117" s="535">
        <v>16</v>
      </c>
      <c r="AU117" s="603" t="str">
        <f>IF(IFERROR(FIND("P-Series",HostBuild[Server Tier]),0),CEILING((HostBuild[Existing CPUs]+HostBuild[CPU])*16,8),"")</f>
        <v/>
      </c>
      <c r="AV117" s="536">
        <v>128</v>
      </c>
      <c r="AW117" s="531"/>
      <c r="AX117" s="531"/>
      <c r="AY117" s="531"/>
      <c r="AZ117" s="537"/>
      <c r="BA117" s="531"/>
      <c r="BB117" s="531"/>
      <c r="BC117" s="529"/>
      <c r="BD117" s="531"/>
      <c r="BE117" s="531"/>
      <c r="BF117" s="531"/>
      <c r="BG117" s="531"/>
      <c r="BH117" s="531"/>
      <c r="BI117" s="531"/>
      <c r="BJ117" s="531"/>
      <c r="BK117"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7" s="538">
        <v>200</v>
      </c>
      <c r="BM117" s="540">
        <f>IF(ISNUMBER(HostBuild[Recommended SAN (GB)]),HostBuild[Recommended SAN (GB)])+IF(HostBuild[Additional SAN (GB)]&gt;0,CEILING(HostBuild[Additional SAN (GB)],LUN),-(CEILING(-HostBuild[Additional SAN (GB)],LUN)))</f>
        <v>404.40000000000003</v>
      </c>
      <c r="BN117" s="539"/>
      <c r="BO117" s="540">
        <f>HostBuild[SAN (GB)
NEEDED TODAY]+CEILING(HostBuild[SAN (GB)
RESERVED
DO NOT USE TO BUILD], LUN)</f>
        <v>404.40000000000003</v>
      </c>
      <c r="BP117" s="541"/>
      <c r="BQ117" s="542"/>
      <c r="BR117" s="432"/>
      <c r="BS117" s="605">
        <f>IF(HostBuild[Existing Server?]&lt;&gt;"Yes - Inside this BoM",IF(ISNUMBER(HostBuild[RAM 
(GB)]),IF(HostBuild[Existing RAM (GB)]+HostBuild[RAM 
(GB)]&gt;0,IF(HostBuild[Virtual Platform Storage Type]="NAS",110+HostBuild[Existing RAM (GB)]+HostBuild[RAM 
(GB)]*1.75,0),0),0),0)</f>
        <v>0</v>
      </c>
      <c r="BT117" s="606"/>
      <c r="BU117" s="607">
        <f>IF(ISNUMBER(HostBuild[Recommended NAS (GB)]),HostBuild[Recommended NAS (GB)])+HostBuild[Additional NAS (GB)]</f>
        <v>0</v>
      </c>
      <c r="BV117" s="543"/>
      <c r="BW117" s="543"/>
      <c r="BX117" s="604">
        <f>IFERROR((HostBuild[SAN (GB)
End-State
DO NOT USE TO BUILD]+HostBuild[SAN (GB) Shared])*25%,"")</f>
        <v>101.10000000000001</v>
      </c>
      <c r="BY117" s="608">
        <f>IFERROR(HostBuild[Archive
Full (GB)]*15%,"")</f>
        <v>15.165000000000001</v>
      </c>
      <c r="BZ117" s="544"/>
      <c r="CA117" s="544"/>
      <c r="CB117" s="545"/>
      <c r="CC117" s="546"/>
      <c r="CD117" s="545"/>
      <c r="CE117" s="547"/>
      <c r="CF117" s="539"/>
      <c r="CG117" s="609"/>
      <c r="CH117" s="548"/>
      <c r="CI117" s="549"/>
      <c r="CJ117" s="550"/>
      <c r="CK117" s="551"/>
      <c r="CL117" s="552">
        <f>IFERROR(IF(FIND(CL$1,$W117)&gt;0,IF(INDEX(Product_Pricing_Table[],MATCH(CL$1,Products,0),2)="Cores",IF(HostBuild[Use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7" s="552">
        <f>IFERROR(IF(FIND(CM$1,$W117)&gt;0,IF(INDEX(Product_Pricing_Table[],MATCH(CM$1,Products,0),2)="Cores",IF(HostBuild[Use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7" s="552">
        <f>IFERROR(IF(FIND(CN$1,$W117)&gt;0,IF(INDEX(Product_Pricing_Table[],MATCH(CN$1,Products,0),2)="Cores",IF(HostBuild[Use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7" s="552">
        <f>IFERROR(IF(FIND(CO$1,$W117)&gt;0,IF(INDEX(Product_Pricing_Table[],MATCH(CO$1,Products,0),2)="Cores",IF(HostBuild[Use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7" s="552">
        <f>IFERROR(IF(FIND(CP$1,$W117)&gt;0,IF(INDEX(Product_Pricing_Table[],MATCH(CP$1,Products,0),2)="Cores",IF(HostBuild[Use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7" s="552">
        <f>IFERROR(IF(FIND(CQ$1,$W117)&gt;0,IF(INDEX(Product_Pricing_Table[],MATCH(CQ$1,Products,0),2)="Cores",IF(HostBuild[Use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7" s="552">
        <f>IFERROR(IF(FIND(CR$1,$W117)&gt;0,IF(INDEX(Product_Pricing_Table[],MATCH(CR$1,Products,0),2)="Cores",IF(HostBuild[Use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7" s="552">
        <f>IFERROR(IF(FIND(CS$1,$W117)&gt;0,IF(INDEX(Product_Pricing_Table[],MATCH(CS$1,Products,0),2)="Cores",IF(HostBuild[Use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7" s="552">
        <f>IFERROR(IF(FIND(CT$1,$W117)&gt;0,IF(INDEX(Product_Pricing_Table[],MATCH(CT$1,Products,0),2)="Cores",IF(HostBuild[Use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7" s="552">
        <f>IFERROR(IF(FIND(CU$1,$W117)&gt;0,IF(INDEX(Product_Pricing_Table[],MATCH(CU$1,Products,0),2)="Cores",IF(HostBuild[Use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7" s="552">
        <f>IFERROR(IF(FIND(CV$1,$W117)&gt;0,IF(INDEX(Product_Pricing_Table[],MATCH(CV$1,Products,0),2)="Cores",IF(HostBuild[Use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7" s="552">
        <f>IFERROR(IF(FIND(CW$1,$W117)&gt;0,IF(INDEX(Product_Pricing_Table[],MATCH(CW$1,Products,0),2)="Cores",IF(HostBuild[Use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7" s="552">
        <f>IFERROR(IF(FIND(CX$1,$W117)&gt;0,IF(INDEX(Product_Pricing_Table[],MATCH(CX$1,Products,0),2)="Cores",IF(HostBuild[Use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7" s="552">
        <f>IFERROR(IF(FIND(CY$1,$W117)&gt;0,IF(INDEX(Product_Pricing_Table[],MATCH(CY$1,Products,0),2)="Cores",IF(HostBuild[Use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7" s="552">
        <f>IFERROR(IF(FIND(CZ$1,$W117)&gt;0,IF(INDEX(Product_Pricing_Table[],MATCH(CZ$1,Products,0),2)="Cores",IF(HostBuild[Use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7" s="552">
        <f>IFERROR(IF(FIND(DA$1,$W117)&gt;0,IF(INDEX(Product_Pricing_Table[],MATCH(DA$1,Products,0),2)="Cores",IF(HostBuild[Use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7" s="552">
        <f>IFERROR(IF(FIND(DB$1,$W117)&gt;0,IF(INDEX(Product_Pricing_Table[],MATCH(DB$1,Products,0),2)="Cores",IF(HostBuild[Use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7" s="552">
        <f>IFERROR(IF(FIND(DC$1,$W117)&gt;0,IF(INDEX(Product_Pricing_Table[],MATCH(DC$1,Products,0),2)="Cores",IF(HostBuild[Use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7" s="552">
        <f>IFERROR(IF(FIND(DD$1,$W117)&gt;0,IF(INDEX(Product_Pricing_Table[],MATCH(DD$1,Products,0),2)="Cores",IF(HostBuild[Use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7" s="552">
        <f>IFERROR(IF(FIND(DE$1,$W117)&gt;0,IF(INDEX(Product_Pricing_Table[],MATCH(DE$1,Products,0),2)="Cores",IF(HostBuild[Use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7" s="553">
        <f>IFERROR(IF(FIND(DF$1,$W117)&gt;0,IF(INDEX(Product_Pricing_Table[],MATCH(DF$1,Products,0),2)="Cores",IF(HostBuild[Use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7" s="553">
        <f>IFERROR(IF(FIND(DG$1,$W117)&gt;0,IF(INDEX(Product_Pricing_Table[],MATCH(DG$1,Products,0),2)="Cores",IF(HostBuild[Use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7" s="552">
        <f>IFERROR(IF(FIND(DH$1,$W117)&gt;0,IF(INDEX(Product_Pricing_Table[],MATCH(DH$1,Products,0),2)="Cores",IF(HostBuild[Use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7" s="553">
        <f>IFERROR(IF(FIND(DI$1,$W117)&gt;0,IF(INDEX(Product_Pricing_Table[],MATCH(DI$1,Products,0),2)="Cores",IF(HostBuild[Use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7" s="552">
        <f>IFERROR(IF(FIND(DJ$1,$W117)&gt;0,IF(INDEX(Product_Pricing_Table[],MATCH(DJ$1,Products,0),2)="Cores",IF(HostBuild[Use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7" s="552">
        <f>IFERROR(IF(FIND(DK$1,$W117)&gt;0,IF(INDEX(Product_Pricing_Table[],MATCH(DK$1,Products,0),2)="Cores",IF(HostBuild[Use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7" s="552">
        <f>IFERROR(IF(FIND(DL$1,$W117)&gt;0,IF(INDEX(Product_Pricing_Table[],MATCH(DL$1,Products,0),2)="Cores",IF(HostBuild[Use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7" s="552">
        <f>IFERROR(IF(FIND(DM$1,$W117)&gt;0,IF(INDEX(Product_Pricing_Table[],MATCH(DM$1,Products,0),2)="Cores",IF(HostBuild[Use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7" s="552">
        <f>IFERROR(IF(FIND(DN$1,$W117)&gt;0,IF(INDEX(Product_Pricing_Table[],MATCH(DN$1,Products,0),2)="Cores",IF(HostBuild[Use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7" s="552">
        <f>IFERROR(IF(FIND(DO$1,$W117)&gt;0,IF(INDEX(Product_Pricing_Table[],MATCH(DO$1,Products,0),2)="Cores",IF(HostBuild[Use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7" s="552">
        <f>IFERROR(IF(FIND(DP$1,$W117)&gt;0,IF(INDEX(Product_Pricing_Table[],MATCH(DP$1,Products,0),2)="Cores",IF(HostBuild[Use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7" s="552">
        <f>IFERROR(IF(FIND(DQ$1,$W117)&gt;0,IF(INDEX(Product_Pricing_Table[],MATCH(DQ$1,Products,0),2)="Cores",IF(HostBuild[Use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7" s="552">
        <f>IFERROR(IF(FIND(DR$1,$W117)&gt;0,IF(INDEX(Product_Pricing_Table[],MATCH(DR$1,Products,0),2)="Cores",IF(HostBuild[Use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7" s="552">
        <f>IFERROR(IF(FIND(DS$1,$W117)&gt;0,IF(INDEX(Product_Pricing_Table[],MATCH(DS$1,Products,0),2)="Cores",IF(HostBuild[Use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7" s="552">
        <f>IFERROR(IF(FIND(DT$1,$W117)&gt;0,IF(INDEX(Product_Pricing_Table[],MATCH(DT$1,Products,0),2)="Cores",IF(HostBuild[Use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7" s="552">
        <f>IFERROR(IF(FIND(DU$1,$W117)&gt;0,IF(INDEX(Product_Pricing_Table[],MATCH(DU$1,Products,0),2)="Cores",IF(HostBuild[Use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7" s="552">
        <f>IFERROR(IF(FIND(DV$1,$W117)&gt;0,IF(INDEX(Product_Pricing_Table[],MATCH(DV$1,Products,0),2)="Cores",IF(HostBuild[Use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7" s="552">
        <f>IFERROR(IF(FIND(DW$1,$W117)&gt;0,IF(INDEX(Product_Pricing_Table[],MATCH(DW$1,Products,0),2)="Cores",IF(HostBuild[Use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7" s="552">
        <f>IFERROR(IF(FIND(DX$1,$W117)&gt;0,IF(INDEX(Product_Pricing_Table[],MATCH(DX$1,Products,0),2)="Cores",IF(HostBuild[Use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7" s="552">
        <f>IFERROR(IF(FIND(DY$1,$W117)&gt;0,IF(INDEX(Product_Pricing_Table[],MATCH(DY$1,Products,0),2)="Cores",IF(HostBuild[Use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7" s="552">
        <f>IFERROR(IF(FIND(DZ$1,$W117)&gt;0,IF(INDEX(Product_Pricing_Table[],MATCH(DZ$1,Products,0),2)="Cores",IF(HostBuild[Use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7" s="552">
        <f>IFERROR(IF(FIND(EA$1,$W117)&gt;0,IF(INDEX(Product_Pricing_Table[],MATCH(EA$1,Products,0),2)="Cores",IF(HostBuild[Use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7" s="552">
        <f>IFERROR(IF(FIND(EB$1,$W117)&gt;0,IF(INDEX(Product_Pricing_Table[],MATCH(EB$1,Products,0),2)="Cores",IF(HostBuild[Use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7" s="553">
        <f>IFERROR(IF(FIND(EC$1,$W117)&gt;0,IF(INDEX(Product_Pricing_Table[],MATCH(EC$1,Products,0),2)="Cores",IF(HostBuild[Use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7" s="552">
        <f>IFERROR(IF(FIND(ED$1,$W117)&gt;0,IF(INDEX(Product_Pricing_Table[],MATCH(ED$1,Products,0),2)="Cores",IF(HostBuild[Use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7" s="552">
        <f>IFERROR(IF(FIND(EE$1,$W117)&gt;0,IF(INDEX(Product_Pricing_Table[],MATCH(EE$1,Products,0),2)="Cores",IF(HostBuild[Use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7" s="552">
        <f>IFERROR(IF(FIND(EF$1,$W117)&gt;0,IF(INDEX(Product_Pricing_Table[],MATCH(EF$1,Products,0),2)="Cores",IF(HostBuild[Use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7" s="552">
        <f>IFERROR(IF(FIND(EG$1,$W117)&gt;0,IF(INDEX(Product_Pricing_Table[],MATCH(EG$1,Products,0),2)="Cores",IF(HostBuild[Use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7" s="552">
        <f>IFERROR(IF(FIND(EH$1,$W117)&gt;0,IF(INDEX(Product_Pricing_Table[],MATCH(EH$1,Products,0),2)="Cores",IF(HostBuild[Use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7" s="552">
        <f>IFERROR(IF(FIND(EI$1,$W117)&gt;0,IF(INDEX(Product_Pricing_Table[],MATCH(EI$1,Products,0),2)="Cores",IF(HostBuild[Use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7" s="552">
        <f>IFERROR(IF(FIND(EJ$1,$W117)&gt;0,IF(INDEX(Product_Pricing_Table[],MATCH(EJ$1,Products,0),2)="Cores",IF(HostBuild[Use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7" s="553">
        <f>IFERROR(IF(FIND(EK$1,$W117)&gt;0,IF(INDEX(Product_Pricing_Table[],MATCH(EK$1,Products,0),2)="Cores",IF(HostBuild[Use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7" s="554"/>
      <c r="EM117" s="555"/>
      <c r="EN117" s="556"/>
      <c r="EO117"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181.98000000000002</v>
      </c>
      <c r="EQ117" s="558">
        <f>(HostBuild[Archive
Full (GB)]+HostBuild[Archive
Incr (GB)])*Storage_DC_Dist_Tape_2014</f>
        <v>40.692750000000004</v>
      </c>
      <c r="ER117" s="558">
        <f>IF(ISNUMBER(HostBuild[Server HW Costs
(Monthly)]),SUM(HostBuild[[#This Row],[Server HW Costs
(Monthly)]:[Tape Costs
(Monthly)]]),0)</f>
        <v>1111.37275</v>
      </c>
      <c r="ES117" s="559">
        <f>HostBuild[Software Costs
'[Year 1']
(Monthly)]+HostBuild[Total Hardware Costs
(Monthly)]</f>
        <v>1111.37275</v>
      </c>
      <c r="ET117" s="559">
        <f>IFERROR(IF(FIND("Safenet",HostBuild[Server Model]),Safenet_PSE_PL600_Maint,0),0)+IFERROR(IF(FIND("XI52",HostBuild[Server Model]),IBM_DIA_XI52_Maint,0),0)+HostBuild[Software Costs
'[After Year 1']
(Monthly)]+HostBuild[Total Hardware Costs
(Monthly)]</f>
        <v>1111.37275</v>
      </c>
      <c r="EU117" s="560">
        <f>SUM(HostBuild[[#This Row],[Server Cost Breakdown]:[Network Cost]])</f>
        <v>888.7</v>
      </c>
      <c r="EV117" s="561">
        <f>IF(HostBuild[Existing Server?]="Yes - Inside this BoM",0,SUMIF(HostBuild[Alias],HostBuild[Alias],HostBuild[CPU])+SUMIF(HostBuild[Alias],HostBuild[Alias],HostBuild[Existing CPUs]))</f>
        <v>2</v>
      </c>
      <c r="EW117" s="561">
        <f>IF(HostBuild[Existing Server?]="Yes - Inside this BoM",0,SUMIF(HostBuild[Alias],HostBuild[Alias],HostBuild[Cores 
(Licensed Units)])+SUMIF(HostBuild[Alias],HostBuild[Alias],HostBuild[Existing Cores]))</f>
        <v>16</v>
      </c>
      <c r="EX117" s="561">
        <f>IF(HostBuild[Existing Server?]="Yes - Inside this BoM",0,SUMIF(HostBuild[Alias],HostBuild[Alias],HostBuild[RAM 
(GB)])+SUMIF(HostBuild[Alias],HostBuild[Alias],HostBuild[Existing RAM (GB)]))</f>
        <v>128</v>
      </c>
      <c r="EY11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7" s="560">
        <f>IF(ISBLANK(HostBuild[Server Model]),0,IF(HostBuild[Server Tier]="VMware",0,VLOOKUP(HostBuild[Server Tier],ServerTierRates[#Data],2,0))*HostBuild[CPU]*IF(AND(HostBuild[Server Type]="pSeries",HostBuild[Virtual Platform Storage Type]="Cloud-SAN"),0.25,1))</f>
        <v>608</v>
      </c>
      <c r="FD117" s="560">
        <f>0</f>
        <v>0</v>
      </c>
      <c r="FE117" s="560">
        <f>IF(HostBuild[Server Type]="VMware",HostBuild[RAM 
(GB)]*IF(ISERROR(FIND("DevCloud", HostBuild[Server Model])&gt;0),vRAM_per_vCPU_2014_Monthly,vRAM_per_vCPU_2014_Daily*30),0)</f>
        <v>0</v>
      </c>
      <c r="FF11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7" s="563">
        <f>IF(HostBuild[Server Tier]="VMware",0,IF(LEFT(HostBuild[Existing Server?],3)="Yes",0,IF(OR(HostBuild[Server Type]="Sun",HostBuild[Server Type]="pSeries"),Support_Direct_Server_Sun_per_OS_2014,IF(HostBuild[Server Type]="x86",Support_Direct_Server_x86_Wintel_per_OS_2014,0))))</f>
        <v>187.1</v>
      </c>
      <c r="FI11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8" spans="1:165" s="139" customFormat="1" ht="15" customHeight="1">
      <c r="A118" s="360" t="s">
        <v>3942</v>
      </c>
      <c r="B118" s="521"/>
      <c r="C118" s="521"/>
      <c r="D118" s="521"/>
      <c r="E118" s="522"/>
      <c r="F118" s="522"/>
      <c r="G118" s="597"/>
      <c r="H118" s="597"/>
      <c r="I118" s="523"/>
      <c r="J118" s="522"/>
      <c r="K118" s="522"/>
      <c r="L118" s="522"/>
      <c r="M118" s="597" t="e">
        <f ca="1">IF(rngIsDate(HostBuild[CTO Acceptance]),"Y","N")</f>
        <v>#NAME?</v>
      </c>
      <c r="N118" s="361" t="s">
        <v>3939</v>
      </c>
      <c r="O118" s="525"/>
      <c r="P118" s="525"/>
      <c r="Q118" s="361" t="s">
        <v>3932</v>
      </c>
      <c r="R118" s="526" t="str">
        <f>IF(NOT(ISBLANK(HostBuild[Env Label])),IFERROR(VLOOKUP(HostBuild[Env Label],tEnv[],3,FALSE),""),"")</f>
        <v>PROD</v>
      </c>
      <c r="S118" s="598"/>
      <c r="T118" s="527"/>
      <c r="U118" s="599"/>
      <c r="V118" s="524" t="s">
        <v>4018</v>
      </c>
      <c r="W118" s="524" t="s">
        <v>2249</v>
      </c>
      <c r="X118" s="524" t="s">
        <v>32</v>
      </c>
      <c r="Y118" s="361" t="s">
        <v>4067</v>
      </c>
      <c r="Z118" s="526" t="str">
        <f>IF(NOT(ISBLANK(HostBuild[[#This Row],[Product 
(Acronym)]])),CONCATENATE(HostBuild[[#This Row],[Type]],"-",HostBuild[[#This Row],[Product 
(Acronym)]]),"")</f>
        <v>DB-CBOL</v>
      </c>
      <c r="AA118" s="600"/>
      <c r="AB118" s="600" t="s">
        <v>105</v>
      </c>
      <c r="AC118" s="528"/>
      <c r="AD118" s="529"/>
      <c r="AE118" s="529"/>
      <c r="AF118" s="530"/>
      <c r="AG118" s="531"/>
      <c r="AH118" s="601"/>
      <c r="AI118" s="362" t="s">
        <v>4040</v>
      </c>
      <c r="AJ118" s="524">
        <f>IF(COUNTIF(HostBuild[Alias],HostBuild[Alias]),1/COUNTIF(HostBuild[Alias],HostBuild[Alias]),0)</f>
        <v>1</v>
      </c>
      <c r="AK118" s="531"/>
      <c r="AL118" s="531"/>
      <c r="AM118" s="532" t="s">
        <v>2173</v>
      </c>
      <c r="AN118" s="533" t="str">
        <f>IF(NOT(ISBLANK(HostBuild[Server Model])),VLOOKUP(HostBuild[Server Model],ServerModelsTier[],2,FALSE),"")</f>
        <v>x86 Tier 3</v>
      </c>
      <c r="AO118" s="533" t="str">
        <f>IF(NOT(ISBLANK(HostBuild[Server Model])),VLOOKUP(HostBuild[Server Model],ServerModelsTier[],5,FALSE),"")</f>
        <v>x86</v>
      </c>
      <c r="AP118" s="532"/>
      <c r="AQ118" s="532" t="s">
        <v>2337</v>
      </c>
      <c r="AR118" s="534">
        <v>2</v>
      </c>
      <c r="AS118" s="602"/>
      <c r="AT118" s="535">
        <v>16</v>
      </c>
      <c r="AU118" s="603" t="str">
        <f>IF(IFERROR(FIND("P-Series",HostBuild[Server Tier]),0),CEILING((HostBuild[Existing CPUs]+HostBuild[CPU])*16,8),"")</f>
        <v/>
      </c>
      <c r="AV118" s="536">
        <v>128</v>
      </c>
      <c r="AW118" s="531"/>
      <c r="AX118" s="531"/>
      <c r="AY118" s="531"/>
      <c r="AZ118" s="537"/>
      <c r="BA118" s="531"/>
      <c r="BB118" s="531"/>
      <c r="BC118" s="529"/>
      <c r="BD118" s="531"/>
      <c r="BE118" s="531"/>
      <c r="BF118" s="531"/>
      <c r="BG118" s="531"/>
      <c r="BH118" s="531"/>
      <c r="BI118" s="531"/>
      <c r="BJ118" s="531"/>
      <c r="BK118"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8" s="538">
        <v>3200</v>
      </c>
      <c r="BM118" s="540">
        <f>IF(ISNUMBER(HostBuild[Recommended SAN (GB)]),HostBuild[Recommended SAN (GB)])+IF(HostBuild[Additional SAN (GB)]&gt;0,CEILING(HostBuild[Additional SAN (GB)],LUN),-(CEILING(-HostBuild[Additional SAN (GB)],LUN)))</f>
        <v>3403.7000000000003</v>
      </c>
      <c r="BN118" s="539"/>
      <c r="BO118" s="540">
        <f>HostBuild[SAN (GB)
NEEDED TODAY]+CEILING(HostBuild[SAN (GB)
RESERVED
DO NOT USE TO BUILD], LUN)</f>
        <v>3403.7000000000003</v>
      </c>
      <c r="BP118" s="541">
        <v>3000</v>
      </c>
      <c r="BQ118" s="542"/>
      <c r="BR118" s="432"/>
      <c r="BS118" s="605">
        <f>IF(HostBuild[Existing Server?]&lt;&gt;"Yes - Inside this BoM",IF(ISNUMBER(HostBuild[RAM 
(GB)]),IF(HostBuild[Existing RAM (GB)]+HostBuild[RAM 
(GB)]&gt;0,IF(HostBuild[Virtual Platform Storage Type]="NAS",110+HostBuild[Existing RAM (GB)]+HostBuild[RAM 
(GB)]*1.75,0),0),0),0)</f>
        <v>0</v>
      </c>
      <c r="BT118" s="606"/>
      <c r="BU118" s="607">
        <f>IF(ISNUMBER(HostBuild[Recommended NAS (GB)]),HostBuild[Recommended NAS (GB)])+HostBuild[Additional NAS (GB)]</f>
        <v>0</v>
      </c>
      <c r="BV118" s="543"/>
      <c r="BW118" s="543"/>
      <c r="BX118" s="604">
        <f>IFERROR((HostBuild[SAN (GB)
End-State
DO NOT USE TO BUILD]+HostBuild[SAN (GB) Shared])*25%,"")</f>
        <v>1600.9250000000002</v>
      </c>
      <c r="BY118" s="608">
        <f>IFERROR(HostBuild[Archive
Full (GB)]*15%,"")</f>
        <v>240.13875000000002</v>
      </c>
      <c r="BZ118" s="544"/>
      <c r="CA118" s="544"/>
      <c r="CB118" s="545"/>
      <c r="CC118" s="546"/>
      <c r="CD118" s="545"/>
      <c r="CE118" s="547"/>
      <c r="CF118" s="539"/>
      <c r="CG118" s="609"/>
      <c r="CH118" s="548"/>
      <c r="CI118" s="549"/>
      <c r="CJ118" s="550"/>
      <c r="CK118" s="551"/>
      <c r="CL118" s="552">
        <f>IFERROR(IF(FIND(CL$1,$W118)&gt;0,IF(INDEX(Product_Pricing_Table[],MATCH(CL$1,Products,0),2)="Cores",IF(HostBuild[Use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8" s="552">
        <f>IFERROR(IF(FIND(CM$1,$W118)&gt;0,IF(INDEX(Product_Pricing_Table[],MATCH(CM$1,Products,0),2)="Cores",IF(HostBuild[Use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8" s="552">
        <f>IFERROR(IF(FIND(CN$1,$W118)&gt;0,IF(INDEX(Product_Pricing_Table[],MATCH(CN$1,Products,0),2)="Cores",IF(HostBuild[Use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8" s="552">
        <f>IFERROR(IF(FIND(CO$1,$W118)&gt;0,IF(INDEX(Product_Pricing_Table[],MATCH(CO$1,Products,0),2)="Cores",IF(HostBuild[Use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8" s="552">
        <f>IFERROR(IF(FIND(CP$1,$W118)&gt;0,IF(INDEX(Product_Pricing_Table[],MATCH(CP$1,Products,0),2)="Cores",IF(HostBuild[Use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8" s="552">
        <f>IFERROR(IF(FIND(CQ$1,$W118)&gt;0,IF(INDEX(Product_Pricing_Table[],MATCH(CQ$1,Products,0),2)="Cores",IF(HostBuild[Use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8" s="552">
        <f>IFERROR(IF(FIND(CR$1,$W118)&gt;0,IF(INDEX(Product_Pricing_Table[],MATCH(CR$1,Products,0),2)="Cores",IF(HostBuild[Use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8" s="552">
        <f>IFERROR(IF(FIND(CS$1,$W118)&gt;0,IF(INDEX(Product_Pricing_Table[],MATCH(CS$1,Products,0),2)="Cores",IF(HostBuild[Use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8" s="552">
        <f>IFERROR(IF(FIND(CT$1,$W118)&gt;0,IF(INDEX(Product_Pricing_Table[],MATCH(CT$1,Products,0),2)="Cores",IF(HostBuild[Use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8" s="552">
        <f>IFERROR(IF(FIND(CU$1,$W118)&gt;0,IF(INDEX(Product_Pricing_Table[],MATCH(CU$1,Products,0),2)="Cores",IF(HostBuild[Use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8" s="552">
        <f>IFERROR(IF(FIND(CV$1,$W118)&gt;0,IF(INDEX(Product_Pricing_Table[],MATCH(CV$1,Products,0),2)="Cores",IF(HostBuild[Use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8" s="552">
        <f>IFERROR(IF(FIND(CW$1,$W118)&gt;0,IF(INDEX(Product_Pricing_Table[],MATCH(CW$1,Products,0),2)="Cores",IF(HostBuild[Use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8" s="552">
        <f>IFERROR(IF(FIND(CX$1,$W118)&gt;0,IF(INDEX(Product_Pricing_Table[],MATCH(CX$1,Products,0),2)="Cores",IF(HostBuild[Use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8" s="552">
        <f>IFERROR(IF(FIND(CY$1,$W118)&gt;0,IF(INDEX(Product_Pricing_Table[],MATCH(CY$1,Products,0),2)="Cores",IF(HostBuild[Use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8" s="552">
        <f>IFERROR(IF(FIND(CZ$1,$W118)&gt;0,IF(INDEX(Product_Pricing_Table[],MATCH(CZ$1,Products,0),2)="Cores",IF(HostBuild[Use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8" s="552">
        <f>IFERROR(IF(FIND(DA$1,$W118)&gt;0,IF(INDEX(Product_Pricing_Table[],MATCH(DA$1,Products,0),2)="Cores",IF(HostBuild[Use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8" s="552">
        <f>IFERROR(IF(FIND(DB$1,$W118)&gt;0,IF(INDEX(Product_Pricing_Table[],MATCH(DB$1,Products,0),2)="Cores",IF(HostBuild[Use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8" s="552">
        <f>IFERROR(IF(FIND(DC$1,$W118)&gt;0,IF(INDEX(Product_Pricing_Table[],MATCH(DC$1,Products,0),2)="Cores",IF(HostBuild[Use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8" s="552">
        <f>IFERROR(IF(FIND(DD$1,$W118)&gt;0,IF(INDEX(Product_Pricing_Table[],MATCH(DD$1,Products,0),2)="Cores",IF(HostBuild[Use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8" s="552">
        <f>IFERROR(IF(FIND(DE$1,$W118)&gt;0,IF(INDEX(Product_Pricing_Table[],MATCH(DE$1,Products,0),2)="Cores",IF(HostBuild[Use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8" s="553">
        <f>IFERROR(IF(FIND(DF$1,$W118)&gt;0,IF(INDEX(Product_Pricing_Table[],MATCH(DF$1,Products,0),2)="Cores",IF(HostBuild[Use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8" s="553">
        <f>IFERROR(IF(FIND(DG$1,$W118)&gt;0,IF(INDEX(Product_Pricing_Table[],MATCH(DG$1,Products,0),2)="Cores",IF(HostBuild[Use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8" s="552">
        <f>IFERROR(IF(FIND(DH$1,$W118)&gt;0,IF(INDEX(Product_Pricing_Table[],MATCH(DH$1,Products,0),2)="Cores",IF(HostBuild[Use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8" s="553">
        <f>IFERROR(IF(FIND(DI$1,$W118)&gt;0,IF(INDEX(Product_Pricing_Table[],MATCH(DI$1,Products,0),2)="Cores",IF(HostBuild[Use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8" s="552">
        <f>IFERROR(IF(FIND(DJ$1,$W118)&gt;0,IF(INDEX(Product_Pricing_Table[],MATCH(DJ$1,Products,0),2)="Cores",IF(HostBuild[Use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8" s="552">
        <f>IFERROR(IF(FIND(DK$1,$W118)&gt;0,IF(INDEX(Product_Pricing_Table[],MATCH(DK$1,Products,0),2)="Cores",IF(HostBuild[Use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8" s="552">
        <f>IFERROR(IF(FIND(DL$1,$W118)&gt;0,IF(INDEX(Product_Pricing_Table[],MATCH(DL$1,Products,0),2)="Cores",IF(HostBuild[Use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8" s="552">
        <f>IFERROR(IF(FIND(DM$1,$W118)&gt;0,IF(INDEX(Product_Pricing_Table[],MATCH(DM$1,Products,0),2)="Cores",IF(HostBuild[Use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8" s="552">
        <f>IFERROR(IF(FIND(DN$1,$W118)&gt;0,IF(INDEX(Product_Pricing_Table[],MATCH(DN$1,Products,0),2)="Cores",IF(HostBuild[Use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8" s="552">
        <f>IFERROR(IF(FIND(DO$1,$W118)&gt;0,IF(INDEX(Product_Pricing_Table[],MATCH(DO$1,Products,0),2)="Cores",IF(HostBuild[Use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8" s="552">
        <f>IFERROR(IF(FIND(DP$1,$W118)&gt;0,IF(INDEX(Product_Pricing_Table[],MATCH(DP$1,Products,0),2)="Cores",IF(HostBuild[Use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8" s="552">
        <f>IFERROR(IF(FIND(DQ$1,$W118)&gt;0,IF(INDEX(Product_Pricing_Table[],MATCH(DQ$1,Products,0),2)="Cores",IF(HostBuild[Use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8" s="552">
        <f>IFERROR(IF(FIND(DR$1,$W118)&gt;0,IF(INDEX(Product_Pricing_Table[],MATCH(DR$1,Products,0),2)="Cores",IF(HostBuild[Use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8" s="552">
        <f>IFERROR(IF(FIND(DS$1,$W118)&gt;0,IF(INDEX(Product_Pricing_Table[],MATCH(DS$1,Products,0),2)="Cores",IF(HostBuild[Use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8" s="552">
        <f>IFERROR(IF(FIND(DT$1,$W118)&gt;0,IF(INDEX(Product_Pricing_Table[],MATCH(DT$1,Products,0),2)="Cores",IF(HostBuild[Use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8" s="552">
        <f>IFERROR(IF(FIND(DU$1,$W118)&gt;0,IF(INDEX(Product_Pricing_Table[],MATCH(DU$1,Products,0),2)="Cores",IF(HostBuild[Use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8" s="552">
        <f>IFERROR(IF(FIND(DV$1,$W118)&gt;0,IF(INDEX(Product_Pricing_Table[],MATCH(DV$1,Products,0),2)="Cores",IF(HostBuild[Use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8" s="552">
        <f>IFERROR(IF(FIND(DW$1,$W118)&gt;0,IF(INDEX(Product_Pricing_Table[],MATCH(DW$1,Products,0),2)="Cores",IF(HostBuild[Use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8" s="552">
        <f>IFERROR(IF(FIND(DX$1,$W118)&gt;0,IF(INDEX(Product_Pricing_Table[],MATCH(DX$1,Products,0),2)="Cores",IF(HostBuild[Use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8" s="552">
        <f>IFERROR(IF(FIND(DY$1,$W118)&gt;0,IF(INDEX(Product_Pricing_Table[],MATCH(DY$1,Products,0),2)="Cores",IF(HostBuild[Use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8" s="552">
        <f>IFERROR(IF(FIND(DZ$1,$W118)&gt;0,IF(INDEX(Product_Pricing_Table[],MATCH(DZ$1,Products,0),2)="Cores",IF(HostBuild[Use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8" s="552">
        <f>IFERROR(IF(FIND(EA$1,$W118)&gt;0,IF(INDEX(Product_Pricing_Table[],MATCH(EA$1,Products,0),2)="Cores",IF(HostBuild[Use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8" s="552">
        <f>IFERROR(IF(FIND(EB$1,$W118)&gt;0,IF(INDEX(Product_Pricing_Table[],MATCH(EB$1,Products,0),2)="Cores",IF(HostBuild[Use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8" s="553">
        <f>IFERROR(IF(FIND(EC$1,$W118)&gt;0,IF(INDEX(Product_Pricing_Table[],MATCH(EC$1,Products,0),2)="Cores",IF(HostBuild[Use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8" s="552">
        <f>IFERROR(IF(FIND(ED$1,$W118)&gt;0,IF(INDEX(Product_Pricing_Table[],MATCH(ED$1,Products,0),2)="Cores",IF(HostBuild[Use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8" s="552">
        <f>IFERROR(IF(FIND(EE$1,$W118)&gt;0,IF(INDEX(Product_Pricing_Table[],MATCH(EE$1,Products,0),2)="Cores",IF(HostBuild[Use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8" s="552">
        <f>IFERROR(IF(FIND(EF$1,$W118)&gt;0,IF(INDEX(Product_Pricing_Table[],MATCH(EF$1,Products,0),2)="Cores",IF(HostBuild[Use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8" s="552">
        <f>IFERROR(IF(FIND(EG$1,$W118)&gt;0,IF(INDEX(Product_Pricing_Table[],MATCH(EG$1,Products,0),2)="Cores",IF(HostBuild[Use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8" s="552">
        <f>IFERROR(IF(FIND(EH$1,$W118)&gt;0,IF(INDEX(Product_Pricing_Table[],MATCH(EH$1,Products,0),2)="Cores",IF(HostBuild[Use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8" s="552">
        <f>IFERROR(IF(FIND(EI$1,$W118)&gt;0,IF(INDEX(Product_Pricing_Table[],MATCH(EI$1,Products,0),2)="Cores",IF(HostBuild[Use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8" s="552">
        <f>IFERROR(IF(FIND(EJ$1,$W118)&gt;0,IF(INDEX(Product_Pricing_Table[],MATCH(EJ$1,Products,0),2)="Cores",IF(HostBuild[Use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8" s="553">
        <f>IFERROR(IF(FIND(EK$1,$W118)&gt;0,IF(INDEX(Product_Pricing_Table[],MATCH(EK$1,Products,0),2)="Cores",IF(HostBuild[Use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8" s="554"/>
      <c r="EM118" s="555"/>
      <c r="EN118" s="556"/>
      <c r="EO118"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4564.6650000000009</v>
      </c>
      <c r="EQ118" s="558">
        <f>(HostBuild[Archive
Full (GB)]+HostBuild[Archive
Incr (GB)])*Storage_DC_Dist_Tape_2014</f>
        <v>644.37231250000002</v>
      </c>
      <c r="ER118" s="558">
        <f>IF(ISNUMBER(HostBuild[Server HW Costs
(Monthly)]),SUM(HostBuild[[#This Row],[Server HW Costs
(Monthly)]:[Tape Costs
(Monthly)]]),0)</f>
        <v>6097.7373125000004</v>
      </c>
      <c r="ES118" s="559">
        <f>HostBuild[Software Costs
'[Year 1']
(Monthly)]+HostBuild[Total Hardware Costs
(Monthly)]</f>
        <v>6097.7373125000004</v>
      </c>
      <c r="ET118" s="559">
        <f>IFERROR(IF(FIND("Safenet",HostBuild[Server Model]),Safenet_PSE_PL600_Maint,0),0)+IFERROR(IF(FIND("XI52",HostBuild[Server Model]),IBM_DIA_XI52_Maint,0),0)+HostBuild[Software Costs
'[After Year 1']
(Monthly)]+HostBuild[Total Hardware Costs
(Monthly)]</f>
        <v>6097.7373125000004</v>
      </c>
      <c r="EU118" s="560">
        <f>SUM(HostBuild[[#This Row],[Server Cost Breakdown]:[Network Cost]])</f>
        <v>888.7</v>
      </c>
      <c r="EV118" s="561">
        <f>IF(HostBuild[Existing Server?]="Yes - Inside this BoM",0,SUMIF(HostBuild[Alias],HostBuild[Alias],HostBuild[CPU])+SUMIF(HostBuild[Alias],HostBuild[Alias],HostBuild[Existing CPUs]))</f>
        <v>2</v>
      </c>
      <c r="EW118" s="561">
        <f>IF(HostBuild[Existing Server?]="Yes - Inside this BoM",0,SUMIF(HostBuild[Alias],HostBuild[Alias],HostBuild[Cores 
(Licensed Units)])+SUMIF(HostBuild[Alias],HostBuild[Alias],HostBuild[Existing Cores]))</f>
        <v>16</v>
      </c>
      <c r="EX118" s="561">
        <f>IF(HostBuild[Existing Server?]="Yes - Inside this BoM",0,SUMIF(HostBuild[Alias],HostBuild[Alias],HostBuild[RAM 
(GB)])+SUMIF(HostBuild[Alias],HostBuild[Alias],HostBuild[Existing RAM (GB)]))</f>
        <v>128</v>
      </c>
      <c r="EY11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8" s="560">
        <f>IF(ISBLANK(HostBuild[Server Model]),0,IF(HostBuild[Server Tier]="VMware",0,VLOOKUP(HostBuild[Server Tier],ServerTierRates[#Data],2,0))*HostBuild[CPU]*IF(AND(HostBuild[Server Type]="pSeries",HostBuild[Virtual Platform Storage Type]="Cloud-SAN"),0.25,1))</f>
        <v>608</v>
      </c>
      <c r="FD118" s="560">
        <f>0</f>
        <v>0</v>
      </c>
      <c r="FE118" s="560">
        <f>IF(HostBuild[Server Type]="VMware",HostBuild[RAM 
(GB)]*IF(ISERROR(FIND("DevCloud", HostBuild[Server Model])&gt;0),vRAM_per_vCPU_2014_Monthly,vRAM_per_vCPU_2014_Daily*30),0)</f>
        <v>0</v>
      </c>
      <c r="FF11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8" s="563">
        <f>IF(HostBuild[Server Tier]="VMware",0,IF(LEFT(HostBuild[Existing Server?],3)="Yes",0,IF(OR(HostBuild[Server Type]="Sun",HostBuild[Server Type]="pSeries"),Support_Direct_Server_Sun_per_OS_2014,IF(HostBuild[Server Type]="x86",Support_Direct_Server_x86_Wintel_per_OS_2014,0))))</f>
        <v>187.1</v>
      </c>
      <c r="FI11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19" spans="1:165" s="139" customFormat="1" ht="15" customHeight="1">
      <c r="A119" s="360" t="s">
        <v>3942</v>
      </c>
      <c r="B119" s="521"/>
      <c r="C119" s="521"/>
      <c r="D119" s="521"/>
      <c r="E119" s="522"/>
      <c r="F119" s="522"/>
      <c r="G119" s="597"/>
      <c r="H119" s="597"/>
      <c r="I119" s="523"/>
      <c r="J119" s="522"/>
      <c r="K119" s="522"/>
      <c r="L119" s="522"/>
      <c r="M119" s="597" t="e">
        <f ca="1">IF(rngIsDate(HostBuild[CTO Acceptance]),"Y","N")</f>
        <v>#NAME?</v>
      </c>
      <c r="N119" s="361" t="s">
        <v>3939</v>
      </c>
      <c r="O119" s="525"/>
      <c r="P119" s="525"/>
      <c r="Q119" s="361" t="s">
        <v>3932</v>
      </c>
      <c r="R119" s="526" t="str">
        <f>IF(NOT(ISBLANK(HostBuild[Env Label])),IFERROR(VLOOKUP(HostBuild[Env Label],tEnv[],3,FALSE),""),"")</f>
        <v>PROD</v>
      </c>
      <c r="S119" s="598"/>
      <c r="T119" s="527"/>
      <c r="U119" s="599"/>
      <c r="V119" s="524" t="s">
        <v>4018</v>
      </c>
      <c r="W119" s="524" t="s">
        <v>2249</v>
      </c>
      <c r="X119" s="524" t="s">
        <v>32</v>
      </c>
      <c r="Y119" s="361" t="s">
        <v>4067</v>
      </c>
      <c r="Z119" s="526" t="str">
        <f>IF(NOT(ISBLANK(HostBuild[[#This Row],[Product 
(Acronym)]])),CONCATENATE(HostBuild[[#This Row],[Type]],"-",HostBuild[[#This Row],[Product 
(Acronym)]]),"")</f>
        <v>DB-CBOL</v>
      </c>
      <c r="AA119" s="600"/>
      <c r="AB119" s="600" t="s">
        <v>105</v>
      </c>
      <c r="AC119" s="528"/>
      <c r="AD119" s="529"/>
      <c r="AE119" s="529"/>
      <c r="AF119" s="530"/>
      <c r="AG119" s="531"/>
      <c r="AH119" s="601"/>
      <c r="AI119" s="362" t="s">
        <v>4041</v>
      </c>
      <c r="AJ119" s="524">
        <f>IF(COUNTIF(HostBuild[Alias],HostBuild[Alias]),1/COUNTIF(HostBuild[Alias],HostBuild[Alias]),0)</f>
        <v>1</v>
      </c>
      <c r="AK119" s="531"/>
      <c r="AL119" s="531"/>
      <c r="AM119" s="532" t="s">
        <v>2173</v>
      </c>
      <c r="AN119" s="533" t="str">
        <f>IF(NOT(ISBLANK(HostBuild[Server Model])),VLOOKUP(HostBuild[Server Model],ServerModelsTier[],2,FALSE),"")</f>
        <v>x86 Tier 3</v>
      </c>
      <c r="AO119" s="533" t="str">
        <f>IF(NOT(ISBLANK(HostBuild[Server Model])),VLOOKUP(HostBuild[Server Model],ServerModelsTier[],5,FALSE),"")</f>
        <v>x86</v>
      </c>
      <c r="AP119" s="532"/>
      <c r="AQ119" s="532" t="s">
        <v>2337</v>
      </c>
      <c r="AR119" s="534">
        <v>2</v>
      </c>
      <c r="AS119" s="602"/>
      <c r="AT119" s="535">
        <v>16</v>
      </c>
      <c r="AU119" s="603"/>
      <c r="AV119" s="536">
        <v>128</v>
      </c>
      <c r="AW119" s="531"/>
      <c r="AX119" s="531"/>
      <c r="AY119" s="531"/>
      <c r="AZ119" s="537"/>
      <c r="BA119" s="531"/>
      <c r="BB119" s="531"/>
      <c r="BC119" s="529"/>
      <c r="BD119" s="531"/>
      <c r="BE119" s="531"/>
      <c r="BF119" s="531"/>
      <c r="BG119" s="531"/>
      <c r="BH119" s="531"/>
      <c r="BI119" s="531"/>
      <c r="BJ119" s="531"/>
      <c r="BK119"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19" s="538">
        <v>200</v>
      </c>
      <c r="BM119" s="540">
        <f>IF(ISNUMBER(HostBuild[Recommended SAN (GB)]),HostBuild[Recommended SAN (GB)])+IF(HostBuild[Additional SAN (GB)]&gt;0,CEILING(HostBuild[Additional SAN (GB)],LUN),-(CEILING(-HostBuild[Additional SAN (GB)],LUN)))</f>
        <v>404.40000000000003</v>
      </c>
      <c r="BN119" s="539"/>
      <c r="BO119" s="540">
        <f>HostBuild[SAN (GB)
NEEDED TODAY]+CEILING(HostBuild[SAN (GB)
RESERVED
DO NOT USE TO BUILD], LUN)</f>
        <v>404.40000000000003</v>
      </c>
      <c r="BP119" s="541"/>
      <c r="BQ119" s="542"/>
      <c r="BR119" s="432"/>
      <c r="BS119" s="605">
        <f>IF(HostBuild[Existing Server?]&lt;&gt;"Yes - Inside this BoM",IF(ISNUMBER(HostBuild[RAM 
(GB)]),IF(HostBuild[Existing RAM (GB)]+HostBuild[RAM 
(GB)]&gt;0,IF(HostBuild[Virtual Platform Storage Type]="NAS",110+HostBuild[Existing RAM (GB)]+HostBuild[RAM 
(GB)]*1.75,0),0),0),0)</f>
        <v>0</v>
      </c>
      <c r="BT119" s="606"/>
      <c r="BU119" s="607">
        <f>IF(ISNUMBER(HostBuild[Recommended NAS (GB)]),HostBuild[Recommended NAS (GB)])+HostBuild[Additional NAS (GB)]</f>
        <v>0</v>
      </c>
      <c r="BV119" s="543"/>
      <c r="BW119" s="543"/>
      <c r="BX119" s="604">
        <f>IFERROR((HostBuild[SAN (GB)
End-State
DO NOT USE TO BUILD]+HostBuild[SAN (GB) Shared])*25%,"")</f>
        <v>101.10000000000001</v>
      </c>
      <c r="BY119" s="608">
        <f>IFERROR(HostBuild[Archive
Full (GB)]*15%,"")</f>
        <v>15.165000000000001</v>
      </c>
      <c r="BZ119" s="544"/>
      <c r="CA119" s="544"/>
      <c r="CB119" s="545"/>
      <c r="CC119" s="546"/>
      <c r="CD119" s="545"/>
      <c r="CE119" s="547"/>
      <c r="CF119" s="539"/>
      <c r="CG119" s="609"/>
      <c r="CH119" s="548"/>
      <c r="CI119" s="549"/>
      <c r="CJ119" s="550"/>
      <c r="CK119" s="551"/>
      <c r="CL119" s="552">
        <f>IFERROR(IF(FIND(CL$1,$W119)&gt;0,IF(INDEX(Product_Pricing_Table[],MATCH(CL$1,Products,0),2)="Cores",IF(HostBuild[Use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19" s="552">
        <f>IFERROR(IF(FIND(CM$1,$W119)&gt;0,IF(INDEX(Product_Pricing_Table[],MATCH(CM$1,Products,0),2)="Cores",IF(HostBuild[Use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19" s="552">
        <f>IFERROR(IF(FIND(CN$1,$W119)&gt;0,IF(INDEX(Product_Pricing_Table[],MATCH(CN$1,Products,0),2)="Cores",IF(HostBuild[Use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19" s="552">
        <f>IFERROR(IF(FIND(CO$1,$W119)&gt;0,IF(INDEX(Product_Pricing_Table[],MATCH(CO$1,Products,0),2)="Cores",IF(HostBuild[Use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19" s="552">
        <f>IFERROR(IF(FIND(CP$1,$W119)&gt;0,IF(INDEX(Product_Pricing_Table[],MATCH(CP$1,Products,0),2)="Cores",IF(HostBuild[Use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19" s="552">
        <f>IFERROR(IF(FIND(CQ$1,$W119)&gt;0,IF(INDEX(Product_Pricing_Table[],MATCH(CQ$1,Products,0),2)="Cores",IF(HostBuild[Use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19" s="552">
        <f>IFERROR(IF(FIND(CR$1,$W119)&gt;0,IF(INDEX(Product_Pricing_Table[],MATCH(CR$1,Products,0),2)="Cores",IF(HostBuild[Use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19" s="552">
        <f>IFERROR(IF(FIND(CS$1,$W119)&gt;0,IF(INDEX(Product_Pricing_Table[],MATCH(CS$1,Products,0),2)="Cores",IF(HostBuild[Use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19" s="552">
        <f>IFERROR(IF(FIND(CT$1,$W119)&gt;0,IF(INDEX(Product_Pricing_Table[],MATCH(CT$1,Products,0),2)="Cores",IF(HostBuild[Use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19" s="552">
        <f>IFERROR(IF(FIND(CU$1,$W119)&gt;0,IF(INDEX(Product_Pricing_Table[],MATCH(CU$1,Products,0),2)="Cores",IF(HostBuild[Use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19" s="552">
        <f>IFERROR(IF(FIND(CV$1,$W119)&gt;0,IF(INDEX(Product_Pricing_Table[],MATCH(CV$1,Products,0),2)="Cores",IF(HostBuild[Use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19" s="552">
        <f>IFERROR(IF(FIND(CW$1,$W119)&gt;0,IF(INDEX(Product_Pricing_Table[],MATCH(CW$1,Products,0),2)="Cores",IF(HostBuild[Use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19" s="552">
        <f>IFERROR(IF(FIND(CX$1,$W119)&gt;0,IF(INDEX(Product_Pricing_Table[],MATCH(CX$1,Products,0),2)="Cores",IF(HostBuild[Use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19" s="552">
        <f>IFERROR(IF(FIND(CY$1,$W119)&gt;0,IF(INDEX(Product_Pricing_Table[],MATCH(CY$1,Products,0),2)="Cores",IF(HostBuild[Use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19" s="552">
        <f>IFERROR(IF(FIND(CZ$1,$W119)&gt;0,IF(INDEX(Product_Pricing_Table[],MATCH(CZ$1,Products,0),2)="Cores",IF(HostBuild[Use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19" s="552">
        <f>IFERROR(IF(FIND(DA$1,$W119)&gt;0,IF(INDEX(Product_Pricing_Table[],MATCH(DA$1,Products,0),2)="Cores",IF(HostBuild[Use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19" s="552">
        <f>IFERROR(IF(FIND(DB$1,$W119)&gt;0,IF(INDEX(Product_Pricing_Table[],MATCH(DB$1,Products,0),2)="Cores",IF(HostBuild[Use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19" s="552">
        <f>IFERROR(IF(FIND(DC$1,$W119)&gt;0,IF(INDEX(Product_Pricing_Table[],MATCH(DC$1,Products,0),2)="Cores",IF(HostBuild[Use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19" s="552">
        <f>IFERROR(IF(FIND(DD$1,$W119)&gt;0,IF(INDEX(Product_Pricing_Table[],MATCH(DD$1,Products,0),2)="Cores",IF(HostBuild[Use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19" s="552">
        <f>IFERROR(IF(FIND(DE$1,$W119)&gt;0,IF(INDEX(Product_Pricing_Table[],MATCH(DE$1,Products,0),2)="Cores",IF(HostBuild[Use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19" s="553">
        <f>IFERROR(IF(FIND(DF$1,$W119)&gt;0,IF(INDEX(Product_Pricing_Table[],MATCH(DF$1,Products,0),2)="Cores",IF(HostBuild[Use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19" s="553">
        <f>IFERROR(IF(FIND(DG$1,$W119)&gt;0,IF(INDEX(Product_Pricing_Table[],MATCH(DG$1,Products,0),2)="Cores",IF(HostBuild[Use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19" s="552">
        <f>IFERROR(IF(FIND(DH$1,$W119)&gt;0,IF(INDEX(Product_Pricing_Table[],MATCH(DH$1,Products,0),2)="Cores",IF(HostBuild[Use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19" s="553">
        <f>IFERROR(IF(FIND(DI$1,$W119)&gt;0,IF(INDEX(Product_Pricing_Table[],MATCH(DI$1,Products,0),2)="Cores",IF(HostBuild[Use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19" s="552">
        <f>IFERROR(IF(FIND(DJ$1,$W119)&gt;0,IF(INDEX(Product_Pricing_Table[],MATCH(DJ$1,Products,0),2)="Cores",IF(HostBuild[Use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19" s="552">
        <f>IFERROR(IF(FIND(DK$1,$W119)&gt;0,IF(INDEX(Product_Pricing_Table[],MATCH(DK$1,Products,0),2)="Cores",IF(HostBuild[Use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19" s="552">
        <f>IFERROR(IF(FIND(DL$1,$W119)&gt;0,IF(INDEX(Product_Pricing_Table[],MATCH(DL$1,Products,0),2)="Cores",IF(HostBuild[Use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19" s="552">
        <f>IFERROR(IF(FIND(DM$1,$W119)&gt;0,IF(INDEX(Product_Pricing_Table[],MATCH(DM$1,Products,0),2)="Cores",IF(HostBuild[Use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19" s="552">
        <f>IFERROR(IF(FIND(DN$1,$W119)&gt;0,IF(INDEX(Product_Pricing_Table[],MATCH(DN$1,Products,0),2)="Cores",IF(HostBuild[Use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19" s="552">
        <f>IFERROR(IF(FIND(DO$1,$W119)&gt;0,IF(INDEX(Product_Pricing_Table[],MATCH(DO$1,Products,0),2)="Cores",IF(HostBuild[Use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19" s="552">
        <f>IFERROR(IF(FIND(DP$1,$W119)&gt;0,IF(INDEX(Product_Pricing_Table[],MATCH(DP$1,Products,0),2)="Cores",IF(HostBuild[Use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19" s="552">
        <f>IFERROR(IF(FIND(DQ$1,$W119)&gt;0,IF(INDEX(Product_Pricing_Table[],MATCH(DQ$1,Products,0),2)="Cores",IF(HostBuild[Use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19" s="552">
        <f>IFERROR(IF(FIND(DR$1,$W119)&gt;0,IF(INDEX(Product_Pricing_Table[],MATCH(DR$1,Products,0),2)="Cores",IF(HostBuild[Use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19" s="552">
        <f>IFERROR(IF(FIND(DS$1,$W119)&gt;0,IF(INDEX(Product_Pricing_Table[],MATCH(DS$1,Products,0),2)="Cores",IF(HostBuild[Use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19" s="552">
        <f>IFERROR(IF(FIND(DT$1,$W119)&gt;0,IF(INDEX(Product_Pricing_Table[],MATCH(DT$1,Products,0),2)="Cores",IF(HostBuild[Use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19" s="552">
        <f>IFERROR(IF(FIND(DU$1,$W119)&gt;0,IF(INDEX(Product_Pricing_Table[],MATCH(DU$1,Products,0),2)="Cores",IF(HostBuild[Use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19" s="552">
        <f>IFERROR(IF(FIND(DV$1,$W119)&gt;0,IF(INDEX(Product_Pricing_Table[],MATCH(DV$1,Products,0),2)="Cores",IF(HostBuild[Use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19" s="552">
        <f>IFERROR(IF(FIND(DW$1,$W119)&gt;0,IF(INDEX(Product_Pricing_Table[],MATCH(DW$1,Products,0),2)="Cores",IF(HostBuild[Use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19" s="552">
        <f>IFERROR(IF(FIND(DX$1,$W119)&gt;0,IF(INDEX(Product_Pricing_Table[],MATCH(DX$1,Products,0),2)="Cores",IF(HostBuild[Use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19" s="552">
        <f>IFERROR(IF(FIND(DY$1,$W119)&gt;0,IF(INDEX(Product_Pricing_Table[],MATCH(DY$1,Products,0),2)="Cores",IF(HostBuild[Use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19" s="552">
        <f>IFERROR(IF(FIND(DZ$1,$W119)&gt;0,IF(INDEX(Product_Pricing_Table[],MATCH(DZ$1,Products,0),2)="Cores",IF(HostBuild[Use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19" s="552">
        <f>IFERROR(IF(FIND(EA$1,$W119)&gt;0,IF(INDEX(Product_Pricing_Table[],MATCH(EA$1,Products,0),2)="Cores",IF(HostBuild[Use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19" s="552">
        <f>IFERROR(IF(FIND(EB$1,$W119)&gt;0,IF(INDEX(Product_Pricing_Table[],MATCH(EB$1,Products,0),2)="Cores",IF(HostBuild[Use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19" s="553">
        <f>IFERROR(IF(FIND(EC$1,$W119)&gt;0,IF(INDEX(Product_Pricing_Table[],MATCH(EC$1,Products,0),2)="Cores",IF(HostBuild[Use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19" s="552">
        <f>IFERROR(IF(FIND(ED$1,$W119)&gt;0,IF(INDEX(Product_Pricing_Table[],MATCH(ED$1,Products,0),2)="Cores",IF(HostBuild[Use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19" s="552">
        <f>IFERROR(IF(FIND(EE$1,$W119)&gt;0,IF(INDEX(Product_Pricing_Table[],MATCH(EE$1,Products,0),2)="Cores",IF(HostBuild[Use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19" s="552">
        <f>IFERROR(IF(FIND(EF$1,$W119)&gt;0,IF(INDEX(Product_Pricing_Table[],MATCH(EF$1,Products,0),2)="Cores",IF(HostBuild[Use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19" s="552">
        <f>IFERROR(IF(FIND(EG$1,$W119)&gt;0,IF(INDEX(Product_Pricing_Table[],MATCH(EG$1,Products,0),2)="Cores",IF(HostBuild[Use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19" s="552">
        <f>IFERROR(IF(FIND(EH$1,$W119)&gt;0,IF(INDEX(Product_Pricing_Table[],MATCH(EH$1,Products,0),2)="Cores",IF(HostBuild[Use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19" s="552">
        <f>IFERROR(IF(FIND(EI$1,$W119)&gt;0,IF(INDEX(Product_Pricing_Table[],MATCH(EI$1,Products,0),2)="Cores",IF(HostBuild[Use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19" s="552">
        <f>IFERROR(IF(FIND(EJ$1,$W119)&gt;0,IF(INDEX(Product_Pricing_Table[],MATCH(EJ$1,Products,0),2)="Cores",IF(HostBuild[Use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19" s="553">
        <f>IFERROR(IF(FIND(EK$1,$W119)&gt;0,IF(INDEX(Product_Pricing_Table[],MATCH(EK$1,Products,0),2)="Cores",IF(HostBuild[Use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19" s="554"/>
      <c r="EM119" s="555"/>
      <c r="EN119" s="556"/>
      <c r="EO119"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1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181.98000000000002</v>
      </c>
      <c r="EQ119" s="558">
        <f>(HostBuild[Archive
Full (GB)]+HostBuild[Archive
Incr (GB)])*Storage_DC_Dist_Tape_2014</f>
        <v>40.692750000000004</v>
      </c>
      <c r="ER119" s="558">
        <f>IF(ISNUMBER(HostBuild[Server HW Costs
(Monthly)]),SUM(HostBuild[[#This Row],[Server HW Costs
(Monthly)]:[Tape Costs
(Monthly)]]),0)</f>
        <v>1111.37275</v>
      </c>
      <c r="ES119" s="559">
        <f>HostBuild[Software Costs
'[Year 1']
(Monthly)]+HostBuild[Total Hardware Costs
(Monthly)]</f>
        <v>1111.37275</v>
      </c>
      <c r="ET119" s="559">
        <f>IFERROR(IF(FIND("Safenet",HostBuild[Server Model]),Safenet_PSE_PL600_Maint,0),0)+IFERROR(IF(FIND("XI52",HostBuild[Server Model]),IBM_DIA_XI52_Maint,0),0)+HostBuild[Software Costs
'[After Year 1']
(Monthly)]+HostBuild[Total Hardware Costs
(Monthly)]</f>
        <v>1111.37275</v>
      </c>
      <c r="EU119" s="560">
        <f>SUM(HostBuild[[#This Row],[Server Cost Breakdown]:[Network Cost]])</f>
        <v>888.7</v>
      </c>
      <c r="EV119" s="561">
        <f>IF(HostBuild[Existing Server?]="Yes - Inside this BoM",0,SUMIF(HostBuild[Alias],HostBuild[Alias],HostBuild[CPU])+SUMIF(HostBuild[Alias],HostBuild[Alias],HostBuild[Existing CPUs]))</f>
        <v>2</v>
      </c>
      <c r="EW119" s="561">
        <f>IF(HostBuild[Existing Server?]="Yes - Inside this BoM",0,SUMIF(HostBuild[Alias],HostBuild[Alias],HostBuild[Cores 
(Licensed Units)])+SUMIF(HostBuild[Alias],HostBuild[Alias],HostBuild[Existing Cores]))</f>
        <v>16</v>
      </c>
      <c r="EX119" s="561">
        <f>IF(HostBuild[Existing Server?]="Yes - Inside this BoM",0,SUMIF(HostBuild[Alias],HostBuild[Alias],HostBuild[RAM 
(GB)])+SUMIF(HostBuild[Alias],HostBuild[Alias],HostBuild[Existing RAM (GB)]))</f>
        <v>128</v>
      </c>
      <c r="EY11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1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1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1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19" s="560">
        <f>IF(ISBLANK(HostBuild[Server Model]),0,IF(HostBuild[Server Tier]="VMware",0,VLOOKUP(HostBuild[Server Tier],ServerTierRates[#Data],2,0))*HostBuild[CPU]*IF(AND(HostBuild[Server Type]="pSeries",HostBuild[Virtual Platform Storage Type]="Cloud-SAN"),0.25,1))</f>
        <v>608</v>
      </c>
      <c r="FD119" s="560">
        <f>0</f>
        <v>0</v>
      </c>
      <c r="FE119" s="560">
        <f>IF(HostBuild[Server Type]="VMware",HostBuild[RAM 
(GB)]*IF(ISERROR(FIND("DevCloud", HostBuild[Server Model])&gt;0),vRAM_per_vCPU_2014_Monthly,vRAM_per_vCPU_2014_Daily*30),0)</f>
        <v>0</v>
      </c>
      <c r="FF11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1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19" s="563">
        <f>IF(HostBuild[Server Tier]="VMware",0,IF(LEFT(HostBuild[Existing Server?],3)="Yes",0,IF(OR(HostBuild[Server Type]="Sun",HostBuild[Server Type]="pSeries"),Support_Direct_Server_Sun_per_OS_2014,IF(HostBuild[Server Type]="x86",Support_Direct_Server_x86_Wintel_per_OS_2014,0))))</f>
        <v>187.1</v>
      </c>
      <c r="FI11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0" spans="1:165" s="139" customFormat="1" ht="15" customHeight="1">
      <c r="A120" s="360" t="s">
        <v>3942</v>
      </c>
      <c r="B120" s="521"/>
      <c r="C120" s="521"/>
      <c r="D120" s="521"/>
      <c r="E120" s="522"/>
      <c r="F120" s="522"/>
      <c r="G120" s="597"/>
      <c r="H120" s="597"/>
      <c r="I120" s="523"/>
      <c r="J120" s="522"/>
      <c r="K120" s="522"/>
      <c r="L120" s="522"/>
      <c r="M120" s="597" t="e">
        <f ca="1">IF(rngIsDate(HostBuild[CTO Acceptance]),"Y","N")</f>
        <v>#NAME?</v>
      </c>
      <c r="N120" s="361" t="s">
        <v>3938</v>
      </c>
      <c r="O120" s="525"/>
      <c r="P120" s="525"/>
      <c r="Q120" s="361" t="s">
        <v>79</v>
      </c>
      <c r="R120" s="526" t="str">
        <f>IF(NOT(ISBLANK(HostBuild[Env Label])),IFERROR(VLOOKUP(HostBuild[Env Label],tEnv[],3,FALSE),""),"")</f>
        <v>PROD</v>
      </c>
      <c r="S120" s="598"/>
      <c r="T120" s="527"/>
      <c r="U120" s="599"/>
      <c r="V120" s="524" t="s">
        <v>4020</v>
      </c>
      <c r="W120" s="524" t="s">
        <v>4046</v>
      </c>
      <c r="X120" s="524" t="s">
        <v>35</v>
      </c>
      <c r="Y120" s="361" t="s">
        <v>4067</v>
      </c>
      <c r="Z120" s="526" t="str">
        <f>IF(NOT(ISBLANK(HostBuild[[#This Row],[Product 
(Acronym)]])),CONCATENATE(HostBuild[[#This Row],[Type]],"-",HostBuild[[#This Row],[Product 
(Acronym)]]),"")</f>
        <v>AP-CBOL</v>
      </c>
      <c r="AA120" s="600"/>
      <c r="AB120" s="600" t="s">
        <v>105</v>
      </c>
      <c r="AC120" s="528"/>
      <c r="AD120" s="529"/>
      <c r="AE120" s="529"/>
      <c r="AF120" s="530"/>
      <c r="AG120" s="531"/>
      <c r="AH120" s="601"/>
      <c r="AI120" s="362" t="s">
        <v>4042</v>
      </c>
      <c r="AJ120" s="524">
        <f>IF(COUNTIF(HostBuild[Alias],HostBuild[Alias]),1/COUNTIF(HostBuild[Alias],HostBuild[Alias]),0)</f>
        <v>1</v>
      </c>
      <c r="AK120" s="531"/>
      <c r="AL120" s="531"/>
      <c r="AM120" s="532" t="s">
        <v>314</v>
      </c>
      <c r="AN120" s="533" t="str">
        <f>IF(NOT(ISBLANK(HostBuild[Server Model])),VLOOKUP(HostBuild[Server Model],ServerModelsTier[],2,FALSE),"")</f>
        <v>IBM P-Series Tier 2</v>
      </c>
      <c r="AO120" s="533" t="str">
        <f>IF(NOT(ISBLANK(HostBuild[Server Model])),VLOOKUP(HostBuild[Server Model],ServerModelsTier[],5,FALSE),"")</f>
        <v>pSeries</v>
      </c>
      <c r="AP120" s="532"/>
      <c r="AQ120" s="532" t="s">
        <v>24</v>
      </c>
      <c r="AR120" s="534">
        <v>1</v>
      </c>
      <c r="AS120" s="602"/>
      <c r="AT120" s="535">
        <v>1</v>
      </c>
      <c r="AU120" s="603"/>
      <c r="AV120" s="536">
        <v>48</v>
      </c>
      <c r="AW120" s="531"/>
      <c r="AX120" s="531"/>
      <c r="AY120" s="531"/>
      <c r="AZ120" s="537"/>
      <c r="BA120" s="531"/>
      <c r="BB120" s="531"/>
      <c r="BC120" s="529"/>
      <c r="BD120" s="531"/>
      <c r="BE120" s="531"/>
      <c r="BF120" s="531"/>
      <c r="BG120" s="531"/>
      <c r="BH120" s="531"/>
      <c r="BI120" s="531"/>
      <c r="BJ120" s="531"/>
      <c r="BK120"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120" s="538">
        <v>700</v>
      </c>
      <c r="BM120" s="540">
        <f>IF(ISNUMBER(HostBuild[Recommended SAN (GB)]),HostBuild[Recommended SAN (GB)])+IF(HostBuild[Additional SAN (GB)]&gt;0,CEILING(HostBuild[Additional SAN (GB)],LUN),-(CEILING(-HostBuild[Additional SAN (GB)],LUN)))</f>
        <v>707.7</v>
      </c>
      <c r="BN120" s="539"/>
      <c r="BO120" s="540">
        <f>HostBuild[SAN (GB)
NEEDED TODAY]+CEILING(HostBuild[SAN (GB)
RESERVED
DO NOT USE TO BUILD], LUN)</f>
        <v>707.7</v>
      </c>
      <c r="BP120" s="541">
        <v>600</v>
      </c>
      <c r="BQ120" s="542"/>
      <c r="BR120" s="432"/>
      <c r="BS120" s="605">
        <f>IF(HostBuild[Existing Server?]&lt;&gt;"Yes - Inside this BoM",IF(ISNUMBER(HostBuild[RAM 
(GB)]),IF(HostBuild[Existing RAM (GB)]+HostBuild[RAM 
(GB)]&gt;0,IF(HostBuild[Virtual Platform Storage Type]="NAS",110+HostBuild[Existing RAM (GB)]+HostBuild[RAM 
(GB)]*1.75,0),0),0),0)</f>
        <v>0</v>
      </c>
      <c r="BT120" s="606"/>
      <c r="BU120" s="607">
        <f>IF(ISNUMBER(HostBuild[Recommended NAS (GB)]),HostBuild[Recommended NAS (GB)])+HostBuild[Additional NAS (GB)]</f>
        <v>0</v>
      </c>
      <c r="BV120" s="543"/>
      <c r="BW120" s="543"/>
      <c r="BX120" s="604">
        <f>IFERROR((HostBuild[SAN (GB)
End-State
DO NOT USE TO BUILD]+HostBuild[SAN (GB) Shared])*25%,"")</f>
        <v>326.92500000000001</v>
      </c>
      <c r="BY120" s="608">
        <f>IFERROR(HostBuild[Archive
Full (GB)]*15%,"")</f>
        <v>49.03875</v>
      </c>
      <c r="BZ120" s="544"/>
      <c r="CA120" s="544"/>
      <c r="CB120" s="545"/>
      <c r="CC120" s="546"/>
      <c r="CD120" s="545"/>
      <c r="CE120" s="547"/>
      <c r="CF120" s="539"/>
      <c r="CG120" s="609"/>
      <c r="CH120" s="548"/>
      <c r="CI120" s="549"/>
      <c r="CJ120" s="550"/>
      <c r="CK120" s="551"/>
      <c r="CL120" s="552">
        <f>IFERROR(IF(FIND(CL$1,$W120)&gt;0,IF(INDEX(Product_Pricing_Table[],MATCH(CL$1,Products,0),2)="Cores",IF(HostBuild[Use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0" s="552">
        <f>IFERROR(IF(FIND(CM$1,$W120)&gt;0,IF(INDEX(Product_Pricing_Table[],MATCH(CM$1,Products,0),2)="Cores",IF(HostBuild[Use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0" s="552">
        <f>IFERROR(IF(FIND(CN$1,$W120)&gt;0,IF(INDEX(Product_Pricing_Table[],MATCH(CN$1,Products,0),2)="Cores",IF(HostBuild[Use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0" s="552">
        <f>IFERROR(IF(FIND(CO$1,$W120)&gt;0,IF(INDEX(Product_Pricing_Table[],MATCH(CO$1,Products,0),2)="Cores",IF(HostBuild[Use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0" s="552">
        <f>IFERROR(IF(FIND(CP$1,$W120)&gt;0,IF(INDEX(Product_Pricing_Table[],MATCH(CP$1,Products,0),2)="Cores",IF(HostBuild[Use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0" s="552">
        <f>IFERROR(IF(FIND(CQ$1,$W120)&gt;0,IF(INDEX(Product_Pricing_Table[],MATCH(CQ$1,Products,0),2)="Cores",IF(HostBuild[Use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0" s="552">
        <f>IFERROR(IF(FIND(CR$1,$W120)&gt;0,IF(INDEX(Product_Pricing_Table[],MATCH(CR$1,Products,0),2)="Cores",IF(HostBuild[Use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0" s="552">
        <f>IFERROR(IF(FIND(CS$1,$W120)&gt;0,IF(INDEX(Product_Pricing_Table[],MATCH(CS$1,Products,0),2)="Cores",IF(HostBuild[Use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0" s="552">
        <f>IFERROR(IF(FIND(CT$1,$W120)&gt;0,IF(INDEX(Product_Pricing_Table[],MATCH(CT$1,Products,0),2)="Cores",IF(HostBuild[Use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0" s="552">
        <f>IFERROR(IF(FIND(CU$1,$W120)&gt;0,IF(INDEX(Product_Pricing_Table[],MATCH(CU$1,Products,0),2)="Cores",IF(HostBuild[Use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0" s="552">
        <f>IFERROR(IF(FIND(CV$1,$W120)&gt;0,IF(INDEX(Product_Pricing_Table[],MATCH(CV$1,Products,0),2)="Cores",IF(HostBuild[Use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0" s="552">
        <f>IFERROR(IF(FIND(CW$1,$W120)&gt;0,IF(INDEX(Product_Pricing_Table[],MATCH(CW$1,Products,0),2)="Cores",IF(HostBuild[Use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0" s="552">
        <f>IFERROR(IF(FIND(CX$1,$W120)&gt;0,IF(INDEX(Product_Pricing_Table[],MATCH(CX$1,Products,0),2)="Cores",IF(HostBuild[Use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0" s="552">
        <f>IFERROR(IF(FIND(CY$1,$W120)&gt;0,IF(INDEX(Product_Pricing_Table[],MATCH(CY$1,Products,0),2)="Cores",IF(HostBuild[Use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0" s="552">
        <f>IFERROR(IF(FIND(CZ$1,$W120)&gt;0,IF(INDEX(Product_Pricing_Table[],MATCH(CZ$1,Products,0),2)="Cores",IF(HostBuild[Use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0" s="552">
        <f>IFERROR(IF(FIND(DA$1,$W120)&gt;0,IF(INDEX(Product_Pricing_Table[],MATCH(DA$1,Products,0),2)="Cores",IF(HostBuild[Use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0" s="552">
        <f>IFERROR(IF(FIND(DB$1,$W120)&gt;0,IF(INDEX(Product_Pricing_Table[],MATCH(DB$1,Products,0),2)="Cores",IF(HostBuild[Use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0" s="552">
        <f>IFERROR(IF(FIND(DC$1,$W120)&gt;0,IF(INDEX(Product_Pricing_Table[],MATCH(DC$1,Products,0),2)="Cores",IF(HostBuild[Use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0" s="552">
        <f>IFERROR(IF(FIND(DD$1,$W120)&gt;0,IF(INDEX(Product_Pricing_Table[],MATCH(DD$1,Products,0),2)="Cores",IF(HostBuild[Use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0" s="552">
        <f>IFERROR(IF(FIND(DE$1,$W120)&gt;0,IF(INDEX(Product_Pricing_Table[],MATCH(DE$1,Products,0),2)="Cores",IF(HostBuild[Use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0" s="553">
        <f>IFERROR(IF(FIND(DF$1,$W120)&gt;0,IF(INDEX(Product_Pricing_Table[],MATCH(DF$1,Products,0),2)="Cores",IF(HostBuild[Use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0" s="553">
        <f>IFERROR(IF(FIND(DG$1,$W120)&gt;0,IF(INDEX(Product_Pricing_Table[],MATCH(DG$1,Products,0),2)="Cores",IF(HostBuild[Use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0" s="552">
        <f>IFERROR(IF(FIND(DH$1,$W120)&gt;0,IF(INDEX(Product_Pricing_Table[],MATCH(DH$1,Products,0),2)="Cores",IF(HostBuild[Use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0" s="553">
        <f>IFERROR(IF(FIND(DI$1,$W120)&gt;0,IF(INDEX(Product_Pricing_Table[],MATCH(DI$1,Products,0),2)="Cores",IF(HostBuild[Use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0" s="552">
        <f>IFERROR(IF(FIND(DJ$1,$W120)&gt;0,IF(INDEX(Product_Pricing_Table[],MATCH(DJ$1,Products,0),2)="Cores",IF(HostBuild[Use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0" s="552">
        <f>IFERROR(IF(FIND(DK$1,$W120)&gt;0,IF(INDEX(Product_Pricing_Table[],MATCH(DK$1,Products,0),2)="Cores",IF(HostBuild[Use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0" s="552">
        <f>IFERROR(IF(FIND(DL$1,$W120)&gt;0,IF(INDEX(Product_Pricing_Table[],MATCH(DL$1,Products,0),2)="Cores",IF(HostBuild[Use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0" s="552">
        <f>IFERROR(IF(FIND(DM$1,$W120)&gt;0,IF(INDEX(Product_Pricing_Table[],MATCH(DM$1,Products,0),2)="Cores",IF(HostBuild[Use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0" s="552">
        <f>IFERROR(IF(FIND(DN$1,$W120)&gt;0,IF(INDEX(Product_Pricing_Table[],MATCH(DN$1,Products,0),2)="Cores",IF(HostBuild[Use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0" s="552">
        <f>IFERROR(IF(FIND(DO$1,$W120)&gt;0,IF(INDEX(Product_Pricing_Table[],MATCH(DO$1,Products,0),2)="Cores",IF(HostBuild[Use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0" s="552">
        <f>IFERROR(IF(FIND(DP$1,$W120)&gt;0,IF(INDEX(Product_Pricing_Table[],MATCH(DP$1,Products,0),2)="Cores",IF(HostBuild[Use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0" s="552">
        <f>IFERROR(IF(FIND(DQ$1,$W120)&gt;0,IF(INDEX(Product_Pricing_Table[],MATCH(DQ$1,Products,0),2)="Cores",IF(HostBuild[Use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0" s="552">
        <f>IFERROR(IF(FIND(DR$1,$W120)&gt;0,IF(INDEX(Product_Pricing_Table[],MATCH(DR$1,Products,0),2)="Cores",IF(HostBuild[Use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0" s="552">
        <f>IFERROR(IF(FIND(DS$1,$W120)&gt;0,IF(INDEX(Product_Pricing_Table[],MATCH(DS$1,Products,0),2)="Cores",IF(HostBuild[Use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0" s="552">
        <f>IFERROR(IF(FIND(DT$1,$W120)&gt;0,IF(INDEX(Product_Pricing_Table[],MATCH(DT$1,Products,0),2)="Cores",IF(HostBuild[Use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0" s="552">
        <f>IFERROR(IF(FIND(DU$1,$W120)&gt;0,IF(INDEX(Product_Pricing_Table[],MATCH(DU$1,Products,0),2)="Cores",IF(HostBuild[Use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0" s="552">
        <f>IFERROR(IF(FIND(DV$1,$W120)&gt;0,IF(INDEX(Product_Pricing_Table[],MATCH(DV$1,Products,0),2)="Cores",IF(HostBuild[Use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0" s="552">
        <f>IFERROR(IF(FIND(DW$1,$W120)&gt;0,IF(INDEX(Product_Pricing_Table[],MATCH(DW$1,Products,0),2)="Cores",IF(HostBuild[Use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0" s="552">
        <f>IFERROR(IF(FIND(DX$1,$W120)&gt;0,IF(INDEX(Product_Pricing_Table[],MATCH(DX$1,Products,0),2)="Cores",IF(HostBuild[Use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0" s="552">
        <f>IFERROR(IF(FIND(DY$1,$W120)&gt;0,IF(INDEX(Product_Pricing_Table[],MATCH(DY$1,Products,0),2)="Cores",IF(HostBuild[Use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0" s="552">
        <f>IFERROR(IF(FIND(DZ$1,$W120)&gt;0,IF(INDEX(Product_Pricing_Table[],MATCH(DZ$1,Products,0),2)="Cores",IF(HostBuild[Use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0" s="552">
        <f>IFERROR(IF(FIND(EA$1,$W120)&gt;0,IF(INDEX(Product_Pricing_Table[],MATCH(EA$1,Products,0),2)="Cores",IF(HostBuild[Use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0" s="552">
        <f>IFERROR(IF(FIND(EB$1,$W120)&gt;0,IF(INDEX(Product_Pricing_Table[],MATCH(EB$1,Products,0),2)="Cores",IF(HostBuild[Use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0" s="553">
        <f>IFERROR(IF(FIND(EC$1,$W120)&gt;0,IF(INDEX(Product_Pricing_Table[],MATCH(EC$1,Products,0),2)="Cores",IF(HostBuild[Use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0" s="552">
        <f>IFERROR(IF(FIND(ED$1,$W120)&gt;0,IF(INDEX(Product_Pricing_Table[],MATCH(ED$1,Products,0),2)="Cores",IF(HostBuild[Use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0" s="552">
        <f>IFERROR(IF(FIND(EE$1,$W120)&gt;0,IF(INDEX(Product_Pricing_Table[],MATCH(EE$1,Products,0),2)="Cores",IF(HostBuild[Use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0" s="552">
        <f>IFERROR(IF(FIND(EF$1,$W120)&gt;0,IF(INDEX(Product_Pricing_Table[],MATCH(EF$1,Products,0),2)="Cores",IF(HostBuild[Use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0" s="552">
        <f>IFERROR(IF(FIND(EG$1,$W120)&gt;0,IF(INDEX(Product_Pricing_Table[],MATCH(EG$1,Products,0),2)="Cores",IF(HostBuild[Use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0" s="552">
        <f>IFERROR(IF(FIND(EH$1,$W120)&gt;0,IF(INDEX(Product_Pricing_Table[],MATCH(EH$1,Products,0),2)="Cores",IF(HostBuild[Use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0" s="552">
        <f>IFERROR(IF(FIND(EI$1,$W120)&gt;0,IF(INDEX(Product_Pricing_Table[],MATCH(EI$1,Products,0),2)="Cores",IF(HostBuild[Use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0" s="552">
        <f>IFERROR(IF(FIND(EJ$1,$W120)&gt;0,IF(INDEX(Product_Pricing_Table[],MATCH(EJ$1,Products,0),2)="Cores",IF(HostBuild[Use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0" s="553">
        <f>IFERROR(IF(FIND(EK$1,$W120)&gt;0,IF(INDEX(Product_Pricing_Table[],MATCH(EK$1,Products,0),2)="Cores",IF(HostBuild[Use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0" s="554"/>
      <c r="EM120" s="555"/>
      <c r="EN120" s="556"/>
      <c r="EO120" s="557">
        <f>IF(OR(ISBLANK(HostBuild[Alias]),HostBuild[Server Tier]="",),0,IF(HostBuild[Server Tier]="SafeNet",Safenet_PSE_PL600+HostBuild[Network Cost],IF(HostBuild[Server Tier]="VMware",HostBuild[New VMware (Adjusted)]+HostBuild[Initial Server Cost],IF(HostBuild[Server Tier]="XI52",IBM_DIA_XI52,HostBuild[Initial Server Cost]))))</f>
        <v>1304.0999999999999</v>
      </c>
      <c r="EP12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925.06500000000005</v>
      </c>
      <c r="EQ120" s="558">
        <f>(HostBuild[Archive
Full (GB)]+HostBuild[Archive
Incr (GB)])*Storage_DC_Dist_Tape_2014</f>
        <v>131.5873125</v>
      </c>
      <c r="ER120" s="558">
        <f>IF(ISNUMBER(HostBuild[Server HW Costs
(Monthly)]),SUM(HostBuild[[#This Row],[Server HW Costs
(Monthly)]:[Tape Costs
(Monthly)]]),0)</f>
        <v>2360.7523124999998</v>
      </c>
      <c r="ES120" s="559">
        <f>HostBuild[Software Costs
'[Year 1']
(Monthly)]+HostBuild[Total Hardware Costs
(Monthly)]</f>
        <v>2360.7523124999998</v>
      </c>
      <c r="ET120" s="559">
        <f>IFERROR(IF(FIND("Safenet",HostBuild[Server Model]),Safenet_PSE_PL600_Maint,0),0)+IFERROR(IF(FIND("XI52",HostBuild[Server Model]),IBM_DIA_XI52_Maint,0),0)+HostBuild[Software Costs
'[After Year 1']
(Monthly)]+HostBuild[Total Hardware Costs
(Monthly)]</f>
        <v>2360.7523124999998</v>
      </c>
      <c r="EU120" s="560">
        <f>SUM(HostBuild[[#This Row],[Server Cost Breakdown]:[Network Cost]])</f>
        <v>1304.0999999999999</v>
      </c>
      <c r="EV120" s="561">
        <f>IF(HostBuild[Existing Server?]="Yes - Inside this BoM",0,SUMIF(HostBuild[Alias],HostBuild[Alias],HostBuild[CPU])+SUMIF(HostBuild[Alias],HostBuild[Alias],HostBuild[Existing CPUs]))</f>
        <v>1</v>
      </c>
      <c r="EW120" s="561">
        <f>IF(HostBuild[Existing Server?]="Yes - Inside this BoM",0,SUMIF(HostBuild[Alias],HostBuild[Alias],HostBuild[Cores 
(Licensed Units)])+SUMIF(HostBuild[Alias],HostBuild[Alias],HostBuild[Existing Cores]))</f>
        <v>1</v>
      </c>
      <c r="EX120" s="561">
        <f>IF(HostBuild[Existing Server?]="Yes - Inside this BoM",0,SUMIF(HostBuild[Alias],HostBuild[Alias],HostBuild[RAM 
(GB)])+SUMIF(HostBuild[Alias],HostBuild[Alias],HostBuild[Existing RAM (GB)]))</f>
        <v>48</v>
      </c>
      <c r="EY12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0" s="560">
        <f>IF(ISBLANK(HostBuild[Server Model]),0,IF(HostBuild[Server Tier]="VMware",0,VLOOKUP(HostBuild[Server Tier],ServerTierRates[#Data],2,0))*HostBuild[CPU]*IF(AND(HostBuild[Server Type]="pSeries",HostBuild[Virtual Platform Storage Type]="Cloud-SAN"),0.25,1))</f>
        <v>829</v>
      </c>
      <c r="FD120" s="560">
        <f>0</f>
        <v>0</v>
      </c>
      <c r="FE120" s="560">
        <f>IF(HostBuild[Server Type]="VMware",HostBuild[RAM 
(GB)]*IF(ISERROR(FIND("DevCloud", HostBuild[Server Model])&gt;0),vRAM_per_vCPU_2014_Monthly,vRAM_per_vCPU_2014_Daily*30),0)</f>
        <v>0</v>
      </c>
      <c r="FF12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288</v>
      </c>
      <c r="FG12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0" s="563">
        <f>IF(HostBuild[Server Tier]="VMware",0,IF(LEFT(HostBuild[Existing Server?],3)="Yes",0,IF(OR(HostBuild[Server Type]="Sun",HostBuild[Server Type]="pSeries"),Support_Direct_Server_Sun_per_OS_2014,IF(HostBuild[Server Type]="x86",Support_Direct_Server_x86_Wintel_per_OS_2014,0))))</f>
        <v>187.1</v>
      </c>
      <c r="FI12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1" spans="1:165" s="139" customFormat="1" ht="15" customHeight="1">
      <c r="A121" s="360" t="s">
        <v>3942</v>
      </c>
      <c r="B121" s="521"/>
      <c r="C121" s="521"/>
      <c r="D121" s="521"/>
      <c r="E121" s="522"/>
      <c r="F121" s="522"/>
      <c r="G121" s="597"/>
      <c r="H121" s="597"/>
      <c r="I121" s="523"/>
      <c r="J121" s="522"/>
      <c r="K121" s="522"/>
      <c r="L121" s="522"/>
      <c r="M121" s="597" t="e">
        <f ca="1">IF(rngIsDate(HostBuild[CTO Acceptance]),"Y","N")</f>
        <v>#NAME?</v>
      </c>
      <c r="N121" s="361" t="s">
        <v>3938</v>
      </c>
      <c r="O121" s="525"/>
      <c r="P121" s="525"/>
      <c r="Q121" s="361" t="s">
        <v>79</v>
      </c>
      <c r="R121" s="526" t="str">
        <f>IF(NOT(ISBLANK(HostBuild[Env Label])),IFERROR(VLOOKUP(HostBuild[Env Label],tEnv[],3,FALSE),""),"")</f>
        <v>PROD</v>
      </c>
      <c r="S121" s="598"/>
      <c r="T121" s="527"/>
      <c r="U121" s="599"/>
      <c r="V121" s="524" t="s">
        <v>4020</v>
      </c>
      <c r="W121" s="524" t="s">
        <v>4046</v>
      </c>
      <c r="X121" s="524" t="s">
        <v>35</v>
      </c>
      <c r="Y121" s="361" t="s">
        <v>4067</v>
      </c>
      <c r="Z121" s="526" t="str">
        <f>IF(NOT(ISBLANK(HostBuild[[#This Row],[Product 
(Acronym)]])),CONCATENATE(HostBuild[[#This Row],[Type]],"-",HostBuild[[#This Row],[Product 
(Acronym)]]),"")</f>
        <v>AP-CBOL</v>
      </c>
      <c r="AA121" s="600"/>
      <c r="AB121" s="600" t="s">
        <v>105</v>
      </c>
      <c r="AC121" s="528"/>
      <c r="AD121" s="529"/>
      <c r="AE121" s="529"/>
      <c r="AF121" s="530"/>
      <c r="AG121" s="531"/>
      <c r="AH121" s="601"/>
      <c r="AI121" s="362" t="s">
        <v>4043</v>
      </c>
      <c r="AJ121" s="524">
        <f>IF(COUNTIF(HostBuild[Alias],HostBuild[Alias]),1/COUNTIF(HostBuild[Alias],HostBuild[Alias]),0)</f>
        <v>1</v>
      </c>
      <c r="AK121" s="531"/>
      <c r="AL121" s="531"/>
      <c r="AM121" s="532" t="s">
        <v>314</v>
      </c>
      <c r="AN121" s="533" t="str">
        <f>IF(NOT(ISBLANK(HostBuild[Server Model])),VLOOKUP(HostBuild[Server Model],ServerModelsTier[],2,FALSE),"")</f>
        <v>IBM P-Series Tier 2</v>
      </c>
      <c r="AO121" s="533" t="str">
        <f>IF(NOT(ISBLANK(HostBuild[Server Model])),VLOOKUP(HostBuild[Server Model],ServerModelsTier[],5,FALSE),"")</f>
        <v>pSeries</v>
      </c>
      <c r="AP121" s="532"/>
      <c r="AQ121" s="532" t="s">
        <v>24</v>
      </c>
      <c r="AR121" s="534">
        <v>1</v>
      </c>
      <c r="AS121" s="602"/>
      <c r="AT121" s="535">
        <v>1</v>
      </c>
      <c r="AU121" s="603"/>
      <c r="AV121" s="536">
        <v>48</v>
      </c>
      <c r="AW121" s="531"/>
      <c r="AX121" s="531"/>
      <c r="AY121" s="531"/>
      <c r="AZ121" s="537"/>
      <c r="BA121" s="531"/>
      <c r="BB121" s="531"/>
      <c r="BC121" s="529"/>
      <c r="BD121" s="531"/>
      <c r="BE121" s="531"/>
      <c r="BF121" s="531"/>
      <c r="BG121" s="531"/>
      <c r="BH121" s="531"/>
      <c r="BI121" s="531"/>
      <c r="BJ121" s="531"/>
      <c r="BK121"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121" s="538">
        <v>100</v>
      </c>
      <c r="BM121" s="540">
        <f>IF(ISNUMBER(HostBuild[Recommended SAN (GB)]),HostBuild[Recommended SAN (GB)])+IF(HostBuild[Additional SAN (GB)]&gt;0,CEILING(HostBuild[Additional SAN (GB)],LUN),-(CEILING(-HostBuild[Additional SAN (GB)],LUN)))</f>
        <v>101.10000000000001</v>
      </c>
      <c r="BN121" s="539"/>
      <c r="BO121" s="540">
        <f>HostBuild[SAN (GB)
NEEDED TODAY]+CEILING(HostBuild[SAN (GB)
RESERVED
DO NOT USE TO BUILD], LUN)</f>
        <v>101.10000000000001</v>
      </c>
      <c r="BP121" s="541"/>
      <c r="BQ121" s="542"/>
      <c r="BR121" s="432"/>
      <c r="BS121" s="605">
        <f>IF(HostBuild[Existing Server?]&lt;&gt;"Yes - Inside this BoM",IF(ISNUMBER(HostBuild[RAM 
(GB)]),IF(HostBuild[Existing RAM (GB)]+HostBuild[RAM 
(GB)]&gt;0,IF(HostBuild[Virtual Platform Storage Type]="NAS",110+HostBuild[Existing RAM (GB)]+HostBuild[RAM 
(GB)]*1.75,0),0),0),0)</f>
        <v>0</v>
      </c>
      <c r="BT121" s="606"/>
      <c r="BU121" s="607">
        <f>IF(ISNUMBER(HostBuild[Recommended NAS (GB)]),HostBuild[Recommended NAS (GB)])+HostBuild[Additional NAS (GB)]</f>
        <v>0</v>
      </c>
      <c r="BV121" s="543"/>
      <c r="BW121" s="543"/>
      <c r="BX121" s="604">
        <f>IFERROR((HostBuild[SAN (GB)
End-State
DO NOT USE TO BUILD]+HostBuild[SAN (GB) Shared])*25%,"")</f>
        <v>25.275000000000002</v>
      </c>
      <c r="BY121" s="608">
        <f>IFERROR(HostBuild[Archive
Full (GB)]*15%,"")</f>
        <v>3.7912500000000002</v>
      </c>
      <c r="BZ121" s="544"/>
      <c r="CA121" s="544"/>
      <c r="CB121" s="545"/>
      <c r="CC121" s="546"/>
      <c r="CD121" s="545"/>
      <c r="CE121" s="547"/>
      <c r="CF121" s="539"/>
      <c r="CG121" s="609"/>
      <c r="CH121" s="548"/>
      <c r="CI121" s="549"/>
      <c r="CJ121" s="550"/>
      <c r="CK121" s="551"/>
      <c r="CL121" s="552">
        <f>IFERROR(IF(FIND(CL$1,$W121)&gt;0,IF(INDEX(Product_Pricing_Table[],MATCH(CL$1,Products,0),2)="Cores",IF(HostBuild[Use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1" s="552">
        <f>IFERROR(IF(FIND(CM$1,$W121)&gt;0,IF(INDEX(Product_Pricing_Table[],MATCH(CM$1,Products,0),2)="Cores",IF(HostBuild[Use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1" s="552">
        <f>IFERROR(IF(FIND(CN$1,$W121)&gt;0,IF(INDEX(Product_Pricing_Table[],MATCH(CN$1,Products,0),2)="Cores",IF(HostBuild[Use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1" s="552">
        <f>IFERROR(IF(FIND(CO$1,$W121)&gt;0,IF(INDEX(Product_Pricing_Table[],MATCH(CO$1,Products,0),2)="Cores",IF(HostBuild[Use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1" s="552">
        <f>IFERROR(IF(FIND(CP$1,$W121)&gt;0,IF(INDEX(Product_Pricing_Table[],MATCH(CP$1,Products,0),2)="Cores",IF(HostBuild[Use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1" s="552">
        <f>IFERROR(IF(FIND(CQ$1,$W121)&gt;0,IF(INDEX(Product_Pricing_Table[],MATCH(CQ$1,Products,0),2)="Cores",IF(HostBuild[Use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1" s="552">
        <f>IFERROR(IF(FIND(CR$1,$W121)&gt;0,IF(INDEX(Product_Pricing_Table[],MATCH(CR$1,Products,0),2)="Cores",IF(HostBuild[Use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1" s="552">
        <f>IFERROR(IF(FIND(CS$1,$W121)&gt;0,IF(INDEX(Product_Pricing_Table[],MATCH(CS$1,Products,0),2)="Cores",IF(HostBuild[Use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1" s="552">
        <f>IFERROR(IF(FIND(CT$1,$W121)&gt;0,IF(INDEX(Product_Pricing_Table[],MATCH(CT$1,Products,0),2)="Cores",IF(HostBuild[Use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1" s="552">
        <f>IFERROR(IF(FIND(CU$1,$W121)&gt;0,IF(INDEX(Product_Pricing_Table[],MATCH(CU$1,Products,0),2)="Cores",IF(HostBuild[Use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1" s="552">
        <f>IFERROR(IF(FIND(CV$1,$W121)&gt;0,IF(INDEX(Product_Pricing_Table[],MATCH(CV$1,Products,0),2)="Cores",IF(HostBuild[Use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1" s="552">
        <f>IFERROR(IF(FIND(CW$1,$W121)&gt;0,IF(INDEX(Product_Pricing_Table[],MATCH(CW$1,Products,0),2)="Cores",IF(HostBuild[Use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1" s="552">
        <f>IFERROR(IF(FIND(CX$1,$W121)&gt;0,IF(INDEX(Product_Pricing_Table[],MATCH(CX$1,Products,0),2)="Cores",IF(HostBuild[Use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1" s="552">
        <f>IFERROR(IF(FIND(CY$1,$W121)&gt;0,IF(INDEX(Product_Pricing_Table[],MATCH(CY$1,Products,0),2)="Cores",IF(HostBuild[Use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1" s="552">
        <f>IFERROR(IF(FIND(CZ$1,$W121)&gt;0,IF(INDEX(Product_Pricing_Table[],MATCH(CZ$1,Products,0),2)="Cores",IF(HostBuild[Use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1" s="552">
        <f>IFERROR(IF(FIND(DA$1,$W121)&gt;0,IF(INDEX(Product_Pricing_Table[],MATCH(DA$1,Products,0),2)="Cores",IF(HostBuild[Use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1" s="552">
        <f>IFERROR(IF(FIND(DB$1,$W121)&gt;0,IF(INDEX(Product_Pricing_Table[],MATCH(DB$1,Products,0),2)="Cores",IF(HostBuild[Use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1" s="552">
        <f>IFERROR(IF(FIND(DC$1,$W121)&gt;0,IF(INDEX(Product_Pricing_Table[],MATCH(DC$1,Products,0),2)="Cores",IF(HostBuild[Use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1" s="552">
        <f>IFERROR(IF(FIND(DD$1,$W121)&gt;0,IF(INDEX(Product_Pricing_Table[],MATCH(DD$1,Products,0),2)="Cores",IF(HostBuild[Use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1" s="552">
        <f>IFERROR(IF(FIND(DE$1,$W121)&gt;0,IF(INDEX(Product_Pricing_Table[],MATCH(DE$1,Products,0),2)="Cores",IF(HostBuild[Use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1" s="553">
        <f>IFERROR(IF(FIND(DF$1,$W121)&gt;0,IF(INDEX(Product_Pricing_Table[],MATCH(DF$1,Products,0),2)="Cores",IF(HostBuild[Use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1" s="553">
        <f>IFERROR(IF(FIND(DG$1,$W121)&gt;0,IF(INDEX(Product_Pricing_Table[],MATCH(DG$1,Products,0),2)="Cores",IF(HostBuild[Use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1" s="552">
        <f>IFERROR(IF(FIND(DH$1,$W121)&gt;0,IF(INDEX(Product_Pricing_Table[],MATCH(DH$1,Products,0),2)="Cores",IF(HostBuild[Use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1" s="553">
        <f>IFERROR(IF(FIND(DI$1,$W121)&gt;0,IF(INDEX(Product_Pricing_Table[],MATCH(DI$1,Products,0),2)="Cores",IF(HostBuild[Use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1" s="552">
        <f>IFERROR(IF(FIND(DJ$1,$W121)&gt;0,IF(INDEX(Product_Pricing_Table[],MATCH(DJ$1,Products,0),2)="Cores",IF(HostBuild[Use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1" s="552">
        <f>IFERROR(IF(FIND(DK$1,$W121)&gt;0,IF(INDEX(Product_Pricing_Table[],MATCH(DK$1,Products,0),2)="Cores",IF(HostBuild[Use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1" s="552">
        <f>IFERROR(IF(FIND(DL$1,$W121)&gt;0,IF(INDEX(Product_Pricing_Table[],MATCH(DL$1,Products,0),2)="Cores",IF(HostBuild[Use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1" s="552">
        <f>IFERROR(IF(FIND(DM$1,$W121)&gt;0,IF(INDEX(Product_Pricing_Table[],MATCH(DM$1,Products,0),2)="Cores",IF(HostBuild[Use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1" s="552">
        <f>IFERROR(IF(FIND(DN$1,$W121)&gt;0,IF(INDEX(Product_Pricing_Table[],MATCH(DN$1,Products,0),2)="Cores",IF(HostBuild[Use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1" s="552">
        <f>IFERROR(IF(FIND(DO$1,$W121)&gt;0,IF(INDEX(Product_Pricing_Table[],MATCH(DO$1,Products,0),2)="Cores",IF(HostBuild[Use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1" s="552">
        <f>IFERROR(IF(FIND(DP$1,$W121)&gt;0,IF(INDEX(Product_Pricing_Table[],MATCH(DP$1,Products,0),2)="Cores",IF(HostBuild[Use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1" s="552">
        <f>IFERROR(IF(FIND(DQ$1,$W121)&gt;0,IF(INDEX(Product_Pricing_Table[],MATCH(DQ$1,Products,0),2)="Cores",IF(HostBuild[Use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1" s="552">
        <f>IFERROR(IF(FIND(DR$1,$W121)&gt;0,IF(INDEX(Product_Pricing_Table[],MATCH(DR$1,Products,0),2)="Cores",IF(HostBuild[Use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1" s="552">
        <f>IFERROR(IF(FIND(DS$1,$W121)&gt;0,IF(INDEX(Product_Pricing_Table[],MATCH(DS$1,Products,0),2)="Cores",IF(HostBuild[Use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1" s="552">
        <f>IFERROR(IF(FIND(DT$1,$W121)&gt;0,IF(INDEX(Product_Pricing_Table[],MATCH(DT$1,Products,0),2)="Cores",IF(HostBuild[Use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1" s="552">
        <f>IFERROR(IF(FIND(DU$1,$W121)&gt;0,IF(INDEX(Product_Pricing_Table[],MATCH(DU$1,Products,0),2)="Cores",IF(HostBuild[Use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1" s="552">
        <f>IFERROR(IF(FIND(DV$1,$W121)&gt;0,IF(INDEX(Product_Pricing_Table[],MATCH(DV$1,Products,0),2)="Cores",IF(HostBuild[Use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1" s="552">
        <f>IFERROR(IF(FIND(DW$1,$W121)&gt;0,IF(INDEX(Product_Pricing_Table[],MATCH(DW$1,Products,0),2)="Cores",IF(HostBuild[Use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1" s="552">
        <f>IFERROR(IF(FIND(DX$1,$W121)&gt;0,IF(INDEX(Product_Pricing_Table[],MATCH(DX$1,Products,0),2)="Cores",IF(HostBuild[Use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1" s="552">
        <f>IFERROR(IF(FIND(DY$1,$W121)&gt;0,IF(INDEX(Product_Pricing_Table[],MATCH(DY$1,Products,0),2)="Cores",IF(HostBuild[Use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1" s="552">
        <f>IFERROR(IF(FIND(DZ$1,$W121)&gt;0,IF(INDEX(Product_Pricing_Table[],MATCH(DZ$1,Products,0),2)="Cores",IF(HostBuild[Use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1" s="552">
        <f>IFERROR(IF(FIND(EA$1,$W121)&gt;0,IF(INDEX(Product_Pricing_Table[],MATCH(EA$1,Products,0),2)="Cores",IF(HostBuild[Use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1" s="552">
        <f>IFERROR(IF(FIND(EB$1,$W121)&gt;0,IF(INDEX(Product_Pricing_Table[],MATCH(EB$1,Products,0),2)="Cores",IF(HostBuild[Use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1" s="553">
        <f>IFERROR(IF(FIND(EC$1,$W121)&gt;0,IF(INDEX(Product_Pricing_Table[],MATCH(EC$1,Products,0),2)="Cores",IF(HostBuild[Use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1" s="552">
        <f>IFERROR(IF(FIND(ED$1,$W121)&gt;0,IF(INDEX(Product_Pricing_Table[],MATCH(ED$1,Products,0),2)="Cores",IF(HostBuild[Use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1" s="552">
        <f>IFERROR(IF(FIND(EE$1,$W121)&gt;0,IF(INDEX(Product_Pricing_Table[],MATCH(EE$1,Products,0),2)="Cores",IF(HostBuild[Use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1" s="552">
        <f>IFERROR(IF(FIND(EF$1,$W121)&gt;0,IF(INDEX(Product_Pricing_Table[],MATCH(EF$1,Products,0),2)="Cores",IF(HostBuild[Use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1" s="552">
        <f>IFERROR(IF(FIND(EG$1,$W121)&gt;0,IF(INDEX(Product_Pricing_Table[],MATCH(EG$1,Products,0),2)="Cores",IF(HostBuild[Use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1" s="552">
        <f>IFERROR(IF(FIND(EH$1,$W121)&gt;0,IF(INDEX(Product_Pricing_Table[],MATCH(EH$1,Products,0),2)="Cores",IF(HostBuild[Use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1" s="552">
        <f>IFERROR(IF(FIND(EI$1,$W121)&gt;0,IF(INDEX(Product_Pricing_Table[],MATCH(EI$1,Products,0),2)="Cores",IF(HostBuild[Use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1" s="552">
        <f>IFERROR(IF(FIND(EJ$1,$W121)&gt;0,IF(INDEX(Product_Pricing_Table[],MATCH(EJ$1,Products,0),2)="Cores",IF(HostBuild[Use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1" s="553">
        <f>IFERROR(IF(FIND(EK$1,$W121)&gt;0,IF(INDEX(Product_Pricing_Table[],MATCH(EK$1,Products,0),2)="Cores",IF(HostBuild[Use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1" s="554"/>
      <c r="EM121" s="555"/>
      <c r="EN121" s="556"/>
      <c r="EO121" s="557">
        <f>IF(OR(ISBLANK(HostBuild[Alias]),HostBuild[Server Tier]="",),0,IF(HostBuild[Server Tier]="SafeNet",Safenet_PSE_PL600+HostBuild[Network Cost],IF(HostBuild[Server Tier]="VMware",HostBuild[New VMware (Adjusted)]+HostBuild[Initial Server Cost],IF(HostBuild[Server Tier]="XI52",IBM_DIA_XI52,HostBuild[Initial Server Cost]))))</f>
        <v>1304.0999999999999</v>
      </c>
      <c r="EP12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45.495000000000005</v>
      </c>
      <c r="EQ121" s="558">
        <f>(HostBuild[Archive
Full (GB)]+HostBuild[Archive
Incr (GB)])*Storage_DC_Dist_Tape_2014</f>
        <v>10.173187500000001</v>
      </c>
      <c r="ER121" s="558">
        <f>IF(ISNUMBER(HostBuild[Server HW Costs
(Monthly)]),SUM(HostBuild[[#This Row],[Server HW Costs
(Monthly)]:[Tape Costs
(Monthly)]]),0)</f>
        <v>1359.7681874999998</v>
      </c>
      <c r="ES121" s="559">
        <f>HostBuild[Software Costs
'[Year 1']
(Monthly)]+HostBuild[Total Hardware Costs
(Monthly)]</f>
        <v>1359.7681874999998</v>
      </c>
      <c r="ET121" s="559">
        <f>IFERROR(IF(FIND("Safenet",HostBuild[Server Model]),Safenet_PSE_PL600_Maint,0),0)+IFERROR(IF(FIND("XI52",HostBuild[Server Model]),IBM_DIA_XI52_Maint,0),0)+HostBuild[Software Costs
'[After Year 1']
(Monthly)]+HostBuild[Total Hardware Costs
(Monthly)]</f>
        <v>1359.7681874999998</v>
      </c>
      <c r="EU121" s="560">
        <f>SUM(HostBuild[[#This Row],[Server Cost Breakdown]:[Network Cost]])</f>
        <v>1304.0999999999999</v>
      </c>
      <c r="EV121" s="561">
        <f>IF(HostBuild[Existing Server?]="Yes - Inside this BoM",0,SUMIF(HostBuild[Alias],HostBuild[Alias],HostBuild[CPU])+SUMIF(HostBuild[Alias],HostBuild[Alias],HostBuild[Existing CPUs]))</f>
        <v>1</v>
      </c>
      <c r="EW121" s="561">
        <f>IF(HostBuild[Existing Server?]="Yes - Inside this BoM",0,SUMIF(HostBuild[Alias],HostBuild[Alias],HostBuild[Cores 
(Licensed Units)])+SUMIF(HostBuild[Alias],HostBuild[Alias],HostBuild[Existing Cores]))</f>
        <v>1</v>
      </c>
      <c r="EX121" s="561">
        <f>IF(HostBuild[Existing Server?]="Yes - Inside this BoM",0,SUMIF(HostBuild[Alias],HostBuild[Alias],HostBuild[RAM 
(GB)])+SUMIF(HostBuild[Alias],HostBuild[Alias],HostBuild[Existing RAM (GB)]))</f>
        <v>48</v>
      </c>
      <c r="EY12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1" s="560">
        <f>IF(ISBLANK(HostBuild[Server Model]),0,IF(HostBuild[Server Tier]="VMware",0,VLOOKUP(HostBuild[Server Tier],ServerTierRates[#Data],2,0))*HostBuild[CPU]*IF(AND(HostBuild[Server Type]="pSeries",HostBuild[Virtual Platform Storage Type]="Cloud-SAN"),0.25,1))</f>
        <v>829</v>
      </c>
      <c r="FD121" s="560">
        <f>0</f>
        <v>0</v>
      </c>
      <c r="FE121" s="560">
        <f>IF(HostBuild[Server Type]="VMware",HostBuild[RAM 
(GB)]*IF(ISERROR(FIND("DevCloud", HostBuild[Server Model])&gt;0),vRAM_per_vCPU_2014_Monthly,vRAM_per_vCPU_2014_Daily*30),0)</f>
        <v>0</v>
      </c>
      <c r="FF12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288</v>
      </c>
      <c r="FG12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1" s="563">
        <f>IF(HostBuild[Server Tier]="VMware",0,IF(LEFT(HostBuild[Existing Server?],3)="Yes",0,IF(OR(HostBuild[Server Type]="Sun",HostBuild[Server Type]="pSeries"),Support_Direct_Server_Sun_per_OS_2014,IF(HostBuild[Server Type]="x86",Support_Direct_Server_x86_Wintel_per_OS_2014,0))))</f>
        <v>187.1</v>
      </c>
      <c r="FI12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2" spans="1:165" s="139" customFormat="1" ht="15" customHeight="1">
      <c r="A122" s="360" t="s">
        <v>3942</v>
      </c>
      <c r="B122" s="521"/>
      <c r="C122" s="521"/>
      <c r="D122" s="521"/>
      <c r="E122" s="522"/>
      <c r="F122" s="522"/>
      <c r="G122" s="597"/>
      <c r="H122" s="597"/>
      <c r="I122" s="523"/>
      <c r="J122" s="522"/>
      <c r="K122" s="522"/>
      <c r="L122" s="522"/>
      <c r="M122" s="597" t="e">
        <f ca="1">IF(rngIsDate(HostBuild[CTO Acceptance]),"Y","N")</f>
        <v>#NAME?</v>
      </c>
      <c r="N122" s="361" t="s">
        <v>3938</v>
      </c>
      <c r="O122" s="525"/>
      <c r="P122" s="525"/>
      <c r="Q122" s="361" t="s">
        <v>79</v>
      </c>
      <c r="R122" s="526" t="str">
        <f>IF(NOT(ISBLANK(HostBuild[Env Label])),IFERROR(VLOOKUP(HostBuild[Env Label],tEnv[],3,FALSE),""),"")</f>
        <v>PROD</v>
      </c>
      <c r="S122" s="598"/>
      <c r="T122" s="527"/>
      <c r="U122" s="599"/>
      <c r="V122" s="524" t="s">
        <v>4021</v>
      </c>
      <c r="W122" s="524" t="s">
        <v>4047</v>
      </c>
      <c r="X122" s="524" t="s">
        <v>35</v>
      </c>
      <c r="Y122" s="361" t="s">
        <v>4067</v>
      </c>
      <c r="Z122" s="526" t="str">
        <f>IF(NOT(ISBLANK(HostBuild[[#This Row],[Product 
(Acronym)]])),CONCATENATE(HostBuild[[#This Row],[Type]],"-",HostBuild[[#This Row],[Product 
(Acronym)]]),"")</f>
        <v>AP-CBOL</v>
      </c>
      <c r="AA122" s="600"/>
      <c r="AB122" s="600" t="s">
        <v>3985</v>
      </c>
      <c r="AC122" s="528"/>
      <c r="AD122" s="529"/>
      <c r="AE122" s="529"/>
      <c r="AF122" s="530" t="s">
        <v>3986</v>
      </c>
      <c r="AG122" s="531"/>
      <c r="AH122" s="601"/>
      <c r="AI122" s="362" t="s">
        <v>4044</v>
      </c>
      <c r="AJ122" s="524">
        <f>IF(COUNTIF(HostBuild[Alias],HostBuild[Alias]),1/COUNTIF(HostBuild[Alias],HostBuild[Alias]),0)</f>
        <v>1</v>
      </c>
      <c r="AK122" s="531"/>
      <c r="AL122" s="531"/>
      <c r="AM122" s="532" t="s">
        <v>314</v>
      </c>
      <c r="AN122" s="533" t="str">
        <f>IF(NOT(ISBLANK(HostBuild[Server Model])),VLOOKUP(HostBuild[Server Model],ServerModelsTier[],2,FALSE),"")</f>
        <v>IBM P-Series Tier 2</v>
      </c>
      <c r="AO122" s="533" t="str">
        <f>IF(NOT(ISBLANK(HostBuild[Server Model])),VLOOKUP(HostBuild[Server Model],ServerModelsTier[],5,FALSE),"")</f>
        <v>pSeries</v>
      </c>
      <c r="AP122" s="532"/>
      <c r="AQ122" s="532" t="s">
        <v>24</v>
      </c>
      <c r="AR122" s="534">
        <v>1</v>
      </c>
      <c r="AS122" s="602"/>
      <c r="AT122" s="535">
        <v>2</v>
      </c>
      <c r="AU122" s="603"/>
      <c r="AV122" s="536">
        <v>16</v>
      </c>
      <c r="AW122" s="531"/>
      <c r="AX122" s="531"/>
      <c r="AY122" s="531"/>
      <c r="AZ122" s="537"/>
      <c r="BA122" s="531"/>
      <c r="BB122" s="531"/>
      <c r="BC122" s="529"/>
      <c r="BD122" s="531"/>
      <c r="BE122" s="531"/>
      <c r="BF122" s="531"/>
      <c r="BG122" s="531"/>
      <c r="BH122" s="531"/>
      <c r="BI122" s="531"/>
      <c r="BJ122" s="531"/>
      <c r="BK122"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122" s="538">
        <v>100</v>
      </c>
      <c r="BM122" s="540">
        <f>IF(ISNUMBER(HostBuild[Recommended SAN (GB)]),HostBuild[Recommended SAN (GB)])+IF(HostBuild[Additional SAN (GB)]&gt;0,CEILING(HostBuild[Additional SAN (GB)],LUN),-(CEILING(-HostBuild[Additional SAN (GB)],LUN)))</f>
        <v>101.10000000000001</v>
      </c>
      <c r="BN122" s="539"/>
      <c r="BO122" s="540">
        <f>HostBuild[SAN (GB)
NEEDED TODAY]+CEILING(HostBuild[SAN (GB)
RESERVED
DO NOT USE TO BUILD], LUN)</f>
        <v>101.10000000000001</v>
      </c>
      <c r="BP122" s="541"/>
      <c r="BQ122" s="542"/>
      <c r="BR122" s="432"/>
      <c r="BS122" s="605">
        <f>IF(HostBuild[Existing Server?]&lt;&gt;"Yes - Inside this BoM",IF(ISNUMBER(HostBuild[RAM 
(GB)]),IF(HostBuild[Existing RAM (GB)]+HostBuild[RAM 
(GB)]&gt;0,IF(HostBuild[Virtual Platform Storage Type]="NAS",110+HostBuild[Existing RAM (GB)]+HostBuild[RAM 
(GB)]*1.75,0),0),0),0)</f>
        <v>0</v>
      </c>
      <c r="BT122" s="606"/>
      <c r="BU122" s="607">
        <f>IF(ISNUMBER(HostBuild[Recommended NAS (GB)]),HostBuild[Recommended NAS (GB)])+HostBuild[Additional NAS (GB)]</f>
        <v>0</v>
      </c>
      <c r="BV122" s="543"/>
      <c r="BW122" s="543"/>
      <c r="BX122" s="604">
        <f>IFERROR((HostBuild[SAN (GB)
End-State
DO NOT USE TO BUILD]+HostBuild[SAN (GB) Shared])*25%,"")</f>
        <v>25.275000000000002</v>
      </c>
      <c r="BY122" s="608">
        <f>IFERROR(HostBuild[Archive
Full (GB)]*15%,"")</f>
        <v>3.7912500000000002</v>
      </c>
      <c r="BZ122" s="544"/>
      <c r="CA122" s="544"/>
      <c r="CB122" s="545"/>
      <c r="CC122" s="546"/>
      <c r="CD122" s="545"/>
      <c r="CE122" s="547"/>
      <c r="CF122" s="539"/>
      <c r="CG122" s="609"/>
      <c r="CH122" s="548"/>
      <c r="CI122" s="549"/>
      <c r="CJ122" s="550"/>
      <c r="CK122" s="551"/>
      <c r="CL122" s="552">
        <f>IFERROR(IF(FIND(CL$1,$W122)&gt;0,IF(INDEX(Product_Pricing_Table[],MATCH(CL$1,Products,0),2)="Cores",IF(HostBuild[Use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2" s="552">
        <f>IFERROR(IF(FIND(CM$1,$W122)&gt;0,IF(INDEX(Product_Pricing_Table[],MATCH(CM$1,Products,0),2)="Cores",IF(HostBuild[Use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2" s="552">
        <f>IFERROR(IF(FIND(CN$1,$W122)&gt;0,IF(INDEX(Product_Pricing_Table[],MATCH(CN$1,Products,0),2)="Cores",IF(HostBuild[Use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2" s="552">
        <f>IFERROR(IF(FIND(CO$1,$W122)&gt;0,IF(INDEX(Product_Pricing_Table[],MATCH(CO$1,Products,0),2)="Cores",IF(HostBuild[Use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2" s="552">
        <f>IFERROR(IF(FIND(CP$1,$W122)&gt;0,IF(INDEX(Product_Pricing_Table[],MATCH(CP$1,Products,0),2)="Cores",IF(HostBuild[Use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2" s="552">
        <f>IFERROR(IF(FIND(CQ$1,$W122)&gt;0,IF(INDEX(Product_Pricing_Table[],MATCH(CQ$1,Products,0),2)="Cores",IF(HostBuild[Use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2" s="552">
        <f>IFERROR(IF(FIND(CR$1,$W122)&gt;0,IF(INDEX(Product_Pricing_Table[],MATCH(CR$1,Products,0),2)="Cores",IF(HostBuild[Use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2" s="552">
        <f>IFERROR(IF(FIND(CS$1,$W122)&gt;0,IF(INDEX(Product_Pricing_Table[],MATCH(CS$1,Products,0),2)="Cores",IF(HostBuild[Use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2" s="552">
        <f>IFERROR(IF(FIND(CT$1,$W122)&gt;0,IF(INDEX(Product_Pricing_Table[],MATCH(CT$1,Products,0),2)="Cores",IF(HostBuild[Use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2" s="552">
        <f>IFERROR(IF(FIND(CU$1,$W122)&gt;0,IF(INDEX(Product_Pricing_Table[],MATCH(CU$1,Products,0),2)="Cores",IF(HostBuild[Use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2" s="552">
        <f>IFERROR(IF(FIND(CV$1,$W122)&gt;0,IF(INDEX(Product_Pricing_Table[],MATCH(CV$1,Products,0),2)="Cores",IF(HostBuild[Use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2" s="552">
        <f>IFERROR(IF(FIND(CW$1,$W122)&gt;0,IF(INDEX(Product_Pricing_Table[],MATCH(CW$1,Products,0),2)="Cores",IF(HostBuild[Use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2" s="552">
        <f>IFERROR(IF(FIND(CX$1,$W122)&gt;0,IF(INDEX(Product_Pricing_Table[],MATCH(CX$1,Products,0),2)="Cores",IF(HostBuild[Use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2" s="552">
        <f>IFERROR(IF(FIND(CY$1,$W122)&gt;0,IF(INDEX(Product_Pricing_Table[],MATCH(CY$1,Products,0),2)="Cores",IF(HostBuild[Use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2" s="552">
        <f>IFERROR(IF(FIND(CZ$1,$W122)&gt;0,IF(INDEX(Product_Pricing_Table[],MATCH(CZ$1,Products,0),2)="Cores",IF(HostBuild[Use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2" s="552">
        <f>IFERROR(IF(FIND(DA$1,$W122)&gt;0,IF(INDEX(Product_Pricing_Table[],MATCH(DA$1,Products,0),2)="Cores",IF(HostBuild[Use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2" s="552">
        <f>IFERROR(IF(FIND(DB$1,$W122)&gt;0,IF(INDEX(Product_Pricing_Table[],MATCH(DB$1,Products,0),2)="Cores",IF(HostBuild[Use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2" s="552">
        <f>IFERROR(IF(FIND(DC$1,$W122)&gt;0,IF(INDEX(Product_Pricing_Table[],MATCH(DC$1,Products,0),2)="Cores",IF(HostBuild[Use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2" s="552">
        <f>IFERROR(IF(FIND(DD$1,$W122)&gt;0,IF(INDEX(Product_Pricing_Table[],MATCH(DD$1,Products,0),2)="Cores",IF(HostBuild[Use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2" s="552">
        <f>IFERROR(IF(FIND(DE$1,$W122)&gt;0,IF(INDEX(Product_Pricing_Table[],MATCH(DE$1,Products,0),2)="Cores",IF(HostBuild[Use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2" s="553">
        <f>IFERROR(IF(FIND(DF$1,$W122)&gt;0,IF(INDEX(Product_Pricing_Table[],MATCH(DF$1,Products,0),2)="Cores",IF(HostBuild[Use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2" s="553">
        <f>IFERROR(IF(FIND(DG$1,$W122)&gt;0,IF(INDEX(Product_Pricing_Table[],MATCH(DG$1,Products,0),2)="Cores",IF(HostBuild[Use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2" s="552">
        <f>IFERROR(IF(FIND(DH$1,$W122)&gt;0,IF(INDEX(Product_Pricing_Table[],MATCH(DH$1,Products,0),2)="Cores",IF(HostBuild[Use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2" s="553">
        <f>IFERROR(IF(FIND(DI$1,$W122)&gt;0,IF(INDEX(Product_Pricing_Table[],MATCH(DI$1,Products,0),2)="Cores",IF(HostBuild[Use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2" s="552">
        <f>IFERROR(IF(FIND(DJ$1,$W122)&gt;0,IF(INDEX(Product_Pricing_Table[],MATCH(DJ$1,Products,0),2)="Cores",IF(HostBuild[Use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2" s="552">
        <f>IFERROR(IF(FIND(DK$1,$W122)&gt;0,IF(INDEX(Product_Pricing_Table[],MATCH(DK$1,Products,0),2)="Cores",IF(HostBuild[Use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2" s="552">
        <f>IFERROR(IF(FIND(DL$1,$W122)&gt;0,IF(INDEX(Product_Pricing_Table[],MATCH(DL$1,Products,0),2)="Cores",IF(HostBuild[Use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2" s="552">
        <f>IFERROR(IF(FIND(DM$1,$W122)&gt;0,IF(INDEX(Product_Pricing_Table[],MATCH(DM$1,Products,0),2)="Cores",IF(HostBuild[Use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2" s="552">
        <f>IFERROR(IF(FIND(DN$1,$W122)&gt;0,IF(INDEX(Product_Pricing_Table[],MATCH(DN$1,Products,0),2)="Cores",IF(HostBuild[Use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2" s="552">
        <f>IFERROR(IF(FIND(DO$1,$W122)&gt;0,IF(INDEX(Product_Pricing_Table[],MATCH(DO$1,Products,0),2)="Cores",IF(HostBuild[Use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2" s="552">
        <f>IFERROR(IF(FIND(DP$1,$W122)&gt;0,IF(INDEX(Product_Pricing_Table[],MATCH(DP$1,Products,0),2)="Cores",IF(HostBuild[Use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2" s="552">
        <f>IFERROR(IF(FIND(DQ$1,$W122)&gt;0,IF(INDEX(Product_Pricing_Table[],MATCH(DQ$1,Products,0),2)="Cores",IF(HostBuild[Use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2" s="552">
        <f>IFERROR(IF(FIND(DR$1,$W122)&gt;0,IF(INDEX(Product_Pricing_Table[],MATCH(DR$1,Products,0),2)="Cores",IF(HostBuild[Use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2" s="552">
        <f>IFERROR(IF(FIND(DS$1,$W122)&gt;0,IF(INDEX(Product_Pricing_Table[],MATCH(DS$1,Products,0),2)="Cores",IF(HostBuild[Use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2" s="552">
        <f>IFERROR(IF(FIND(DT$1,$W122)&gt;0,IF(INDEX(Product_Pricing_Table[],MATCH(DT$1,Products,0),2)="Cores",IF(HostBuild[Use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2" s="552">
        <f>IFERROR(IF(FIND(DU$1,$W122)&gt;0,IF(INDEX(Product_Pricing_Table[],MATCH(DU$1,Products,0),2)="Cores",IF(HostBuild[Use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2" s="552">
        <f>IFERROR(IF(FIND(DV$1,$W122)&gt;0,IF(INDEX(Product_Pricing_Table[],MATCH(DV$1,Products,0),2)="Cores",IF(HostBuild[Use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2" s="552">
        <f>IFERROR(IF(FIND(DW$1,$W122)&gt;0,IF(INDEX(Product_Pricing_Table[],MATCH(DW$1,Products,0),2)="Cores",IF(HostBuild[Use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2" s="552">
        <f>IFERROR(IF(FIND(DX$1,$W122)&gt;0,IF(INDEX(Product_Pricing_Table[],MATCH(DX$1,Products,0),2)="Cores",IF(HostBuild[Use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2" s="552">
        <f>IFERROR(IF(FIND(DY$1,$W122)&gt;0,IF(INDEX(Product_Pricing_Table[],MATCH(DY$1,Products,0),2)="Cores",IF(HostBuild[Use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2" s="552">
        <f>IFERROR(IF(FIND(DZ$1,$W122)&gt;0,IF(INDEX(Product_Pricing_Table[],MATCH(DZ$1,Products,0),2)="Cores",IF(HostBuild[Use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2" s="552">
        <f>IFERROR(IF(FIND(EA$1,$W122)&gt;0,IF(INDEX(Product_Pricing_Table[],MATCH(EA$1,Products,0),2)="Cores",IF(HostBuild[Use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2" s="552">
        <f>IFERROR(IF(FIND(EB$1,$W122)&gt;0,IF(INDEX(Product_Pricing_Table[],MATCH(EB$1,Products,0),2)="Cores",IF(HostBuild[Use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2" s="553">
        <f>IFERROR(IF(FIND(EC$1,$W122)&gt;0,IF(INDEX(Product_Pricing_Table[],MATCH(EC$1,Products,0),2)="Cores",IF(HostBuild[Use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2" s="552">
        <f>IFERROR(IF(FIND(ED$1,$W122)&gt;0,IF(INDEX(Product_Pricing_Table[],MATCH(ED$1,Products,0),2)="Cores",IF(HostBuild[Use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2" s="552">
        <f>IFERROR(IF(FIND(EE$1,$W122)&gt;0,IF(INDEX(Product_Pricing_Table[],MATCH(EE$1,Products,0),2)="Cores",IF(HostBuild[Use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2" s="552">
        <f>IFERROR(IF(FIND(EF$1,$W122)&gt;0,IF(INDEX(Product_Pricing_Table[],MATCH(EF$1,Products,0),2)="Cores",IF(HostBuild[Use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2" s="552">
        <f>IFERROR(IF(FIND(EG$1,$W122)&gt;0,IF(INDEX(Product_Pricing_Table[],MATCH(EG$1,Products,0),2)="Cores",IF(HostBuild[Use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2" s="552">
        <f>IFERROR(IF(FIND(EH$1,$W122)&gt;0,IF(INDEX(Product_Pricing_Table[],MATCH(EH$1,Products,0),2)="Cores",IF(HostBuild[Use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2" s="552">
        <f>IFERROR(IF(FIND(EI$1,$W122)&gt;0,IF(INDEX(Product_Pricing_Table[],MATCH(EI$1,Products,0),2)="Cores",IF(HostBuild[Use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2" s="552">
        <f>IFERROR(IF(FIND(EJ$1,$W122)&gt;0,IF(INDEX(Product_Pricing_Table[],MATCH(EJ$1,Products,0),2)="Cores",IF(HostBuild[Use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2" s="553">
        <f>IFERROR(IF(FIND(EK$1,$W122)&gt;0,IF(INDEX(Product_Pricing_Table[],MATCH(EK$1,Products,0),2)="Cores",IF(HostBuild[Use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2" s="554"/>
      <c r="EM122" s="555"/>
      <c r="EN122" s="556"/>
      <c r="EO122" s="557">
        <f>IF(OR(ISBLANK(HostBuild[Alias]),HostBuild[Server Tier]="",),0,IF(HostBuild[Server Tier]="SafeNet",Safenet_PSE_PL600+HostBuild[Network Cost],IF(HostBuild[Server Tier]="VMware",HostBuild[New VMware (Adjusted)]+HostBuild[Initial Server Cost],IF(HostBuild[Server Tier]="XI52",IBM_DIA_XI52,HostBuild[Initial Server Cost]))))</f>
        <v>829</v>
      </c>
      <c r="EP12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45.495000000000005</v>
      </c>
      <c r="EQ122" s="558">
        <f>(HostBuild[Archive
Full (GB)]+HostBuild[Archive
Incr (GB)])*Storage_DC_Dist_Tape_2014</f>
        <v>10.173187500000001</v>
      </c>
      <c r="ER122" s="558">
        <f>IF(ISNUMBER(HostBuild[Server HW Costs
(Monthly)]),SUM(HostBuild[[#This Row],[Server HW Costs
(Monthly)]:[Tape Costs
(Monthly)]]),0)</f>
        <v>884.66818750000004</v>
      </c>
      <c r="ES122" s="559">
        <f>HostBuild[Software Costs
'[Year 1']
(Monthly)]+HostBuild[Total Hardware Costs
(Monthly)]</f>
        <v>884.66818750000004</v>
      </c>
      <c r="ET122" s="559">
        <f>IFERROR(IF(FIND("Safenet",HostBuild[Server Model]),Safenet_PSE_PL600_Maint,0),0)+IFERROR(IF(FIND("XI52",HostBuild[Server Model]),IBM_DIA_XI52_Maint,0),0)+HostBuild[Software Costs
'[After Year 1']
(Monthly)]+HostBuild[Total Hardware Costs
(Monthly)]</f>
        <v>884.66818750000004</v>
      </c>
      <c r="EU122" s="560">
        <f>SUM(HostBuild[[#This Row],[Server Cost Breakdown]:[Network Cost]])</f>
        <v>829</v>
      </c>
      <c r="EV122" s="561">
        <f>IF(HostBuild[Existing Server?]="Yes - Inside this BoM",0,SUMIF(HostBuild[Alias],HostBuild[Alias],HostBuild[CPU])+SUMIF(HostBuild[Alias],HostBuild[Alias],HostBuild[Existing CPUs]))</f>
        <v>1</v>
      </c>
      <c r="EW122" s="561">
        <f>IF(HostBuild[Existing Server?]="Yes - Inside this BoM",0,SUMIF(HostBuild[Alias],HostBuild[Alias],HostBuild[Cores 
(Licensed Units)])+SUMIF(HostBuild[Alias],HostBuild[Alias],HostBuild[Existing Cores]))</f>
        <v>2</v>
      </c>
      <c r="EX122" s="561">
        <f>IF(HostBuild[Existing Server?]="Yes - Inside this BoM",0,SUMIF(HostBuild[Alias],HostBuild[Alias],HostBuild[RAM 
(GB)])+SUMIF(HostBuild[Alias],HostBuild[Alias],HostBuild[Existing RAM (GB)]))</f>
        <v>16</v>
      </c>
      <c r="EY12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2" s="560">
        <f>IF(ISBLANK(HostBuild[Server Model]),0,IF(HostBuild[Server Tier]="VMware",0,VLOOKUP(HostBuild[Server Tier],ServerTierRates[#Data],2,0))*HostBuild[CPU]*IF(AND(HostBuild[Server Type]="pSeries",HostBuild[Virtual Platform Storage Type]="Cloud-SAN"),0.25,1))</f>
        <v>829</v>
      </c>
      <c r="FD122" s="560">
        <f>0</f>
        <v>0</v>
      </c>
      <c r="FE122" s="560">
        <f>IF(HostBuild[Server Type]="VMware",HostBuild[RAM 
(GB)]*IF(ISERROR(FIND("DevCloud", HostBuild[Server Model])&gt;0),vRAM_per_vCPU_2014_Monthly,vRAM_per_vCPU_2014_Daily*30),0)</f>
        <v>0</v>
      </c>
      <c r="FF12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2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2" s="563">
        <f>IF(HostBuild[Server Tier]="VMware",0,IF(LEFT(HostBuild[Existing Server?],3)="Yes",0,IF(OR(HostBuild[Server Type]="Sun",HostBuild[Server Type]="pSeries"),Support_Direct_Server_Sun_per_OS_2014,IF(HostBuild[Server Type]="x86",Support_Direct_Server_x86_Wintel_per_OS_2014,0))))</f>
        <v>0</v>
      </c>
      <c r="FI12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3" spans="1:165" s="139" customFormat="1" ht="15" customHeight="1">
      <c r="A123" s="360" t="s">
        <v>3942</v>
      </c>
      <c r="B123" s="521"/>
      <c r="C123" s="521"/>
      <c r="D123" s="521"/>
      <c r="E123" s="522"/>
      <c r="F123" s="522"/>
      <c r="G123" s="597"/>
      <c r="H123" s="597"/>
      <c r="I123" s="523"/>
      <c r="J123" s="522"/>
      <c r="K123" s="522"/>
      <c r="L123" s="522"/>
      <c r="M123" s="597" t="e">
        <f ca="1">IF(rngIsDate(HostBuild[CTO Acceptance]),"Y","N")</f>
        <v>#NAME?</v>
      </c>
      <c r="N123" s="361" t="s">
        <v>3938</v>
      </c>
      <c r="O123" s="525"/>
      <c r="P123" s="525"/>
      <c r="Q123" s="361" t="s">
        <v>79</v>
      </c>
      <c r="R123" s="526" t="str">
        <f>IF(NOT(ISBLANK(HostBuild[Env Label])),IFERROR(VLOOKUP(HostBuild[Env Label],tEnv[],3,FALSE),""),"")</f>
        <v>PROD</v>
      </c>
      <c r="S123" s="598"/>
      <c r="T123" s="527"/>
      <c r="U123" s="599"/>
      <c r="V123" s="524" t="s">
        <v>4021</v>
      </c>
      <c r="W123" s="524" t="s">
        <v>4047</v>
      </c>
      <c r="X123" s="524" t="s">
        <v>35</v>
      </c>
      <c r="Y123" s="361" t="s">
        <v>4067</v>
      </c>
      <c r="Z123" s="526" t="str">
        <f>IF(NOT(ISBLANK(HostBuild[[#This Row],[Product 
(Acronym)]])),CONCATENATE(HostBuild[[#This Row],[Type]],"-",HostBuild[[#This Row],[Product 
(Acronym)]]),"")</f>
        <v>AP-CBOL</v>
      </c>
      <c r="AA123" s="600"/>
      <c r="AB123" s="600" t="s">
        <v>3985</v>
      </c>
      <c r="AC123" s="528"/>
      <c r="AD123" s="529"/>
      <c r="AE123" s="529"/>
      <c r="AF123" s="530"/>
      <c r="AG123" s="531"/>
      <c r="AH123" s="601"/>
      <c r="AI123" s="362" t="s">
        <v>4045</v>
      </c>
      <c r="AJ123" s="524">
        <f>IF(COUNTIF(HostBuild[Alias],HostBuild[Alias]),1/COUNTIF(HostBuild[Alias],HostBuild[Alias]),0)</f>
        <v>1</v>
      </c>
      <c r="AK123" s="531"/>
      <c r="AL123" s="531"/>
      <c r="AM123" s="532" t="s">
        <v>314</v>
      </c>
      <c r="AN123" s="533" t="str">
        <f>IF(NOT(ISBLANK(HostBuild[Server Model])),VLOOKUP(HostBuild[Server Model],ServerModelsTier[],2,FALSE),"")</f>
        <v>IBM P-Series Tier 2</v>
      </c>
      <c r="AO123" s="533" t="str">
        <f>IF(NOT(ISBLANK(HostBuild[Server Model])),VLOOKUP(HostBuild[Server Model],ServerModelsTier[],5,FALSE),"")</f>
        <v>pSeries</v>
      </c>
      <c r="AP123" s="532"/>
      <c r="AQ123" s="532" t="s">
        <v>24</v>
      </c>
      <c r="AR123" s="534">
        <v>1</v>
      </c>
      <c r="AS123" s="602"/>
      <c r="AT123" s="535">
        <v>2</v>
      </c>
      <c r="AU123" s="603"/>
      <c r="AV123" s="536">
        <v>16</v>
      </c>
      <c r="AW123" s="531"/>
      <c r="AX123" s="531"/>
      <c r="AY123" s="531"/>
      <c r="AZ123" s="537"/>
      <c r="BA123" s="531"/>
      <c r="BB123" s="531"/>
      <c r="BC123" s="529"/>
      <c r="BD123" s="531"/>
      <c r="BE123" s="531"/>
      <c r="BF123" s="531"/>
      <c r="BG123" s="531"/>
      <c r="BH123" s="531"/>
      <c r="BI123" s="531"/>
      <c r="BJ123" s="531"/>
      <c r="BK123"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123" s="538">
        <v>100</v>
      </c>
      <c r="BM123" s="540">
        <f>IF(ISNUMBER(HostBuild[Recommended SAN (GB)]),HostBuild[Recommended SAN (GB)])+IF(HostBuild[Additional SAN (GB)]&gt;0,CEILING(HostBuild[Additional SAN (GB)],LUN),-(CEILING(-HostBuild[Additional SAN (GB)],LUN)))</f>
        <v>101.10000000000001</v>
      </c>
      <c r="BN123" s="539"/>
      <c r="BO123" s="540">
        <f>HostBuild[SAN (GB)
NEEDED TODAY]+CEILING(HostBuild[SAN (GB)
RESERVED
DO NOT USE TO BUILD], LUN)</f>
        <v>101.10000000000001</v>
      </c>
      <c r="BP123" s="541"/>
      <c r="BQ123" s="542"/>
      <c r="BR123" s="432"/>
      <c r="BS123" s="605">
        <f>IF(HostBuild[Existing Server?]&lt;&gt;"Yes - Inside this BoM",IF(ISNUMBER(HostBuild[RAM 
(GB)]),IF(HostBuild[Existing RAM (GB)]+HostBuild[RAM 
(GB)]&gt;0,IF(HostBuild[Virtual Platform Storage Type]="NAS",110+HostBuild[Existing RAM (GB)]+HostBuild[RAM 
(GB)]*1.75,0),0),0),0)</f>
        <v>0</v>
      </c>
      <c r="BT123" s="606"/>
      <c r="BU123" s="607">
        <f>IF(ISNUMBER(HostBuild[Recommended NAS (GB)]),HostBuild[Recommended NAS (GB)])+HostBuild[Additional NAS (GB)]</f>
        <v>0</v>
      </c>
      <c r="BV123" s="543"/>
      <c r="BW123" s="543"/>
      <c r="BX123" s="604">
        <f>IFERROR((HostBuild[SAN (GB)
End-State
DO NOT USE TO BUILD]+HostBuild[SAN (GB) Shared])*25%,"")</f>
        <v>25.275000000000002</v>
      </c>
      <c r="BY123" s="608">
        <f>IFERROR(HostBuild[Archive
Full (GB)]*15%,"")</f>
        <v>3.7912500000000002</v>
      </c>
      <c r="BZ123" s="544"/>
      <c r="CA123" s="544"/>
      <c r="CB123" s="545"/>
      <c r="CC123" s="546"/>
      <c r="CD123" s="545"/>
      <c r="CE123" s="547"/>
      <c r="CF123" s="539"/>
      <c r="CG123" s="609"/>
      <c r="CH123" s="548"/>
      <c r="CI123" s="549"/>
      <c r="CJ123" s="550"/>
      <c r="CK123" s="551"/>
      <c r="CL123" s="552">
        <f>IFERROR(IF(FIND(CL$1,$W123)&gt;0,IF(INDEX(Product_Pricing_Table[],MATCH(CL$1,Products,0),2)="Cores",IF(HostBuild[Use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3" s="552">
        <f>IFERROR(IF(FIND(CM$1,$W123)&gt;0,IF(INDEX(Product_Pricing_Table[],MATCH(CM$1,Products,0),2)="Cores",IF(HostBuild[Use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3" s="552">
        <f>IFERROR(IF(FIND(CN$1,$W123)&gt;0,IF(INDEX(Product_Pricing_Table[],MATCH(CN$1,Products,0),2)="Cores",IF(HostBuild[Use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3" s="552">
        <f>IFERROR(IF(FIND(CO$1,$W123)&gt;0,IF(INDEX(Product_Pricing_Table[],MATCH(CO$1,Products,0),2)="Cores",IF(HostBuild[Use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3" s="552">
        <f>IFERROR(IF(FIND(CP$1,$W123)&gt;0,IF(INDEX(Product_Pricing_Table[],MATCH(CP$1,Products,0),2)="Cores",IF(HostBuild[Use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3" s="552">
        <f>IFERROR(IF(FIND(CQ$1,$W123)&gt;0,IF(INDEX(Product_Pricing_Table[],MATCH(CQ$1,Products,0),2)="Cores",IF(HostBuild[Use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3" s="552">
        <f>IFERROR(IF(FIND(CR$1,$W123)&gt;0,IF(INDEX(Product_Pricing_Table[],MATCH(CR$1,Products,0),2)="Cores",IF(HostBuild[Use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3" s="552">
        <f>IFERROR(IF(FIND(CS$1,$W123)&gt;0,IF(INDEX(Product_Pricing_Table[],MATCH(CS$1,Products,0),2)="Cores",IF(HostBuild[Use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3" s="552">
        <f>IFERROR(IF(FIND(CT$1,$W123)&gt;0,IF(INDEX(Product_Pricing_Table[],MATCH(CT$1,Products,0),2)="Cores",IF(HostBuild[Use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3" s="552">
        <f>IFERROR(IF(FIND(CU$1,$W123)&gt;0,IF(INDEX(Product_Pricing_Table[],MATCH(CU$1,Products,0),2)="Cores",IF(HostBuild[Use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23" s="552">
        <f>IFERROR(IF(FIND(CV$1,$W123)&gt;0,IF(INDEX(Product_Pricing_Table[],MATCH(CV$1,Products,0),2)="Cores",IF(HostBuild[Use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3" s="552">
        <f>IFERROR(IF(FIND(CW$1,$W123)&gt;0,IF(INDEX(Product_Pricing_Table[],MATCH(CW$1,Products,0),2)="Cores",IF(HostBuild[Use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3" s="552">
        <f>IFERROR(IF(FIND(CX$1,$W123)&gt;0,IF(INDEX(Product_Pricing_Table[],MATCH(CX$1,Products,0),2)="Cores",IF(HostBuild[Use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3" s="552">
        <f>IFERROR(IF(FIND(CY$1,$W123)&gt;0,IF(INDEX(Product_Pricing_Table[],MATCH(CY$1,Products,0),2)="Cores",IF(HostBuild[Use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3" s="552">
        <f>IFERROR(IF(FIND(CZ$1,$W123)&gt;0,IF(INDEX(Product_Pricing_Table[],MATCH(CZ$1,Products,0),2)="Cores",IF(HostBuild[Use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3" s="552">
        <f>IFERROR(IF(FIND(DA$1,$W123)&gt;0,IF(INDEX(Product_Pricing_Table[],MATCH(DA$1,Products,0),2)="Cores",IF(HostBuild[Use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3" s="552">
        <f>IFERROR(IF(FIND(DB$1,$W123)&gt;0,IF(INDEX(Product_Pricing_Table[],MATCH(DB$1,Products,0),2)="Cores",IF(HostBuild[Use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3" s="552">
        <f>IFERROR(IF(FIND(DC$1,$W123)&gt;0,IF(INDEX(Product_Pricing_Table[],MATCH(DC$1,Products,0),2)="Cores",IF(HostBuild[Use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3" s="552">
        <f>IFERROR(IF(FIND(DD$1,$W123)&gt;0,IF(INDEX(Product_Pricing_Table[],MATCH(DD$1,Products,0),2)="Cores",IF(HostBuild[Use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3" s="552">
        <f>IFERROR(IF(FIND(DE$1,$W123)&gt;0,IF(INDEX(Product_Pricing_Table[],MATCH(DE$1,Products,0),2)="Cores",IF(HostBuild[Use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3" s="553">
        <f>IFERROR(IF(FIND(DF$1,$W123)&gt;0,IF(INDEX(Product_Pricing_Table[],MATCH(DF$1,Products,0),2)="Cores",IF(HostBuild[Use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3" s="553">
        <f>IFERROR(IF(FIND(DG$1,$W123)&gt;0,IF(INDEX(Product_Pricing_Table[],MATCH(DG$1,Products,0),2)="Cores",IF(HostBuild[Use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3" s="552">
        <f>IFERROR(IF(FIND(DH$1,$W123)&gt;0,IF(INDEX(Product_Pricing_Table[],MATCH(DH$1,Products,0),2)="Cores",IF(HostBuild[Use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3" s="553">
        <f>IFERROR(IF(FIND(DI$1,$W123)&gt;0,IF(INDEX(Product_Pricing_Table[],MATCH(DI$1,Products,0),2)="Cores",IF(HostBuild[Use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3" s="552">
        <f>IFERROR(IF(FIND(DJ$1,$W123)&gt;0,IF(INDEX(Product_Pricing_Table[],MATCH(DJ$1,Products,0),2)="Cores",IF(HostBuild[Use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3" s="552">
        <f>IFERROR(IF(FIND(DK$1,$W123)&gt;0,IF(INDEX(Product_Pricing_Table[],MATCH(DK$1,Products,0),2)="Cores",IF(HostBuild[Use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3" s="552">
        <f>IFERROR(IF(FIND(DL$1,$W123)&gt;0,IF(INDEX(Product_Pricing_Table[],MATCH(DL$1,Products,0),2)="Cores",IF(HostBuild[Use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3" s="552">
        <f>IFERROR(IF(FIND(DM$1,$W123)&gt;0,IF(INDEX(Product_Pricing_Table[],MATCH(DM$1,Products,0),2)="Cores",IF(HostBuild[Use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3" s="552">
        <f>IFERROR(IF(FIND(DN$1,$W123)&gt;0,IF(INDEX(Product_Pricing_Table[],MATCH(DN$1,Products,0),2)="Cores",IF(HostBuild[Use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3" s="552">
        <f>IFERROR(IF(FIND(DO$1,$W123)&gt;0,IF(INDEX(Product_Pricing_Table[],MATCH(DO$1,Products,0),2)="Cores",IF(HostBuild[Use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3" s="552">
        <f>IFERROR(IF(FIND(DP$1,$W123)&gt;0,IF(INDEX(Product_Pricing_Table[],MATCH(DP$1,Products,0),2)="Cores",IF(HostBuild[Use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3" s="552">
        <f>IFERROR(IF(FIND(DQ$1,$W123)&gt;0,IF(INDEX(Product_Pricing_Table[],MATCH(DQ$1,Products,0),2)="Cores",IF(HostBuild[Use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3" s="552">
        <f>IFERROR(IF(FIND(DR$1,$W123)&gt;0,IF(INDEX(Product_Pricing_Table[],MATCH(DR$1,Products,0),2)="Cores",IF(HostBuild[Use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3" s="552">
        <f>IFERROR(IF(FIND(DS$1,$W123)&gt;0,IF(INDEX(Product_Pricing_Table[],MATCH(DS$1,Products,0),2)="Cores",IF(HostBuild[Use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3" s="552">
        <f>IFERROR(IF(FIND(DT$1,$W123)&gt;0,IF(INDEX(Product_Pricing_Table[],MATCH(DT$1,Products,0),2)="Cores",IF(HostBuild[Use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3" s="552">
        <f>IFERROR(IF(FIND(DU$1,$W123)&gt;0,IF(INDEX(Product_Pricing_Table[],MATCH(DU$1,Products,0),2)="Cores",IF(HostBuild[Use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3" s="552">
        <f>IFERROR(IF(FIND(DV$1,$W123)&gt;0,IF(INDEX(Product_Pricing_Table[],MATCH(DV$1,Products,0),2)="Cores",IF(HostBuild[Use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3" s="552">
        <f>IFERROR(IF(FIND(DW$1,$W123)&gt;0,IF(INDEX(Product_Pricing_Table[],MATCH(DW$1,Products,0),2)="Cores",IF(HostBuild[Use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3" s="552">
        <f>IFERROR(IF(FIND(DX$1,$W123)&gt;0,IF(INDEX(Product_Pricing_Table[],MATCH(DX$1,Products,0),2)="Cores",IF(HostBuild[Use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3" s="552">
        <f>IFERROR(IF(FIND(DY$1,$W123)&gt;0,IF(INDEX(Product_Pricing_Table[],MATCH(DY$1,Products,0),2)="Cores",IF(HostBuild[Use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3" s="552">
        <f>IFERROR(IF(FIND(DZ$1,$W123)&gt;0,IF(INDEX(Product_Pricing_Table[],MATCH(DZ$1,Products,0),2)="Cores",IF(HostBuild[Use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3" s="552">
        <f>IFERROR(IF(FIND(EA$1,$W123)&gt;0,IF(INDEX(Product_Pricing_Table[],MATCH(EA$1,Products,0),2)="Cores",IF(HostBuild[Use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3" s="552">
        <f>IFERROR(IF(FIND(EB$1,$W123)&gt;0,IF(INDEX(Product_Pricing_Table[],MATCH(EB$1,Products,0),2)="Cores",IF(HostBuild[Use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3" s="553">
        <f>IFERROR(IF(FIND(EC$1,$W123)&gt;0,IF(INDEX(Product_Pricing_Table[],MATCH(EC$1,Products,0),2)="Cores",IF(HostBuild[Use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3" s="552">
        <f>IFERROR(IF(FIND(ED$1,$W123)&gt;0,IF(INDEX(Product_Pricing_Table[],MATCH(ED$1,Products,0),2)="Cores",IF(HostBuild[Use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3" s="552">
        <f>IFERROR(IF(FIND(EE$1,$W123)&gt;0,IF(INDEX(Product_Pricing_Table[],MATCH(EE$1,Products,0),2)="Cores",IF(HostBuild[Use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3" s="552">
        <f>IFERROR(IF(FIND(EF$1,$W123)&gt;0,IF(INDEX(Product_Pricing_Table[],MATCH(EF$1,Products,0),2)="Cores",IF(HostBuild[Use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3" s="552">
        <f>IFERROR(IF(FIND(EG$1,$W123)&gt;0,IF(INDEX(Product_Pricing_Table[],MATCH(EG$1,Products,0),2)="Cores",IF(HostBuild[Use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3" s="552">
        <f>IFERROR(IF(FIND(EH$1,$W123)&gt;0,IF(INDEX(Product_Pricing_Table[],MATCH(EH$1,Products,0),2)="Cores",IF(HostBuild[Use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3" s="552">
        <f>IFERROR(IF(FIND(EI$1,$W123)&gt;0,IF(INDEX(Product_Pricing_Table[],MATCH(EI$1,Products,0),2)="Cores",IF(HostBuild[Use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3" s="552">
        <f>IFERROR(IF(FIND(EJ$1,$W123)&gt;0,IF(INDEX(Product_Pricing_Table[],MATCH(EJ$1,Products,0),2)="Cores",IF(HostBuild[Use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3" s="553">
        <f>IFERROR(IF(FIND(EK$1,$W123)&gt;0,IF(INDEX(Product_Pricing_Table[],MATCH(EK$1,Products,0),2)="Cores",IF(HostBuild[Use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3" s="554"/>
      <c r="EM123" s="555"/>
      <c r="EN123" s="556"/>
      <c r="EO123" s="557">
        <f>IF(OR(ISBLANK(HostBuild[Alias]),HostBuild[Server Tier]="",),0,IF(HostBuild[Server Tier]="SafeNet",Safenet_PSE_PL600+HostBuild[Network Cost],IF(HostBuild[Server Tier]="VMware",HostBuild[New VMware (Adjusted)]+HostBuild[Initial Server Cost],IF(HostBuild[Server Tier]="XI52",IBM_DIA_XI52,HostBuild[Initial Server Cost]))))</f>
        <v>829</v>
      </c>
      <c r="EP12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45.495000000000005</v>
      </c>
      <c r="EQ123" s="558">
        <f>(HostBuild[Archive
Full (GB)]+HostBuild[Archive
Incr (GB)])*Storage_DC_Dist_Tape_2014</f>
        <v>10.173187500000001</v>
      </c>
      <c r="ER123" s="558">
        <f>IF(ISNUMBER(HostBuild[Server HW Costs
(Monthly)]),SUM(HostBuild[[#This Row],[Server HW Costs
(Monthly)]:[Tape Costs
(Monthly)]]),0)</f>
        <v>884.66818750000004</v>
      </c>
      <c r="ES123" s="559">
        <f>HostBuild[Software Costs
'[Year 1']
(Monthly)]+HostBuild[Total Hardware Costs
(Monthly)]</f>
        <v>884.66818750000004</v>
      </c>
      <c r="ET123" s="559">
        <f>IFERROR(IF(FIND("Safenet",HostBuild[Server Model]),Safenet_PSE_PL600_Maint,0),0)+IFERROR(IF(FIND("XI52",HostBuild[Server Model]),IBM_DIA_XI52_Maint,0),0)+HostBuild[Software Costs
'[After Year 1']
(Monthly)]+HostBuild[Total Hardware Costs
(Monthly)]</f>
        <v>884.66818750000004</v>
      </c>
      <c r="EU123" s="560">
        <f>SUM(HostBuild[[#This Row],[Server Cost Breakdown]:[Network Cost]])</f>
        <v>829</v>
      </c>
      <c r="EV123" s="561">
        <f>IF(HostBuild[Existing Server?]="Yes - Inside this BoM",0,SUMIF(HostBuild[Alias],HostBuild[Alias],HostBuild[CPU])+SUMIF(HostBuild[Alias],HostBuild[Alias],HostBuild[Existing CPUs]))</f>
        <v>1</v>
      </c>
      <c r="EW123" s="561">
        <f>IF(HostBuild[Existing Server?]="Yes - Inside this BoM",0,SUMIF(HostBuild[Alias],HostBuild[Alias],HostBuild[Cores 
(Licensed Units)])+SUMIF(HostBuild[Alias],HostBuild[Alias],HostBuild[Existing Cores]))</f>
        <v>2</v>
      </c>
      <c r="EX123" s="561">
        <f>IF(HostBuild[Existing Server?]="Yes - Inside this BoM",0,SUMIF(HostBuild[Alias],HostBuild[Alias],HostBuild[RAM 
(GB)])+SUMIF(HostBuild[Alias],HostBuild[Alias],HostBuild[Existing RAM (GB)]))</f>
        <v>16</v>
      </c>
      <c r="EY12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3" s="560">
        <f>IF(ISBLANK(HostBuild[Server Model]),0,IF(HostBuild[Server Tier]="VMware",0,VLOOKUP(HostBuild[Server Tier],ServerTierRates[#Data],2,0))*HostBuild[CPU]*IF(AND(HostBuild[Server Type]="pSeries",HostBuild[Virtual Platform Storage Type]="Cloud-SAN"),0.25,1))</f>
        <v>829</v>
      </c>
      <c r="FD123" s="560">
        <f>0</f>
        <v>0</v>
      </c>
      <c r="FE123" s="560">
        <f>IF(HostBuild[Server Type]="VMware",HostBuild[RAM 
(GB)]*IF(ISERROR(FIND("DevCloud", HostBuild[Server Model])&gt;0),vRAM_per_vCPU_2014_Monthly,vRAM_per_vCPU_2014_Daily*30),0)</f>
        <v>0</v>
      </c>
      <c r="FF12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2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3" s="563">
        <f>IF(HostBuild[Server Tier]="VMware",0,IF(LEFT(HostBuild[Existing Server?],3)="Yes",0,IF(OR(HostBuild[Server Type]="Sun",HostBuild[Server Type]="pSeries"),Support_Direct_Server_Sun_per_OS_2014,IF(HostBuild[Server Type]="x86",Support_Direct_Server_x86_Wintel_per_OS_2014,0))))</f>
        <v>0</v>
      </c>
      <c r="FI12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4" spans="1:165" s="139" customFormat="1" ht="15" customHeight="1">
      <c r="A124" s="360" t="s">
        <v>3942</v>
      </c>
      <c r="B124" s="521"/>
      <c r="C124" s="521"/>
      <c r="D124" s="521"/>
      <c r="E124" s="522"/>
      <c r="F124" s="522"/>
      <c r="G124" s="597"/>
      <c r="H124" s="597"/>
      <c r="I124" s="523"/>
      <c r="J124" s="522"/>
      <c r="K124" s="522"/>
      <c r="L124" s="522"/>
      <c r="M124" s="597" t="e">
        <f ca="1">IF(rngIsDate(HostBuild[CTO Acceptance]),"Y","N")</f>
        <v>#NAME?</v>
      </c>
      <c r="N124" s="361" t="s">
        <v>3938</v>
      </c>
      <c r="O124" s="525"/>
      <c r="P124" s="525"/>
      <c r="Q124" s="361" t="s">
        <v>4139</v>
      </c>
      <c r="R124" s="526" t="str">
        <f>IF(NOT(ISBLANK(HostBuild[Env Label])),IFERROR(VLOOKUP(HostBuild[Env Label],tEnv[],3,FALSE),""),"")</f>
        <v>UAT</v>
      </c>
      <c r="S124" s="598"/>
      <c r="T124" s="527"/>
      <c r="U124" s="599"/>
      <c r="V124" s="524" t="s">
        <v>4012</v>
      </c>
      <c r="W124" s="524" t="s">
        <v>405</v>
      </c>
      <c r="X124" s="524" t="s">
        <v>34</v>
      </c>
      <c r="Y124" s="361" t="s">
        <v>4067</v>
      </c>
      <c r="Z124" s="526" t="str">
        <f>IF(NOT(ISBLANK(HostBuild[[#This Row],[Product 
(Acronym)]])),CONCATENATE(HostBuild[[#This Row],[Type]],"-",HostBuild[[#This Row],[Product 
(Acronym)]]),"")</f>
        <v>WW-CBOL</v>
      </c>
      <c r="AA124" s="600"/>
      <c r="AB124" s="600" t="s">
        <v>105</v>
      </c>
      <c r="AC124" s="528"/>
      <c r="AD124" s="529"/>
      <c r="AE124" s="529"/>
      <c r="AF124" s="530"/>
      <c r="AG124" s="531"/>
      <c r="AH124" s="601"/>
      <c r="AI124" s="362" t="s">
        <v>4051</v>
      </c>
      <c r="AJ124" s="524">
        <f>IF(COUNTIF(HostBuild[Alias],HostBuild[Alias]),1/COUNTIF(HostBuild[Alias],HostBuild[Alias]),0)</f>
        <v>1</v>
      </c>
      <c r="AK124" s="531"/>
      <c r="AL124" s="531"/>
      <c r="AM124" s="532" t="s">
        <v>2173</v>
      </c>
      <c r="AN124" s="533" t="str">
        <f>IF(NOT(ISBLANK(HostBuild[Server Model])),VLOOKUP(HostBuild[Server Model],ServerModelsTier[],2,FALSE),"")</f>
        <v>x86 Tier 3</v>
      </c>
      <c r="AO124" s="533" t="str">
        <f>IF(NOT(ISBLANK(HostBuild[Server Model])),VLOOKUP(HostBuild[Server Model],ServerModelsTier[],5,FALSE),"")</f>
        <v>x86</v>
      </c>
      <c r="AP124" s="532"/>
      <c r="AQ124" s="532" t="s">
        <v>2337</v>
      </c>
      <c r="AR124" s="534">
        <v>2</v>
      </c>
      <c r="AS124" s="602"/>
      <c r="AT124" s="535">
        <v>16</v>
      </c>
      <c r="AU124" s="603" t="str">
        <f>IF(IFERROR(FIND("P-Series",HostBuild[Server Tier]),0),CEILING((HostBuild[Existing CPUs]+HostBuild[CPU])*16,8),"")</f>
        <v/>
      </c>
      <c r="AV124" s="536">
        <v>128</v>
      </c>
      <c r="AW124" s="531"/>
      <c r="AX124" s="531"/>
      <c r="AY124" s="531"/>
      <c r="AZ124" s="537"/>
      <c r="BA124" s="531"/>
      <c r="BB124" s="531"/>
      <c r="BC124" s="529"/>
      <c r="BD124" s="531"/>
      <c r="BE124" s="531"/>
      <c r="BF124" s="531"/>
      <c r="BG124" s="531"/>
      <c r="BH124" s="531"/>
      <c r="BI124" s="531"/>
      <c r="BJ124" s="531"/>
      <c r="BK124"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4" s="538">
        <v>600</v>
      </c>
      <c r="BM124" s="540">
        <f>IF(ISNUMBER(HostBuild[Recommended SAN (GB)]),HostBuild[Recommended SAN (GB)])+IF(HostBuild[Additional SAN (GB)]&gt;0,CEILING(HostBuild[Additional SAN (GB)],LUN),-(CEILING(-HostBuild[Additional SAN (GB)],LUN)))</f>
        <v>808.80000000000007</v>
      </c>
      <c r="BN124" s="539"/>
      <c r="BO124" s="540">
        <f>HostBuild[SAN (GB)
NEEDED TODAY]+CEILING(HostBuild[SAN (GB)
RESERVED
DO NOT USE TO BUILD], LUN)</f>
        <v>808.80000000000007</v>
      </c>
      <c r="BP124" s="541"/>
      <c r="BQ124" s="542"/>
      <c r="BR124" s="432"/>
      <c r="BS124" s="605">
        <f>IF(HostBuild[Existing Server?]&lt;&gt;"Yes - Inside this BoM",IF(ISNUMBER(HostBuild[RAM 
(GB)]),IF(HostBuild[Existing RAM (GB)]+HostBuild[RAM 
(GB)]&gt;0,IF(HostBuild[Virtual Platform Storage Type]="NAS",110+HostBuild[Existing RAM (GB)]+HostBuild[RAM 
(GB)]*1.75,0),0),0),0)</f>
        <v>0</v>
      </c>
      <c r="BT124" s="606"/>
      <c r="BU124" s="607">
        <f>IF(ISNUMBER(HostBuild[Recommended NAS (GB)]),HostBuild[Recommended NAS (GB)])+HostBuild[Additional NAS (GB)]</f>
        <v>0</v>
      </c>
      <c r="BV124" s="543"/>
      <c r="BW124" s="543"/>
      <c r="BX124" s="604">
        <f>IFERROR((HostBuild[SAN (GB)
End-State
DO NOT USE TO BUILD]+HostBuild[SAN (GB) Shared])*25%,"")</f>
        <v>202.20000000000002</v>
      </c>
      <c r="BY124" s="608">
        <f>IFERROR(HostBuild[Archive
Full (GB)]*15%,"")</f>
        <v>30.330000000000002</v>
      </c>
      <c r="BZ124" s="544"/>
      <c r="CA124" s="544"/>
      <c r="CB124" s="545"/>
      <c r="CC124" s="546"/>
      <c r="CD124" s="545"/>
      <c r="CE124" s="547"/>
      <c r="CF124" s="539"/>
      <c r="CG124" s="609"/>
      <c r="CH124" s="548"/>
      <c r="CI124" s="549"/>
      <c r="CJ124" s="550"/>
      <c r="CK124" s="551"/>
      <c r="CL124" s="552">
        <f>IFERROR(IF(FIND(CL$1,$W124)&gt;0,IF(INDEX(Product_Pricing_Table[],MATCH(CL$1,Products,0),2)="Cores",IF(HostBuild[Use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4" s="552">
        <f>IFERROR(IF(FIND(CM$1,$W124)&gt;0,IF(INDEX(Product_Pricing_Table[],MATCH(CM$1,Products,0),2)="Cores",IF(HostBuild[Use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4" s="552">
        <f>IFERROR(IF(FIND(CN$1,$W124)&gt;0,IF(INDEX(Product_Pricing_Table[],MATCH(CN$1,Products,0),2)="Cores",IF(HostBuild[Use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4" s="552">
        <f>IFERROR(IF(FIND(CO$1,$W124)&gt;0,IF(INDEX(Product_Pricing_Table[],MATCH(CO$1,Products,0),2)="Cores",IF(HostBuild[Use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4" s="552">
        <f>IFERROR(IF(FIND(CP$1,$W124)&gt;0,IF(INDEX(Product_Pricing_Table[],MATCH(CP$1,Products,0),2)="Cores",IF(HostBuild[Use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4" s="552">
        <f>IFERROR(IF(FIND(CQ$1,$W124)&gt;0,IF(INDEX(Product_Pricing_Table[],MATCH(CQ$1,Products,0),2)="Cores",IF(HostBuild[Use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4" s="552">
        <f>IFERROR(IF(FIND(CR$1,$W124)&gt;0,IF(INDEX(Product_Pricing_Table[],MATCH(CR$1,Products,0),2)="Cores",IF(HostBuild[Use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4" s="552">
        <f>IFERROR(IF(FIND(CS$1,$W124)&gt;0,IF(INDEX(Product_Pricing_Table[],MATCH(CS$1,Products,0),2)="Cores",IF(HostBuild[Use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4" s="552">
        <f>IFERROR(IF(FIND(CT$1,$W124)&gt;0,IF(INDEX(Product_Pricing_Table[],MATCH(CT$1,Products,0),2)="Cores",IF(HostBuild[Use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4" s="552">
        <f>IFERROR(IF(FIND(CU$1,$W124)&gt;0,IF(INDEX(Product_Pricing_Table[],MATCH(CU$1,Products,0),2)="Cores",IF(HostBuild[Use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4" s="552">
        <f>IFERROR(IF(FIND(CV$1,$W124)&gt;0,IF(INDEX(Product_Pricing_Table[],MATCH(CV$1,Products,0),2)="Cores",IF(HostBuild[Use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4" s="552">
        <f>IFERROR(IF(FIND(CW$1,$W124)&gt;0,IF(INDEX(Product_Pricing_Table[],MATCH(CW$1,Products,0),2)="Cores",IF(HostBuild[Use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4" s="552">
        <f>IFERROR(IF(FIND(CX$1,$W124)&gt;0,IF(INDEX(Product_Pricing_Table[],MATCH(CX$1,Products,0),2)="Cores",IF(HostBuild[Use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4" s="552">
        <f>IFERROR(IF(FIND(CY$1,$W124)&gt;0,IF(INDEX(Product_Pricing_Table[],MATCH(CY$1,Products,0),2)="Cores",IF(HostBuild[Use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4" s="552">
        <f>IFERROR(IF(FIND(CZ$1,$W124)&gt;0,IF(INDEX(Product_Pricing_Table[],MATCH(CZ$1,Products,0),2)="Cores",IF(HostBuild[Use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4" s="552">
        <f>IFERROR(IF(FIND(DA$1,$W124)&gt;0,IF(INDEX(Product_Pricing_Table[],MATCH(DA$1,Products,0),2)="Cores",IF(HostBuild[Use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4" s="552">
        <f>IFERROR(IF(FIND(DB$1,$W124)&gt;0,IF(INDEX(Product_Pricing_Table[],MATCH(DB$1,Products,0),2)="Cores",IF(HostBuild[Use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4" s="552">
        <f>IFERROR(IF(FIND(DC$1,$W124)&gt;0,IF(INDEX(Product_Pricing_Table[],MATCH(DC$1,Products,0),2)="Cores",IF(HostBuild[Use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4" s="552">
        <f>IFERROR(IF(FIND(DD$1,$W124)&gt;0,IF(INDEX(Product_Pricing_Table[],MATCH(DD$1,Products,0),2)="Cores",IF(HostBuild[Use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4" s="552">
        <f>IFERROR(IF(FIND(DE$1,$W124)&gt;0,IF(INDEX(Product_Pricing_Table[],MATCH(DE$1,Products,0),2)="Cores",IF(HostBuild[Use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4" s="553">
        <f>IFERROR(IF(FIND(DF$1,$W124)&gt;0,IF(INDEX(Product_Pricing_Table[],MATCH(DF$1,Products,0),2)="Cores",IF(HostBuild[Use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4" s="553">
        <f>IFERROR(IF(FIND(DG$1,$W124)&gt;0,IF(INDEX(Product_Pricing_Table[],MATCH(DG$1,Products,0),2)="Cores",IF(HostBuild[Use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4" s="552">
        <f>IFERROR(IF(FIND(DH$1,$W124)&gt;0,IF(INDEX(Product_Pricing_Table[],MATCH(DH$1,Products,0),2)="Cores",IF(HostBuild[Use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4" s="553">
        <f>IFERROR(IF(FIND(DI$1,$W124)&gt;0,IF(INDEX(Product_Pricing_Table[],MATCH(DI$1,Products,0),2)="Cores",IF(HostBuild[Use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4" s="552">
        <f>IFERROR(IF(FIND(DJ$1,$W124)&gt;0,IF(INDEX(Product_Pricing_Table[],MATCH(DJ$1,Products,0),2)="Cores",IF(HostBuild[Use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4" s="552">
        <f>IFERROR(IF(FIND(DK$1,$W124)&gt;0,IF(INDEX(Product_Pricing_Table[],MATCH(DK$1,Products,0),2)="Cores",IF(HostBuild[Use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4" s="552">
        <f>IFERROR(IF(FIND(DL$1,$W124)&gt;0,IF(INDEX(Product_Pricing_Table[],MATCH(DL$1,Products,0),2)="Cores",IF(HostBuild[Use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4" s="552">
        <f>IFERROR(IF(FIND(DM$1,$W124)&gt;0,IF(INDEX(Product_Pricing_Table[],MATCH(DM$1,Products,0),2)="Cores",IF(HostBuild[Use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4" s="552">
        <f>IFERROR(IF(FIND(DN$1,$W124)&gt;0,IF(INDEX(Product_Pricing_Table[],MATCH(DN$1,Products,0),2)="Cores",IF(HostBuild[Use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4" s="552">
        <f>IFERROR(IF(FIND(DO$1,$W124)&gt;0,IF(INDEX(Product_Pricing_Table[],MATCH(DO$1,Products,0),2)="Cores",IF(HostBuild[Use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4" s="552">
        <f>IFERROR(IF(FIND(DP$1,$W124)&gt;0,IF(INDEX(Product_Pricing_Table[],MATCH(DP$1,Products,0),2)="Cores",IF(HostBuild[Use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4" s="552">
        <f>IFERROR(IF(FIND(DQ$1,$W124)&gt;0,IF(INDEX(Product_Pricing_Table[],MATCH(DQ$1,Products,0),2)="Cores",IF(HostBuild[Use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4" s="552">
        <f>IFERROR(IF(FIND(DR$1,$W124)&gt;0,IF(INDEX(Product_Pricing_Table[],MATCH(DR$1,Products,0),2)="Cores",IF(HostBuild[Use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4" s="552">
        <f>IFERROR(IF(FIND(DS$1,$W124)&gt;0,IF(INDEX(Product_Pricing_Table[],MATCH(DS$1,Products,0),2)="Cores",IF(HostBuild[Use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4" s="552">
        <f>IFERROR(IF(FIND(DT$1,$W124)&gt;0,IF(INDEX(Product_Pricing_Table[],MATCH(DT$1,Products,0),2)="Cores",IF(HostBuild[Use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4" s="552">
        <f>IFERROR(IF(FIND(DU$1,$W124)&gt;0,IF(INDEX(Product_Pricing_Table[],MATCH(DU$1,Products,0),2)="Cores",IF(HostBuild[Use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4" s="552">
        <f>IFERROR(IF(FIND(DV$1,$W124)&gt;0,IF(INDEX(Product_Pricing_Table[],MATCH(DV$1,Products,0),2)="Cores",IF(HostBuild[Use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4" s="552">
        <f>IFERROR(IF(FIND(DW$1,$W124)&gt;0,IF(INDEX(Product_Pricing_Table[],MATCH(DW$1,Products,0),2)="Cores",IF(HostBuild[Use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4" s="552">
        <f>IFERROR(IF(FIND(DX$1,$W124)&gt;0,IF(INDEX(Product_Pricing_Table[],MATCH(DX$1,Products,0),2)="Cores",IF(HostBuild[Use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4" s="552">
        <f>IFERROR(IF(FIND(DY$1,$W124)&gt;0,IF(INDEX(Product_Pricing_Table[],MATCH(DY$1,Products,0),2)="Cores",IF(HostBuild[Use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4" s="552">
        <f>IFERROR(IF(FIND(DZ$1,$W124)&gt;0,IF(INDEX(Product_Pricing_Table[],MATCH(DZ$1,Products,0),2)="Cores",IF(HostBuild[Use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4" s="552">
        <f>IFERROR(IF(FIND(EA$1,$W124)&gt;0,IF(INDEX(Product_Pricing_Table[],MATCH(EA$1,Products,0),2)="Cores",IF(HostBuild[Use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4" s="552">
        <f>IFERROR(IF(FIND(EB$1,$W124)&gt;0,IF(INDEX(Product_Pricing_Table[],MATCH(EB$1,Products,0),2)="Cores",IF(HostBuild[Use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4" s="553">
        <f>IFERROR(IF(FIND(EC$1,$W124)&gt;0,IF(INDEX(Product_Pricing_Table[],MATCH(EC$1,Products,0),2)="Cores",IF(HostBuild[Use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4" s="552">
        <f>IFERROR(IF(FIND(ED$1,$W124)&gt;0,IF(INDEX(Product_Pricing_Table[],MATCH(ED$1,Products,0),2)="Cores",IF(HostBuild[Use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4" s="552">
        <f>IFERROR(IF(FIND(EE$1,$W124)&gt;0,IF(INDEX(Product_Pricing_Table[],MATCH(EE$1,Products,0),2)="Cores",IF(HostBuild[Use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4" s="552">
        <f>IFERROR(IF(FIND(EF$1,$W124)&gt;0,IF(INDEX(Product_Pricing_Table[],MATCH(EF$1,Products,0),2)="Cores",IF(HostBuild[Use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4" s="552">
        <f>IFERROR(IF(FIND(EG$1,$W124)&gt;0,IF(INDEX(Product_Pricing_Table[],MATCH(EG$1,Products,0),2)="Cores",IF(HostBuild[Use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4" s="552">
        <f>IFERROR(IF(FIND(EH$1,$W124)&gt;0,IF(INDEX(Product_Pricing_Table[],MATCH(EH$1,Products,0),2)="Cores",IF(HostBuild[Use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4" s="552">
        <f>IFERROR(IF(FIND(EI$1,$W124)&gt;0,IF(INDEX(Product_Pricing_Table[],MATCH(EI$1,Products,0),2)="Cores",IF(HostBuild[Use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4" s="552">
        <f>IFERROR(IF(FIND(EJ$1,$W124)&gt;0,IF(INDEX(Product_Pricing_Table[],MATCH(EJ$1,Products,0),2)="Cores",IF(HostBuild[Use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4" s="553">
        <f>IFERROR(IF(FIND(EK$1,$W124)&gt;0,IF(INDEX(Product_Pricing_Table[],MATCH(EK$1,Products,0),2)="Cores",IF(HostBuild[Use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4" s="554"/>
      <c r="EM124" s="555">
        <v>0</v>
      </c>
      <c r="EN124" s="556">
        <v>0</v>
      </c>
      <c r="EO12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4" s="558">
        <f>(HostBuild[Archive
Full (GB)]+HostBuild[Archive
Incr (GB)])*Storage_DC_Dist_Tape_2014</f>
        <v>81.385500000000008</v>
      </c>
      <c r="ER124" s="558">
        <f>IF(ISNUMBER(HostBuild[Server HW Costs
(Monthly)]),SUM(HostBuild[[#This Row],[Server HW Costs
(Monthly)]:[Tape Costs
(Monthly)]]),0)</f>
        <v>1334.0455000000002</v>
      </c>
      <c r="ES124" s="559">
        <f>HostBuild[Software Costs
'[Year 1']
(Monthly)]+HostBuild[Total Hardware Costs
(Monthly)]</f>
        <v>1334.0455000000002</v>
      </c>
      <c r="ET124" s="559">
        <f>IFERROR(IF(FIND("Safenet",HostBuild[Server Model]),Safenet_PSE_PL600_Maint,0),0)+IFERROR(IF(FIND("XI52",HostBuild[Server Model]),IBM_DIA_XI52_Maint,0),0)+HostBuild[Software Costs
'[After Year 1']
(Monthly)]+HostBuild[Total Hardware Costs
(Monthly)]</f>
        <v>1334.0455000000002</v>
      </c>
      <c r="EU124" s="560">
        <f>SUM(HostBuild[[#This Row],[Server Cost Breakdown]:[Network Cost]])</f>
        <v>888.7</v>
      </c>
      <c r="EV124" s="561">
        <f>IF(HostBuild[Existing Server?]="Yes - Inside this BoM",0,SUMIF(HostBuild[Alias],HostBuild[Alias],HostBuild[CPU])+SUMIF(HostBuild[Alias],HostBuild[Alias],HostBuild[Existing CPUs]))</f>
        <v>2</v>
      </c>
      <c r="EW124" s="561">
        <f>IF(HostBuild[Existing Server?]="Yes - Inside this BoM",0,SUMIF(HostBuild[Alias],HostBuild[Alias],HostBuild[Cores 
(Licensed Units)])+SUMIF(HostBuild[Alias],HostBuild[Alias],HostBuild[Existing Cores]))</f>
        <v>16</v>
      </c>
      <c r="EX124" s="561">
        <f>IF(HostBuild[Existing Server?]="Yes - Inside this BoM",0,SUMIF(HostBuild[Alias],HostBuild[Alias],HostBuild[RAM 
(GB)])+SUMIF(HostBuild[Alias],HostBuild[Alias],HostBuild[Existing RAM (GB)]))</f>
        <v>128</v>
      </c>
      <c r="EY12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4" s="560">
        <f>IF(ISBLANK(HostBuild[Server Model]),0,IF(HostBuild[Server Tier]="VMware",0,VLOOKUP(HostBuild[Server Tier],ServerTierRates[#Data],2,0))*HostBuild[CPU]*IF(AND(HostBuild[Server Type]="pSeries",HostBuild[Virtual Platform Storage Type]="Cloud-SAN"),0.25,1))</f>
        <v>608</v>
      </c>
      <c r="FD124" s="560">
        <f>0</f>
        <v>0</v>
      </c>
      <c r="FE124" s="560">
        <f>IF(HostBuild[Server Type]="VMware",HostBuild[RAM 
(GB)]*IF(ISERROR(FIND("DevCloud", HostBuild[Server Model])&gt;0),vRAM_per_vCPU_2014_Monthly,vRAM_per_vCPU_2014_Daily*30),0)</f>
        <v>0</v>
      </c>
      <c r="FF12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4" s="563">
        <f>IF(HostBuild[Server Tier]="VMware",0,IF(LEFT(HostBuild[Existing Server?],3)="Yes",0,IF(OR(HostBuild[Server Type]="Sun",HostBuild[Server Type]="pSeries"),Support_Direct_Server_Sun_per_OS_2014,IF(HostBuild[Server Type]="x86",Support_Direct_Server_x86_Wintel_per_OS_2014,0))))</f>
        <v>187.1</v>
      </c>
      <c r="FI12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5" spans="1:165" s="139" customFormat="1" ht="15" customHeight="1">
      <c r="A125" s="360" t="s">
        <v>3942</v>
      </c>
      <c r="B125" s="521"/>
      <c r="C125" s="521"/>
      <c r="D125" s="521"/>
      <c r="E125" s="522"/>
      <c r="F125" s="522"/>
      <c r="G125" s="597"/>
      <c r="H125" s="597"/>
      <c r="I125" s="523"/>
      <c r="J125" s="522"/>
      <c r="K125" s="522"/>
      <c r="L125" s="522"/>
      <c r="M125" s="597" t="e">
        <f ca="1">IF(rngIsDate(HostBuild[CTO Acceptance]),"Y","N")</f>
        <v>#NAME?</v>
      </c>
      <c r="N125" s="361" t="s">
        <v>3939</v>
      </c>
      <c r="O125" s="525"/>
      <c r="P125" s="525"/>
      <c r="Q125" s="361" t="s">
        <v>212</v>
      </c>
      <c r="R125" s="526" t="str">
        <f>IF(NOT(ISBLANK(HostBuild[Env Label])),IFERROR(VLOOKUP(HostBuild[Env Label],tEnv[],3,FALSE),""),"")</f>
        <v>UAT</v>
      </c>
      <c r="S125" s="598"/>
      <c r="T125" s="527"/>
      <c r="U125" s="599"/>
      <c r="V125" s="524" t="s">
        <v>4012</v>
      </c>
      <c r="W125" s="524" t="s">
        <v>405</v>
      </c>
      <c r="X125" s="524" t="s">
        <v>34</v>
      </c>
      <c r="Y125" s="361" t="s">
        <v>4067</v>
      </c>
      <c r="Z125" s="526" t="str">
        <f>IF(NOT(ISBLANK(HostBuild[[#This Row],[Product 
(Acronym)]])),CONCATENATE(HostBuild[[#This Row],[Type]],"-",HostBuild[[#This Row],[Product 
(Acronym)]]),"")</f>
        <v>WW-CBOL</v>
      </c>
      <c r="AA125" s="600"/>
      <c r="AB125" s="600" t="s">
        <v>105</v>
      </c>
      <c r="AC125" s="528"/>
      <c r="AD125" s="529"/>
      <c r="AE125" s="529"/>
      <c r="AF125" s="530"/>
      <c r="AG125" s="531"/>
      <c r="AH125" s="601"/>
      <c r="AI125" s="362" t="s">
        <v>4052</v>
      </c>
      <c r="AJ125" s="524">
        <f>IF(COUNTIF(HostBuild[Alias],HostBuild[Alias]),1/COUNTIF(HostBuild[Alias],HostBuild[Alias]),0)</f>
        <v>1</v>
      </c>
      <c r="AK125" s="531"/>
      <c r="AL125" s="531"/>
      <c r="AM125" s="532" t="s">
        <v>2173</v>
      </c>
      <c r="AN125" s="533" t="str">
        <f>IF(NOT(ISBLANK(HostBuild[Server Model])),VLOOKUP(HostBuild[Server Model],ServerModelsTier[],2,FALSE),"")</f>
        <v>x86 Tier 3</v>
      </c>
      <c r="AO125" s="533" t="str">
        <f>IF(NOT(ISBLANK(HostBuild[Server Model])),VLOOKUP(HostBuild[Server Model],ServerModelsTier[],5,FALSE),"")</f>
        <v>x86</v>
      </c>
      <c r="AP125" s="532"/>
      <c r="AQ125" s="532" t="s">
        <v>2337</v>
      </c>
      <c r="AR125" s="534">
        <v>2</v>
      </c>
      <c r="AS125" s="602"/>
      <c r="AT125" s="535">
        <v>16</v>
      </c>
      <c r="AU125" s="603" t="str">
        <f>IF(IFERROR(FIND("P-Series",HostBuild[Server Tier]),0),CEILING((HostBuild[Existing CPUs]+HostBuild[CPU])*16,8),"")</f>
        <v/>
      </c>
      <c r="AV125" s="536">
        <v>128</v>
      </c>
      <c r="AW125" s="531"/>
      <c r="AX125" s="531"/>
      <c r="AY125" s="531"/>
      <c r="AZ125" s="537"/>
      <c r="BA125" s="531"/>
      <c r="BB125" s="531"/>
      <c r="BC125" s="529"/>
      <c r="BD125" s="531"/>
      <c r="BE125" s="531"/>
      <c r="BF125" s="531"/>
      <c r="BG125" s="531"/>
      <c r="BH125" s="531"/>
      <c r="BI125" s="531"/>
      <c r="BJ125" s="531"/>
      <c r="BK125"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5" s="538">
        <v>600</v>
      </c>
      <c r="BM125" s="540">
        <f>IF(ISNUMBER(HostBuild[Recommended SAN (GB)]),HostBuild[Recommended SAN (GB)])+IF(HostBuild[Additional SAN (GB)]&gt;0,CEILING(HostBuild[Additional SAN (GB)],LUN),-(CEILING(-HostBuild[Additional SAN (GB)],LUN)))</f>
        <v>808.80000000000007</v>
      </c>
      <c r="BN125" s="539"/>
      <c r="BO125" s="540">
        <f>HostBuild[SAN (GB)
NEEDED TODAY]+CEILING(HostBuild[SAN (GB)
RESERVED
DO NOT USE TO BUILD], LUN)</f>
        <v>808.80000000000007</v>
      </c>
      <c r="BP125" s="541"/>
      <c r="BQ125" s="542"/>
      <c r="BR125" s="432"/>
      <c r="BS125" s="605">
        <f>IF(HostBuild[Existing Server?]&lt;&gt;"Yes - Inside this BoM",IF(ISNUMBER(HostBuild[RAM 
(GB)]),IF(HostBuild[Existing RAM (GB)]+HostBuild[RAM 
(GB)]&gt;0,IF(HostBuild[Virtual Platform Storage Type]="NAS",110+HostBuild[Existing RAM (GB)]+HostBuild[RAM 
(GB)]*1.75,0),0),0),0)</f>
        <v>0</v>
      </c>
      <c r="BT125" s="606"/>
      <c r="BU125" s="607">
        <f>IF(ISNUMBER(HostBuild[Recommended NAS (GB)]),HostBuild[Recommended NAS (GB)])+HostBuild[Additional NAS (GB)]</f>
        <v>0</v>
      </c>
      <c r="BV125" s="543"/>
      <c r="BW125" s="543"/>
      <c r="BX125" s="604">
        <f>IFERROR((HostBuild[SAN (GB)
End-State
DO NOT USE TO BUILD]+HostBuild[SAN (GB) Shared])*25%,"")</f>
        <v>202.20000000000002</v>
      </c>
      <c r="BY125" s="608">
        <f>IFERROR(HostBuild[Archive
Full (GB)]*15%,"")</f>
        <v>30.330000000000002</v>
      </c>
      <c r="BZ125" s="544"/>
      <c r="CA125" s="544"/>
      <c r="CB125" s="545"/>
      <c r="CC125" s="546"/>
      <c r="CD125" s="545"/>
      <c r="CE125" s="547"/>
      <c r="CF125" s="539"/>
      <c r="CG125" s="609"/>
      <c r="CH125" s="548"/>
      <c r="CI125" s="549"/>
      <c r="CJ125" s="550"/>
      <c r="CK125" s="551"/>
      <c r="CL125" s="552">
        <f>IFERROR(IF(FIND(CL$1,$W125)&gt;0,IF(INDEX(Product_Pricing_Table[],MATCH(CL$1,Products,0),2)="Cores",IF(HostBuild[Use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5" s="552">
        <f>IFERROR(IF(FIND(CM$1,$W125)&gt;0,IF(INDEX(Product_Pricing_Table[],MATCH(CM$1,Products,0),2)="Cores",IF(HostBuild[Use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25" s="552">
        <f>IFERROR(IF(FIND(CN$1,$W125)&gt;0,IF(INDEX(Product_Pricing_Table[],MATCH(CN$1,Products,0),2)="Cores",IF(HostBuild[Use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5" s="552">
        <f>IFERROR(IF(FIND(CO$1,$W125)&gt;0,IF(INDEX(Product_Pricing_Table[],MATCH(CO$1,Products,0),2)="Cores",IF(HostBuild[Use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5" s="552">
        <f>IFERROR(IF(FIND(CP$1,$W125)&gt;0,IF(INDEX(Product_Pricing_Table[],MATCH(CP$1,Products,0),2)="Cores",IF(HostBuild[Use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5" s="552">
        <f>IFERROR(IF(FIND(CQ$1,$W125)&gt;0,IF(INDEX(Product_Pricing_Table[],MATCH(CQ$1,Products,0),2)="Cores",IF(HostBuild[Use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5" s="552">
        <f>IFERROR(IF(FIND(CR$1,$W125)&gt;0,IF(INDEX(Product_Pricing_Table[],MATCH(CR$1,Products,0),2)="Cores",IF(HostBuild[Use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5" s="552">
        <f>IFERROR(IF(FIND(CS$1,$W125)&gt;0,IF(INDEX(Product_Pricing_Table[],MATCH(CS$1,Products,0),2)="Cores",IF(HostBuild[Use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5" s="552">
        <f>IFERROR(IF(FIND(CT$1,$W125)&gt;0,IF(INDEX(Product_Pricing_Table[],MATCH(CT$1,Products,0),2)="Cores",IF(HostBuild[Use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5" s="552">
        <f>IFERROR(IF(FIND(CU$1,$W125)&gt;0,IF(INDEX(Product_Pricing_Table[],MATCH(CU$1,Products,0),2)="Cores",IF(HostBuild[Use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5" s="552">
        <f>IFERROR(IF(FIND(CV$1,$W125)&gt;0,IF(INDEX(Product_Pricing_Table[],MATCH(CV$1,Products,0),2)="Cores",IF(HostBuild[Use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5" s="552">
        <f>IFERROR(IF(FIND(CW$1,$W125)&gt;0,IF(INDEX(Product_Pricing_Table[],MATCH(CW$1,Products,0),2)="Cores",IF(HostBuild[Use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5" s="552">
        <f>IFERROR(IF(FIND(CX$1,$W125)&gt;0,IF(INDEX(Product_Pricing_Table[],MATCH(CX$1,Products,0),2)="Cores",IF(HostBuild[Use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25" s="552">
        <f>IFERROR(IF(FIND(CY$1,$W125)&gt;0,IF(INDEX(Product_Pricing_Table[],MATCH(CY$1,Products,0),2)="Cores",IF(HostBuild[Use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5" s="552">
        <f>IFERROR(IF(FIND(CZ$1,$W125)&gt;0,IF(INDEX(Product_Pricing_Table[],MATCH(CZ$1,Products,0),2)="Cores",IF(HostBuild[Use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5" s="552">
        <f>IFERROR(IF(FIND(DA$1,$W125)&gt;0,IF(INDEX(Product_Pricing_Table[],MATCH(DA$1,Products,0),2)="Cores",IF(HostBuild[Use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5" s="552">
        <f>IFERROR(IF(FIND(DB$1,$W125)&gt;0,IF(INDEX(Product_Pricing_Table[],MATCH(DB$1,Products,0),2)="Cores",IF(HostBuild[Use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5" s="552">
        <f>IFERROR(IF(FIND(DC$1,$W125)&gt;0,IF(INDEX(Product_Pricing_Table[],MATCH(DC$1,Products,0),2)="Cores",IF(HostBuild[Use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5" s="552">
        <f>IFERROR(IF(FIND(DD$1,$W125)&gt;0,IF(INDEX(Product_Pricing_Table[],MATCH(DD$1,Products,0),2)="Cores",IF(HostBuild[Use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5" s="552">
        <f>IFERROR(IF(FIND(DE$1,$W125)&gt;0,IF(INDEX(Product_Pricing_Table[],MATCH(DE$1,Products,0),2)="Cores",IF(HostBuild[Use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5" s="553">
        <f>IFERROR(IF(FIND(DF$1,$W125)&gt;0,IF(INDEX(Product_Pricing_Table[],MATCH(DF$1,Products,0),2)="Cores",IF(HostBuild[Use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5" s="553">
        <f>IFERROR(IF(FIND(DG$1,$W125)&gt;0,IF(INDEX(Product_Pricing_Table[],MATCH(DG$1,Products,0),2)="Cores",IF(HostBuild[Use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5" s="552">
        <f>IFERROR(IF(FIND(DH$1,$W125)&gt;0,IF(INDEX(Product_Pricing_Table[],MATCH(DH$1,Products,0),2)="Cores",IF(HostBuild[Use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5" s="553">
        <f>IFERROR(IF(FIND(DI$1,$W125)&gt;0,IF(INDEX(Product_Pricing_Table[],MATCH(DI$1,Products,0),2)="Cores",IF(HostBuild[Use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5" s="552">
        <f>IFERROR(IF(FIND(DJ$1,$W125)&gt;0,IF(INDEX(Product_Pricing_Table[],MATCH(DJ$1,Products,0),2)="Cores",IF(HostBuild[Use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5" s="552">
        <f>IFERROR(IF(FIND(DK$1,$W125)&gt;0,IF(INDEX(Product_Pricing_Table[],MATCH(DK$1,Products,0),2)="Cores",IF(HostBuild[Use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5" s="552">
        <f>IFERROR(IF(FIND(DL$1,$W125)&gt;0,IF(INDEX(Product_Pricing_Table[],MATCH(DL$1,Products,0),2)="Cores",IF(HostBuild[Use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5" s="552">
        <f>IFERROR(IF(FIND(DM$1,$W125)&gt;0,IF(INDEX(Product_Pricing_Table[],MATCH(DM$1,Products,0),2)="Cores",IF(HostBuild[Use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5" s="552">
        <f>IFERROR(IF(FIND(DN$1,$W125)&gt;0,IF(INDEX(Product_Pricing_Table[],MATCH(DN$1,Products,0),2)="Cores",IF(HostBuild[Use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5" s="552">
        <f>IFERROR(IF(FIND(DO$1,$W125)&gt;0,IF(INDEX(Product_Pricing_Table[],MATCH(DO$1,Products,0),2)="Cores",IF(HostBuild[Use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5" s="552">
        <f>IFERROR(IF(FIND(DP$1,$W125)&gt;0,IF(INDEX(Product_Pricing_Table[],MATCH(DP$1,Products,0),2)="Cores",IF(HostBuild[Use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5" s="552">
        <f>IFERROR(IF(FIND(DQ$1,$W125)&gt;0,IF(INDEX(Product_Pricing_Table[],MATCH(DQ$1,Products,0),2)="Cores",IF(HostBuild[Use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5" s="552">
        <f>IFERROR(IF(FIND(DR$1,$W125)&gt;0,IF(INDEX(Product_Pricing_Table[],MATCH(DR$1,Products,0),2)="Cores",IF(HostBuild[Use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5" s="552">
        <f>IFERROR(IF(FIND(DS$1,$W125)&gt;0,IF(INDEX(Product_Pricing_Table[],MATCH(DS$1,Products,0),2)="Cores",IF(HostBuild[Use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5" s="552">
        <f>IFERROR(IF(FIND(DT$1,$W125)&gt;0,IF(INDEX(Product_Pricing_Table[],MATCH(DT$1,Products,0),2)="Cores",IF(HostBuild[Use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5" s="552">
        <f>IFERROR(IF(FIND(DU$1,$W125)&gt;0,IF(INDEX(Product_Pricing_Table[],MATCH(DU$1,Products,0),2)="Cores",IF(HostBuild[Use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5" s="552">
        <f>IFERROR(IF(FIND(DV$1,$W125)&gt;0,IF(INDEX(Product_Pricing_Table[],MATCH(DV$1,Products,0),2)="Cores",IF(HostBuild[Use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5" s="552">
        <f>IFERROR(IF(FIND(DW$1,$W125)&gt;0,IF(INDEX(Product_Pricing_Table[],MATCH(DW$1,Products,0),2)="Cores",IF(HostBuild[Use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5" s="552">
        <f>IFERROR(IF(FIND(DX$1,$W125)&gt;0,IF(INDEX(Product_Pricing_Table[],MATCH(DX$1,Products,0),2)="Cores",IF(HostBuild[Use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5" s="552">
        <f>IFERROR(IF(FIND(DY$1,$W125)&gt;0,IF(INDEX(Product_Pricing_Table[],MATCH(DY$1,Products,0),2)="Cores",IF(HostBuild[Use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5" s="552">
        <f>IFERROR(IF(FIND(DZ$1,$W125)&gt;0,IF(INDEX(Product_Pricing_Table[],MATCH(DZ$1,Products,0),2)="Cores",IF(HostBuild[Use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5" s="552">
        <f>IFERROR(IF(FIND(EA$1,$W125)&gt;0,IF(INDEX(Product_Pricing_Table[],MATCH(EA$1,Products,0),2)="Cores",IF(HostBuild[Use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5" s="552">
        <f>IFERROR(IF(FIND(EB$1,$W125)&gt;0,IF(INDEX(Product_Pricing_Table[],MATCH(EB$1,Products,0),2)="Cores",IF(HostBuild[Use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5" s="553">
        <f>IFERROR(IF(FIND(EC$1,$W125)&gt;0,IF(INDEX(Product_Pricing_Table[],MATCH(EC$1,Products,0),2)="Cores",IF(HostBuild[Use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5" s="552">
        <f>IFERROR(IF(FIND(ED$1,$W125)&gt;0,IF(INDEX(Product_Pricing_Table[],MATCH(ED$1,Products,0),2)="Cores",IF(HostBuild[Use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5" s="552">
        <f>IFERROR(IF(FIND(EE$1,$W125)&gt;0,IF(INDEX(Product_Pricing_Table[],MATCH(EE$1,Products,0),2)="Cores",IF(HostBuild[Use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5" s="552">
        <f>IFERROR(IF(FIND(EF$1,$W125)&gt;0,IF(INDEX(Product_Pricing_Table[],MATCH(EF$1,Products,0),2)="Cores",IF(HostBuild[Use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5" s="552">
        <f>IFERROR(IF(FIND(EG$1,$W125)&gt;0,IF(INDEX(Product_Pricing_Table[],MATCH(EG$1,Products,0),2)="Cores",IF(HostBuild[Use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5" s="552">
        <f>IFERROR(IF(FIND(EH$1,$W125)&gt;0,IF(INDEX(Product_Pricing_Table[],MATCH(EH$1,Products,0),2)="Cores",IF(HostBuild[Use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5" s="552">
        <f>IFERROR(IF(FIND(EI$1,$W125)&gt;0,IF(INDEX(Product_Pricing_Table[],MATCH(EI$1,Products,0),2)="Cores",IF(HostBuild[Use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5" s="552">
        <f>IFERROR(IF(FIND(EJ$1,$W125)&gt;0,IF(INDEX(Product_Pricing_Table[],MATCH(EJ$1,Products,0),2)="Cores",IF(HostBuild[Use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5" s="553">
        <f>IFERROR(IF(FIND(EK$1,$W125)&gt;0,IF(INDEX(Product_Pricing_Table[],MATCH(EK$1,Products,0),2)="Cores",IF(HostBuild[Use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5" s="554"/>
      <c r="EM125" s="555"/>
      <c r="EN125" s="556"/>
      <c r="EO12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5" s="558">
        <f>(HostBuild[Archive
Full (GB)]+HostBuild[Archive
Incr (GB)])*Storage_DC_Dist_Tape_2014</f>
        <v>81.385500000000008</v>
      </c>
      <c r="ER125" s="558">
        <f>IF(ISNUMBER(HostBuild[Server HW Costs
(Monthly)]),SUM(HostBuild[[#This Row],[Server HW Costs
(Monthly)]:[Tape Costs
(Monthly)]]),0)</f>
        <v>1334.0455000000002</v>
      </c>
      <c r="ES125" s="559">
        <f>HostBuild[Software Costs
'[Year 1']
(Monthly)]+HostBuild[Total Hardware Costs
(Monthly)]</f>
        <v>1334.0455000000002</v>
      </c>
      <c r="ET125" s="559">
        <f>IFERROR(IF(FIND("Safenet",HostBuild[Server Model]),Safenet_PSE_PL600_Maint,0),0)+IFERROR(IF(FIND("XI52",HostBuild[Server Model]),IBM_DIA_XI52_Maint,0),0)+HostBuild[Software Costs
'[After Year 1']
(Monthly)]+HostBuild[Total Hardware Costs
(Monthly)]</f>
        <v>1334.0455000000002</v>
      </c>
      <c r="EU125" s="560">
        <f>SUM(HostBuild[[#This Row],[Server Cost Breakdown]:[Network Cost]])</f>
        <v>888.7</v>
      </c>
      <c r="EV125" s="561">
        <f>IF(HostBuild[Existing Server?]="Yes - Inside this BoM",0,SUMIF(HostBuild[Alias],HostBuild[Alias],HostBuild[CPU])+SUMIF(HostBuild[Alias],HostBuild[Alias],HostBuild[Existing CPUs]))</f>
        <v>2</v>
      </c>
      <c r="EW125" s="561">
        <f>IF(HostBuild[Existing Server?]="Yes - Inside this BoM",0,SUMIF(HostBuild[Alias],HostBuild[Alias],HostBuild[Cores 
(Licensed Units)])+SUMIF(HostBuild[Alias],HostBuild[Alias],HostBuild[Existing Cores]))</f>
        <v>16</v>
      </c>
      <c r="EX125" s="561">
        <f>IF(HostBuild[Existing Server?]="Yes - Inside this BoM",0,SUMIF(HostBuild[Alias],HostBuild[Alias],HostBuild[RAM 
(GB)])+SUMIF(HostBuild[Alias],HostBuild[Alias],HostBuild[Existing RAM (GB)]))</f>
        <v>128</v>
      </c>
      <c r="EY12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5" s="560">
        <f>IF(ISBLANK(HostBuild[Server Model]),0,IF(HostBuild[Server Tier]="VMware",0,VLOOKUP(HostBuild[Server Tier],ServerTierRates[#Data],2,0))*HostBuild[CPU]*IF(AND(HostBuild[Server Type]="pSeries",HostBuild[Virtual Platform Storage Type]="Cloud-SAN"),0.25,1))</f>
        <v>608</v>
      </c>
      <c r="FD125" s="560">
        <f>0</f>
        <v>0</v>
      </c>
      <c r="FE125" s="560">
        <f>IF(HostBuild[Server Type]="VMware",HostBuild[RAM 
(GB)]*IF(ISERROR(FIND("DevCloud", HostBuild[Server Model])&gt;0),vRAM_per_vCPU_2014_Monthly,vRAM_per_vCPU_2014_Daily*30),0)</f>
        <v>0</v>
      </c>
      <c r="FF12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5" s="563">
        <f>IF(HostBuild[Server Tier]="VMware",0,IF(LEFT(HostBuild[Existing Server?],3)="Yes",0,IF(OR(HostBuild[Server Type]="Sun",HostBuild[Server Type]="pSeries"),Support_Direct_Server_Sun_per_OS_2014,IF(HostBuild[Server Type]="x86",Support_Direct_Server_x86_Wintel_per_OS_2014,0))))</f>
        <v>187.1</v>
      </c>
      <c r="FI12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6" spans="1:165" s="139" customFormat="1" ht="15" customHeight="1">
      <c r="A126" s="360" t="s">
        <v>3942</v>
      </c>
      <c r="B126" s="521"/>
      <c r="C126" s="521"/>
      <c r="D126" s="521"/>
      <c r="E126" s="522"/>
      <c r="F126" s="522"/>
      <c r="G126" s="597"/>
      <c r="H126" s="597"/>
      <c r="I126" s="523"/>
      <c r="J126" s="522"/>
      <c r="K126" s="522"/>
      <c r="L126" s="522"/>
      <c r="M126" s="597" t="e">
        <f ca="1">IF(rngIsDate(HostBuild[CTO Acceptance]),"Y","N")</f>
        <v>#NAME?</v>
      </c>
      <c r="N126" s="361" t="s">
        <v>3938</v>
      </c>
      <c r="O126" s="525"/>
      <c r="P126" s="525"/>
      <c r="Q126" s="361" t="s">
        <v>4139</v>
      </c>
      <c r="R126" s="526" t="str">
        <f>IF(NOT(ISBLANK(HostBuild[Env Label])),IFERROR(VLOOKUP(HostBuild[Env Label],tEnv[],3,FALSE),""),"")</f>
        <v>UAT</v>
      </c>
      <c r="S126" s="598"/>
      <c r="T126" s="527"/>
      <c r="U126" s="599"/>
      <c r="V126" s="524" t="s">
        <v>4048</v>
      </c>
      <c r="W126" s="524" t="s">
        <v>4019</v>
      </c>
      <c r="X126" s="524" t="s">
        <v>35</v>
      </c>
      <c r="Y126" s="361" t="s">
        <v>4067</v>
      </c>
      <c r="Z126" s="526" t="str">
        <f>IF(NOT(ISBLANK(HostBuild[[#This Row],[Product 
(Acronym)]])),CONCATENATE(HostBuild[[#This Row],[Type]],"-",HostBuild[[#This Row],[Product 
(Acronym)]]),"")</f>
        <v>AP-CBOL</v>
      </c>
      <c r="AA126" s="600"/>
      <c r="AB126" s="600" t="s">
        <v>105</v>
      </c>
      <c r="AC126" s="528"/>
      <c r="AD126" s="529"/>
      <c r="AE126" s="529"/>
      <c r="AF126" s="530"/>
      <c r="AG126" s="531"/>
      <c r="AH126" s="601"/>
      <c r="AI126" s="362" t="s">
        <v>4053</v>
      </c>
      <c r="AJ126" s="524">
        <f>IF(COUNTIF(HostBuild[Alias],HostBuild[Alias]),1/COUNTIF(HostBuild[Alias],HostBuild[Alias]),0)</f>
        <v>1</v>
      </c>
      <c r="AK126" s="531"/>
      <c r="AL126" s="531"/>
      <c r="AM126" s="532" t="s">
        <v>2173</v>
      </c>
      <c r="AN126" s="533" t="str">
        <f>IF(NOT(ISBLANK(HostBuild[Server Model])),VLOOKUP(HostBuild[Server Model],ServerModelsTier[],2,FALSE),"")</f>
        <v>x86 Tier 3</v>
      </c>
      <c r="AO126" s="533" t="str">
        <f>IF(NOT(ISBLANK(HostBuild[Server Model])),VLOOKUP(HostBuild[Server Model],ServerModelsTier[],5,FALSE),"")</f>
        <v>x86</v>
      </c>
      <c r="AP126" s="532"/>
      <c r="AQ126" s="532" t="s">
        <v>2337</v>
      </c>
      <c r="AR126" s="534">
        <v>2</v>
      </c>
      <c r="AS126" s="602"/>
      <c r="AT126" s="535">
        <v>16</v>
      </c>
      <c r="AU126" s="603" t="str">
        <f>IF(IFERROR(FIND("P-Series",HostBuild[Server Tier]),0),CEILING((HostBuild[Existing CPUs]+HostBuild[CPU])*16,8),"")</f>
        <v/>
      </c>
      <c r="AV126" s="536">
        <v>128</v>
      </c>
      <c r="AW126" s="531"/>
      <c r="AX126" s="531"/>
      <c r="AY126" s="531"/>
      <c r="AZ126" s="537"/>
      <c r="BA126" s="531"/>
      <c r="BB126" s="531"/>
      <c r="BC126" s="529"/>
      <c r="BD126" s="531"/>
      <c r="BE126" s="531"/>
      <c r="BF126" s="531"/>
      <c r="BG126" s="531"/>
      <c r="BH126" s="531"/>
      <c r="BI126" s="531"/>
      <c r="BJ126" s="531"/>
      <c r="BK126"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6" s="538">
        <v>600</v>
      </c>
      <c r="BM126" s="540">
        <f>IF(ISNUMBER(HostBuild[Recommended SAN (GB)]),HostBuild[Recommended SAN (GB)])+IF(HostBuild[Additional SAN (GB)]&gt;0,CEILING(HostBuild[Additional SAN (GB)],LUN),-(CEILING(-HostBuild[Additional SAN (GB)],LUN)))</f>
        <v>808.80000000000007</v>
      </c>
      <c r="BN126" s="539"/>
      <c r="BO126" s="540">
        <f>HostBuild[SAN (GB)
NEEDED TODAY]+CEILING(HostBuild[SAN (GB)
RESERVED
DO NOT USE TO BUILD], LUN)</f>
        <v>808.80000000000007</v>
      </c>
      <c r="BP126" s="541"/>
      <c r="BQ126" s="542"/>
      <c r="BR126" s="432"/>
      <c r="BS126" s="605">
        <f>IF(HostBuild[Existing Server?]&lt;&gt;"Yes - Inside this BoM",IF(ISNUMBER(HostBuild[RAM 
(GB)]),IF(HostBuild[Existing RAM (GB)]+HostBuild[RAM 
(GB)]&gt;0,IF(HostBuild[Virtual Platform Storage Type]="NAS",110+HostBuild[Existing RAM (GB)]+HostBuild[RAM 
(GB)]*1.75,0),0),0),0)</f>
        <v>0</v>
      </c>
      <c r="BT126" s="606"/>
      <c r="BU126" s="607">
        <f>IF(ISNUMBER(HostBuild[Recommended NAS (GB)]),HostBuild[Recommended NAS (GB)])+HostBuild[Additional NAS (GB)]</f>
        <v>0</v>
      </c>
      <c r="BV126" s="543"/>
      <c r="BW126" s="543"/>
      <c r="BX126" s="604">
        <f>IFERROR((HostBuild[SAN (GB)
End-State
DO NOT USE TO BUILD]+HostBuild[SAN (GB) Shared])*25%,"")</f>
        <v>202.20000000000002</v>
      </c>
      <c r="BY126" s="608">
        <f>IFERROR(HostBuild[Archive
Full (GB)]*15%,"")</f>
        <v>30.330000000000002</v>
      </c>
      <c r="BZ126" s="544"/>
      <c r="CA126" s="544"/>
      <c r="CB126" s="545"/>
      <c r="CC126" s="546"/>
      <c r="CD126" s="545"/>
      <c r="CE126" s="547"/>
      <c r="CF126" s="539"/>
      <c r="CG126" s="609"/>
      <c r="CH126" s="548"/>
      <c r="CI126" s="549"/>
      <c r="CJ126" s="524" t="s">
        <v>4079</v>
      </c>
      <c r="CK126" s="551"/>
      <c r="CL126" s="552">
        <f>IFERROR(IF(FIND(CL$1,$W126)&gt;0,IF(INDEX(Product_Pricing_Table[],MATCH(CL$1,Products,0),2)="Cores",IF(HostBuild[Use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6" s="552">
        <f>IFERROR(IF(FIND(CM$1,$W126)&gt;0,IF(INDEX(Product_Pricing_Table[],MATCH(CM$1,Products,0),2)="Cores",IF(HostBuild[Use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6" s="552">
        <f>IFERROR(IF(FIND(CN$1,$W126)&gt;0,IF(INDEX(Product_Pricing_Table[],MATCH(CN$1,Products,0),2)="Cores",IF(HostBuild[Use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6" s="552">
        <f>IFERROR(IF(FIND(CO$1,$W126)&gt;0,IF(INDEX(Product_Pricing_Table[],MATCH(CO$1,Products,0),2)="Cores",IF(HostBuild[Use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6" s="552">
        <f>IFERROR(IF(FIND(CP$1,$W126)&gt;0,IF(INDEX(Product_Pricing_Table[],MATCH(CP$1,Products,0),2)="Cores",IF(HostBuild[Use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6" s="552">
        <f>IFERROR(IF(FIND(CQ$1,$W126)&gt;0,IF(INDEX(Product_Pricing_Table[],MATCH(CQ$1,Products,0),2)="Cores",IF(HostBuild[Use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6" s="552">
        <f>IFERROR(IF(FIND(CR$1,$W126)&gt;0,IF(INDEX(Product_Pricing_Table[],MATCH(CR$1,Products,0),2)="Cores",IF(HostBuild[Use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6" s="552">
        <f>IFERROR(IF(FIND(CS$1,$W126)&gt;0,IF(INDEX(Product_Pricing_Table[],MATCH(CS$1,Products,0),2)="Cores",IF(HostBuild[Use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6" s="552">
        <f>IFERROR(IF(FIND(CT$1,$W126)&gt;0,IF(INDEX(Product_Pricing_Table[],MATCH(CT$1,Products,0),2)="Cores",IF(HostBuild[Use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6" s="552">
        <f>IFERROR(IF(FIND(CU$1,$W126)&gt;0,IF(INDEX(Product_Pricing_Table[],MATCH(CU$1,Products,0),2)="Cores",IF(HostBuild[Use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6" s="552">
        <f>IFERROR(IF(FIND(CV$1,$W126)&gt;0,IF(INDEX(Product_Pricing_Table[],MATCH(CV$1,Products,0),2)="Cores",IF(HostBuild[Use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6" s="552">
        <f>IFERROR(IF(FIND(CW$1,$W126)&gt;0,IF(INDEX(Product_Pricing_Table[],MATCH(CW$1,Products,0),2)="Cores",IF(HostBuild[Use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6" s="552">
        <f>IFERROR(IF(FIND(CX$1,$W126)&gt;0,IF(INDEX(Product_Pricing_Table[],MATCH(CX$1,Products,0),2)="Cores",IF(HostBuild[Use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26" s="552">
        <f>IFERROR(IF(FIND(CY$1,$W126)&gt;0,IF(INDEX(Product_Pricing_Table[],MATCH(CY$1,Products,0),2)="Cores",IF(HostBuild[Use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6" s="552">
        <f>IFERROR(IF(FIND(CZ$1,$W126)&gt;0,IF(INDEX(Product_Pricing_Table[],MATCH(CZ$1,Products,0),2)="Cores",IF(HostBuild[Use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6" s="552">
        <f>IFERROR(IF(FIND(DA$1,$W126)&gt;0,IF(INDEX(Product_Pricing_Table[],MATCH(DA$1,Products,0),2)="Cores",IF(HostBuild[Use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6" s="552">
        <f>IFERROR(IF(FIND(DB$1,$W126)&gt;0,IF(INDEX(Product_Pricing_Table[],MATCH(DB$1,Products,0),2)="Cores",IF(HostBuild[Use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6" s="552">
        <f>IFERROR(IF(FIND(DC$1,$W126)&gt;0,IF(INDEX(Product_Pricing_Table[],MATCH(DC$1,Products,0),2)="Cores",IF(HostBuild[Use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6" s="552">
        <f>IFERROR(IF(FIND(DD$1,$W126)&gt;0,IF(INDEX(Product_Pricing_Table[],MATCH(DD$1,Products,0),2)="Cores",IF(HostBuild[Use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6" s="552">
        <f>IFERROR(IF(FIND(DE$1,$W126)&gt;0,IF(INDEX(Product_Pricing_Table[],MATCH(DE$1,Products,0),2)="Cores",IF(HostBuild[Use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6" s="553">
        <f>IFERROR(IF(FIND(DF$1,$W126)&gt;0,IF(INDEX(Product_Pricing_Table[],MATCH(DF$1,Products,0),2)="Cores",IF(HostBuild[Use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6" s="553">
        <f>IFERROR(IF(FIND(DG$1,$W126)&gt;0,IF(INDEX(Product_Pricing_Table[],MATCH(DG$1,Products,0),2)="Cores",IF(HostBuild[Use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6" s="552">
        <f>IFERROR(IF(FIND(DH$1,$W126)&gt;0,IF(INDEX(Product_Pricing_Table[],MATCH(DH$1,Products,0),2)="Cores",IF(HostBuild[Use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6" s="553">
        <f>IFERROR(IF(FIND(DI$1,$W126)&gt;0,IF(INDEX(Product_Pricing_Table[],MATCH(DI$1,Products,0),2)="Cores",IF(HostBuild[Use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6" s="552">
        <f>IFERROR(IF(FIND(DJ$1,$W126)&gt;0,IF(INDEX(Product_Pricing_Table[],MATCH(DJ$1,Products,0),2)="Cores",IF(HostBuild[Use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6" s="552">
        <f>IFERROR(IF(FIND(DK$1,$W126)&gt;0,IF(INDEX(Product_Pricing_Table[],MATCH(DK$1,Products,0),2)="Cores",IF(HostBuild[Use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6" s="552">
        <f>IFERROR(IF(FIND(DL$1,$W126)&gt;0,IF(INDEX(Product_Pricing_Table[],MATCH(DL$1,Products,0),2)="Cores",IF(HostBuild[Use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6" s="552">
        <f>IFERROR(IF(FIND(DM$1,$W126)&gt;0,IF(INDEX(Product_Pricing_Table[],MATCH(DM$1,Products,0),2)="Cores",IF(HostBuild[Use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6" s="552">
        <f>IFERROR(IF(FIND(DN$1,$W126)&gt;0,IF(INDEX(Product_Pricing_Table[],MATCH(DN$1,Products,0),2)="Cores",IF(HostBuild[Use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6" s="552">
        <f>IFERROR(IF(FIND(DO$1,$W126)&gt;0,IF(INDEX(Product_Pricing_Table[],MATCH(DO$1,Products,0),2)="Cores",IF(HostBuild[Use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6" s="552">
        <f>IFERROR(IF(FIND(DP$1,$W126)&gt;0,IF(INDEX(Product_Pricing_Table[],MATCH(DP$1,Products,0),2)="Cores",IF(HostBuild[Use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6" s="552">
        <f>IFERROR(IF(FIND(DQ$1,$W126)&gt;0,IF(INDEX(Product_Pricing_Table[],MATCH(DQ$1,Products,0),2)="Cores",IF(HostBuild[Use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6" s="552">
        <f>IFERROR(IF(FIND(DR$1,$W126)&gt;0,IF(INDEX(Product_Pricing_Table[],MATCH(DR$1,Products,0),2)="Cores",IF(HostBuild[Use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6" s="552">
        <f>IFERROR(IF(FIND(DS$1,$W126)&gt;0,IF(INDEX(Product_Pricing_Table[],MATCH(DS$1,Products,0),2)="Cores",IF(HostBuild[Use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6" s="552">
        <f>IFERROR(IF(FIND(DT$1,$W126)&gt;0,IF(INDEX(Product_Pricing_Table[],MATCH(DT$1,Products,0),2)="Cores",IF(HostBuild[Use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6" s="552">
        <f>IFERROR(IF(FIND(DU$1,$W126)&gt;0,IF(INDEX(Product_Pricing_Table[],MATCH(DU$1,Products,0),2)="Cores",IF(HostBuild[Use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6" s="552">
        <f>IFERROR(IF(FIND(DV$1,$W126)&gt;0,IF(INDEX(Product_Pricing_Table[],MATCH(DV$1,Products,0),2)="Cores",IF(HostBuild[Use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6" s="552">
        <f>IFERROR(IF(FIND(DW$1,$W126)&gt;0,IF(INDEX(Product_Pricing_Table[],MATCH(DW$1,Products,0),2)="Cores",IF(HostBuild[Use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6" s="552">
        <f>IFERROR(IF(FIND(DX$1,$W126)&gt;0,IF(INDEX(Product_Pricing_Table[],MATCH(DX$1,Products,0),2)="Cores",IF(HostBuild[Use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6" s="552">
        <f>IFERROR(IF(FIND(DY$1,$W126)&gt;0,IF(INDEX(Product_Pricing_Table[],MATCH(DY$1,Products,0),2)="Cores",IF(HostBuild[Use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6" s="552">
        <f>IFERROR(IF(FIND(DZ$1,$W126)&gt;0,IF(INDEX(Product_Pricing_Table[],MATCH(DZ$1,Products,0),2)="Cores",IF(HostBuild[Use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6" s="552">
        <f>IFERROR(IF(FIND(EA$1,$W126)&gt;0,IF(INDEX(Product_Pricing_Table[],MATCH(EA$1,Products,0),2)="Cores",IF(HostBuild[Use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6" s="552">
        <f>IFERROR(IF(FIND(EB$1,$W126)&gt;0,IF(INDEX(Product_Pricing_Table[],MATCH(EB$1,Products,0),2)="Cores",IF(HostBuild[Use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6" s="553">
        <f>IFERROR(IF(FIND(EC$1,$W126)&gt;0,IF(INDEX(Product_Pricing_Table[],MATCH(EC$1,Products,0),2)="Cores",IF(HostBuild[Use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6" s="552">
        <f>IFERROR(IF(FIND(ED$1,$W126)&gt;0,IF(INDEX(Product_Pricing_Table[],MATCH(ED$1,Products,0),2)="Cores",IF(HostBuild[Use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6" s="552">
        <f>IFERROR(IF(FIND(EE$1,$W126)&gt;0,IF(INDEX(Product_Pricing_Table[],MATCH(EE$1,Products,0),2)="Cores",IF(HostBuild[Use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6" s="552">
        <f>IFERROR(IF(FIND(EF$1,$W126)&gt;0,IF(INDEX(Product_Pricing_Table[],MATCH(EF$1,Products,0),2)="Cores",IF(HostBuild[Use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6" s="552">
        <f>IFERROR(IF(FIND(EG$1,$W126)&gt;0,IF(INDEX(Product_Pricing_Table[],MATCH(EG$1,Products,0),2)="Cores",IF(HostBuild[Use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6" s="552">
        <f>IFERROR(IF(FIND(EH$1,$W126)&gt;0,IF(INDEX(Product_Pricing_Table[],MATCH(EH$1,Products,0),2)="Cores",IF(HostBuild[Use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6" s="552">
        <f>IFERROR(IF(FIND(EI$1,$W126)&gt;0,IF(INDEX(Product_Pricing_Table[],MATCH(EI$1,Products,0),2)="Cores",IF(HostBuild[Use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6" s="552">
        <f>IFERROR(IF(FIND(EJ$1,$W126)&gt;0,IF(INDEX(Product_Pricing_Table[],MATCH(EJ$1,Products,0),2)="Cores",IF(HostBuild[Use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6" s="553">
        <f>IFERROR(IF(FIND(EK$1,$W126)&gt;0,IF(INDEX(Product_Pricing_Table[],MATCH(EK$1,Products,0),2)="Cores",IF(HostBuild[Use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6" s="554"/>
      <c r="EM126" s="555">
        <v>4102</v>
      </c>
      <c r="EN126" s="556">
        <v>1638</v>
      </c>
      <c r="EO126"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6" s="558">
        <f>(HostBuild[Archive
Full (GB)]+HostBuild[Archive
Incr (GB)])*Storage_DC_Dist_Tape_2014</f>
        <v>81.385500000000008</v>
      </c>
      <c r="ER126" s="558">
        <f>IF(ISNUMBER(HostBuild[Server HW Costs
(Monthly)]),SUM(HostBuild[[#This Row],[Server HW Costs
(Monthly)]:[Tape Costs
(Monthly)]]),0)</f>
        <v>1334.0455000000002</v>
      </c>
      <c r="ES126" s="559">
        <f>HostBuild[Software Costs
'[Year 1']
(Monthly)]+HostBuild[Total Hardware Costs
(Monthly)]</f>
        <v>5436.0455000000002</v>
      </c>
      <c r="ET126" s="559">
        <f>IFERROR(IF(FIND("Safenet",HostBuild[Server Model]),Safenet_PSE_PL600_Maint,0),0)+IFERROR(IF(FIND("XI52",HostBuild[Server Model]),IBM_DIA_XI52_Maint,0),0)+HostBuild[Software Costs
'[After Year 1']
(Monthly)]+HostBuild[Total Hardware Costs
(Monthly)]</f>
        <v>2972.0455000000002</v>
      </c>
      <c r="EU126" s="560">
        <f>SUM(HostBuild[[#This Row],[Server Cost Breakdown]:[Network Cost]])</f>
        <v>888.7</v>
      </c>
      <c r="EV126" s="561">
        <f>IF(HostBuild[Existing Server?]="Yes - Inside this BoM",0,SUMIF(HostBuild[Alias],HostBuild[Alias],HostBuild[CPU])+SUMIF(HostBuild[Alias],HostBuild[Alias],HostBuild[Existing CPUs]))</f>
        <v>2</v>
      </c>
      <c r="EW126" s="561">
        <f>IF(HostBuild[Existing Server?]="Yes - Inside this BoM",0,SUMIF(HostBuild[Alias],HostBuild[Alias],HostBuild[Cores 
(Licensed Units)])+SUMIF(HostBuild[Alias],HostBuild[Alias],HostBuild[Existing Cores]))</f>
        <v>16</v>
      </c>
      <c r="EX126" s="561">
        <f>IF(HostBuild[Existing Server?]="Yes - Inside this BoM",0,SUMIF(HostBuild[Alias],HostBuild[Alias],HostBuild[RAM 
(GB)])+SUMIF(HostBuild[Alias],HostBuild[Alias],HostBuild[Existing RAM (GB)]))</f>
        <v>128</v>
      </c>
      <c r="EY12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6" s="560">
        <f>IF(ISBLANK(HostBuild[Server Model]),0,IF(HostBuild[Server Tier]="VMware",0,VLOOKUP(HostBuild[Server Tier],ServerTierRates[#Data],2,0))*HostBuild[CPU]*IF(AND(HostBuild[Server Type]="pSeries",HostBuild[Virtual Platform Storage Type]="Cloud-SAN"),0.25,1))</f>
        <v>608</v>
      </c>
      <c r="FD126" s="560">
        <f>0</f>
        <v>0</v>
      </c>
      <c r="FE126" s="560">
        <f>IF(HostBuild[Server Type]="VMware",HostBuild[RAM 
(GB)]*IF(ISERROR(FIND("DevCloud", HostBuild[Server Model])&gt;0),vRAM_per_vCPU_2014_Monthly,vRAM_per_vCPU_2014_Daily*30),0)</f>
        <v>0</v>
      </c>
      <c r="FF12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6" s="563">
        <f>IF(HostBuild[Server Tier]="VMware",0,IF(LEFT(HostBuild[Existing Server?],3)="Yes",0,IF(OR(HostBuild[Server Type]="Sun",HostBuild[Server Type]="pSeries"),Support_Direct_Server_Sun_per_OS_2014,IF(HostBuild[Server Type]="x86",Support_Direct_Server_x86_Wintel_per_OS_2014,0))))</f>
        <v>187.1</v>
      </c>
      <c r="FI12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7" spans="1:165" s="139" customFormat="1" ht="15" customHeight="1">
      <c r="A127" s="360" t="s">
        <v>3942</v>
      </c>
      <c r="B127" s="521"/>
      <c r="C127" s="521"/>
      <c r="D127" s="521"/>
      <c r="E127" s="522"/>
      <c r="F127" s="522"/>
      <c r="G127" s="597"/>
      <c r="H127" s="597"/>
      <c r="I127" s="523"/>
      <c r="J127" s="522"/>
      <c r="K127" s="522"/>
      <c r="L127" s="522"/>
      <c r="M127" s="597" t="e">
        <f ca="1">IF(rngIsDate(HostBuild[CTO Acceptance]),"Y","N")</f>
        <v>#NAME?</v>
      </c>
      <c r="N127" s="361" t="s">
        <v>3939</v>
      </c>
      <c r="O127" s="525"/>
      <c r="P127" s="525"/>
      <c r="Q127" s="361" t="s">
        <v>212</v>
      </c>
      <c r="R127" s="526" t="str">
        <f>IF(NOT(ISBLANK(HostBuild[Env Label])),IFERROR(VLOOKUP(HostBuild[Env Label],tEnv[],3,FALSE),""),"")</f>
        <v>UAT</v>
      </c>
      <c r="S127" s="598"/>
      <c r="T127" s="527"/>
      <c r="U127" s="599"/>
      <c r="V127" s="524" t="s">
        <v>4048</v>
      </c>
      <c r="W127" s="524" t="s">
        <v>4019</v>
      </c>
      <c r="X127" s="524" t="s">
        <v>35</v>
      </c>
      <c r="Y127" s="361" t="s">
        <v>4067</v>
      </c>
      <c r="Z127" s="526" t="str">
        <f>IF(NOT(ISBLANK(HostBuild[[#This Row],[Product 
(Acronym)]])),CONCATENATE(HostBuild[[#This Row],[Type]],"-",HostBuild[[#This Row],[Product 
(Acronym)]]),"")</f>
        <v>AP-CBOL</v>
      </c>
      <c r="AA127" s="600"/>
      <c r="AB127" s="600" t="s">
        <v>105</v>
      </c>
      <c r="AC127" s="528"/>
      <c r="AD127" s="529"/>
      <c r="AE127" s="529"/>
      <c r="AF127" s="530"/>
      <c r="AG127" s="531"/>
      <c r="AH127" s="601"/>
      <c r="AI127" s="362" t="s">
        <v>4054</v>
      </c>
      <c r="AJ127" s="524">
        <f>IF(COUNTIF(HostBuild[Alias],HostBuild[Alias]),1/COUNTIF(HostBuild[Alias],HostBuild[Alias]),0)</f>
        <v>1</v>
      </c>
      <c r="AK127" s="531"/>
      <c r="AL127" s="531"/>
      <c r="AM127" s="532" t="s">
        <v>2173</v>
      </c>
      <c r="AN127" s="533" t="str">
        <f>IF(NOT(ISBLANK(HostBuild[Server Model])),VLOOKUP(HostBuild[Server Model],ServerModelsTier[],2,FALSE),"")</f>
        <v>x86 Tier 3</v>
      </c>
      <c r="AO127" s="533" t="str">
        <f>IF(NOT(ISBLANK(HostBuild[Server Model])),VLOOKUP(HostBuild[Server Model],ServerModelsTier[],5,FALSE),"")</f>
        <v>x86</v>
      </c>
      <c r="AP127" s="532"/>
      <c r="AQ127" s="532" t="s">
        <v>2337</v>
      </c>
      <c r="AR127" s="534">
        <v>2</v>
      </c>
      <c r="AS127" s="602"/>
      <c r="AT127" s="535">
        <v>16</v>
      </c>
      <c r="AU127" s="603" t="str">
        <f>IF(IFERROR(FIND("P-Series",HostBuild[Server Tier]),0),CEILING((HostBuild[Existing CPUs]+HostBuild[CPU])*16,8),"")</f>
        <v/>
      </c>
      <c r="AV127" s="536">
        <v>128</v>
      </c>
      <c r="AW127" s="531"/>
      <c r="AX127" s="531"/>
      <c r="AY127" s="531"/>
      <c r="AZ127" s="537"/>
      <c r="BA127" s="531"/>
      <c r="BB127" s="531"/>
      <c r="BC127" s="529"/>
      <c r="BD127" s="531"/>
      <c r="BE127" s="531"/>
      <c r="BF127" s="531"/>
      <c r="BG127" s="531"/>
      <c r="BH127" s="531"/>
      <c r="BI127" s="531"/>
      <c r="BJ127" s="531"/>
      <c r="BK127"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7" s="538">
        <v>600</v>
      </c>
      <c r="BM127" s="540">
        <f>IF(ISNUMBER(HostBuild[Recommended SAN (GB)]),HostBuild[Recommended SAN (GB)])+IF(HostBuild[Additional SAN (GB)]&gt;0,CEILING(HostBuild[Additional SAN (GB)],LUN),-(CEILING(-HostBuild[Additional SAN (GB)],LUN)))</f>
        <v>808.80000000000007</v>
      </c>
      <c r="BN127" s="539"/>
      <c r="BO127" s="540">
        <f>HostBuild[SAN (GB)
NEEDED TODAY]+CEILING(HostBuild[SAN (GB)
RESERVED
DO NOT USE TO BUILD], LUN)</f>
        <v>808.80000000000007</v>
      </c>
      <c r="BP127" s="541"/>
      <c r="BQ127" s="542"/>
      <c r="BR127" s="432"/>
      <c r="BS127" s="605">
        <f>IF(HostBuild[Existing Server?]&lt;&gt;"Yes - Inside this BoM",IF(ISNUMBER(HostBuild[RAM 
(GB)]),IF(HostBuild[Existing RAM (GB)]+HostBuild[RAM 
(GB)]&gt;0,IF(HostBuild[Virtual Platform Storage Type]="NAS",110+HostBuild[Existing RAM (GB)]+HostBuild[RAM 
(GB)]*1.75,0),0),0),0)</f>
        <v>0</v>
      </c>
      <c r="BT127" s="606"/>
      <c r="BU127" s="607">
        <f>IF(ISNUMBER(HostBuild[Recommended NAS (GB)]),HostBuild[Recommended NAS (GB)])+HostBuild[Additional NAS (GB)]</f>
        <v>0</v>
      </c>
      <c r="BV127" s="543"/>
      <c r="BW127" s="543"/>
      <c r="BX127" s="604">
        <f>IFERROR((HostBuild[SAN (GB)
End-State
DO NOT USE TO BUILD]+HostBuild[SAN (GB) Shared])*25%,"")</f>
        <v>202.20000000000002</v>
      </c>
      <c r="BY127" s="608">
        <f>IFERROR(HostBuild[Archive
Full (GB)]*15%,"")</f>
        <v>30.330000000000002</v>
      </c>
      <c r="BZ127" s="544"/>
      <c r="CA127" s="544"/>
      <c r="CB127" s="545"/>
      <c r="CC127" s="546"/>
      <c r="CD127" s="545"/>
      <c r="CE127" s="547"/>
      <c r="CF127" s="539"/>
      <c r="CG127" s="609"/>
      <c r="CH127" s="548"/>
      <c r="CI127" s="549"/>
      <c r="CJ127" s="524" t="s">
        <v>4079</v>
      </c>
      <c r="CK127" s="551"/>
      <c r="CL127" s="552">
        <f>IFERROR(IF(FIND(CL$1,$W127)&gt;0,IF(INDEX(Product_Pricing_Table[],MATCH(CL$1,Products,0),2)="Cores",IF(HostBuild[Use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7" s="552">
        <f>IFERROR(IF(FIND(CM$1,$W127)&gt;0,IF(INDEX(Product_Pricing_Table[],MATCH(CM$1,Products,0),2)="Cores",IF(HostBuild[Use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7" s="552">
        <f>IFERROR(IF(FIND(CN$1,$W127)&gt;0,IF(INDEX(Product_Pricing_Table[],MATCH(CN$1,Products,0),2)="Cores",IF(HostBuild[Use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7" s="552">
        <f>IFERROR(IF(FIND(CO$1,$W127)&gt;0,IF(INDEX(Product_Pricing_Table[],MATCH(CO$1,Products,0),2)="Cores",IF(HostBuild[Use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7" s="552">
        <f>IFERROR(IF(FIND(CP$1,$W127)&gt;0,IF(INDEX(Product_Pricing_Table[],MATCH(CP$1,Products,0),2)="Cores",IF(HostBuild[Use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7" s="552">
        <f>IFERROR(IF(FIND(CQ$1,$W127)&gt;0,IF(INDEX(Product_Pricing_Table[],MATCH(CQ$1,Products,0),2)="Cores",IF(HostBuild[Use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7" s="552">
        <f>IFERROR(IF(FIND(CR$1,$W127)&gt;0,IF(INDEX(Product_Pricing_Table[],MATCH(CR$1,Products,0),2)="Cores",IF(HostBuild[Use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7" s="552">
        <f>IFERROR(IF(FIND(CS$1,$W127)&gt;0,IF(INDEX(Product_Pricing_Table[],MATCH(CS$1,Products,0),2)="Cores",IF(HostBuild[Use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7" s="552">
        <f>IFERROR(IF(FIND(CT$1,$W127)&gt;0,IF(INDEX(Product_Pricing_Table[],MATCH(CT$1,Products,0),2)="Cores",IF(HostBuild[Use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7" s="552">
        <f>IFERROR(IF(FIND(CU$1,$W127)&gt;0,IF(INDEX(Product_Pricing_Table[],MATCH(CU$1,Products,0),2)="Cores",IF(HostBuild[Use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7" s="552">
        <f>IFERROR(IF(FIND(CV$1,$W127)&gt;0,IF(INDEX(Product_Pricing_Table[],MATCH(CV$1,Products,0),2)="Cores",IF(HostBuild[Use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7" s="552">
        <f>IFERROR(IF(FIND(CW$1,$W127)&gt;0,IF(INDEX(Product_Pricing_Table[],MATCH(CW$1,Products,0),2)="Cores",IF(HostBuild[Use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7" s="552">
        <f>IFERROR(IF(FIND(CX$1,$W127)&gt;0,IF(INDEX(Product_Pricing_Table[],MATCH(CX$1,Products,0),2)="Cores",IF(HostBuild[Use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27" s="552">
        <f>IFERROR(IF(FIND(CY$1,$W127)&gt;0,IF(INDEX(Product_Pricing_Table[],MATCH(CY$1,Products,0),2)="Cores",IF(HostBuild[Use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7" s="552">
        <f>IFERROR(IF(FIND(CZ$1,$W127)&gt;0,IF(INDEX(Product_Pricing_Table[],MATCH(CZ$1,Products,0),2)="Cores",IF(HostBuild[Use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7" s="552">
        <f>IFERROR(IF(FIND(DA$1,$W127)&gt;0,IF(INDEX(Product_Pricing_Table[],MATCH(DA$1,Products,0),2)="Cores",IF(HostBuild[Use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7" s="552">
        <f>IFERROR(IF(FIND(DB$1,$W127)&gt;0,IF(INDEX(Product_Pricing_Table[],MATCH(DB$1,Products,0),2)="Cores",IF(HostBuild[Use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7" s="552">
        <f>IFERROR(IF(FIND(DC$1,$W127)&gt;0,IF(INDEX(Product_Pricing_Table[],MATCH(DC$1,Products,0),2)="Cores",IF(HostBuild[Use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7" s="552">
        <f>IFERROR(IF(FIND(DD$1,$W127)&gt;0,IF(INDEX(Product_Pricing_Table[],MATCH(DD$1,Products,0),2)="Cores",IF(HostBuild[Use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7" s="552">
        <f>IFERROR(IF(FIND(DE$1,$W127)&gt;0,IF(INDEX(Product_Pricing_Table[],MATCH(DE$1,Products,0),2)="Cores",IF(HostBuild[Use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7" s="553">
        <f>IFERROR(IF(FIND(DF$1,$W127)&gt;0,IF(INDEX(Product_Pricing_Table[],MATCH(DF$1,Products,0),2)="Cores",IF(HostBuild[Use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7" s="553">
        <f>IFERROR(IF(FIND(DG$1,$W127)&gt;0,IF(INDEX(Product_Pricing_Table[],MATCH(DG$1,Products,0),2)="Cores",IF(HostBuild[Use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7" s="552">
        <f>IFERROR(IF(FIND(DH$1,$W127)&gt;0,IF(INDEX(Product_Pricing_Table[],MATCH(DH$1,Products,0),2)="Cores",IF(HostBuild[Use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7" s="553">
        <f>IFERROR(IF(FIND(DI$1,$W127)&gt;0,IF(INDEX(Product_Pricing_Table[],MATCH(DI$1,Products,0),2)="Cores",IF(HostBuild[Use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7" s="552">
        <f>IFERROR(IF(FIND(DJ$1,$W127)&gt;0,IF(INDEX(Product_Pricing_Table[],MATCH(DJ$1,Products,0),2)="Cores",IF(HostBuild[Use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7" s="552">
        <f>IFERROR(IF(FIND(DK$1,$W127)&gt;0,IF(INDEX(Product_Pricing_Table[],MATCH(DK$1,Products,0),2)="Cores",IF(HostBuild[Use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7" s="552">
        <f>IFERROR(IF(FIND(DL$1,$W127)&gt;0,IF(INDEX(Product_Pricing_Table[],MATCH(DL$1,Products,0),2)="Cores",IF(HostBuild[Use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7" s="552">
        <f>IFERROR(IF(FIND(DM$1,$W127)&gt;0,IF(INDEX(Product_Pricing_Table[],MATCH(DM$1,Products,0),2)="Cores",IF(HostBuild[Use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7" s="552">
        <f>IFERROR(IF(FIND(DN$1,$W127)&gt;0,IF(INDEX(Product_Pricing_Table[],MATCH(DN$1,Products,0),2)="Cores",IF(HostBuild[Use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7" s="552">
        <f>IFERROR(IF(FIND(DO$1,$W127)&gt;0,IF(INDEX(Product_Pricing_Table[],MATCH(DO$1,Products,0),2)="Cores",IF(HostBuild[Use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7" s="552">
        <f>IFERROR(IF(FIND(DP$1,$W127)&gt;0,IF(INDEX(Product_Pricing_Table[],MATCH(DP$1,Products,0),2)="Cores",IF(HostBuild[Use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7" s="552">
        <f>IFERROR(IF(FIND(DQ$1,$W127)&gt;0,IF(INDEX(Product_Pricing_Table[],MATCH(DQ$1,Products,0),2)="Cores",IF(HostBuild[Use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7" s="552">
        <f>IFERROR(IF(FIND(DR$1,$W127)&gt;0,IF(INDEX(Product_Pricing_Table[],MATCH(DR$1,Products,0),2)="Cores",IF(HostBuild[Use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7" s="552">
        <f>IFERROR(IF(FIND(DS$1,$W127)&gt;0,IF(INDEX(Product_Pricing_Table[],MATCH(DS$1,Products,0),2)="Cores",IF(HostBuild[Use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7" s="552">
        <f>IFERROR(IF(FIND(DT$1,$W127)&gt;0,IF(INDEX(Product_Pricing_Table[],MATCH(DT$1,Products,0),2)="Cores",IF(HostBuild[Use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7" s="552">
        <f>IFERROR(IF(FIND(DU$1,$W127)&gt;0,IF(INDEX(Product_Pricing_Table[],MATCH(DU$1,Products,0),2)="Cores",IF(HostBuild[Use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7" s="552">
        <f>IFERROR(IF(FIND(DV$1,$W127)&gt;0,IF(INDEX(Product_Pricing_Table[],MATCH(DV$1,Products,0),2)="Cores",IF(HostBuild[Use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7" s="552">
        <f>IFERROR(IF(FIND(DW$1,$W127)&gt;0,IF(INDEX(Product_Pricing_Table[],MATCH(DW$1,Products,0),2)="Cores",IF(HostBuild[Use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7" s="552">
        <f>IFERROR(IF(FIND(DX$1,$W127)&gt;0,IF(INDEX(Product_Pricing_Table[],MATCH(DX$1,Products,0),2)="Cores",IF(HostBuild[Use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7" s="552">
        <f>IFERROR(IF(FIND(DY$1,$W127)&gt;0,IF(INDEX(Product_Pricing_Table[],MATCH(DY$1,Products,0),2)="Cores",IF(HostBuild[Use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7" s="552">
        <f>IFERROR(IF(FIND(DZ$1,$W127)&gt;0,IF(INDEX(Product_Pricing_Table[],MATCH(DZ$1,Products,0),2)="Cores",IF(HostBuild[Use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7" s="552">
        <f>IFERROR(IF(FIND(EA$1,$W127)&gt;0,IF(INDEX(Product_Pricing_Table[],MATCH(EA$1,Products,0),2)="Cores",IF(HostBuild[Use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7" s="552">
        <f>IFERROR(IF(FIND(EB$1,$W127)&gt;0,IF(INDEX(Product_Pricing_Table[],MATCH(EB$1,Products,0),2)="Cores",IF(HostBuild[Use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7" s="553">
        <f>IFERROR(IF(FIND(EC$1,$W127)&gt;0,IF(INDEX(Product_Pricing_Table[],MATCH(EC$1,Products,0),2)="Cores",IF(HostBuild[Use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7" s="552">
        <f>IFERROR(IF(FIND(ED$1,$W127)&gt;0,IF(INDEX(Product_Pricing_Table[],MATCH(ED$1,Products,0),2)="Cores",IF(HostBuild[Use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7" s="552">
        <f>IFERROR(IF(FIND(EE$1,$W127)&gt;0,IF(INDEX(Product_Pricing_Table[],MATCH(EE$1,Products,0),2)="Cores",IF(HostBuild[Use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7" s="552">
        <f>IFERROR(IF(FIND(EF$1,$W127)&gt;0,IF(INDEX(Product_Pricing_Table[],MATCH(EF$1,Products,0),2)="Cores",IF(HostBuild[Use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7" s="552">
        <f>IFERROR(IF(FIND(EG$1,$W127)&gt;0,IF(INDEX(Product_Pricing_Table[],MATCH(EG$1,Products,0),2)="Cores",IF(HostBuild[Use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7" s="552">
        <f>IFERROR(IF(FIND(EH$1,$W127)&gt;0,IF(INDEX(Product_Pricing_Table[],MATCH(EH$1,Products,0),2)="Cores",IF(HostBuild[Use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7" s="552">
        <f>IFERROR(IF(FIND(EI$1,$W127)&gt;0,IF(INDEX(Product_Pricing_Table[],MATCH(EI$1,Products,0),2)="Cores",IF(HostBuild[Use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7" s="552">
        <f>IFERROR(IF(FIND(EJ$1,$W127)&gt;0,IF(INDEX(Product_Pricing_Table[],MATCH(EJ$1,Products,0),2)="Cores",IF(HostBuild[Use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7" s="553">
        <f>IFERROR(IF(FIND(EK$1,$W127)&gt;0,IF(INDEX(Product_Pricing_Table[],MATCH(EK$1,Products,0),2)="Cores",IF(HostBuild[Use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7" s="554"/>
      <c r="EM127" s="555"/>
      <c r="EN127" s="556"/>
      <c r="EO127"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7" s="558">
        <f>(HostBuild[Archive
Full (GB)]+HostBuild[Archive
Incr (GB)])*Storage_DC_Dist_Tape_2014</f>
        <v>81.385500000000008</v>
      </c>
      <c r="ER127" s="558">
        <f>IF(ISNUMBER(HostBuild[Server HW Costs
(Monthly)]),SUM(HostBuild[[#This Row],[Server HW Costs
(Monthly)]:[Tape Costs
(Monthly)]]),0)</f>
        <v>1334.0455000000002</v>
      </c>
      <c r="ES127" s="559">
        <f>HostBuild[Software Costs
'[Year 1']
(Monthly)]+HostBuild[Total Hardware Costs
(Monthly)]</f>
        <v>1334.0455000000002</v>
      </c>
      <c r="ET127" s="559">
        <f>IFERROR(IF(FIND("Safenet",HostBuild[Server Model]),Safenet_PSE_PL600_Maint,0),0)+IFERROR(IF(FIND("XI52",HostBuild[Server Model]),IBM_DIA_XI52_Maint,0),0)+HostBuild[Software Costs
'[After Year 1']
(Monthly)]+HostBuild[Total Hardware Costs
(Monthly)]</f>
        <v>1334.0455000000002</v>
      </c>
      <c r="EU127" s="560">
        <f>SUM(HostBuild[[#This Row],[Server Cost Breakdown]:[Network Cost]])</f>
        <v>888.7</v>
      </c>
      <c r="EV127" s="561">
        <f>IF(HostBuild[Existing Server?]="Yes - Inside this BoM",0,SUMIF(HostBuild[Alias],HostBuild[Alias],HostBuild[CPU])+SUMIF(HostBuild[Alias],HostBuild[Alias],HostBuild[Existing CPUs]))</f>
        <v>2</v>
      </c>
      <c r="EW127" s="561">
        <f>IF(HostBuild[Existing Server?]="Yes - Inside this BoM",0,SUMIF(HostBuild[Alias],HostBuild[Alias],HostBuild[Cores 
(Licensed Units)])+SUMIF(HostBuild[Alias],HostBuild[Alias],HostBuild[Existing Cores]))</f>
        <v>16</v>
      </c>
      <c r="EX127" s="561">
        <f>IF(HostBuild[Existing Server?]="Yes - Inside this BoM",0,SUMIF(HostBuild[Alias],HostBuild[Alias],HostBuild[RAM 
(GB)])+SUMIF(HostBuild[Alias],HostBuild[Alias],HostBuild[Existing RAM (GB)]))</f>
        <v>128</v>
      </c>
      <c r="EY12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7" s="560">
        <f>IF(ISBLANK(HostBuild[Server Model]),0,IF(HostBuild[Server Tier]="VMware",0,VLOOKUP(HostBuild[Server Tier],ServerTierRates[#Data],2,0))*HostBuild[CPU]*IF(AND(HostBuild[Server Type]="pSeries",HostBuild[Virtual Platform Storage Type]="Cloud-SAN"),0.25,1))</f>
        <v>608</v>
      </c>
      <c r="FD127" s="560">
        <f>0</f>
        <v>0</v>
      </c>
      <c r="FE127" s="560">
        <f>IF(HostBuild[Server Type]="VMware",HostBuild[RAM 
(GB)]*IF(ISERROR(FIND("DevCloud", HostBuild[Server Model])&gt;0),vRAM_per_vCPU_2014_Monthly,vRAM_per_vCPU_2014_Daily*30),0)</f>
        <v>0</v>
      </c>
      <c r="FF12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7" s="563">
        <f>IF(HostBuild[Server Tier]="VMware",0,IF(LEFT(HostBuild[Existing Server?],3)="Yes",0,IF(OR(HostBuild[Server Type]="Sun",HostBuild[Server Type]="pSeries"),Support_Direct_Server_Sun_per_OS_2014,IF(HostBuild[Server Type]="x86",Support_Direct_Server_x86_Wintel_per_OS_2014,0))))</f>
        <v>187.1</v>
      </c>
      <c r="FI12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8" spans="1:165" s="139" customFormat="1" ht="15" customHeight="1">
      <c r="A128" s="360" t="s">
        <v>3942</v>
      </c>
      <c r="B128" s="521"/>
      <c r="C128" s="521"/>
      <c r="D128" s="521"/>
      <c r="E128" s="522"/>
      <c r="F128" s="522"/>
      <c r="G128" s="597"/>
      <c r="H128" s="597"/>
      <c r="I128" s="523"/>
      <c r="J128" s="522"/>
      <c r="K128" s="522"/>
      <c r="L128" s="522"/>
      <c r="M128" s="597" t="e">
        <f ca="1">IF(rngIsDate(HostBuild[CTO Acceptance]),"Y","N")</f>
        <v>#NAME?</v>
      </c>
      <c r="N128" s="361" t="s">
        <v>3938</v>
      </c>
      <c r="O128" s="525"/>
      <c r="P128" s="525"/>
      <c r="Q128" s="361" t="s">
        <v>4139</v>
      </c>
      <c r="R128" s="526" t="str">
        <f>IF(NOT(ISBLANK(HostBuild[Env Label])),IFERROR(VLOOKUP(HostBuild[Env Label],tEnv[],3,FALSE),""),"")</f>
        <v>UAT</v>
      </c>
      <c r="S128" s="598"/>
      <c r="T128" s="527"/>
      <c r="U128" s="599"/>
      <c r="V128" s="524" t="s">
        <v>4049</v>
      </c>
      <c r="W128" s="524" t="s">
        <v>4019</v>
      </c>
      <c r="X128" s="524" t="s">
        <v>35</v>
      </c>
      <c r="Y128" s="361" t="s">
        <v>4067</v>
      </c>
      <c r="Z128" s="526" t="str">
        <f>IF(NOT(ISBLANK(HostBuild[[#This Row],[Product 
(Acronym)]])),CONCATENATE(HostBuild[[#This Row],[Type]],"-",HostBuild[[#This Row],[Product 
(Acronym)]]),"")</f>
        <v>AP-CBOL</v>
      </c>
      <c r="AA128" s="600"/>
      <c r="AB128" s="600" t="s">
        <v>105</v>
      </c>
      <c r="AC128" s="528"/>
      <c r="AD128" s="529"/>
      <c r="AE128" s="529"/>
      <c r="AF128" s="530"/>
      <c r="AG128" s="531"/>
      <c r="AH128" s="601"/>
      <c r="AI128" s="362" t="s">
        <v>4055</v>
      </c>
      <c r="AJ128" s="524">
        <f>IF(COUNTIF(HostBuild[Alias],HostBuild[Alias]),1/COUNTIF(HostBuild[Alias],HostBuild[Alias]),0)</f>
        <v>1</v>
      </c>
      <c r="AK128" s="531"/>
      <c r="AL128" s="531"/>
      <c r="AM128" s="532" t="s">
        <v>2173</v>
      </c>
      <c r="AN128" s="533" t="str">
        <f>IF(NOT(ISBLANK(HostBuild[Server Model])),VLOOKUP(HostBuild[Server Model],ServerModelsTier[],2,FALSE),"")</f>
        <v>x86 Tier 3</v>
      </c>
      <c r="AO128" s="533" t="str">
        <f>IF(NOT(ISBLANK(HostBuild[Server Model])),VLOOKUP(HostBuild[Server Model],ServerModelsTier[],5,FALSE),"")</f>
        <v>x86</v>
      </c>
      <c r="AP128" s="532"/>
      <c r="AQ128" s="532" t="s">
        <v>2337</v>
      </c>
      <c r="AR128" s="534">
        <v>2</v>
      </c>
      <c r="AS128" s="602"/>
      <c r="AT128" s="535">
        <v>16</v>
      </c>
      <c r="AU128" s="603" t="str">
        <f>IF(IFERROR(FIND("P-Series",HostBuild[Server Tier]),0),CEILING((HostBuild[Existing CPUs]+HostBuild[CPU])*16,8),"")</f>
        <v/>
      </c>
      <c r="AV128" s="536">
        <v>128</v>
      </c>
      <c r="AW128" s="531"/>
      <c r="AX128" s="531"/>
      <c r="AY128" s="531"/>
      <c r="AZ128" s="537"/>
      <c r="BA128" s="531"/>
      <c r="BB128" s="531"/>
      <c r="BC128" s="529"/>
      <c r="BD128" s="531"/>
      <c r="BE128" s="531"/>
      <c r="BF128" s="531"/>
      <c r="BG128" s="531"/>
      <c r="BH128" s="531"/>
      <c r="BI128" s="531"/>
      <c r="BJ128" s="531"/>
      <c r="BK128"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8" s="538">
        <v>600</v>
      </c>
      <c r="BM128" s="540">
        <f>IF(ISNUMBER(HostBuild[Recommended SAN (GB)]),HostBuild[Recommended SAN (GB)])+IF(HostBuild[Additional SAN (GB)]&gt;0,CEILING(HostBuild[Additional SAN (GB)],LUN),-(CEILING(-HostBuild[Additional SAN (GB)],LUN)))</f>
        <v>808.80000000000007</v>
      </c>
      <c r="BN128" s="539"/>
      <c r="BO128" s="540">
        <f>HostBuild[SAN (GB)
NEEDED TODAY]+CEILING(HostBuild[SAN (GB)
RESERVED
DO NOT USE TO BUILD], LUN)</f>
        <v>808.80000000000007</v>
      </c>
      <c r="BP128" s="541"/>
      <c r="BQ128" s="542"/>
      <c r="BR128" s="432"/>
      <c r="BS128" s="605">
        <f>IF(HostBuild[Existing Server?]&lt;&gt;"Yes - Inside this BoM",IF(ISNUMBER(HostBuild[RAM 
(GB)]),IF(HostBuild[Existing RAM (GB)]+HostBuild[RAM 
(GB)]&gt;0,IF(HostBuild[Virtual Platform Storage Type]="NAS",110+HostBuild[Existing RAM (GB)]+HostBuild[RAM 
(GB)]*1.75,0),0),0),0)</f>
        <v>0</v>
      </c>
      <c r="BT128" s="606"/>
      <c r="BU128" s="607">
        <f>IF(ISNUMBER(HostBuild[Recommended NAS (GB)]),HostBuild[Recommended NAS (GB)])+HostBuild[Additional NAS (GB)]</f>
        <v>0</v>
      </c>
      <c r="BV128" s="543"/>
      <c r="BW128" s="543"/>
      <c r="BX128" s="604">
        <f>IFERROR((HostBuild[SAN (GB)
End-State
DO NOT USE TO BUILD]+HostBuild[SAN (GB) Shared])*25%,"")</f>
        <v>202.20000000000002</v>
      </c>
      <c r="BY128" s="608">
        <f>IFERROR(HostBuild[Archive
Full (GB)]*15%,"")</f>
        <v>30.330000000000002</v>
      </c>
      <c r="BZ128" s="544"/>
      <c r="CA128" s="544"/>
      <c r="CB128" s="545"/>
      <c r="CC128" s="546"/>
      <c r="CD128" s="545"/>
      <c r="CE128" s="547"/>
      <c r="CF128" s="539"/>
      <c r="CG128" s="609"/>
      <c r="CH128" s="548"/>
      <c r="CI128" s="549"/>
      <c r="CJ128" s="524" t="s">
        <v>4079</v>
      </c>
      <c r="CK128" s="551"/>
      <c r="CL128" s="552">
        <f>IFERROR(IF(FIND(CL$1,$W128)&gt;0,IF(INDEX(Product_Pricing_Table[],MATCH(CL$1,Products,0),2)="Cores",IF(HostBuild[Use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8" s="552">
        <f>IFERROR(IF(FIND(CM$1,$W128)&gt;0,IF(INDEX(Product_Pricing_Table[],MATCH(CM$1,Products,0),2)="Cores",IF(HostBuild[Use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8" s="552">
        <f>IFERROR(IF(FIND(CN$1,$W128)&gt;0,IF(INDEX(Product_Pricing_Table[],MATCH(CN$1,Products,0),2)="Cores",IF(HostBuild[Use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8" s="552">
        <f>IFERROR(IF(FIND(CO$1,$W128)&gt;0,IF(INDEX(Product_Pricing_Table[],MATCH(CO$1,Products,0),2)="Cores",IF(HostBuild[Use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8" s="552">
        <f>IFERROR(IF(FIND(CP$1,$W128)&gt;0,IF(INDEX(Product_Pricing_Table[],MATCH(CP$1,Products,0),2)="Cores",IF(HostBuild[Use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8" s="552">
        <f>IFERROR(IF(FIND(CQ$1,$W128)&gt;0,IF(INDEX(Product_Pricing_Table[],MATCH(CQ$1,Products,0),2)="Cores",IF(HostBuild[Use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8" s="552">
        <f>IFERROR(IF(FIND(CR$1,$W128)&gt;0,IF(INDEX(Product_Pricing_Table[],MATCH(CR$1,Products,0),2)="Cores",IF(HostBuild[Use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8" s="552">
        <f>IFERROR(IF(FIND(CS$1,$W128)&gt;0,IF(INDEX(Product_Pricing_Table[],MATCH(CS$1,Products,0),2)="Cores",IF(HostBuild[Use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8" s="552">
        <f>IFERROR(IF(FIND(CT$1,$W128)&gt;0,IF(INDEX(Product_Pricing_Table[],MATCH(CT$1,Products,0),2)="Cores",IF(HostBuild[Use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8" s="552">
        <f>IFERROR(IF(FIND(CU$1,$W128)&gt;0,IF(INDEX(Product_Pricing_Table[],MATCH(CU$1,Products,0),2)="Cores",IF(HostBuild[Use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8" s="552">
        <f>IFERROR(IF(FIND(CV$1,$W128)&gt;0,IF(INDEX(Product_Pricing_Table[],MATCH(CV$1,Products,0),2)="Cores",IF(HostBuild[Use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8" s="552">
        <f>IFERROR(IF(FIND(CW$1,$W128)&gt;0,IF(INDEX(Product_Pricing_Table[],MATCH(CW$1,Products,0),2)="Cores",IF(HostBuild[Use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8" s="552">
        <f>IFERROR(IF(FIND(CX$1,$W128)&gt;0,IF(INDEX(Product_Pricing_Table[],MATCH(CX$1,Products,0),2)="Cores",IF(HostBuild[Use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28" s="552">
        <f>IFERROR(IF(FIND(CY$1,$W128)&gt;0,IF(INDEX(Product_Pricing_Table[],MATCH(CY$1,Products,0),2)="Cores",IF(HostBuild[Use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8" s="552">
        <f>IFERROR(IF(FIND(CZ$1,$W128)&gt;0,IF(INDEX(Product_Pricing_Table[],MATCH(CZ$1,Products,0),2)="Cores",IF(HostBuild[Use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8" s="552">
        <f>IFERROR(IF(FIND(DA$1,$W128)&gt;0,IF(INDEX(Product_Pricing_Table[],MATCH(DA$1,Products,0),2)="Cores",IF(HostBuild[Use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8" s="552">
        <f>IFERROR(IF(FIND(DB$1,$W128)&gt;0,IF(INDEX(Product_Pricing_Table[],MATCH(DB$1,Products,0),2)="Cores",IF(HostBuild[Use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8" s="552">
        <f>IFERROR(IF(FIND(DC$1,$W128)&gt;0,IF(INDEX(Product_Pricing_Table[],MATCH(DC$1,Products,0),2)="Cores",IF(HostBuild[Use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8" s="552">
        <f>IFERROR(IF(FIND(DD$1,$W128)&gt;0,IF(INDEX(Product_Pricing_Table[],MATCH(DD$1,Products,0),2)="Cores",IF(HostBuild[Use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8" s="552">
        <f>IFERROR(IF(FIND(DE$1,$W128)&gt;0,IF(INDEX(Product_Pricing_Table[],MATCH(DE$1,Products,0),2)="Cores",IF(HostBuild[Use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8" s="553">
        <f>IFERROR(IF(FIND(DF$1,$W128)&gt;0,IF(INDEX(Product_Pricing_Table[],MATCH(DF$1,Products,0),2)="Cores",IF(HostBuild[Use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8" s="553">
        <f>IFERROR(IF(FIND(DG$1,$W128)&gt;0,IF(INDEX(Product_Pricing_Table[],MATCH(DG$1,Products,0),2)="Cores",IF(HostBuild[Use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8" s="552">
        <f>IFERROR(IF(FIND(DH$1,$W128)&gt;0,IF(INDEX(Product_Pricing_Table[],MATCH(DH$1,Products,0),2)="Cores",IF(HostBuild[Use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8" s="553">
        <f>IFERROR(IF(FIND(DI$1,$W128)&gt;0,IF(INDEX(Product_Pricing_Table[],MATCH(DI$1,Products,0),2)="Cores",IF(HostBuild[Use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8" s="552">
        <f>IFERROR(IF(FIND(DJ$1,$W128)&gt;0,IF(INDEX(Product_Pricing_Table[],MATCH(DJ$1,Products,0),2)="Cores",IF(HostBuild[Use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8" s="552">
        <f>IFERROR(IF(FIND(DK$1,$W128)&gt;0,IF(INDEX(Product_Pricing_Table[],MATCH(DK$1,Products,0),2)="Cores",IF(HostBuild[Use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8" s="552">
        <f>IFERROR(IF(FIND(DL$1,$W128)&gt;0,IF(INDEX(Product_Pricing_Table[],MATCH(DL$1,Products,0),2)="Cores",IF(HostBuild[Use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8" s="552">
        <f>IFERROR(IF(FIND(DM$1,$W128)&gt;0,IF(INDEX(Product_Pricing_Table[],MATCH(DM$1,Products,0),2)="Cores",IF(HostBuild[Use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8" s="552">
        <f>IFERROR(IF(FIND(DN$1,$W128)&gt;0,IF(INDEX(Product_Pricing_Table[],MATCH(DN$1,Products,0),2)="Cores",IF(HostBuild[Use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8" s="552">
        <f>IFERROR(IF(FIND(DO$1,$W128)&gt;0,IF(INDEX(Product_Pricing_Table[],MATCH(DO$1,Products,0),2)="Cores",IF(HostBuild[Use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8" s="552">
        <f>IFERROR(IF(FIND(DP$1,$W128)&gt;0,IF(INDEX(Product_Pricing_Table[],MATCH(DP$1,Products,0),2)="Cores",IF(HostBuild[Use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8" s="552">
        <f>IFERROR(IF(FIND(DQ$1,$W128)&gt;0,IF(INDEX(Product_Pricing_Table[],MATCH(DQ$1,Products,0),2)="Cores",IF(HostBuild[Use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8" s="552">
        <f>IFERROR(IF(FIND(DR$1,$W128)&gt;0,IF(INDEX(Product_Pricing_Table[],MATCH(DR$1,Products,0),2)="Cores",IF(HostBuild[Use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8" s="552">
        <f>IFERROR(IF(FIND(DS$1,$W128)&gt;0,IF(INDEX(Product_Pricing_Table[],MATCH(DS$1,Products,0),2)="Cores",IF(HostBuild[Use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8" s="552">
        <f>IFERROR(IF(FIND(DT$1,$W128)&gt;0,IF(INDEX(Product_Pricing_Table[],MATCH(DT$1,Products,0),2)="Cores",IF(HostBuild[Use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8" s="552">
        <f>IFERROR(IF(FIND(DU$1,$W128)&gt;0,IF(INDEX(Product_Pricing_Table[],MATCH(DU$1,Products,0),2)="Cores",IF(HostBuild[Use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8" s="552">
        <f>IFERROR(IF(FIND(DV$1,$W128)&gt;0,IF(INDEX(Product_Pricing_Table[],MATCH(DV$1,Products,0),2)="Cores",IF(HostBuild[Use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8" s="552">
        <f>IFERROR(IF(FIND(DW$1,$W128)&gt;0,IF(INDEX(Product_Pricing_Table[],MATCH(DW$1,Products,0),2)="Cores",IF(HostBuild[Use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8" s="552">
        <f>IFERROR(IF(FIND(DX$1,$W128)&gt;0,IF(INDEX(Product_Pricing_Table[],MATCH(DX$1,Products,0),2)="Cores",IF(HostBuild[Use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8" s="552">
        <f>IFERROR(IF(FIND(DY$1,$W128)&gt;0,IF(INDEX(Product_Pricing_Table[],MATCH(DY$1,Products,0),2)="Cores",IF(HostBuild[Use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8" s="552">
        <f>IFERROR(IF(FIND(DZ$1,$W128)&gt;0,IF(INDEX(Product_Pricing_Table[],MATCH(DZ$1,Products,0),2)="Cores",IF(HostBuild[Use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8" s="552">
        <f>IFERROR(IF(FIND(EA$1,$W128)&gt;0,IF(INDEX(Product_Pricing_Table[],MATCH(EA$1,Products,0),2)="Cores",IF(HostBuild[Use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8" s="552">
        <f>IFERROR(IF(FIND(EB$1,$W128)&gt;0,IF(INDEX(Product_Pricing_Table[],MATCH(EB$1,Products,0),2)="Cores",IF(HostBuild[Use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8" s="553">
        <f>IFERROR(IF(FIND(EC$1,$W128)&gt;0,IF(INDEX(Product_Pricing_Table[],MATCH(EC$1,Products,0),2)="Cores",IF(HostBuild[Use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8" s="552">
        <f>IFERROR(IF(FIND(ED$1,$W128)&gt;0,IF(INDEX(Product_Pricing_Table[],MATCH(ED$1,Products,0),2)="Cores",IF(HostBuild[Use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8" s="552">
        <f>IFERROR(IF(FIND(EE$1,$W128)&gt;0,IF(INDEX(Product_Pricing_Table[],MATCH(EE$1,Products,0),2)="Cores",IF(HostBuild[Use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8" s="552">
        <f>IFERROR(IF(FIND(EF$1,$W128)&gt;0,IF(INDEX(Product_Pricing_Table[],MATCH(EF$1,Products,0),2)="Cores",IF(HostBuild[Use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8" s="552">
        <f>IFERROR(IF(FIND(EG$1,$W128)&gt;0,IF(INDEX(Product_Pricing_Table[],MATCH(EG$1,Products,0),2)="Cores",IF(HostBuild[Use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8" s="552">
        <f>IFERROR(IF(FIND(EH$1,$W128)&gt;0,IF(INDEX(Product_Pricing_Table[],MATCH(EH$1,Products,0),2)="Cores",IF(HostBuild[Use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8" s="552">
        <f>IFERROR(IF(FIND(EI$1,$W128)&gt;0,IF(INDEX(Product_Pricing_Table[],MATCH(EI$1,Products,0),2)="Cores",IF(HostBuild[Use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8" s="552">
        <f>IFERROR(IF(FIND(EJ$1,$W128)&gt;0,IF(INDEX(Product_Pricing_Table[],MATCH(EJ$1,Products,0),2)="Cores",IF(HostBuild[Use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8" s="553">
        <f>IFERROR(IF(FIND(EK$1,$W128)&gt;0,IF(INDEX(Product_Pricing_Table[],MATCH(EK$1,Products,0),2)="Cores",IF(HostBuild[Use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8" s="554"/>
      <c r="EM128" s="555">
        <v>4102</v>
      </c>
      <c r="EN128" s="556">
        <v>1638</v>
      </c>
      <c r="EO128"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8" s="558">
        <f>(HostBuild[Archive
Full (GB)]+HostBuild[Archive
Incr (GB)])*Storage_DC_Dist_Tape_2014</f>
        <v>81.385500000000008</v>
      </c>
      <c r="ER128" s="558">
        <f>IF(ISNUMBER(HostBuild[Server HW Costs
(Monthly)]),SUM(HostBuild[[#This Row],[Server HW Costs
(Monthly)]:[Tape Costs
(Monthly)]]),0)</f>
        <v>1334.0455000000002</v>
      </c>
      <c r="ES128" s="559">
        <f>HostBuild[Software Costs
'[Year 1']
(Monthly)]+HostBuild[Total Hardware Costs
(Monthly)]</f>
        <v>5436.0455000000002</v>
      </c>
      <c r="ET128" s="559">
        <f>IFERROR(IF(FIND("Safenet",HostBuild[Server Model]),Safenet_PSE_PL600_Maint,0),0)+IFERROR(IF(FIND("XI52",HostBuild[Server Model]),IBM_DIA_XI52_Maint,0),0)+HostBuild[Software Costs
'[After Year 1']
(Monthly)]+HostBuild[Total Hardware Costs
(Monthly)]</f>
        <v>2972.0455000000002</v>
      </c>
      <c r="EU128" s="560">
        <f>SUM(HostBuild[[#This Row],[Server Cost Breakdown]:[Network Cost]])</f>
        <v>888.7</v>
      </c>
      <c r="EV128" s="561">
        <f>IF(HostBuild[Existing Server?]="Yes - Inside this BoM",0,SUMIF(HostBuild[Alias],HostBuild[Alias],HostBuild[CPU])+SUMIF(HostBuild[Alias],HostBuild[Alias],HostBuild[Existing CPUs]))</f>
        <v>2</v>
      </c>
      <c r="EW128" s="561">
        <f>IF(HostBuild[Existing Server?]="Yes - Inside this BoM",0,SUMIF(HostBuild[Alias],HostBuild[Alias],HostBuild[Cores 
(Licensed Units)])+SUMIF(HostBuild[Alias],HostBuild[Alias],HostBuild[Existing Cores]))</f>
        <v>16</v>
      </c>
      <c r="EX128" s="561">
        <f>IF(HostBuild[Existing Server?]="Yes - Inside this BoM",0,SUMIF(HostBuild[Alias],HostBuild[Alias],HostBuild[RAM 
(GB)])+SUMIF(HostBuild[Alias],HostBuild[Alias],HostBuild[Existing RAM (GB)]))</f>
        <v>128</v>
      </c>
      <c r="EY12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8" s="560">
        <f>IF(ISBLANK(HostBuild[Server Model]),0,IF(HostBuild[Server Tier]="VMware",0,VLOOKUP(HostBuild[Server Tier],ServerTierRates[#Data],2,0))*HostBuild[CPU]*IF(AND(HostBuild[Server Type]="pSeries",HostBuild[Virtual Platform Storage Type]="Cloud-SAN"),0.25,1))</f>
        <v>608</v>
      </c>
      <c r="FD128" s="560">
        <f>0</f>
        <v>0</v>
      </c>
      <c r="FE128" s="560">
        <f>IF(HostBuild[Server Type]="VMware",HostBuild[RAM 
(GB)]*IF(ISERROR(FIND("DevCloud", HostBuild[Server Model])&gt;0),vRAM_per_vCPU_2014_Monthly,vRAM_per_vCPU_2014_Daily*30),0)</f>
        <v>0</v>
      </c>
      <c r="FF12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8" s="563">
        <f>IF(HostBuild[Server Tier]="VMware",0,IF(LEFT(HostBuild[Existing Server?],3)="Yes",0,IF(OR(HostBuild[Server Type]="Sun",HostBuild[Server Type]="pSeries"),Support_Direct_Server_Sun_per_OS_2014,IF(HostBuild[Server Type]="x86",Support_Direct_Server_x86_Wintel_per_OS_2014,0))))</f>
        <v>187.1</v>
      </c>
      <c r="FI12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29" spans="1:165" s="139" customFormat="1" ht="15" customHeight="1">
      <c r="A129" s="360" t="s">
        <v>3942</v>
      </c>
      <c r="B129" s="521"/>
      <c r="C129" s="521"/>
      <c r="D129" s="521"/>
      <c r="E129" s="522"/>
      <c r="F129" s="522"/>
      <c r="G129" s="597"/>
      <c r="H129" s="597"/>
      <c r="I129" s="523"/>
      <c r="J129" s="522"/>
      <c r="K129" s="522"/>
      <c r="L129" s="522"/>
      <c r="M129" s="597" t="e">
        <f ca="1">IF(rngIsDate(HostBuild[CTO Acceptance]),"Y","N")</f>
        <v>#NAME?</v>
      </c>
      <c r="N129" s="361" t="s">
        <v>3939</v>
      </c>
      <c r="O129" s="525"/>
      <c r="P129" s="525"/>
      <c r="Q129" s="361" t="s">
        <v>212</v>
      </c>
      <c r="R129" s="526" t="str">
        <f>IF(NOT(ISBLANK(HostBuild[Env Label])),IFERROR(VLOOKUP(HostBuild[Env Label],tEnv[],3,FALSE),""),"")</f>
        <v>UAT</v>
      </c>
      <c r="S129" s="598"/>
      <c r="T129" s="527"/>
      <c r="U129" s="599"/>
      <c r="V129" s="524" t="s">
        <v>4049</v>
      </c>
      <c r="W129" s="524" t="s">
        <v>4019</v>
      </c>
      <c r="X129" s="524" t="s">
        <v>35</v>
      </c>
      <c r="Y129" s="361" t="s">
        <v>4067</v>
      </c>
      <c r="Z129" s="526" t="str">
        <f>IF(NOT(ISBLANK(HostBuild[[#This Row],[Product 
(Acronym)]])),CONCATENATE(HostBuild[[#This Row],[Type]],"-",HostBuild[[#This Row],[Product 
(Acronym)]]),"")</f>
        <v>AP-CBOL</v>
      </c>
      <c r="AA129" s="600"/>
      <c r="AB129" s="600" t="s">
        <v>105</v>
      </c>
      <c r="AC129" s="528"/>
      <c r="AD129" s="529"/>
      <c r="AE129" s="529"/>
      <c r="AF129" s="530"/>
      <c r="AG129" s="531"/>
      <c r="AH129" s="601"/>
      <c r="AI129" s="362" t="s">
        <v>4056</v>
      </c>
      <c r="AJ129" s="524">
        <f>IF(COUNTIF(HostBuild[Alias],HostBuild[Alias]),1/COUNTIF(HostBuild[Alias],HostBuild[Alias]),0)</f>
        <v>1</v>
      </c>
      <c r="AK129" s="531"/>
      <c r="AL129" s="531"/>
      <c r="AM129" s="532" t="s">
        <v>2173</v>
      </c>
      <c r="AN129" s="533" t="str">
        <f>IF(NOT(ISBLANK(HostBuild[Server Model])),VLOOKUP(HostBuild[Server Model],ServerModelsTier[],2,FALSE),"")</f>
        <v>x86 Tier 3</v>
      </c>
      <c r="AO129" s="533" t="str">
        <f>IF(NOT(ISBLANK(HostBuild[Server Model])),VLOOKUP(HostBuild[Server Model],ServerModelsTier[],5,FALSE),"")</f>
        <v>x86</v>
      </c>
      <c r="AP129" s="532"/>
      <c r="AQ129" s="532" t="s">
        <v>2337</v>
      </c>
      <c r="AR129" s="534">
        <v>2</v>
      </c>
      <c r="AS129" s="602"/>
      <c r="AT129" s="535">
        <v>16</v>
      </c>
      <c r="AU129" s="603" t="str">
        <f>IF(IFERROR(FIND("P-Series",HostBuild[Server Tier]),0),CEILING((HostBuild[Existing CPUs]+HostBuild[CPU])*16,8),"")</f>
        <v/>
      </c>
      <c r="AV129" s="536">
        <v>128</v>
      </c>
      <c r="AW129" s="531"/>
      <c r="AX129" s="531"/>
      <c r="AY129" s="531"/>
      <c r="AZ129" s="537"/>
      <c r="BA129" s="531"/>
      <c r="BB129" s="531"/>
      <c r="BC129" s="529"/>
      <c r="BD129" s="531"/>
      <c r="BE129" s="531"/>
      <c r="BF129" s="531"/>
      <c r="BG129" s="531"/>
      <c r="BH129" s="531"/>
      <c r="BI129" s="531"/>
      <c r="BJ129" s="531"/>
      <c r="BK129"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29" s="538">
        <v>600</v>
      </c>
      <c r="BM129" s="540">
        <f>IF(ISNUMBER(HostBuild[Recommended SAN (GB)]),HostBuild[Recommended SAN (GB)])+IF(HostBuild[Additional SAN (GB)]&gt;0,CEILING(HostBuild[Additional SAN (GB)],LUN),-(CEILING(-HostBuild[Additional SAN (GB)],LUN)))</f>
        <v>808.80000000000007</v>
      </c>
      <c r="BN129" s="539"/>
      <c r="BO129" s="540">
        <f>HostBuild[SAN (GB)
NEEDED TODAY]+CEILING(HostBuild[SAN (GB)
RESERVED
DO NOT USE TO BUILD], LUN)</f>
        <v>808.80000000000007</v>
      </c>
      <c r="BP129" s="541"/>
      <c r="BQ129" s="542"/>
      <c r="BR129" s="432"/>
      <c r="BS129" s="605">
        <f>IF(HostBuild[Existing Server?]&lt;&gt;"Yes - Inside this BoM",IF(ISNUMBER(HostBuild[RAM 
(GB)]),IF(HostBuild[Existing RAM (GB)]+HostBuild[RAM 
(GB)]&gt;0,IF(HostBuild[Virtual Platform Storage Type]="NAS",110+HostBuild[Existing RAM (GB)]+HostBuild[RAM 
(GB)]*1.75,0),0),0),0)</f>
        <v>0</v>
      </c>
      <c r="BT129" s="606"/>
      <c r="BU129" s="607">
        <f>IF(ISNUMBER(HostBuild[Recommended NAS (GB)]),HostBuild[Recommended NAS (GB)])+HostBuild[Additional NAS (GB)]</f>
        <v>0</v>
      </c>
      <c r="BV129" s="543"/>
      <c r="BW129" s="543"/>
      <c r="BX129" s="604">
        <f>IFERROR((HostBuild[SAN (GB)
End-State
DO NOT USE TO BUILD]+HostBuild[SAN (GB) Shared])*25%,"")</f>
        <v>202.20000000000002</v>
      </c>
      <c r="BY129" s="608">
        <f>IFERROR(HostBuild[Archive
Full (GB)]*15%,"")</f>
        <v>30.330000000000002</v>
      </c>
      <c r="BZ129" s="544"/>
      <c r="CA129" s="544"/>
      <c r="CB129" s="545"/>
      <c r="CC129" s="546"/>
      <c r="CD129" s="545"/>
      <c r="CE129" s="547"/>
      <c r="CF129" s="539"/>
      <c r="CG129" s="609"/>
      <c r="CH129" s="548"/>
      <c r="CI129" s="549"/>
      <c r="CJ129" s="524" t="s">
        <v>4079</v>
      </c>
      <c r="CK129" s="551"/>
      <c r="CL129" s="552">
        <f>IFERROR(IF(FIND(CL$1,$W129)&gt;0,IF(INDEX(Product_Pricing_Table[],MATCH(CL$1,Products,0),2)="Cores",IF(HostBuild[Use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29" s="552">
        <f>IFERROR(IF(FIND(CM$1,$W129)&gt;0,IF(INDEX(Product_Pricing_Table[],MATCH(CM$1,Products,0),2)="Cores",IF(HostBuild[Use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29" s="552">
        <f>IFERROR(IF(FIND(CN$1,$W129)&gt;0,IF(INDEX(Product_Pricing_Table[],MATCH(CN$1,Products,0),2)="Cores",IF(HostBuild[Use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29" s="552">
        <f>IFERROR(IF(FIND(CO$1,$W129)&gt;0,IF(INDEX(Product_Pricing_Table[],MATCH(CO$1,Products,0),2)="Cores",IF(HostBuild[Use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29" s="552">
        <f>IFERROR(IF(FIND(CP$1,$W129)&gt;0,IF(INDEX(Product_Pricing_Table[],MATCH(CP$1,Products,0),2)="Cores",IF(HostBuild[Use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29" s="552">
        <f>IFERROR(IF(FIND(CQ$1,$W129)&gt;0,IF(INDEX(Product_Pricing_Table[],MATCH(CQ$1,Products,0),2)="Cores",IF(HostBuild[Use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29" s="552">
        <f>IFERROR(IF(FIND(CR$1,$W129)&gt;0,IF(INDEX(Product_Pricing_Table[],MATCH(CR$1,Products,0),2)="Cores",IF(HostBuild[Use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29" s="552">
        <f>IFERROR(IF(FIND(CS$1,$W129)&gt;0,IF(INDEX(Product_Pricing_Table[],MATCH(CS$1,Products,0),2)="Cores",IF(HostBuild[Use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29" s="552">
        <f>IFERROR(IF(FIND(CT$1,$W129)&gt;0,IF(INDEX(Product_Pricing_Table[],MATCH(CT$1,Products,0),2)="Cores",IF(HostBuild[Use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29" s="552">
        <f>IFERROR(IF(FIND(CU$1,$W129)&gt;0,IF(INDEX(Product_Pricing_Table[],MATCH(CU$1,Products,0),2)="Cores",IF(HostBuild[Use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29" s="552">
        <f>IFERROR(IF(FIND(CV$1,$W129)&gt;0,IF(INDEX(Product_Pricing_Table[],MATCH(CV$1,Products,0),2)="Cores",IF(HostBuild[Use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29" s="552">
        <f>IFERROR(IF(FIND(CW$1,$W129)&gt;0,IF(INDEX(Product_Pricing_Table[],MATCH(CW$1,Products,0),2)="Cores",IF(HostBuild[Use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29" s="552">
        <f>IFERROR(IF(FIND(CX$1,$W129)&gt;0,IF(INDEX(Product_Pricing_Table[],MATCH(CX$1,Products,0),2)="Cores",IF(HostBuild[Use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29" s="552">
        <f>IFERROR(IF(FIND(CY$1,$W129)&gt;0,IF(INDEX(Product_Pricing_Table[],MATCH(CY$1,Products,0),2)="Cores",IF(HostBuild[Use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29" s="552">
        <f>IFERROR(IF(FIND(CZ$1,$W129)&gt;0,IF(INDEX(Product_Pricing_Table[],MATCH(CZ$1,Products,0),2)="Cores",IF(HostBuild[Use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29" s="552">
        <f>IFERROR(IF(FIND(DA$1,$W129)&gt;0,IF(INDEX(Product_Pricing_Table[],MATCH(DA$1,Products,0),2)="Cores",IF(HostBuild[Use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29" s="552">
        <f>IFERROR(IF(FIND(DB$1,$W129)&gt;0,IF(INDEX(Product_Pricing_Table[],MATCH(DB$1,Products,0),2)="Cores",IF(HostBuild[Use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29" s="552">
        <f>IFERROR(IF(FIND(DC$1,$W129)&gt;0,IF(INDEX(Product_Pricing_Table[],MATCH(DC$1,Products,0),2)="Cores",IF(HostBuild[Use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29" s="552">
        <f>IFERROR(IF(FIND(DD$1,$W129)&gt;0,IF(INDEX(Product_Pricing_Table[],MATCH(DD$1,Products,0),2)="Cores",IF(HostBuild[Use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29" s="552">
        <f>IFERROR(IF(FIND(DE$1,$W129)&gt;0,IF(INDEX(Product_Pricing_Table[],MATCH(DE$1,Products,0),2)="Cores",IF(HostBuild[Use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29" s="553">
        <f>IFERROR(IF(FIND(DF$1,$W129)&gt;0,IF(INDEX(Product_Pricing_Table[],MATCH(DF$1,Products,0),2)="Cores",IF(HostBuild[Use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29" s="553">
        <f>IFERROR(IF(FIND(DG$1,$W129)&gt;0,IF(INDEX(Product_Pricing_Table[],MATCH(DG$1,Products,0),2)="Cores",IF(HostBuild[Use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29" s="552">
        <f>IFERROR(IF(FIND(DH$1,$W129)&gt;0,IF(INDEX(Product_Pricing_Table[],MATCH(DH$1,Products,0),2)="Cores",IF(HostBuild[Use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29" s="553">
        <f>IFERROR(IF(FIND(DI$1,$W129)&gt;0,IF(INDEX(Product_Pricing_Table[],MATCH(DI$1,Products,0),2)="Cores",IF(HostBuild[Use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29" s="552">
        <f>IFERROR(IF(FIND(DJ$1,$W129)&gt;0,IF(INDEX(Product_Pricing_Table[],MATCH(DJ$1,Products,0),2)="Cores",IF(HostBuild[Use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29" s="552">
        <f>IFERROR(IF(FIND(DK$1,$W129)&gt;0,IF(INDEX(Product_Pricing_Table[],MATCH(DK$1,Products,0),2)="Cores",IF(HostBuild[Use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29" s="552">
        <f>IFERROR(IF(FIND(DL$1,$W129)&gt;0,IF(INDEX(Product_Pricing_Table[],MATCH(DL$1,Products,0),2)="Cores",IF(HostBuild[Use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29" s="552">
        <f>IFERROR(IF(FIND(DM$1,$W129)&gt;0,IF(INDEX(Product_Pricing_Table[],MATCH(DM$1,Products,0),2)="Cores",IF(HostBuild[Use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29" s="552">
        <f>IFERROR(IF(FIND(DN$1,$W129)&gt;0,IF(INDEX(Product_Pricing_Table[],MATCH(DN$1,Products,0),2)="Cores",IF(HostBuild[Use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29" s="552">
        <f>IFERROR(IF(FIND(DO$1,$W129)&gt;0,IF(INDEX(Product_Pricing_Table[],MATCH(DO$1,Products,0),2)="Cores",IF(HostBuild[Use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29" s="552">
        <f>IFERROR(IF(FIND(DP$1,$W129)&gt;0,IF(INDEX(Product_Pricing_Table[],MATCH(DP$1,Products,0),2)="Cores",IF(HostBuild[Use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29" s="552">
        <f>IFERROR(IF(FIND(DQ$1,$W129)&gt;0,IF(INDEX(Product_Pricing_Table[],MATCH(DQ$1,Products,0),2)="Cores",IF(HostBuild[Use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29" s="552">
        <f>IFERROR(IF(FIND(DR$1,$W129)&gt;0,IF(INDEX(Product_Pricing_Table[],MATCH(DR$1,Products,0),2)="Cores",IF(HostBuild[Use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29" s="552">
        <f>IFERROR(IF(FIND(DS$1,$W129)&gt;0,IF(INDEX(Product_Pricing_Table[],MATCH(DS$1,Products,0),2)="Cores",IF(HostBuild[Use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29" s="552">
        <f>IFERROR(IF(FIND(DT$1,$W129)&gt;0,IF(INDEX(Product_Pricing_Table[],MATCH(DT$1,Products,0),2)="Cores",IF(HostBuild[Use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29" s="552">
        <f>IFERROR(IF(FIND(DU$1,$W129)&gt;0,IF(INDEX(Product_Pricing_Table[],MATCH(DU$1,Products,0),2)="Cores",IF(HostBuild[Use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29" s="552">
        <f>IFERROR(IF(FIND(DV$1,$W129)&gt;0,IF(INDEX(Product_Pricing_Table[],MATCH(DV$1,Products,0),2)="Cores",IF(HostBuild[Use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29" s="552">
        <f>IFERROR(IF(FIND(DW$1,$W129)&gt;0,IF(INDEX(Product_Pricing_Table[],MATCH(DW$1,Products,0),2)="Cores",IF(HostBuild[Use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29" s="552">
        <f>IFERROR(IF(FIND(DX$1,$W129)&gt;0,IF(INDEX(Product_Pricing_Table[],MATCH(DX$1,Products,0),2)="Cores",IF(HostBuild[Use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29" s="552">
        <f>IFERROR(IF(FIND(DY$1,$W129)&gt;0,IF(INDEX(Product_Pricing_Table[],MATCH(DY$1,Products,0),2)="Cores",IF(HostBuild[Use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29" s="552">
        <f>IFERROR(IF(FIND(DZ$1,$W129)&gt;0,IF(INDEX(Product_Pricing_Table[],MATCH(DZ$1,Products,0),2)="Cores",IF(HostBuild[Use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29" s="552">
        <f>IFERROR(IF(FIND(EA$1,$W129)&gt;0,IF(INDEX(Product_Pricing_Table[],MATCH(EA$1,Products,0),2)="Cores",IF(HostBuild[Use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29" s="552">
        <f>IFERROR(IF(FIND(EB$1,$W129)&gt;0,IF(INDEX(Product_Pricing_Table[],MATCH(EB$1,Products,0),2)="Cores",IF(HostBuild[Use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29" s="553">
        <f>IFERROR(IF(FIND(EC$1,$W129)&gt;0,IF(INDEX(Product_Pricing_Table[],MATCH(EC$1,Products,0),2)="Cores",IF(HostBuild[Use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29" s="552">
        <f>IFERROR(IF(FIND(ED$1,$W129)&gt;0,IF(INDEX(Product_Pricing_Table[],MATCH(ED$1,Products,0),2)="Cores",IF(HostBuild[Use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29" s="552">
        <f>IFERROR(IF(FIND(EE$1,$W129)&gt;0,IF(INDEX(Product_Pricing_Table[],MATCH(EE$1,Products,0),2)="Cores",IF(HostBuild[Use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29" s="552">
        <f>IFERROR(IF(FIND(EF$1,$W129)&gt;0,IF(INDEX(Product_Pricing_Table[],MATCH(EF$1,Products,0),2)="Cores",IF(HostBuild[Use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29" s="552">
        <f>IFERROR(IF(FIND(EG$1,$W129)&gt;0,IF(INDEX(Product_Pricing_Table[],MATCH(EG$1,Products,0),2)="Cores",IF(HostBuild[Use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29" s="552">
        <f>IFERROR(IF(FIND(EH$1,$W129)&gt;0,IF(INDEX(Product_Pricing_Table[],MATCH(EH$1,Products,0),2)="Cores",IF(HostBuild[Use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29" s="552">
        <f>IFERROR(IF(FIND(EI$1,$W129)&gt;0,IF(INDEX(Product_Pricing_Table[],MATCH(EI$1,Products,0),2)="Cores",IF(HostBuild[Use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29" s="552">
        <f>IFERROR(IF(FIND(EJ$1,$W129)&gt;0,IF(INDEX(Product_Pricing_Table[],MATCH(EJ$1,Products,0),2)="Cores",IF(HostBuild[Use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29" s="553">
        <f>IFERROR(IF(FIND(EK$1,$W129)&gt;0,IF(INDEX(Product_Pricing_Table[],MATCH(EK$1,Products,0),2)="Cores",IF(HostBuild[Use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29" s="554"/>
      <c r="EM129" s="555"/>
      <c r="EN129" s="556"/>
      <c r="EO129"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2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29" s="558">
        <f>(HostBuild[Archive
Full (GB)]+HostBuild[Archive
Incr (GB)])*Storage_DC_Dist_Tape_2014</f>
        <v>81.385500000000008</v>
      </c>
      <c r="ER129" s="558">
        <f>IF(ISNUMBER(HostBuild[Server HW Costs
(Monthly)]),SUM(HostBuild[[#This Row],[Server HW Costs
(Monthly)]:[Tape Costs
(Monthly)]]),0)</f>
        <v>1334.0455000000002</v>
      </c>
      <c r="ES129" s="559">
        <f>HostBuild[Software Costs
'[Year 1']
(Monthly)]+HostBuild[Total Hardware Costs
(Monthly)]</f>
        <v>1334.0455000000002</v>
      </c>
      <c r="ET129" s="559">
        <f>IFERROR(IF(FIND("Safenet",HostBuild[Server Model]),Safenet_PSE_PL600_Maint,0),0)+IFERROR(IF(FIND("XI52",HostBuild[Server Model]),IBM_DIA_XI52_Maint,0),0)+HostBuild[Software Costs
'[After Year 1']
(Monthly)]+HostBuild[Total Hardware Costs
(Monthly)]</f>
        <v>1334.0455000000002</v>
      </c>
      <c r="EU129" s="560">
        <f>SUM(HostBuild[[#This Row],[Server Cost Breakdown]:[Network Cost]])</f>
        <v>888.7</v>
      </c>
      <c r="EV129" s="561">
        <f>IF(HostBuild[Existing Server?]="Yes - Inside this BoM",0,SUMIF(HostBuild[Alias],HostBuild[Alias],HostBuild[CPU])+SUMIF(HostBuild[Alias],HostBuild[Alias],HostBuild[Existing CPUs]))</f>
        <v>2</v>
      </c>
      <c r="EW129" s="561">
        <f>IF(HostBuild[Existing Server?]="Yes - Inside this BoM",0,SUMIF(HostBuild[Alias],HostBuild[Alias],HostBuild[Cores 
(Licensed Units)])+SUMIF(HostBuild[Alias],HostBuild[Alias],HostBuild[Existing Cores]))</f>
        <v>16</v>
      </c>
      <c r="EX129" s="561">
        <f>IF(HostBuild[Existing Server?]="Yes - Inside this BoM",0,SUMIF(HostBuild[Alias],HostBuild[Alias],HostBuild[RAM 
(GB)])+SUMIF(HostBuild[Alias],HostBuild[Alias],HostBuild[Existing RAM (GB)]))</f>
        <v>128</v>
      </c>
      <c r="EY12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2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2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2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29" s="560">
        <f>IF(ISBLANK(HostBuild[Server Model]),0,IF(HostBuild[Server Tier]="VMware",0,VLOOKUP(HostBuild[Server Tier],ServerTierRates[#Data],2,0))*HostBuild[CPU]*IF(AND(HostBuild[Server Type]="pSeries",HostBuild[Virtual Platform Storage Type]="Cloud-SAN"),0.25,1))</f>
        <v>608</v>
      </c>
      <c r="FD129" s="560">
        <f>0</f>
        <v>0</v>
      </c>
      <c r="FE129" s="560">
        <f>IF(HostBuild[Server Type]="VMware",HostBuild[RAM 
(GB)]*IF(ISERROR(FIND("DevCloud", HostBuild[Server Model])&gt;0),vRAM_per_vCPU_2014_Monthly,vRAM_per_vCPU_2014_Daily*30),0)</f>
        <v>0</v>
      </c>
      <c r="FF12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2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29" s="563">
        <f>IF(HostBuild[Server Tier]="VMware",0,IF(LEFT(HostBuild[Existing Server?],3)="Yes",0,IF(OR(HostBuild[Server Type]="Sun",HostBuild[Server Type]="pSeries"),Support_Direct_Server_Sun_per_OS_2014,IF(HostBuild[Server Type]="x86",Support_Direct_Server_x86_Wintel_per_OS_2014,0))))</f>
        <v>187.1</v>
      </c>
      <c r="FI12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0" spans="1:165" s="139" customFormat="1" ht="15" customHeight="1">
      <c r="A130" s="360" t="s">
        <v>3942</v>
      </c>
      <c r="B130" s="521"/>
      <c r="C130" s="521"/>
      <c r="D130" s="521"/>
      <c r="E130" s="522"/>
      <c r="F130" s="522"/>
      <c r="G130" s="597"/>
      <c r="H130" s="597"/>
      <c r="I130" s="523"/>
      <c r="J130" s="522"/>
      <c r="K130" s="522"/>
      <c r="L130" s="522"/>
      <c r="M130" s="597" t="e">
        <f ca="1">IF(rngIsDate(HostBuild[CTO Acceptance]),"Y","N")</f>
        <v>#NAME?</v>
      </c>
      <c r="N130" s="361" t="s">
        <v>3938</v>
      </c>
      <c r="O130" s="525"/>
      <c r="P130" s="525"/>
      <c r="Q130" s="361" t="s">
        <v>4139</v>
      </c>
      <c r="R130" s="526" t="str">
        <f>IF(NOT(ISBLANK(HostBuild[Env Label])),IFERROR(VLOOKUP(HostBuild[Env Label],tEnv[],3,FALSE),""),"")</f>
        <v>UAT</v>
      </c>
      <c r="S130" s="598"/>
      <c r="T130" s="527"/>
      <c r="U130" s="599"/>
      <c r="V130" s="524" t="s">
        <v>4050</v>
      </c>
      <c r="W130" s="524" t="s">
        <v>4019</v>
      </c>
      <c r="X130" s="524" t="s">
        <v>35</v>
      </c>
      <c r="Y130" s="361" t="s">
        <v>4067</v>
      </c>
      <c r="Z130" s="526" t="str">
        <f>IF(NOT(ISBLANK(HostBuild[[#This Row],[Product 
(Acronym)]])),CONCATENATE(HostBuild[[#This Row],[Type]],"-",HostBuild[[#This Row],[Product 
(Acronym)]]),"")</f>
        <v>AP-CBOL</v>
      </c>
      <c r="AA130" s="600"/>
      <c r="AB130" s="600" t="s">
        <v>105</v>
      </c>
      <c r="AC130" s="528"/>
      <c r="AD130" s="529"/>
      <c r="AE130" s="529"/>
      <c r="AF130" s="530"/>
      <c r="AG130" s="531"/>
      <c r="AH130" s="601"/>
      <c r="AI130" s="362" t="s">
        <v>4057</v>
      </c>
      <c r="AJ130" s="524">
        <f>IF(COUNTIF(HostBuild[Alias],HostBuild[Alias]),1/COUNTIF(HostBuild[Alias],HostBuild[Alias]),0)</f>
        <v>1</v>
      </c>
      <c r="AK130" s="531"/>
      <c r="AL130" s="531"/>
      <c r="AM130" s="532" t="s">
        <v>2173</v>
      </c>
      <c r="AN130" s="533" t="str">
        <f>IF(NOT(ISBLANK(HostBuild[Server Model])),VLOOKUP(HostBuild[Server Model],ServerModelsTier[],2,FALSE),"")</f>
        <v>x86 Tier 3</v>
      </c>
      <c r="AO130" s="533" t="str">
        <f>IF(NOT(ISBLANK(HostBuild[Server Model])),VLOOKUP(HostBuild[Server Model],ServerModelsTier[],5,FALSE),"")</f>
        <v>x86</v>
      </c>
      <c r="AP130" s="532"/>
      <c r="AQ130" s="532" t="s">
        <v>2337</v>
      </c>
      <c r="AR130" s="534">
        <v>2</v>
      </c>
      <c r="AS130" s="602"/>
      <c r="AT130" s="535">
        <v>16</v>
      </c>
      <c r="AU130" s="603" t="str">
        <f>IF(IFERROR(FIND("P-Series",HostBuild[Server Tier]),0),CEILING((HostBuild[Existing CPUs]+HostBuild[CPU])*16,8),"")</f>
        <v/>
      </c>
      <c r="AV130" s="536">
        <v>128</v>
      </c>
      <c r="AW130" s="531"/>
      <c r="AX130" s="531"/>
      <c r="AY130" s="531"/>
      <c r="AZ130" s="537"/>
      <c r="BA130" s="531"/>
      <c r="BB130" s="531"/>
      <c r="BC130" s="529"/>
      <c r="BD130" s="531"/>
      <c r="BE130" s="531"/>
      <c r="BF130" s="531"/>
      <c r="BG130" s="531"/>
      <c r="BH130" s="531"/>
      <c r="BI130" s="531"/>
      <c r="BJ130" s="531"/>
      <c r="BK130"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0" s="538">
        <v>600</v>
      </c>
      <c r="BM130" s="540">
        <f>IF(ISNUMBER(HostBuild[Recommended SAN (GB)]),HostBuild[Recommended SAN (GB)])+IF(HostBuild[Additional SAN (GB)]&gt;0,CEILING(HostBuild[Additional SAN (GB)],LUN),-(CEILING(-HostBuild[Additional SAN (GB)],LUN)))</f>
        <v>808.80000000000007</v>
      </c>
      <c r="BN130" s="539"/>
      <c r="BO130" s="540">
        <f>HostBuild[SAN (GB)
NEEDED TODAY]+CEILING(HostBuild[SAN (GB)
RESERVED
DO NOT USE TO BUILD], LUN)</f>
        <v>808.80000000000007</v>
      </c>
      <c r="BP130" s="541"/>
      <c r="BQ130" s="542"/>
      <c r="BR130" s="432"/>
      <c r="BS130" s="605">
        <f>IF(HostBuild[Existing Server?]&lt;&gt;"Yes - Inside this BoM",IF(ISNUMBER(HostBuild[RAM 
(GB)]),IF(HostBuild[Existing RAM (GB)]+HostBuild[RAM 
(GB)]&gt;0,IF(HostBuild[Virtual Platform Storage Type]="NAS",110+HostBuild[Existing RAM (GB)]+HostBuild[RAM 
(GB)]*1.75,0),0),0),0)</f>
        <v>0</v>
      </c>
      <c r="BT130" s="606"/>
      <c r="BU130" s="607">
        <f>IF(ISNUMBER(HostBuild[Recommended NAS (GB)]),HostBuild[Recommended NAS (GB)])+HostBuild[Additional NAS (GB)]</f>
        <v>0</v>
      </c>
      <c r="BV130" s="543"/>
      <c r="BW130" s="543"/>
      <c r="BX130" s="604">
        <f>IFERROR((HostBuild[SAN (GB)
End-State
DO NOT USE TO BUILD]+HostBuild[SAN (GB) Shared])*25%,"")</f>
        <v>202.20000000000002</v>
      </c>
      <c r="BY130" s="608">
        <f>IFERROR(HostBuild[Archive
Full (GB)]*15%,"")</f>
        <v>30.330000000000002</v>
      </c>
      <c r="BZ130" s="544"/>
      <c r="CA130" s="544"/>
      <c r="CB130" s="545"/>
      <c r="CC130" s="546"/>
      <c r="CD130" s="545"/>
      <c r="CE130" s="547"/>
      <c r="CF130" s="539"/>
      <c r="CG130" s="609"/>
      <c r="CH130" s="548"/>
      <c r="CI130" s="549"/>
      <c r="CJ130" s="524" t="s">
        <v>4079</v>
      </c>
      <c r="CK130" s="551"/>
      <c r="CL130" s="552">
        <f>IFERROR(IF(FIND(CL$1,$W130)&gt;0,IF(INDEX(Product_Pricing_Table[],MATCH(CL$1,Products,0),2)="Cores",IF(HostBuild[Use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0" s="552">
        <f>IFERROR(IF(FIND(CM$1,$W130)&gt;0,IF(INDEX(Product_Pricing_Table[],MATCH(CM$1,Products,0),2)="Cores",IF(HostBuild[Use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30" s="552">
        <f>IFERROR(IF(FIND(CN$1,$W130)&gt;0,IF(INDEX(Product_Pricing_Table[],MATCH(CN$1,Products,0),2)="Cores",IF(HostBuild[Use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0" s="552">
        <f>IFERROR(IF(FIND(CO$1,$W130)&gt;0,IF(INDEX(Product_Pricing_Table[],MATCH(CO$1,Products,0),2)="Cores",IF(HostBuild[Use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0" s="552">
        <f>IFERROR(IF(FIND(CP$1,$W130)&gt;0,IF(INDEX(Product_Pricing_Table[],MATCH(CP$1,Products,0),2)="Cores",IF(HostBuild[Use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0" s="552">
        <f>IFERROR(IF(FIND(CQ$1,$W130)&gt;0,IF(INDEX(Product_Pricing_Table[],MATCH(CQ$1,Products,0),2)="Cores",IF(HostBuild[Use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0" s="552">
        <f>IFERROR(IF(FIND(CR$1,$W130)&gt;0,IF(INDEX(Product_Pricing_Table[],MATCH(CR$1,Products,0),2)="Cores",IF(HostBuild[Use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0" s="552">
        <f>IFERROR(IF(FIND(CS$1,$W130)&gt;0,IF(INDEX(Product_Pricing_Table[],MATCH(CS$1,Products,0),2)="Cores",IF(HostBuild[Use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0" s="552">
        <f>IFERROR(IF(FIND(CT$1,$W130)&gt;0,IF(INDEX(Product_Pricing_Table[],MATCH(CT$1,Products,0),2)="Cores",IF(HostBuild[Use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0" s="552">
        <f>IFERROR(IF(FIND(CU$1,$W130)&gt;0,IF(INDEX(Product_Pricing_Table[],MATCH(CU$1,Products,0),2)="Cores",IF(HostBuild[Use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30" s="552">
        <f>IFERROR(IF(FIND(CV$1,$W130)&gt;0,IF(INDEX(Product_Pricing_Table[],MATCH(CV$1,Products,0),2)="Cores",IF(HostBuild[Use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0" s="552">
        <f>IFERROR(IF(FIND(CW$1,$W130)&gt;0,IF(INDEX(Product_Pricing_Table[],MATCH(CW$1,Products,0),2)="Cores",IF(HostBuild[Use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0" s="552">
        <f>IFERROR(IF(FIND(CX$1,$W130)&gt;0,IF(INDEX(Product_Pricing_Table[],MATCH(CX$1,Products,0),2)="Cores",IF(HostBuild[Use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30" s="552">
        <f>IFERROR(IF(FIND(CY$1,$W130)&gt;0,IF(INDEX(Product_Pricing_Table[],MATCH(CY$1,Products,0),2)="Cores",IF(HostBuild[Use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0" s="552">
        <f>IFERROR(IF(FIND(CZ$1,$W130)&gt;0,IF(INDEX(Product_Pricing_Table[],MATCH(CZ$1,Products,0),2)="Cores",IF(HostBuild[Use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0" s="552">
        <f>IFERROR(IF(FIND(DA$1,$W130)&gt;0,IF(INDEX(Product_Pricing_Table[],MATCH(DA$1,Products,0),2)="Cores",IF(HostBuild[Use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0" s="552">
        <f>IFERROR(IF(FIND(DB$1,$W130)&gt;0,IF(INDEX(Product_Pricing_Table[],MATCH(DB$1,Products,0),2)="Cores",IF(HostBuild[Use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0" s="552">
        <f>IFERROR(IF(FIND(DC$1,$W130)&gt;0,IF(INDEX(Product_Pricing_Table[],MATCH(DC$1,Products,0),2)="Cores",IF(HostBuild[Use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0" s="552">
        <f>IFERROR(IF(FIND(DD$1,$W130)&gt;0,IF(INDEX(Product_Pricing_Table[],MATCH(DD$1,Products,0),2)="Cores",IF(HostBuild[Use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0" s="552">
        <f>IFERROR(IF(FIND(DE$1,$W130)&gt;0,IF(INDEX(Product_Pricing_Table[],MATCH(DE$1,Products,0),2)="Cores",IF(HostBuild[Use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0" s="553">
        <f>IFERROR(IF(FIND(DF$1,$W130)&gt;0,IF(INDEX(Product_Pricing_Table[],MATCH(DF$1,Products,0),2)="Cores",IF(HostBuild[Use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0" s="553">
        <f>IFERROR(IF(FIND(DG$1,$W130)&gt;0,IF(INDEX(Product_Pricing_Table[],MATCH(DG$1,Products,0),2)="Cores",IF(HostBuild[Use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0" s="552">
        <f>IFERROR(IF(FIND(DH$1,$W130)&gt;0,IF(INDEX(Product_Pricing_Table[],MATCH(DH$1,Products,0),2)="Cores",IF(HostBuild[Use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0" s="553">
        <f>IFERROR(IF(FIND(DI$1,$W130)&gt;0,IF(INDEX(Product_Pricing_Table[],MATCH(DI$1,Products,0),2)="Cores",IF(HostBuild[Use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0" s="552">
        <f>IFERROR(IF(FIND(DJ$1,$W130)&gt;0,IF(INDEX(Product_Pricing_Table[],MATCH(DJ$1,Products,0),2)="Cores",IF(HostBuild[Use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0" s="552">
        <f>IFERROR(IF(FIND(DK$1,$W130)&gt;0,IF(INDEX(Product_Pricing_Table[],MATCH(DK$1,Products,0),2)="Cores",IF(HostBuild[Use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0" s="552">
        <f>IFERROR(IF(FIND(DL$1,$W130)&gt;0,IF(INDEX(Product_Pricing_Table[],MATCH(DL$1,Products,0),2)="Cores",IF(HostBuild[Use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0" s="552">
        <f>IFERROR(IF(FIND(DM$1,$W130)&gt;0,IF(INDEX(Product_Pricing_Table[],MATCH(DM$1,Products,0),2)="Cores",IF(HostBuild[Use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0" s="552">
        <f>IFERROR(IF(FIND(DN$1,$W130)&gt;0,IF(INDEX(Product_Pricing_Table[],MATCH(DN$1,Products,0),2)="Cores",IF(HostBuild[Use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0" s="552">
        <f>IFERROR(IF(FIND(DO$1,$W130)&gt;0,IF(INDEX(Product_Pricing_Table[],MATCH(DO$1,Products,0),2)="Cores",IF(HostBuild[Use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0" s="552">
        <f>IFERROR(IF(FIND(DP$1,$W130)&gt;0,IF(INDEX(Product_Pricing_Table[],MATCH(DP$1,Products,0),2)="Cores",IF(HostBuild[Use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0" s="552">
        <f>IFERROR(IF(FIND(DQ$1,$W130)&gt;0,IF(INDEX(Product_Pricing_Table[],MATCH(DQ$1,Products,0),2)="Cores",IF(HostBuild[Use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0" s="552">
        <f>IFERROR(IF(FIND(DR$1,$W130)&gt;0,IF(INDEX(Product_Pricing_Table[],MATCH(DR$1,Products,0),2)="Cores",IF(HostBuild[Use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0" s="552">
        <f>IFERROR(IF(FIND(DS$1,$W130)&gt;0,IF(INDEX(Product_Pricing_Table[],MATCH(DS$1,Products,0),2)="Cores",IF(HostBuild[Use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0" s="552">
        <f>IFERROR(IF(FIND(DT$1,$W130)&gt;0,IF(INDEX(Product_Pricing_Table[],MATCH(DT$1,Products,0),2)="Cores",IF(HostBuild[Use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0" s="552">
        <f>IFERROR(IF(FIND(DU$1,$W130)&gt;0,IF(INDEX(Product_Pricing_Table[],MATCH(DU$1,Products,0),2)="Cores",IF(HostBuild[Use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0" s="552">
        <f>IFERROR(IF(FIND(DV$1,$W130)&gt;0,IF(INDEX(Product_Pricing_Table[],MATCH(DV$1,Products,0),2)="Cores",IF(HostBuild[Use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30" s="552">
        <f>IFERROR(IF(FIND(DW$1,$W130)&gt;0,IF(INDEX(Product_Pricing_Table[],MATCH(DW$1,Products,0),2)="Cores",IF(HostBuild[Use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0" s="552">
        <f>IFERROR(IF(FIND(DX$1,$W130)&gt;0,IF(INDEX(Product_Pricing_Table[],MATCH(DX$1,Products,0),2)="Cores",IF(HostBuild[Use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0" s="552">
        <f>IFERROR(IF(FIND(DY$1,$W130)&gt;0,IF(INDEX(Product_Pricing_Table[],MATCH(DY$1,Products,0),2)="Cores",IF(HostBuild[Use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0" s="552">
        <f>IFERROR(IF(FIND(DZ$1,$W130)&gt;0,IF(INDEX(Product_Pricing_Table[],MATCH(DZ$1,Products,0),2)="Cores",IF(HostBuild[Use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0" s="552">
        <f>IFERROR(IF(FIND(EA$1,$W130)&gt;0,IF(INDEX(Product_Pricing_Table[],MATCH(EA$1,Products,0),2)="Cores",IF(HostBuild[Use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0" s="552">
        <f>IFERROR(IF(FIND(EB$1,$W130)&gt;0,IF(INDEX(Product_Pricing_Table[],MATCH(EB$1,Products,0),2)="Cores",IF(HostBuild[Use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0" s="553">
        <f>IFERROR(IF(FIND(EC$1,$W130)&gt;0,IF(INDEX(Product_Pricing_Table[],MATCH(EC$1,Products,0),2)="Cores",IF(HostBuild[Use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0" s="552">
        <f>IFERROR(IF(FIND(ED$1,$W130)&gt;0,IF(INDEX(Product_Pricing_Table[],MATCH(ED$1,Products,0),2)="Cores",IF(HostBuild[Use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0" s="552">
        <f>IFERROR(IF(FIND(EE$1,$W130)&gt;0,IF(INDEX(Product_Pricing_Table[],MATCH(EE$1,Products,0),2)="Cores",IF(HostBuild[Use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0" s="552">
        <f>IFERROR(IF(FIND(EF$1,$W130)&gt;0,IF(INDEX(Product_Pricing_Table[],MATCH(EF$1,Products,0),2)="Cores",IF(HostBuild[Use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0" s="552">
        <f>IFERROR(IF(FIND(EG$1,$W130)&gt;0,IF(INDEX(Product_Pricing_Table[],MATCH(EG$1,Products,0),2)="Cores",IF(HostBuild[Use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0" s="552">
        <f>IFERROR(IF(FIND(EH$1,$W130)&gt;0,IF(INDEX(Product_Pricing_Table[],MATCH(EH$1,Products,0),2)="Cores",IF(HostBuild[Use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0" s="552">
        <f>IFERROR(IF(FIND(EI$1,$W130)&gt;0,IF(INDEX(Product_Pricing_Table[],MATCH(EI$1,Products,0),2)="Cores",IF(HostBuild[Use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0" s="552">
        <f>IFERROR(IF(FIND(EJ$1,$W130)&gt;0,IF(INDEX(Product_Pricing_Table[],MATCH(EJ$1,Products,0),2)="Cores",IF(HostBuild[Use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0" s="553">
        <f>IFERROR(IF(FIND(EK$1,$W130)&gt;0,IF(INDEX(Product_Pricing_Table[],MATCH(EK$1,Products,0),2)="Cores",IF(HostBuild[Use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0" s="554"/>
      <c r="EM130" s="555">
        <v>4102</v>
      </c>
      <c r="EN130" s="556">
        <v>1638</v>
      </c>
      <c r="EO130"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30" s="558">
        <f>(HostBuild[Archive
Full (GB)]+HostBuild[Archive
Incr (GB)])*Storage_DC_Dist_Tape_2014</f>
        <v>81.385500000000008</v>
      </c>
      <c r="ER130" s="558">
        <f>IF(ISNUMBER(HostBuild[Server HW Costs
(Monthly)]),SUM(HostBuild[[#This Row],[Server HW Costs
(Monthly)]:[Tape Costs
(Monthly)]]),0)</f>
        <v>1334.0455000000002</v>
      </c>
      <c r="ES130" s="559">
        <f>HostBuild[Software Costs
'[Year 1']
(Monthly)]+HostBuild[Total Hardware Costs
(Monthly)]</f>
        <v>5436.0455000000002</v>
      </c>
      <c r="ET130" s="559">
        <f>IFERROR(IF(FIND("Safenet",HostBuild[Server Model]),Safenet_PSE_PL600_Maint,0),0)+IFERROR(IF(FIND("XI52",HostBuild[Server Model]),IBM_DIA_XI52_Maint,0),0)+HostBuild[Software Costs
'[After Year 1']
(Monthly)]+HostBuild[Total Hardware Costs
(Monthly)]</f>
        <v>2972.0455000000002</v>
      </c>
      <c r="EU130" s="560">
        <f>SUM(HostBuild[[#This Row],[Server Cost Breakdown]:[Network Cost]])</f>
        <v>888.7</v>
      </c>
      <c r="EV130" s="561">
        <f>IF(HostBuild[Existing Server?]="Yes - Inside this BoM",0,SUMIF(HostBuild[Alias],HostBuild[Alias],HostBuild[CPU])+SUMIF(HostBuild[Alias],HostBuild[Alias],HostBuild[Existing CPUs]))</f>
        <v>2</v>
      </c>
      <c r="EW130" s="561">
        <f>IF(HostBuild[Existing Server?]="Yes - Inside this BoM",0,SUMIF(HostBuild[Alias],HostBuild[Alias],HostBuild[Cores 
(Licensed Units)])+SUMIF(HostBuild[Alias],HostBuild[Alias],HostBuild[Existing Cores]))</f>
        <v>16</v>
      </c>
      <c r="EX130" s="561">
        <f>IF(HostBuild[Existing Server?]="Yes - Inside this BoM",0,SUMIF(HostBuild[Alias],HostBuild[Alias],HostBuild[RAM 
(GB)])+SUMIF(HostBuild[Alias],HostBuild[Alias],HostBuild[Existing RAM (GB)]))</f>
        <v>128</v>
      </c>
      <c r="EY13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0" s="560">
        <f>IF(ISBLANK(HostBuild[Server Model]),0,IF(HostBuild[Server Tier]="VMware",0,VLOOKUP(HostBuild[Server Tier],ServerTierRates[#Data],2,0))*HostBuild[CPU]*IF(AND(HostBuild[Server Type]="pSeries",HostBuild[Virtual Platform Storage Type]="Cloud-SAN"),0.25,1))</f>
        <v>608</v>
      </c>
      <c r="FD130" s="560">
        <f>0</f>
        <v>0</v>
      </c>
      <c r="FE130" s="560">
        <f>IF(HostBuild[Server Type]="VMware",HostBuild[RAM 
(GB)]*IF(ISERROR(FIND("DevCloud", HostBuild[Server Model])&gt;0),vRAM_per_vCPU_2014_Monthly,vRAM_per_vCPU_2014_Daily*30),0)</f>
        <v>0</v>
      </c>
      <c r="FF13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0" s="563">
        <f>IF(HostBuild[Server Tier]="VMware",0,IF(LEFT(HostBuild[Existing Server?],3)="Yes",0,IF(OR(HostBuild[Server Type]="Sun",HostBuild[Server Type]="pSeries"),Support_Direct_Server_Sun_per_OS_2014,IF(HostBuild[Server Type]="x86",Support_Direct_Server_x86_Wintel_per_OS_2014,0))))</f>
        <v>187.1</v>
      </c>
      <c r="FI13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1" spans="1:165" s="139" customFormat="1" ht="15" customHeight="1">
      <c r="A131" s="360" t="s">
        <v>3942</v>
      </c>
      <c r="B131" s="521"/>
      <c r="C131" s="521"/>
      <c r="D131" s="521"/>
      <c r="E131" s="522"/>
      <c r="F131" s="522"/>
      <c r="G131" s="597"/>
      <c r="H131" s="597"/>
      <c r="I131" s="523"/>
      <c r="J131" s="522"/>
      <c r="K131" s="522"/>
      <c r="L131" s="522"/>
      <c r="M131" s="597" t="e">
        <f ca="1">IF(rngIsDate(HostBuild[CTO Acceptance]),"Y","N")</f>
        <v>#NAME?</v>
      </c>
      <c r="N131" s="361" t="s">
        <v>3939</v>
      </c>
      <c r="O131" s="525"/>
      <c r="P131" s="525"/>
      <c r="Q131" s="361" t="s">
        <v>212</v>
      </c>
      <c r="R131" s="526" t="str">
        <f>IF(NOT(ISBLANK(HostBuild[Env Label])),IFERROR(VLOOKUP(HostBuild[Env Label],tEnv[],3,FALSE),""),"")</f>
        <v>UAT</v>
      </c>
      <c r="S131" s="598"/>
      <c r="T131" s="527"/>
      <c r="U131" s="599"/>
      <c r="V131" s="524" t="s">
        <v>4050</v>
      </c>
      <c r="W131" s="524" t="s">
        <v>4019</v>
      </c>
      <c r="X131" s="524" t="s">
        <v>35</v>
      </c>
      <c r="Y131" s="361" t="s">
        <v>4067</v>
      </c>
      <c r="Z131" s="526" t="str">
        <f>IF(NOT(ISBLANK(HostBuild[[#This Row],[Product 
(Acronym)]])),CONCATENATE(HostBuild[[#This Row],[Type]],"-",HostBuild[[#This Row],[Product 
(Acronym)]]),"")</f>
        <v>AP-CBOL</v>
      </c>
      <c r="AA131" s="600"/>
      <c r="AB131" s="600" t="s">
        <v>105</v>
      </c>
      <c r="AC131" s="528"/>
      <c r="AD131" s="529"/>
      <c r="AE131" s="529"/>
      <c r="AF131" s="530"/>
      <c r="AG131" s="531"/>
      <c r="AH131" s="601"/>
      <c r="AI131" s="362" t="s">
        <v>4058</v>
      </c>
      <c r="AJ131" s="524">
        <f>IF(COUNTIF(HostBuild[Alias],HostBuild[Alias]),1/COUNTIF(HostBuild[Alias],HostBuild[Alias]),0)</f>
        <v>1</v>
      </c>
      <c r="AK131" s="531"/>
      <c r="AL131" s="531"/>
      <c r="AM131" s="532" t="s">
        <v>2173</v>
      </c>
      <c r="AN131" s="533" t="str">
        <f>IF(NOT(ISBLANK(HostBuild[Server Model])),VLOOKUP(HostBuild[Server Model],ServerModelsTier[],2,FALSE),"")</f>
        <v>x86 Tier 3</v>
      </c>
      <c r="AO131" s="533" t="str">
        <f>IF(NOT(ISBLANK(HostBuild[Server Model])),VLOOKUP(HostBuild[Server Model],ServerModelsTier[],5,FALSE),"")</f>
        <v>x86</v>
      </c>
      <c r="AP131" s="532"/>
      <c r="AQ131" s="532" t="s">
        <v>2337</v>
      </c>
      <c r="AR131" s="534">
        <v>2</v>
      </c>
      <c r="AS131" s="602"/>
      <c r="AT131" s="535">
        <v>16</v>
      </c>
      <c r="AU131" s="603" t="str">
        <f>IF(IFERROR(FIND("P-Series",HostBuild[Server Tier]),0),CEILING((HostBuild[Existing CPUs]+HostBuild[CPU])*16,8),"")</f>
        <v/>
      </c>
      <c r="AV131" s="536">
        <v>128</v>
      </c>
      <c r="AW131" s="531"/>
      <c r="AX131" s="531"/>
      <c r="AY131" s="531"/>
      <c r="AZ131" s="537"/>
      <c r="BA131" s="531"/>
      <c r="BB131" s="531"/>
      <c r="BC131" s="529"/>
      <c r="BD131" s="531"/>
      <c r="BE131" s="531"/>
      <c r="BF131" s="531"/>
      <c r="BG131" s="531"/>
      <c r="BH131" s="531"/>
      <c r="BI131" s="531"/>
      <c r="BJ131" s="531"/>
      <c r="BK131"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1" s="538">
        <v>600</v>
      </c>
      <c r="BM131" s="540">
        <f>IF(ISNUMBER(HostBuild[Recommended SAN (GB)]),HostBuild[Recommended SAN (GB)])+IF(HostBuild[Additional SAN (GB)]&gt;0,CEILING(HostBuild[Additional SAN (GB)],LUN),-(CEILING(-HostBuild[Additional SAN (GB)],LUN)))</f>
        <v>808.80000000000007</v>
      </c>
      <c r="BN131" s="539"/>
      <c r="BO131" s="540">
        <f>HostBuild[SAN (GB)
NEEDED TODAY]+CEILING(HostBuild[SAN (GB)
RESERVED
DO NOT USE TO BUILD], LUN)</f>
        <v>808.80000000000007</v>
      </c>
      <c r="BP131" s="541"/>
      <c r="BQ131" s="542"/>
      <c r="BR131" s="432"/>
      <c r="BS131" s="605">
        <f>IF(HostBuild[Existing Server?]&lt;&gt;"Yes - Inside this BoM",IF(ISNUMBER(HostBuild[RAM 
(GB)]),IF(HostBuild[Existing RAM (GB)]+HostBuild[RAM 
(GB)]&gt;0,IF(HostBuild[Virtual Platform Storage Type]="NAS",110+HostBuild[Existing RAM (GB)]+HostBuild[RAM 
(GB)]*1.75,0),0),0),0)</f>
        <v>0</v>
      </c>
      <c r="BT131" s="606"/>
      <c r="BU131" s="607">
        <f>IF(ISNUMBER(HostBuild[Recommended NAS (GB)]),HostBuild[Recommended NAS (GB)])+HostBuild[Additional NAS (GB)]</f>
        <v>0</v>
      </c>
      <c r="BV131" s="543"/>
      <c r="BW131" s="543"/>
      <c r="BX131" s="604">
        <f>IFERROR((HostBuild[SAN (GB)
End-State
DO NOT USE TO BUILD]+HostBuild[SAN (GB) Shared])*25%,"")</f>
        <v>202.20000000000002</v>
      </c>
      <c r="BY131" s="608">
        <f>IFERROR(HostBuild[Archive
Full (GB)]*15%,"")</f>
        <v>30.330000000000002</v>
      </c>
      <c r="BZ131" s="544"/>
      <c r="CA131" s="544"/>
      <c r="CB131" s="545"/>
      <c r="CC131" s="546"/>
      <c r="CD131" s="545"/>
      <c r="CE131" s="547"/>
      <c r="CF131" s="539"/>
      <c r="CG131" s="609"/>
      <c r="CH131" s="548"/>
      <c r="CI131" s="549"/>
      <c r="CJ131" s="524" t="s">
        <v>4079</v>
      </c>
      <c r="CK131" s="551"/>
      <c r="CL131" s="552">
        <f>IFERROR(IF(FIND(CL$1,$W131)&gt;0,IF(INDEX(Product_Pricing_Table[],MATCH(CL$1,Products,0),2)="Cores",IF(HostBuild[Use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1" s="552">
        <f>IFERROR(IF(FIND(CM$1,$W131)&gt;0,IF(INDEX(Product_Pricing_Table[],MATCH(CM$1,Products,0),2)="Cores",IF(HostBuild[Use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31" s="552">
        <f>IFERROR(IF(FIND(CN$1,$W131)&gt;0,IF(INDEX(Product_Pricing_Table[],MATCH(CN$1,Products,0),2)="Cores",IF(HostBuild[Use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1" s="552">
        <f>IFERROR(IF(FIND(CO$1,$W131)&gt;0,IF(INDEX(Product_Pricing_Table[],MATCH(CO$1,Products,0),2)="Cores",IF(HostBuild[Use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1" s="552">
        <f>IFERROR(IF(FIND(CP$1,$W131)&gt;0,IF(INDEX(Product_Pricing_Table[],MATCH(CP$1,Products,0),2)="Cores",IF(HostBuild[Use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1" s="552">
        <f>IFERROR(IF(FIND(CQ$1,$W131)&gt;0,IF(INDEX(Product_Pricing_Table[],MATCH(CQ$1,Products,0),2)="Cores",IF(HostBuild[Use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1" s="552">
        <f>IFERROR(IF(FIND(CR$1,$W131)&gt;0,IF(INDEX(Product_Pricing_Table[],MATCH(CR$1,Products,0),2)="Cores",IF(HostBuild[Use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1" s="552">
        <f>IFERROR(IF(FIND(CS$1,$W131)&gt;0,IF(INDEX(Product_Pricing_Table[],MATCH(CS$1,Products,0),2)="Cores",IF(HostBuild[Use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1" s="552">
        <f>IFERROR(IF(FIND(CT$1,$W131)&gt;0,IF(INDEX(Product_Pricing_Table[],MATCH(CT$1,Products,0),2)="Cores",IF(HostBuild[Use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1" s="552">
        <f>IFERROR(IF(FIND(CU$1,$W131)&gt;0,IF(INDEX(Product_Pricing_Table[],MATCH(CU$1,Products,0),2)="Cores",IF(HostBuild[Use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31" s="552">
        <f>IFERROR(IF(FIND(CV$1,$W131)&gt;0,IF(INDEX(Product_Pricing_Table[],MATCH(CV$1,Products,0),2)="Cores",IF(HostBuild[Use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1" s="552">
        <f>IFERROR(IF(FIND(CW$1,$W131)&gt;0,IF(INDEX(Product_Pricing_Table[],MATCH(CW$1,Products,0),2)="Cores",IF(HostBuild[Use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1" s="552">
        <f>IFERROR(IF(FIND(CX$1,$W131)&gt;0,IF(INDEX(Product_Pricing_Table[],MATCH(CX$1,Products,0),2)="Cores",IF(HostBuild[Use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31" s="552">
        <f>IFERROR(IF(FIND(CY$1,$W131)&gt;0,IF(INDEX(Product_Pricing_Table[],MATCH(CY$1,Products,0),2)="Cores",IF(HostBuild[Use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1" s="552">
        <f>IFERROR(IF(FIND(CZ$1,$W131)&gt;0,IF(INDEX(Product_Pricing_Table[],MATCH(CZ$1,Products,0),2)="Cores",IF(HostBuild[Use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1" s="552">
        <f>IFERROR(IF(FIND(DA$1,$W131)&gt;0,IF(INDEX(Product_Pricing_Table[],MATCH(DA$1,Products,0),2)="Cores",IF(HostBuild[Use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1" s="552">
        <f>IFERROR(IF(FIND(DB$1,$W131)&gt;0,IF(INDEX(Product_Pricing_Table[],MATCH(DB$1,Products,0),2)="Cores",IF(HostBuild[Use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1" s="552">
        <f>IFERROR(IF(FIND(DC$1,$W131)&gt;0,IF(INDEX(Product_Pricing_Table[],MATCH(DC$1,Products,0),2)="Cores",IF(HostBuild[Use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1" s="552">
        <f>IFERROR(IF(FIND(DD$1,$W131)&gt;0,IF(INDEX(Product_Pricing_Table[],MATCH(DD$1,Products,0),2)="Cores",IF(HostBuild[Use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1" s="552">
        <f>IFERROR(IF(FIND(DE$1,$W131)&gt;0,IF(INDEX(Product_Pricing_Table[],MATCH(DE$1,Products,0),2)="Cores",IF(HostBuild[Use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1" s="553">
        <f>IFERROR(IF(FIND(DF$1,$W131)&gt;0,IF(INDEX(Product_Pricing_Table[],MATCH(DF$1,Products,0),2)="Cores",IF(HostBuild[Use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1" s="553">
        <f>IFERROR(IF(FIND(DG$1,$W131)&gt;0,IF(INDEX(Product_Pricing_Table[],MATCH(DG$1,Products,0),2)="Cores",IF(HostBuild[Use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1" s="552">
        <f>IFERROR(IF(FIND(DH$1,$W131)&gt;0,IF(INDEX(Product_Pricing_Table[],MATCH(DH$1,Products,0),2)="Cores",IF(HostBuild[Use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1" s="553">
        <f>IFERROR(IF(FIND(DI$1,$W131)&gt;0,IF(INDEX(Product_Pricing_Table[],MATCH(DI$1,Products,0),2)="Cores",IF(HostBuild[Use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1" s="552">
        <f>IFERROR(IF(FIND(DJ$1,$W131)&gt;0,IF(INDEX(Product_Pricing_Table[],MATCH(DJ$1,Products,0),2)="Cores",IF(HostBuild[Use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1" s="552">
        <f>IFERROR(IF(FIND(DK$1,$W131)&gt;0,IF(INDEX(Product_Pricing_Table[],MATCH(DK$1,Products,0),2)="Cores",IF(HostBuild[Use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1" s="552">
        <f>IFERROR(IF(FIND(DL$1,$W131)&gt;0,IF(INDEX(Product_Pricing_Table[],MATCH(DL$1,Products,0),2)="Cores",IF(HostBuild[Use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1" s="552">
        <f>IFERROR(IF(FIND(DM$1,$W131)&gt;0,IF(INDEX(Product_Pricing_Table[],MATCH(DM$1,Products,0),2)="Cores",IF(HostBuild[Use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1" s="552">
        <f>IFERROR(IF(FIND(DN$1,$W131)&gt;0,IF(INDEX(Product_Pricing_Table[],MATCH(DN$1,Products,0),2)="Cores",IF(HostBuild[Use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1" s="552">
        <f>IFERROR(IF(FIND(DO$1,$W131)&gt;0,IF(INDEX(Product_Pricing_Table[],MATCH(DO$1,Products,0),2)="Cores",IF(HostBuild[Use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1" s="552">
        <f>IFERROR(IF(FIND(DP$1,$W131)&gt;0,IF(INDEX(Product_Pricing_Table[],MATCH(DP$1,Products,0),2)="Cores",IF(HostBuild[Use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1" s="552">
        <f>IFERROR(IF(FIND(DQ$1,$W131)&gt;0,IF(INDEX(Product_Pricing_Table[],MATCH(DQ$1,Products,0),2)="Cores",IF(HostBuild[Use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1" s="552">
        <f>IFERROR(IF(FIND(DR$1,$W131)&gt;0,IF(INDEX(Product_Pricing_Table[],MATCH(DR$1,Products,0),2)="Cores",IF(HostBuild[Use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1" s="552">
        <f>IFERROR(IF(FIND(DS$1,$W131)&gt;0,IF(INDEX(Product_Pricing_Table[],MATCH(DS$1,Products,0),2)="Cores",IF(HostBuild[Use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1" s="552">
        <f>IFERROR(IF(FIND(DT$1,$W131)&gt;0,IF(INDEX(Product_Pricing_Table[],MATCH(DT$1,Products,0),2)="Cores",IF(HostBuild[Use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1" s="552">
        <f>IFERROR(IF(FIND(DU$1,$W131)&gt;0,IF(INDEX(Product_Pricing_Table[],MATCH(DU$1,Products,0),2)="Cores",IF(HostBuild[Use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1" s="552">
        <f>IFERROR(IF(FIND(DV$1,$W131)&gt;0,IF(INDEX(Product_Pricing_Table[],MATCH(DV$1,Products,0),2)="Cores",IF(HostBuild[Use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31" s="552">
        <f>IFERROR(IF(FIND(DW$1,$W131)&gt;0,IF(INDEX(Product_Pricing_Table[],MATCH(DW$1,Products,0),2)="Cores",IF(HostBuild[Use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1" s="552">
        <f>IFERROR(IF(FIND(DX$1,$W131)&gt;0,IF(INDEX(Product_Pricing_Table[],MATCH(DX$1,Products,0),2)="Cores",IF(HostBuild[Use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1" s="552">
        <f>IFERROR(IF(FIND(DY$1,$W131)&gt;0,IF(INDEX(Product_Pricing_Table[],MATCH(DY$1,Products,0),2)="Cores",IF(HostBuild[Use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1" s="552">
        <f>IFERROR(IF(FIND(DZ$1,$W131)&gt;0,IF(INDEX(Product_Pricing_Table[],MATCH(DZ$1,Products,0),2)="Cores",IF(HostBuild[Use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1" s="552">
        <f>IFERROR(IF(FIND(EA$1,$W131)&gt;0,IF(INDEX(Product_Pricing_Table[],MATCH(EA$1,Products,0),2)="Cores",IF(HostBuild[Use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1" s="552">
        <f>IFERROR(IF(FIND(EB$1,$W131)&gt;0,IF(INDEX(Product_Pricing_Table[],MATCH(EB$1,Products,0),2)="Cores",IF(HostBuild[Use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1" s="553">
        <f>IFERROR(IF(FIND(EC$1,$W131)&gt;0,IF(INDEX(Product_Pricing_Table[],MATCH(EC$1,Products,0),2)="Cores",IF(HostBuild[Use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1" s="552">
        <f>IFERROR(IF(FIND(ED$1,$W131)&gt;0,IF(INDEX(Product_Pricing_Table[],MATCH(ED$1,Products,0),2)="Cores",IF(HostBuild[Use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1" s="552">
        <f>IFERROR(IF(FIND(EE$1,$W131)&gt;0,IF(INDEX(Product_Pricing_Table[],MATCH(EE$1,Products,0),2)="Cores",IF(HostBuild[Use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1" s="552">
        <f>IFERROR(IF(FIND(EF$1,$W131)&gt;0,IF(INDEX(Product_Pricing_Table[],MATCH(EF$1,Products,0),2)="Cores",IF(HostBuild[Use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1" s="552">
        <f>IFERROR(IF(FIND(EG$1,$W131)&gt;0,IF(INDEX(Product_Pricing_Table[],MATCH(EG$1,Products,0),2)="Cores",IF(HostBuild[Use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1" s="552">
        <f>IFERROR(IF(FIND(EH$1,$W131)&gt;0,IF(INDEX(Product_Pricing_Table[],MATCH(EH$1,Products,0),2)="Cores",IF(HostBuild[Use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1" s="552">
        <f>IFERROR(IF(FIND(EI$1,$W131)&gt;0,IF(INDEX(Product_Pricing_Table[],MATCH(EI$1,Products,0),2)="Cores",IF(HostBuild[Use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1" s="552">
        <f>IFERROR(IF(FIND(EJ$1,$W131)&gt;0,IF(INDEX(Product_Pricing_Table[],MATCH(EJ$1,Products,0),2)="Cores",IF(HostBuild[Use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1" s="553">
        <f>IFERROR(IF(FIND(EK$1,$W131)&gt;0,IF(INDEX(Product_Pricing_Table[],MATCH(EK$1,Products,0),2)="Cores",IF(HostBuild[Use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1" s="554"/>
      <c r="EM131" s="555">
        <v>0</v>
      </c>
      <c r="EN131" s="556">
        <v>0</v>
      </c>
      <c r="EO131"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31" s="558">
        <f>(HostBuild[Archive
Full (GB)]+HostBuild[Archive
Incr (GB)])*Storage_DC_Dist_Tape_2014</f>
        <v>81.385500000000008</v>
      </c>
      <c r="ER131" s="558">
        <f>IF(ISNUMBER(HostBuild[Server HW Costs
(Monthly)]),SUM(HostBuild[[#This Row],[Server HW Costs
(Monthly)]:[Tape Costs
(Monthly)]]),0)</f>
        <v>1334.0455000000002</v>
      </c>
      <c r="ES131" s="559">
        <f>HostBuild[Software Costs
'[Year 1']
(Monthly)]+HostBuild[Total Hardware Costs
(Monthly)]</f>
        <v>1334.0455000000002</v>
      </c>
      <c r="ET131" s="559">
        <f>IFERROR(IF(FIND("Safenet",HostBuild[Server Model]),Safenet_PSE_PL600_Maint,0),0)+IFERROR(IF(FIND("XI52",HostBuild[Server Model]),IBM_DIA_XI52_Maint,0),0)+HostBuild[Software Costs
'[After Year 1']
(Monthly)]+HostBuild[Total Hardware Costs
(Monthly)]</f>
        <v>1334.0455000000002</v>
      </c>
      <c r="EU131" s="560">
        <f>SUM(HostBuild[[#This Row],[Server Cost Breakdown]:[Network Cost]])</f>
        <v>888.7</v>
      </c>
      <c r="EV131" s="561">
        <f>IF(HostBuild[Existing Server?]="Yes - Inside this BoM",0,SUMIF(HostBuild[Alias],HostBuild[Alias],HostBuild[CPU])+SUMIF(HostBuild[Alias],HostBuild[Alias],HostBuild[Existing CPUs]))</f>
        <v>2</v>
      </c>
      <c r="EW131" s="561">
        <f>IF(HostBuild[Existing Server?]="Yes - Inside this BoM",0,SUMIF(HostBuild[Alias],HostBuild[Alias],HostBuild[Cores 
(Licensed Units)])+SUMIF(HostBuild[Alias],HostBuild[Alias],HostBuild[Existing Cores]))</f>
        <v>16</v>
      </c>
      <c r="EX131" s="561">
        <f>IF(HostBuild[Existing Server?]="Yes - Inside this BoM",0,SUMIF(HostBuild[Alias],HostBuild[Alias],HostBuild[RAM 
(GB)])+SUMIF(HostBuild[Alias],HostBuild[Alias],HostBuild[Existing RAM (GB)]))</f>
        <v>128</v>
      </c>
      <c r="EY13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1" s="560">
        <f>IF(ISBLANK(HostBuild[Server Model]),0,IF(HostBuild[Server Tier]="VMware",0,VLOOKUP(HostBuild[Server Tier],ServerTierRates[#Data],2,0))*HostBuild[CPU]*IF(AND(HostBuild[Server Type]="pSeries",HostBuild[Virtual Platform Storage Type]="Cloud-SAN"),0.25,1))</f>
        <v>608</v>
      </c>
      <c r="FD131" s="560">
        <f>0</f>
        <v>0</v>
      </c>
      <c r="FE131" s="560">
        <f>IF(HostBuild[Server Type]="VMware",HostBuild[RAM 
(GB)]*IF(ISERROR(FIND("DevCloud", HostBuild[Server Model])&gt;0),vRAM_per_vCPU_2014_Monthly,vRAM_per_vCPU_2014_Daily*30),0)</f>
        <v>0</v>
      </c>
      <c r="FF13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1" s="563">
        <f>IF(HostBuild[Server Tier]="VMware",0,IF(LEFT(HostBuild[Existing Server?],3)="Yes",0,IF(OR(HostBuild[Server Type]="Sun",HostBuild[Server Type]="pSeries"),Support_Direct_Server_Sun_per_OS_2014,IF(HostBuild[Server Type]="x86",Support_Direct_Server_x86_Wintel_per_OS_2014,0))))</f>
        <v>187.1</v>
      </c>
      <c r="FI13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2" spans="1:165" s="139" customFormat="1" ht="15" customHeight="1">
      <c r="A132" s="360" t="s">
        <v>3942</v>
      </c>
      <c r="B132" s="521"/>
      <c r="C132" s="521"/>
      <c r="D132" s="521"/>
      <c r="E132" s="522"/>
      <c r="F132" s="522"/>
      <c r="G132" s="597"/>
      <c r="H132" s="597"/>
      <c r="I132" s="523"/>
      <c r="J132" s="522"/>
      <c r="K132" s="522"/>
      <c r="L132" s="522"/>
      <c r="M132" s="597" t="e">
        <f ca="1">IF(rngIsDate(HostBuild[CTO Acceptance]),"Y","N")</f>
        <v>#NAME?</v>
      </c>
      <c r="N132" s="361" t="s">
        <v>3938</v>
      </c>
      <c r="O132" s="525"/>
      <c r="P132" s="525"/>
      <c r="Q132" s="361" t="s">
        <v>4139</v>
      </c>
      <c r="R132" s="526" t="str">
        <f>IF(NOT(ISBLANK(HostBuild[Env Label])),IFERROR(VLOOKUP(HostBuild[Env Label],tEnv[],3,FALSE),""),"")</f>
        <v>UAT</v>
      </c>
      <c r="S132" s="598"/>
      <c r="T132" s="527"/>
      <c r="U132" s="599"/>
      <c r="V132" s="524" t="s">
        <v>4015</v>
      </c>
      <c r="W132" s="524" t="s">
        <v>2249</v>
      </c>
      <c r="X132" s="524" t="s">
        <v>32</v>
      </c>
      <c r="Y132" s="361" t="s">
        <v>4067</v>
      </c>
      <c r="Z132" s="526" t="str">
        <f>IF(NOT(ISBLANK(HostBuild[[#This Row],[Product 
(Acronym)]])),CONCATENATE(HostBuild[[#This Row],[Type]],"-",HostBuild[[#This Row],[Product 
(Acronym)]]),"")</f>
        <v>DB-CBOL</v>
      </c>
      <c r="AA132" s="600"/>
      <c r="AB132" s="600" t="s">
        <v>105</v>
      </c>
      <c r="AC132" s="528"/>
      <c r="AD132" s="529"/>
      <c r="AE132" s="529"/>
      <c r="AF132" s="530"/>
      <c r="AG132" s="531"/>
      <c r="AH132" s="601"/>
      <c r="AI132" s="362" t="s">
        <v>4059</v>
      </c>
      <c r="AJ132" s="524">
        <f>IF(COUNTIF(HostBuild[Alias],HostBuild[Alias]),1/COUNTIF(HostBuild[Alias],HostBuild[Alias]),0)</f>
        <v>1</v>
      </c>
      <c r="AK132" s="531"/>
      <c r="AL132" s="531"/>
      <c r="AM132" s="532" t="s">
        <v>2173</v>
      </c>
      <c r="AN132" s="533" t="str">
        <f>IF(NOT(ISBLANK(HostBuild[Server Model])),VLOOKUP(HostBuild[Server Model],ServerModelsTier[],2,FALSE),"")</f>
        <v>x86 Tier 3</v>
      </c>
      <c r="AO132" s="533" t="str">
        <f>IF(NOT(ISBLANK(HostBuild[Server Model])),VLOOKUP(HostBuild[Server Model],ServerModelsTier[],5,FALSE),"")</f>
        <v>x86</v>
      </c>
      <c r="AP132" s="532"/>
      <c r="AQ132" s="532" t="s">
        <v>2337</v>
      </c>
      <c r="AR132" s="534">
        <v>2</v>
      </c>
      <c r="AS132" s="602"/>
      <c r="AT132" s="535">
        <v>16</v>
      </c>
      <c r="AU132" s="603" t="str">
        <f>IF(IFERROR(FIND("P-Series",HostBuild[Server Tier]),0),CEILING((HostBuild[Existing CPUs]+HostBuild[CPU])*16,8),"")</f>
        <v/>
      </c>
      <c r="AV132" s="536">
        <v>128</v>
      </c>
      <c r="AW132" s="531"/>
      <c r="AX132" s="531"/>
      <c r="AY132" s="531"/>
      <c r="AZ132" s="537"/>
      <c r="BA132" s="531"/>
      <c r="BB132" s="531"/>
      <c r="BC132" s="529"/>
      <c r="BD132" s="531"/>
      <c r="BE132" s="531"/>
      <c r="BF132" s="531"/>
      <c r="BG132" s="531"/>
      <c r="BH132" s="531"/>
      <c r="BI132" s="531"/>
      <c r="BJ132" s="531"/>
      <c r="BK132"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2" s="538">
        <v>1650</v>
      </c>
      <c r="BM132" s="540">
        <f>IF(ISNUMBER(HostBuild[Recommended SAN (GB)]),HostBuild[Recommended SAN (GB)])+IF(HostBuild[Additional SAN (GB)]&gt;0,CEILING(HostBuild[Additional SAN (GB)],LUN),-(CEILING(-HostBuild[Additional SAN (GB)],LUN)))</f>
        <v>1853.5000000000002</v>
      </c>
      <c r="BN132" s="539"/>
      <c r="BO132" s="540">
        <f>HostBuild[SAN (GB)
NEEDED TODAY]+CEILING(HostBuild[SAN (GB)
RESERVED
DO NOT USE TO BUILD], LUN)</f>
        <v>1853.5000000000002</v>
      </c>
      <c r="BP132" s="541">
        <v>1500</v>
      </c>
      <c r="BQ132" s="542"/>
      <c r="BR132" s="432"/>
      <c r="BS132" s="605">
        <f>IF(HostBuild[Existing Server?]&lt;&gt;"Yes - Inside this BoM",IF(ISNUMBER(HostBuild[RAM 
(GB)]),IF(HostBuild[Existing RAM (GB)]+HostBuild[RAM 
(GB)]&gt;0,IF(HostBuild[Virtual Platform Storage Type]="NAS",110+HostBuild[Existing RAM (GB)]+HostBuild[RAM 
(GB)]*1.75,0),0),0),0)</f>
        <v>0</v>
      </c>
      <c r="BT132" s="606"/>
      <c r="BU132" s="607">
        <f>IF(ISNUMBER(HostBuild[Recommended NAS (GB)]),HostBuild[Recommended NAS (GB)])+HostBuild[Additional NAS (GB)]</f>
        <v>0</v>
      </c>
      <c r="BV132" s="543"/>
      <c r="BW132" s="543"/>
      <c r="BX132" s="604">
        <f>IFERROR((HostBuild[SAN (GB)
End-State
DO NOT USE TO BUILD]+HostBuild[SAN (GB) Shared])*25%,"")</f>
        <v>838.375</v>
      </c>
      <c r="BY132" s="608">
        <f>IFERROR(HostBuild[Archive
Full (GB)]*15%,"")</f>
        <v>125.75624999999999</v>
      </c>
      <c r="BZ132" s="544"/>
      <c r="CA132" s="544"/>
      <c r="CB132" s="545"/>
      <c r="CC132" s="546"/>
      <c r="CD132" s="545"/>
      <c r="CE132" s="547"/>
      <c r="CF132" s="539"/>
      <c r="CG132" s="609"/>
      <c r="CH132" s="548"/>
      <c r="CI132" s="549"/>
      <c r="CJ132" s="550"/>
      <c r="CK132" s="551"/>
      <c r="CL132" s="552">
        <f>IFERROR(IF(FIND(CL$1,$W132)&gt;0,IF(INDEX(Product_Pricing_Table[],MATCH(CL$1,Products,0),2)="Cores",IF(HostBuild[Use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2" s="552">
        <f>IFERROR(IF(FIND(CM$1,$W132)&gt;0,IF(INDEX(Product_Pricing_Table[],MATCH(CM$1,Products,0),2)="Cores",IF(HostBuild[Use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2" s="552">
        <f>IFERROR(IF(FIND(CN$1,$W132)&gt;0,IF(INDEX(Product_Pricing_Table[],MATCH(CN$1,Products,0),2)="Cores",IF(HostBuild[Use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2" s="552">
        <f>IFERROR(IF(FIND(CO$1,$W132)&gt;0,IF(INDEX(Product_Pricing_Table[],MATCH(CO$1,Products,0),2)="Cores",IF(HostBuild[Use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2" s="552">
        <f>IFERROR(IF(FIND(CP$1,$W132)&gt;0,IF(INDEX(Product_Pricing_Table[],MATCH(CP$1,Products,0),2)="Cores",IF(HostBuild[Use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2" s="552">
        <f>IFERROR(IF(FIND(CQ$1,$W132)&gt;0,IF(INDEX(Product_Pricing_Table[],MATCH(CQ$1,Products,0),2)="Cores",IF(HostBuild[Use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2" s="552">
        <f>IFERROR(IF(FIND(CR$1,$W132)&gt;0,IF(INDEX(Product_Pricing_Table[],MATCH(CR$1,Products,0),2)="Cores",IF(HostBuild[Use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2" s="552">
        <f>IFERROR(IF(FIND(CS$1,$W132)&gt;0,IF(INDEX(Product_Pricing_Table[],MATCH(CS$1,Products,0),2)="Cores",IF(HostBuild[Use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2" s="552">
        <f>IFERROR(IF(FIND(CT$1,$W132)&gt;0,IF(INDEX(Product_Pricing_Table[],MATCH(CT$1,Products,0),2)="Cores",IF(HostBuild[Use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2" s="552">
        <f>IFERROR(IF(FIND(CU$1,$W132)&gt;0,IF(INDEX(Product_Pricing_Table[],MATCH(CU$1,Products,0),2)="Cores",IF(HostBuild[Use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2" s="552">
        <f>IFERROR(IF(FIND(CV$1,$W132)&gt;0,IF(INDEX(Product_Pricing_Table[],MATCH(CV$1,Products,0),2)="Cores",IF(HostBuild[Use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2" s="552">
        <f>IFERROR(IF(FIND(CW$1,$W132)&gt;0,IF(INDEX(Product_Pricing_Table[],MATCH(CW$1,Products,0),2)="Cores",IF(HostBuild[Use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2" s="552">
        <f>IFERROR(IF(FIND(CX$1,$W132)&gt;0,IF(INDEX(Product_Pricing_Table[],MATCH(CX$1,Products,0),2)="Cores",IF(HostBuild[Use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2" s="552">
        <f>IFERROR(IF(FIND(CY$1,$W132)&gt;0,IF(INDEX(Product_Pricing_Table[],MATCH(CY$1,Products,0),2)="Cores",IF(HostBuild[Use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2" s="552">
        <f>IFERROR(IF(FIND(CZ$1,$W132)&gt;0,IF(INDEX(Product_Pricing_Table[],MATCH(CZ$1,Products,0),2)="Cores",IF(HostBuild[Use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2" s="552">
        <f>IFERROR(IF(FIND(DA$1,$W132)&gt;0,IF(INDEX(Product_Pricing_Table[],MATCH(DA$1,Products,0),2)="Cores",IF(HostBuild[Use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2" s="552">
        <f>IFERROR(IF(FIND(DB$1,$W132)&gt;0,IF(INDEX(Product_Pricing_Table[],MATCH(DB$1,Products,0),2)="Cores",IF(HostBuild[Use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2" s="552">
        <f>IFERROR(IF(FIND(DC$1,$W132)&gt;0,IF(INDEX(Product_Pricing_Table[],MATCH(DC$1,Products,0),2)="Cores",IF(HostBuild[Use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2" s="552">
        <f>IFERROR(IF(FIND(DD$1,$W132)&gt;0,IF(INDEX(Product_Pricing_Table[],MATCH(DD$1,Products,0),2)="Cores",IF(HostBuild[Use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2" s="552">
        <f>IFERROR(IF(FIND(DE$1,$W132)&gt;0,IF(INDEX(Product_Pricing_Table[],MATCH(DE$1,Products,0),2)="Cores",IF(HostBuild[Use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2" s="553">
        <f>IFERROR(IF(FIND(DF$1,$W132)&gt;0,IF(INDEX(Product_Pricing_Table[],MATCH(DF$1,Products,0),2)="Cores",IF(HostBuild[Use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2" s="553">
        <f>IFERROR(IF(FIND(DG$1,$W132)&gt;0,IF(INDEX(Product_Pricing_Table[],MATCH(DG$1,Products,0),2)="Cores",IF(HostBuild[Use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2" s="552">
        <f>IFERROR(IF(FIND(DH$1,$W132)&gt;0,IF(INDEX(Product_Pricing_Table[],MATCH(DH$1,Products,0),2)="Cores",IF(HostBuild[Use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2" s="553">
        <f>IFERROR(IF(FIND(DI$1,$W132)&gt;0,IF(INDEX(Product_Pricing_Table[],MATCH(DI$1,Products,0),2)="Cores",IF(HostBuild[Use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2" s="552">
        <f>IFERROR(IF(FIND(DJ$1,$W132)&gt;0,IF(INDEX(Product_Pricing_Table[],MATCH(DJ$1,Products,0),2)="Cores",IF(HostBuild[Use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2" s="552">
        <f>IFERROR(IF(FIND(DK$1,$W132)&gt;0,IF(INDEX(Product_Pricing_Table[],MATCH(DK$1,Products,0),2)="Cores",IF(HostBuild[Use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2" s="552">
        <f>IFERROR(IF(FIND(DL$1,$W132)&gt;0,IF(INDEX(Product_Pricing_Table[],MATCH(DL$1,Products,0),2)="Cores",IF(HostBuild[Use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2" s="552">
        <f>IFERROR(IF(FIND(DM$1,$W132)&gt;0,IF(INDEX(Product_Pricing_Table[],MATCH(DM$1,Products,0),2)="Cores",IF(HostBuild[Use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2" s="552">
        <f>IFERROR(IF(FIND(DN$1,$W132)&gt;0,IF(INDEX(Product_Pricing_Table[],MATCH(DN$1,Products,0),2)="Cores",IF(HostBuild[Use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2" s="552">
        <f>IFERROR(IF(FIND(DO$1,$W132)&gt;0,IF(INDEX(Product_Pricing_Table[],MATCH(DO$1,Products,0),2)="Cores",IF(HostBuild[Use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2" s="552">
        <f>IFERROR(IF(FIND(DP$1,$W132)&gt;0,IF(INDEX(Product_Pricing_Table[],MATCH(DP$1,Products,0),2)="Cores",IF(HostBuild[Use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2" s="552">
        <f>IFERROR(IF(FIND(DQ$1,$W132)&gt;0,IF(INDEX(Product_Pricing_Table[],MATCH(DQ$1,Products,0),2)="Cores",IF(HostBuild[Use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2" s="552">
        <f>IFERROR(IF(FIND(DR$1,$W132)&gt;0,IF(INDEX(Product_Pricing_Table[],MATCH(DR$1,Products,0),2)="Cores",IF(HostBuild[Use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2" s="552">
        <f>IFERROR(IF(FIND(DS$1,$W132)&gt;0,IF(INDEX(Product_Pricing_Table[],MATCH(DS$1,Products,0),2)="Cores",IF(HostBuild[Use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2" s="552">
        <f>IFERROR(IF(FIND(DT$1,$W132)&gt;0,IF(INDEX(Product_Pricing_Table[],MATCH(DT$1,Products,0),2)="Cores",IF(HostBuild[Use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2" s="552">
        <f>IFERROR(IF(FIND(DU$1,$W132)&gt;0,IF(INDEX(Product_Pricing_Table[],MATCH(DU$1,Products,0),2)="Cores",IF(HostBuild[Use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2" s="552">
        <f>IFERROR(IF(FIND(DV$1,$W132)&gt;0,IF(INDEX(Product_Pricing_Table[],MATCH(DV$1,Products,0),2)="Cores",IF(HostBuild[Use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2" s="552">
        <f>IFERROR(IF(FIND(DW$1,$W132)&gt;0,IF(INDEX(Product_Pricing_Table[],MATCH(DW$1,Products,0),2)="Cores",IF(HostBuild[Use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2" s="552">
        <f>IFERROR(IF(FIND(DX$1,$W132)&gt;0,IF(INDEX(Product_Pricing_Table[],MATCH(DX$1,Products,0),2)="Cores",IF(HostBuild[Use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2" s="552">
        <f>IFERROR(IF(FIND(DY$1,$W132)&gt;0,IF(INDEX(Product_Pricing_Table[],MATCH(DY$1,Products,0),2)="Cores",IF(HostBuild[Use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2" s="552">
        <f>IFERROR(IF(FIND(DZ$1,$W132)&gt;0,IF(INDEX(Product_Pricing_Table[],MATCH(DZ$1,Products,0),2)="Cores",IF(HostBuild[Use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2" s="552">
        <f>IFERROR(IF(FIND(EA$1,$W132)&gt;0,IF(INDEX(Product_Pricing_Table[],MATCH(EA$1,Products,0),2)="Cores",IF(HostBuild[Use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2" s="552">
        <f>IFERROR(IF(FIND(EB$1,$W132)&gt;0,IF(INDEX(Product_Pricing_Table[],MATCH(EB$1,Products,0),2)="Cores",IF(HostBuild[Use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2" s="553">
        <f>IFERROR(IF(FIND(EC$1,$W132)&gt;0,IF(INDEX(Product_Pricing_Table[],MATCH(EC$1,Products,0),2)="Cores",IF(HostBuild[Use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2" s="552">
        <f>IFERROR(IF(FIND(ED$1,$W132)&gt;0,IF(INDEX(Product_Pricing_Table[],MATCH(ED$1,Products,0),2)="Cores",IF(HostBuild[Use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2" s="552">
        <f>IFERROR(IF(FIND(EE$1,$W132)&gt;0,IF(INDEX(Product_Pricing_Table[],MATCH(EE$1,Products,0),2)="Cores",IF(HostBuild[Use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2" s="552">
        <f>IFERROR(IF(FIND(EF$1,$W132)&gt;0,IF(INDEX(Product_Pricing_Table[],MATCH(EF$1,Products,0),2)="Cores",IF(HostBuild[Use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2" s="552">
        <f>IFERROR(IF(FIND(EG$1,$W132)&gt;0,IF(INDEX(Product_Pricing_Table[],MATCH(EG$1,Products,0),2)="Cores",IF(HostBuild[Use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2" s="552">
        <f>IFERROR(IF(FIND(EH$1,$W132)&gt;0,IF(INDEX(Product_Pricing_Table[],MATCH(EH$1,Products,0),2)="Cores",IF(HostBuild[Use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2" s="552">
        <f>IFERROR(IF(FIND(EI$1,$W132)&gt;0,IF(INDEX(Product_Pricing_Table[],MATCH(EI$1,Products,0),2)="Cores",IF(HostBuild[Use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2" s="552">
        <f>IFERROR(IF(FIND(EJ$1,$W132)&gt;0,IF(INDEX(Product_Pricing_Table[],MATCH(EJ$1,Products,0),2)="Cores",IF(HostBuild[Use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2" s="553">
        <f>IFERROR(IF(FIND(EK$1,$W132)&gt;0,IF(INDEX(Product_Pricing_Table[],MATCH(EK$1,Products,0),2)="Cores",IF(HostBuild[Use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2" s="554"/>
      <c r="EM132" s="555">
        <v>718.61</v>
      </c>
      <c r="EN132" s="556">
        <v>125.82666666666667</v>
      </c>
      <c r="EO132"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2350.5750000000003</v>
      </c>
      <c r="EQ132" s="558">
        <f>(HostBuild[Archive
Full (GB)]+HostBuild[Archive
Incr (GB)])*Storage_DC_Dist_Tape_2014</f>
        <v>337.44593750000001</v>
      </c>
      <c r="ER132" s="558">
        <f>IF(ISNUMBER(HostBuild[Server HW Costs
(Monthly)]),SUM(HostBuild[[#This Row],[Server HW Costs
(Monthly)]:[Tape Costs
(Monthly)]]),0)</f>
        <v>3576.7209375000007</v>
      </c>
      <c r="ES132" s="559">
        <f>HostBuild[Software Costs
'[Year 1']
(Monthly)]+HostBuild[Total Hardware Costs
(Monthly)]</f>
        <v>4295.3309375000008</v>
      </c>
      <c r="ET132" s="559">
        <f>IFERROR(IF(FIND("Safenet",HostBuild[Server Model]),Safenet_PSE_PL600_Maint,0),0)+IFERROR(IF(FIND("XI52",HostBuild[Server Model]),IBM_DIA_XI52_Maint,0),0)+HostBuild[Software Costs
'[After Year 1']
(Monthly)]+HostBuild[Total Hardware Costs
(Monthly)]</f>
        <v>3702.5476041666675</v>
      </c>
      <c r="EU132" s="560">
        <f>SUM(HostBuild[[#This Row],[Server Cost Breakdown]:[Network Cost]])</f>
        <v>888.7</v>
      </c>
      <c r="EV132" s="561">
        <f>IF(HostBuild[Existing Server?]="Yes - Inside this BoM",0,SUMIF(HostBuild[Alias],HostBuild[Alias],HostBuild[CPU])+SUMIF(HostBuild[Alias],HostBuild[Alias],HostBuild[Existing CPUs]))</f>
        <v>2</v>
      </c>
      <c r="EW132" s="561">
        <f>IF(HostBuild[Existing Server?]="Yes - Inside this BoM",0,SUMIF(HostBuild[Alias],HostBuild[Alias],HostBuild[Cores 
(Licensed Units)])+SUMIF(HostBuild[Alias],HostBuild[Alias],HostBuild[Existing Cores]))</f>
        <v>16</v>
      </c>
      <c r="EX132" s="561">
        <f>IF(HostBuild[Existing Server?]="Yes - Inside this BoM",0,SUMIF(HostBuild[Alias],HostBuild[Alias],HostBuild[RAM 
(GB)])+SUMIF(HostBuild[Alias],HostBuild[Alias],HostBuild[Existing RAM (GB)]))</f>
        <v>128</v>
      </c>
      <c r="EY13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2" s="560">
        <f>IF(ISBLANK(HostBuild[Server Model]),0,IF(HostBuild[Server Tier]="VMware",0,VLOOKUP(HostBuild[Server Tier],ServerTierRates[#Data],2,0))*HostBuild[CPU]*IF(AND(HostBuild[Server Type]="pSeries",HostBuild[Virtual Platform Storage Type]="Cloud-SAN"),0.25,1))</f>
        <v>608</v>
      </c>
      <c r="FD132" s="560">
        <f>0</f>
        <v>0</v>
      </c>
      <c r="FE132" s="560">
        <f>IF(HostBuild[Server Type]="VMware",HostBuild[RAM 
(GB)]*IF(ISERROR(FIND("DevCloud", HostBuild[Server Model])&gt;0),vRAM_per_vCPU_2014_Monthly,vRAM_per_vCPU_2014_Daily*30),0)</f>
        <v>0</v>
      </c>
      <c r="FF13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2" s="563">
        <f>IF(HostBuild[Server Tier]="VMware",0,IF(LEFT(HostBuild[Existing Server?],3)="Yes",0,IF(OR(HostBuild[Server Type]="Sun",HostBuild[Server Type]="pSeries"),Support_Direct_Server_Sun_per_OS_2014,IF(HostBuild[Server Type]="x86",Support_Direct_Server_x86_Wintel_per_OS_2014,0))))</f>
        <v>187.1</v>
      </c>
      <c r="FI13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3" spans="1:165" s="139" customFormat="1" ht="15" customHeight="1">
      <c r="A133" s="360" t="s">
        <v>3942</v>
      </c>
      <c r="B133" s="521"/>
      <c r="C133" s="521"/>
      <c r="D133" s="521"/>
      <c r="E133" s="522"/>
      <c r="F133" s="522"/>
      <c r="G133" s="597"/>
      <c r="H133" s="597"/>
      <c r="I133" s="523"/>
      <c r="J133" s="522"/>
      <c r="K133" s="522"/>
      <c r="L133" s="522"/>
      <c r="M133" s="597" t="e">
        <f ca="1">IF(rngIsDate(HostBuild[CTO Acceptance]),"Y","N")</f>
        <v>#NAME?</v>
      </c>
      <c r="N133" s="361" t="s">
        <v>3938</v>
      </c>
      <c r="O133" s="525"/>
      <c r="P133" s="525"/>
      <c r="Q133" s="361" t="s">
        <v>4139</v>
      </c>
      <c r="R133" s="526" t="str">
        <f>IF(NOT(ISBLANK(HostBuild[Env Label])),IFERROR(VLOOKUP(HostBuild[Env Label],tEnv[],3,FALSE),""),"")</f>
        <v>UAT</v>
      </c>
      <c r="S133" s="598"/>
      <c r="T133" s="527"/>
      <c r="U133" s="599"/>
      <c r="V133" s="524" t="s">
        <v>4015</v>
      </c>
      <c r="W133" s="524" t="s">
        <v>2249</v>
      </c>
      <c r="X133" s="524" t="s">
        <v>32</v>
      </c>
      <c r="Y133" s="361" t="s">
        <v>4067</v>
      </c>
      <c r="Z133" s="526" t="str">
        <f>IF(NOT(ISBLANK(HostBuild[[#This Row],[Product 
(Acronym)]])),CONCATENATE(HostBuild[[#This Row],[Type]],"-",HostBuild[[#This Row],[Product 
(Acronym)]]),"")</f>
        <v>DB-CBOL</v>
      </c>
      <c r="AA133" s="600"/>
      <c r="AB133" s="600" t="s">
        <v>105</v>
      </c>
      <c r="AC133" s="528"/>
      <c r="AD133" s="529"/>
      <c r="AE133" s="529"/>
      <c r="AF133" s="530"/>
      <c r="AG133" s="531"/>
      <c r="AH133" s="601"/>
      <c r="AI133" s="362" t="s">
        <v>4060</v>
      </c>
      <c r="AJ133" s="524">
        <f>IF(COUNTIF(HostBuild[Alias],HostBuild[Alias]),1/COUNTIF(HostBuild[Alias],HostBuild[Alias]),0)</f>
        <v>1</v>
      </c>
      <c r="AK133" s="531"/>
      <c r="AL133" s="531"/>
      <c r="AM133" s="532" t="s">
        <v>2173</v>
      </c>
      <c r="AN133" s="533" t="str">
        <f>IF(NOT(ISBLANK(HostBuild[Server Model])),VLOOKUP(HostBuild[Server Model],ServerModelsTier[],2,FALSE),"")</f>
        <v>x86 Tier 3</v>
      </c>
      <c r="AO133" s="533" t="str">
        <f>IF(NOT(ISBLANK(HostBuild[Server Model])),VLOOKUP(HostBuild[Server Model],ServerModelsTier[],5,FALSE),"")</f>
        <v>x86</v>
      </c>
      <c r="AP133" s="532"/>
      <c r="AQ133" s="532" t="s">
        <v>2337</v>
      </c>
      <c r="AR133" s="534">
        <v>2</v>
      </c>
      <c r="AS133" s="602"/>
      <c r="AT133" s="535">
        <v>16</v>
      </c>
      <c r="AU133" s="603" t="str">
        <f>IF(IFERROR(FIND("P-Series",HostBuild[Server Tier]),0),CEILING((HostBuild[Existing CPUs]+HostBuild[CPU])*16,8),"")</f>
        <v/>
      </c>
      <c r="AV133" s="536">
        <v>128</v>
      </c>
      <c r="AW133" s="531"/>
      <c r="AX133" s="531"/>
      <c r="AY133" s="531"/>
      <c r="AZ133" s="537"/>
      <c r="BA133" s="531"/>
      <c r="BB133" s="531"/>
      <c r="BC133" s="529"/>
      <c r="BD133" s="531"/>
      <c r="BE133" s="531"/>
      <c r="BF133" s="531"/>
      <c r="BG133" s="531"/>
      <c r="BH133" s="531"/>
      <c r="BI133" s="531"/>
      <c r="BJ133" s="531"/>
      <c r="BK133"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3" s="538">
        <v>150</v>
      </c>
      <c r="BM133" s="540">
        <f>IF(ISNUMBER(HostBuild[Recommended SAN (GB)]),HostBuild[Recommended SAN (GB)])+IF(HostBuild[Additional SAN (GB)]&gt;0,CEILING(HostBuild[Additional SAN (GB)],LUN),-(CEILING(-HostBuild[Additional SAN (GB)],LUN)))</f>
        <v>370.70000000000005</v>
      </c>
      <c r="BN133" s="539"/>
      <c r="BO133" s="540">
        <f>HostBuild[SAN (GB)
NEEDED TODAY]+CEILING(HostBuild[SAN (GB)
RESERVED
DO NOT USE TO BUILD], LUN)</f>
        <v>370.70000000000005</v>
      </c>
      <c r="BP133" s="541"/>
      <c r="BQ133" s="542"/>
      <c r="BR133" s="432"/>
      <c r="BS133" s="605">
        <f>IF(HostBuild[Existing Server?]&lt;&gt;"Yes - Inside this BoM",IF(ISNUMBER(HostBuild[RAM 
(GB)]),IF(HostBuild[Existing RAM (GB)]+HostBuild[RAM 
(GB)]&gt;0,IF(HostBuild[Virtual Platform Storage Type]="NAS",110+HostBuild[Existing RAM (GB)]+HostBuild[RAM 
(GB)]*1.75,0),0),0),0)</f>
        <v>0</v>
      </c>
      <c r="BT133" s="606"/>
      <c r="BU133" s="607">
        <f>IF(ISNUMBER(HostBuild[Recommended NAS (GB)]),HostBuild[Recommended NAS (GB)])+HostBuild[Additional NAS (GB)]</f>
        <v>0</v>
      </c>
      <c r="BV133" s="543"/>
      <c r="BW133" s="543"/>
      <c r="BX133" s="604">
        <f>IFERROR((HostBuild[SAN (GB)
End-State
DO NOT USE TO BUILD]+HostBuild[SAN (GB) Shared])*25%,"")</f>
        <v>92.675000000000011</v>
      </c>
      <c r="BY133" s="608">
        <f>IFERROR(HostBuild[Archive
Full (GB)]*15%,"")</f>
        <v>13.901250000000001</v>
      </c>
      <c r="BZ133" s="544"/>
      <c r="CA133" s="544"/>
      <c r="CB133" s="545"/>
      <c r="CC133" s="546"/>
      <c r="CD133" s="545"/>
      <c r="CE133" s="547"/>
      <c r="CF133" s="539"/>
      <c r="CG133" s="609"/>
      <c r="CH133" s="548"/>
      <c r="CI133" s="549"/>
      <c r="CJ133" s="550"/>
      <c r="CK133" s="551"/>
      <c r="CL133" s="552">
        <f>IFERROR(IF(FIND(CL$1,$W133)&gt;0,IF(INDEX(Product_Pricing_Table[],MATCH(CL$1,Products,0),2)="Cores",IF(HostBuild[Use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3" s="552">
        <f>IFERROR(IF(FIND(CM$1,$W133)&gt;0,IF(INDEX(Product_Pricing_Table[],MATCH(CM$1,Products,0),2)="Cores",IF(HostBuild[Use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3" s="552">
        <f>IFERROR(IF(FIND(CN$1,$W133)&gt;0,IF(INDEX(Product_Pricing_Table[],MATCH(CN$1,Products,0),2)="Cores",IF(HostBuild[Use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3" s="552">
        <f>IFERROR(IF(FIND(CO$1,$W133)&gt;0,IF(INDEX(Product_Pricing_Table[],MATCH(CO$1,Products,0),2)="Cores",IF(HostBuild[Use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3" s="552">
        <f>IFERROR(IF(FIND(CP$1,$W133)&gt;0,IF(INDEX(Product_Pricing_Table[],MATCH(CP$1,Products,0),2)="Cores",IF(HostBuild[Use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3" s="552">
        <f>IFERROR(IF(FIND(CQ$1,$W133)&gt;0,IF(INDEX(Product_Pricing_Table[],MATCH(CQ$1,Products,0),2)="Cores",IF(HostBuild[Use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3" s="552">
        <f>IFERROR(IF(FIND(CR$1,$W133)&gt;0,IF(INDEX(Product_Pricing_Table[],MATCH(CR$1,Products,0),2)="Cores",IF(HostBuild[Use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3" s="552">
        <f>IFERROR(IF(FIND(CS$1,$W133)&gt;0,IF(INDEX(Product_Pricing_Table[],MATCH(CS$1,Products,0),2)="Cores",IF(HostBuild[Use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3" s="552">
        <f>IFERROR(IF(FIND(CT$1,$W133)&gt;0,IF(INDEX(Product_Pricing_Table[],MATCH(CT$1,Products,0),2)="Cores",IF(HostBuild[Use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3" s="552">
        <f>IFERROR(IF(FIND(CU$1,$W133)&gt;0,IF(INDEX(Product_Pricing_Table[],MATCH(CU$1,Products,0),2)="Cores",IF(HostBuild[Use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3" s="552">
        <f>IFERROR(IF(FIND(CV$1,$W133)&gt;0,IF(INDEX(Product_Pricing_Table[],MATCH(CV$1,Products,0),2)="Cores",IF(HostBuild[Use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3" s="552">
        <f>IFERROR(IF(FIND(CW$1,$W133)&gt;0,IF(INDEX(Product_Pricing_Table[],MATCH(CW$1,Products,0),2)="Cores",IF(HostBuild[Use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3" s="552">
        <f>IFERROR(IF(FIND(CX$1,$W133)&gt;0,IF(INDEX(Product_Pricing_Table[],MATCH(CX$1,Products,0),2)="Cores",IF(HostBuild[Use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3" s="552">
        <f>IFERROR(IF(FIND(CY$1,$W133)&gt;0,IF(INDEX(Product_Pricing_Table[],MATCH(CY$1,Products,0),2)="Cores",IF(HostBuild[Use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3" s="552">
        <f>IFERROR(IF(FIND(CZ$1,$W133)&gt;0,IF(INDEX(Product_Pricing_Table[],MATCH(CZ$1,Products,0),2)="Cores",IF(HostBuild[Use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3" s="552">
        <f>IFERROR(IF(FIND(DA$1,$W133)&gt;0,IF(INDEX(Product_Pricing_Table[],MATCH(DA$1,Products,0),2)="Cores",IF(HostBuild[Use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3" s="552">
        <f>IFERROR(IF(FIND(DB$1,$W133)&gt;0,IF(INDEX(Product_Pricing_Table[],MATCH(DB$1,Products,0),2)="Cores",IF(HostBuild[Use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3" s="552">
        <f>IFERROR(IF(FIND(DC$1,$W133)&gt;0,IF(INDEX(Product_Pricing_Table[],MATCH(DC$1,Products,0),2)="Cores",IF(HostBuild[Use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3" s="552">
        <f>IFERROR(IF(FIND(DD$1,$W133)&gt;0,IF(INDEX(Product_Pricing_Table[],MATCH(DD$1,Products,0),2)="Cores",IF(HostBuild[Use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3" s="552">
        <f>IFERROR(IF(FIND(DE$1,$W133)&gt;0,IF(INDEX(Product_Pricing_Table[],MATCH(DE$1,Products,0),2)="Cores",IF(HostBuild[Use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3" s="553">
        <f>IFERROR(IF(FIND(DF$1,$W133)&gt;0,IF(INDEX(Product_Pricing_Table[],MATCH(DF$1,Products,0),2)="Cores",IF(HostBuild[Use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3" s="553">
        <f>IFERROR(IF(FIND(DG$1,$W133)&gt;0,IF(INDEX(Product_Pricing_Table[],MATCH(DG$1,Products,0),2)="Cores",IF(HostBuild[Use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3" s="552">
        <f>IFERROR(IF(FIND(DH$1,$W133)&gt;0,IF(INDEX(Product_Pricing_Table[],MATCH(DH$1,Products,0),2)="Cores",IF(HostBuild[Use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3" s="553">
        <f>IFERROR(IF(FIND(DI$1,$W133)&gt;0,IF(INDEX(Product_Pricing_Table[],MATCH(DI$1,Products,0),2)="Cores",IF(HostBuild[Use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3" s="552">
        <f>IFERROR(IF(FIND(DJ$1,$W133)&gt;0,IF(INDEX(Product_Pricing_Table[],MATCH(DJ$1,Products,0),2)="Cores",IF(HostBuild[Use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3" s="552">
        <f>IFERROR(IF(FIND(DK$1,$W133)&gt;0,IF(INDEX(Product_Pricing_Table[],MATCH(DK$1,Products,0),2)="Cores",IF(HostBuild[Use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3" s="552">
        <f>IFERROR(IF(FIND(DL$1,$W133)&gt;0,IF(INDEX(Product_Pricing_Table[],MATCH(DL$1,Products,0),2)="Cores",IF(HostBuild[Use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3" s="552">
        <f>IFERROR(IF(FIND(DM$1,$W133)&gt;0,IF(INDEX(Product_Pricing_Table[],MATCH(DM$1,Products,0),2)="Cores",IF(HostBuild[Use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3" s="552">
        <f>IFERROR(IF(FIND(DN$1,$W133)&gt;0,IF(INDEX(Product_Pricing_Table[],MATCH(DN$1,Products,0),2)="Cores",IF(HostBuild[Use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3" s="552">
        <f>IFERROR(IF(FIND(DO$1,$W133)&gt;0,IF(INDEX(Product_Pricing_Table[],MATCH(DO$1,Products,0),2)="Cores",IF(HostBuild[Use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3" s="552">
        <f>IFERROR(IF(FIND(DP$1,$W133)&gt;0,IF(INDEX(Product_Pricing_Table[],MATCH(DP$1,Products,0),2)="Cores",IF(HostBuild[Use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3" s="552">
        <f>IFERROR(IF(FIND(DQ$1,$W133)&gt;0,IF(INDEX(Product_Pricing_Table[],MATCH(DQ$1,Products,0),2)="Cores",IF(HostBuild[Use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3" s="552">
        <f>IFERROR(IF(FIND(DR$1,$W133)&gt;0,IF(INDEX(Product_Pricing_Table[],MATCH(DR$1,Products,0),2)="Cores",IF(HostBuild[Use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3" s="552">
        <f>IFERROR(IF(FIND(DS$1,$W133)&gt;0,IF(INDEX(Product_Pricing_Table[],MATCH(DS$1,Products,0),2)="Cores",IF(HostBuild[Use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3" s="552">
        <f>IFERROR(IF(FIND(DT$1,$W133)&gt;0,IF(INDEX(Product_Pricing_Table[],MATCH(DT$1,Products,0),2)="Cores",IF(HostBuild[Use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3" s="552">
        <f>IFERROR(IF(FIND(DU$1,$W133)&gt;0,IF(INDEX(Product_Pricing_Table[],MATCH(DU$1,Products,0),2)="Cores",IF(HostBuild[Use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3" s="552">
        <f>IFERROR(IF(FIND(DV$1,$W133)&gt;0,IF(INDEX(Product_Pricing_Table[],MATCH(DV$1,Products,0),2)="Cores",IF(HostBuild[Use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3" s="552">
        <f>IFERROR(IF(FIND(DW$1,$W133)&gt;0,IF(INDEX(Product_Pricing_Table[],MATCH(DW$1,Products,0),2)="Cores",IF(HostBuild[Use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3" s="552">
        <f>IFERROR(IF(FIND(DX$1,$W133)&gt;0,IF(INDEX(Product_Pricing_Table[],MATCH(DX$1,Products,0),2)="Cores",IF(HostBuild[Use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3" s="552">
        <f>IFERROR(IF(FIND(DY$1,$W133)&gt;0,IF(INDEX(Product_Pricing_Table[],MATCH(DY$1,Products,0),2)="Cores",IF(HostBuild[Use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3" s="552">
        <f>IFERROR(IF(FIND(DZ$1,$W133)&gt;0,IF(INDEX(Product_Pricing_Table[],MATCH(DZ$1,Products,0),2)="Cores",IF(HostBuild[Use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3" s="552">
        <f>IFERROR(IF(FIND(EA$1,$W133)&gt;0,IF(INDEX(Product_Pricing_Table[],MATCH(EA$1,Products,0),2)="Cores",IF(HostBuild[Use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3" s="552">
        <f>IFERROR(IF(FIND(EB$1,$W133)&gt;0,IF(INDEX(Product_Pricing_Table[],MATCH(EB$1,Products,0),2)="Cores",IF(HostBuild[Use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3" s="553">
        <f>IFERROR(IF(FIND(EC$1,$W133)&gt;0,IF(INDEX(Product_Pricing_Table[],MATCH(EC$1,Products,0),2)="Cores",IF(HostBuild[Use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3" s="552">
        <f>IFERROR(IF(FIND(ED$1,$W133)&gt;0,IF(INDEX(Product_Pricing_Table[],MATCH(ED$1,Products,0),2)="Cores",IF(HostBuild[Use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3" s="552">
        <f>IFERROR(IF(FIND(EE$1,$W133)&gt;0,IF(INDEX(Product_Pricing_Table[],MATCH(EE$1,Products,0),2)="Cores",IF(HostBuild[Use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3" s="552">
        <f>IFERROR(IF(FIND(EF$1,$W133)&gt;0,IF(INDEX(Product_Pricing_Table[],MATCH(EF$1,Products,0),2)="Cores",IF(HostBuild[Use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3" s="552">
        <f>IFERROR(IF(FIND(EG$1,$W133)&gt;0,IF(INDEX(Product_Pricing_Table[],MATCH(EG$1,Products,0),2)="Cores",IF(HostBuild[Use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3" s="552">
        <f>IFERROR(IF(FIND(EH$1,$W133)&gt;0,IF(INDEX(Product_Pricing_Table[],MATCH(EH$1,Products,0),2)="Cores",IF(HostBuild[Use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3" s="552">
        <f>IFERROR(IF(FIND(EI$1,$W133)&gt;0,IF(INDEX(Product_Pricing_Table[],MATCH(EI$1,Products,0),2)="Cores",IF(HostBuild[Use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3" s="552">
        <f>IFERROR(IF(FIND(EJ$1,$W133)&gt;0,IF(INDEX(Product_Pricing_Table[],MATCH(EJ$1,Products,0),2)="Cores",IF(HostBuild[Use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3" s="553">
        <f>IFERROR(IF(FIND(EK$1,$W133)&gt;0,IF(INDEX(Product_Pricing_Table[],MATCH(EK$1,Products,0),2)="Cores",IF(HostBuild[Use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3" s="554"/>
      <c r="EM133" s="555">
        <v>718.61</v>
      </c>
      <c r="EN133" s="556">
        <v>125.82666666666667</v>
      </c>
      <c r="EO133"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166.81500000000003</v>
      </c>
      <c r="EQ133" s="558">
        <f>(HostBuild[Archive
Full (GB)]+HostBuild[Archive
Incr (GB)])*Storage_DC_Dist_Tape_2014</f>
        <v>37.3016875</v>
      </c>
      <c r="ER133" s="558">
        <f>IF(ISNUMBER(HostBuild[Server HW Costs
(Monthly)]),SUM(HostBuild[[#This Row],[Server HW Costs
(Monthly)]:[Tape Costs
(Monthly)]]),0)</f>
        <v>1092.8166875000002</v>
      </c>
      <c r="ES133" s="559">
        <f>HostBuild[Software Costs
'[Year 1']
(Monthly)]+HostBuild[Total Hardware Costs
(Monthly)]</f>
        <v>1811.4266875000003</v>
      </c>
      <c r="ET133" s="559">
        <f>IFERROR(IF(FIND("Safenet",HostBuild[Server Model]),Safenet_PSE_PL600_Maint,0),0)+IFERROR(IF(FIND("XI52",HostBuild[Server Model]),IBM_DIA_XI52_Maint,0),0)+HostBuild[Software Costs
'[After Year 1']
(Monthly)]+HostBuild[Total Hardware Costs
(Monthly)]</f>
        <v>1218.6433541666668</v>
      </c>
      <c r="EU133" s="560">
        <f>SUM(HostBuild[[#This Row],[Server Cost Breakdown]:[Network Cost]])</f>
        <v>888.7</v>
      </c>
      <c r="EV133" s="561">
        <f>IF(HostBuild[Existing Server?]="Yes - Inside this BoM",0,SUMIF(HostBuild[Alias],HostBuild[Alias],HostBuild[CPU])+SUMIF(HostBuild[Alias],HostBuild[Alias],HostBuild[Existing CPUs]))</f>
        <v>2</v>
      </c>
      <c r="EW133" s="561">
        <f>IF(HostBuild[Existing Server?]="Yes - Inside this BoM",0,SUMIF(HostBuild[Alias],HostBuild[Alias],HostBuild[Cores 
(Licensed Units)])+SUMIF(HostBuild[Alias],HostBuild[Alias],HostBuild[Existing Cores]))</f>
        <v>16</v>
      </c>
      <c r="EX133" s="561">
        <f>IF(HostBuild[Existing Server?]="Yes - Inside this BoM",0,SUMIF(HostBuild[Alias],HostBuild[Alias],HostBuild[RAM 
(GB)])+SUMIF(HostBuild[Alias],HostBuild[Alias],HostBuild[Existing RAM (GB)]))</f>
        <v>128</v>
      </c>
      <c r="EY13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3" s="560">
        <f>IF(ISBLANK(HostBuild[Server Model]),0,IF(HostBuild[Server Tier]="VMware",0,VLOOKUP(HostBuild[Server Tier],ServerTierRates[#Data],2,0))*HostBuild[CPU]*IF(AND(HostBuild[Server Type]="pSeries",HostBuild[Virtual Platform Storage Type]="Cloud-SAN"),0.25,1))</f>
        <v>608</v>
      </c>
      <c r="FD133" s="560">
        <f>0</f>
        <v>0</v>
      </c>
      <c r="FE133" s="560">
        <f>IF(HostBuild[Server Type]="VMware",HostBuild[RAM 
(GB)]*IF(ISERROR(FIND("DevCloud", HostBuild[Server Model])&gt;0),vRAM_per_vCPU_2014_Monthly,vRAM_per_vCPU_2014_Daily*30),0)</f>
        <v>0</v>
      </c>
      <c r="FF13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3" s="563">
        <f>IF(HostBuild[Server Tier]="VMware",0,IF(LEFT(HostBuild[Existing Server?],3)="Yes",0,IF(OR(HostBuild[Server Type]="Sun",HostBuild[Server Type]="pSeries"),Support_Direct_Server_Sun_per_OS_2014,IF(HostBuild[Server Type]="x86",Support_Direct_Server_x86_Wintel_per_OS_2014,0))))</f>
        <v>187.1</v>
      </c>
      <c r="FI13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4" spans="1:165" s="139" customFormat="1" ht="15" customHeight="1">
      <c r="A134" s="360" t="s">
        <v>3942</v>
      </c>
      <c r="B134" s="521"/>
      <c r="C134" s="521"/>
      <c r="D134" s="521"/>
      <c r="E134" s="522"/>
      <c r="F134" s="522"/>
      <c r="G134" s="597"/>
      <c r="H134" s="597"/>
      <c r="I134" s="523"/>
      <c r="J134" s="522"/>
      <c r="K134" s="522"/>
      <c r="L134" s="522"/>
      <c r="M134" s="597" t="e">
        <f ca="1">IF(rngIsDate(HostBuild[CTO Acceptance]),"Y","N")</f>
        <v>#NAME?</v>
      </c>
      <c r="N134" s="361" t="s">
        <v>3938</v>
      </c>
      <c r="O134" s="525"/>
      <c r="P134" s="525"/>
      <c r="Q134" s="361" t="s">
        <v>4139</v>
      </c>
      <c r="R134" s="526" t="str">
        <f>IF(NOT(ISBLANK(HostBuild[Env Label])),IFERROR(VLOOKUP(HostBuild[Env Label],tEnv[],3,FALSE),""),"")</f>
        <v>UAT</v>
      </c>
      <c r="S134" s="598"/>
      <c r="T134" s="527"/>
      <c r="U134" s="599"/>
      <c r="V134" s="524" t="s">
        <v>4016</v>
      </c>
      <c r="W134" s="524" t="s">
        <v>2249</v>
      </c>
      <c r="X134" s="524" t="s">
        <v>32</v>
      </c>
      <c r="Y134" s="361" t="s">
        <v>4067</v>
      </c>
      <c r="Z134" s="526" t="str">
        <f>IF(NOT(ISBLANK(HostBuild[[#This Row],[Product 
(Acronym)]])),CONCATENATE(HostBuild[[#This Row],[Type]],"-",HostBuild[[#This Row],[Product 
(Acronym)]]),"")</f>
        <v>DB-CBOL</v>
      </c>
      <c r="AA134" s="600"/>
      <c r="AB134" s="600" t="s">
        <v>105</v>
      </c>
      <c r="AC134" s="528"/>
      <c r="AD134" s="529"/>
      <c r="AE134" s="529"/>
      <c r="AF134" s="530"/>
      <c r="AG134" s="531"/>
      <c r="AH134" s="601"/>
      <c r="AI134" s="362" t="s">
        <v>4061</v>
      </c>
      <c r="AJ134" s="524">
        <f>IF(COUNTIF(HostBuild[Alias],HostBuild[Alias]),1/COUNTIF(HostBuild[Alias],HostBuild[Alias]),0)</f>
        <v>1</v>
      </c>
      <c r="AK134" s="531"/>
      <c r="AL134" s="531"/>
      <c r="AM134" s="532" t="s">
        <v>2173</v>
      </c>
      <c r="AN134" s="533" t="str">
        <f>IF(NOT(ISBLANK(HostBuild[Server Model])),VLOOKUP(HostBuild[Server Model],ServerModelsTier[],2,FALSE),"")</f>
        <v>x86 Tier 3</v>
      </c>
      <c r="AO134" s="533" t="str">
        <f>IF(NOT(ISBLANK(HostBuild[Server Model])),VLOOKUP(HostBuild[Server Model],ServerModelsTier[],5,FALSE),"")</f>
        <v>x86</v>
      </c>
      <c r="AP134" s="532"/>
      <c r="AQ134" s="532" t="s">
        <v>2337</v>
      </c>
      <c r="AR134" s="534">
        <v>2</v>
      </c>
      <c r="AS134" s="602"/>
      <c r="AT134" s="535">
        <v>16</v>
      </c>
      <c r="AU134" s="603" t="str">
        <f>IF(IFERROR(FIND("P-Series",HostBuild[Server Tier]),0),CEILING((HostBuild[Existing CPUs]+HostBuild[CPU])*16,8),"")</f>
        <v/>
      </c>
      <c r="AV134" s="536">
        <v>128</v>
      </c>
      <c r="AW134" s="531"/>
      <c r="AX134" s="531"/>
      <c r="AY134" s="531"/>
      <c r="AZ134" s="537"/>
      <c r="BA134" s="531"/>
      <c r="BB134" s="531"/>
      <c r="BC134" s="529"/>
      <c r="BD134" s="531"/>
      <c r="BE134" s="531"/>
      <c r="BF134" s="531"/>
      <c r="BG134" s="531"/>
      <c r="BH134" s="531"/>
      <c r="BI134" s="531"/>
      <c r="BJ134" s="531"/>
      <c r="BK134"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4" s="538">
        <v>1650</v>
      </c>
      <c r="BM134" s="540">
        <f>IF(ISNUMBER(HostBuild[Recommended SAN (GB)]),HostBuild[Recommended SAN (GB)])+IF(HostBuild[Additional SAN (GB)]&gt;0,CEILING(HostBuild[Additional SAN (GB)],LUN),-(CEILING(-HostBuild[Additional SAN (GB)],LUN)))</f>
        <v>1853.5000000000002</v>
      </c>
      <c r="BN134" s="539"/>
      <c r="BO134" s="540">
        <f>HostBuild[SAN (GB)
NEEDED TODAY]+CEILING(HostBuild[SAN (GB)
RESERVED
DO NOT USE TO BUILD], LUN)</f>
        <v>1853.5000000000002</v>
      </c>
      <c r="BP134" s="541">
        <v>1500</v>
      </c>
      <c r="BQ134" s="542"/>
      <c r="BR134" s="432"/>
      <c r="BS134" s="605">
        <f>IF(HostBuild[Existing Server?]&lt;&gt;"Yes - Inside this BoM",IF(ISNUMBER(HostBuild[RAM 
(GB)]),IF(HostBuild[Existing RAM (GB)]+HostBuild[RAM 
(GB)]&gt;0,IF(HostBuild[Virtual Platform Storage Type]="NAS",110+HostBuild[Existing RAM (GB)]+HostBuild[RAM 
(GB)]*1.75,0),0),0),0)</f>
        <v>0</v>
      </c>
      <c r="BT134" s="606"/>
      <c r="BU134" s="607">
        <f>IF(ISNUMBER(HostBuild[Recommended NAS (GB)]),HostBuild[Recommended NAS (GB)])+HostBuild[Additional NAS (GB)]</f>
        <v>0</v>
      </c>
      <c r="BV134" s="543"/>
      <c r="BW134" s="543"/>
      <c r="BX134" s="604">
        <f>IFERROR((HostBuild[SAN (GB)
End-State
DO NOT USE TO BUILD]+HostBuild[SAN (GB) Shared])*25%,"")</f>
        <v>838.375</v>
      </c>
      <c r="BY134" s="608">
        <f>IFERROR(HostBuild[Archive
Full (GB)]*15%,"")</f>
        <v>125.75624999999999</v>
      </c>
      <c r="BZ134" s="544"/>
      <c r="CA134" s="544"/>
      <c r="CB134" s="545"/>
      <c r="CC134" s="546"/>
      <c r="CD134" s="545"/>
      <c r="CE134" s="547"/>
      <c r="CF134" s="539"/>
      <c r="CG134" s="609"/>
      <c r="CH134" s="548"/>
      <c r="CI134" s="549"/>
      <c r="CJ134" s="550"/>
      <c r="CK134" s="551"/>
      <c r="CL134" s="552">
        <f>IFERROR(IF(FIND(CL$1,$W134)&gt;0,IF(INDEX(Product_Pricing_Table[],MATCH(CL$1,Products,0),2)="Cores",IF(HostBuild[Use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4" s="552">
        <f>IFERROR(IF(FIND(CM$1,$W134)&gt;0,IF(INDEX(Product_Pricing_Table[],MATCH(CM$1,Products,0),2)="Cores",IF(HostBuild[Use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4" s="552">
        <f>IFERROR(IF(FIND(CN$1,$W134)&gt;0,IF(INDEX(Product_Pricing_Table[],MATCH(CN$1,Products,0),2)="Cores",IF(HostBuild[Use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4" s="552">
        <f>IFERROR(IF(FIND(CO$1,$W134)&gt;0,IF(INDEX(Product_Pricing_Table[],MATCH(CO$1,Products,0),2)="Cores",IF(HostBuild[Use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4" s="552">
        <f>IFERROR(IF(FIND(CP$1,$W134)&gt;0,IF(INDEX(Product_Pricing_Table[],MATCH(CP$1,Products,0),2)="Cores",IF(HostBuild[Use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4" s="552">
        <f>IFERROR(IF(FIND(CQ$1,$W134)&gt;0,IF(INDEX(Product_Pricing_Table[],MATCH(CQ$1,Products,0),2)="Cores",IF(HostBuild[Use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4" s="552">
        <f>IFERROR(IF(FIND(CR$1,$W134)&gt;0,IF(INDEX(Product_Pricing_Table[],MATCH(CR$1,Products,0),2)="Cores",IF(HostBuild[Use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4" s="552">
        <f>IFERROR(IF(FIND(CS$1,$W134)&gt;0,IF(INDEX(Product_Pricing_Table[],MATCH(CS$1,Products,0),2)="Cores",IF(HostBuild[Use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4" s="552">
        <f>IFERROR(IF(FIND(CT$1,$W134)&gt;0,IF(INDEX(Product_Pricing_Table[],MATCH(CT$1,Products,0),2)="Cores",IF(HostBuild[Use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4" s="552">
        <f>IFERROR(IF(FIND(CU$1,$W134)&gt;0,IF(INDEX(Product_Pricing_Table[],MATCH(CU$1,Products,0),2)="Cores",IF(HostBuild[Use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4" s="552">
        <f>IFERROR(IF(FIND(CV$1,$W134)&gt;0,IF(INDEX(Product_Pricing_Table[],MATCH(CV$1,Products,0),2)="Cores",IF(HostBuild[Use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4" s="552">
        <f>IFERROR(IF(FIND(CW$1,$W134)&gt;0,IF(INDEX(Product_Pricing_Table[],MATCH(CW$1,Products,0),2)="Cores",IF(HostBuild[Use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4" s="552">
        <f>IFERROR(IF(FIND(CX$1,$W134)&gt;0,IF(INDEX(Product_Pricing_Table[],MATCH(CX$1,Products,0),2)="Cores",IF(HostBuild[Use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4" s="552">
        <f>IFERROR(IF(FIND(CY$1,$W134)&gt;0,IF(INDEX(Product_Pricing_Table[],MATCH(CY$1,Products,0),2)="Cores",IF(HostBuild[Use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4" s="552">
        <f>IFERROR(IF(FIND(CZ$1,$W134)&gt;0,IF(INDEX(Product_Pricing_Table[],MATCH(CZ$1,Products,0),2)="Cores",IF(HostBuild[Use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4" s="552">
        <f>IFERROR(IF(FIND(DA$1,$W134)&gt;0,IF(INDEX(Product_Pricing_Table[],MATCH(DA$1,Products,0),2)="Cores",IF(HostBuild[Use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4" s="552">
        <f>IFERROR(IF(FIND(DB$1,$W134)&gt;0,IF(INDEX(Product_Pricing_Table[],MATCH(DB$1,Products,0),2)="Cores",IF(HostBuild[Use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4" s="552">
        <f>IFERROR(IF(FIND(DC$1,$W134)&gt;0,IF(INDEX(Product_Pricing_Table[],MATCH(DC$1,Products,0),2)="Cores",IF(HostBuild[Use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4" s="552">
        <f>IFERROR(IF(FIND(DD$1,$W134)&gt;0,IF(INDEX(Product_Pricing_Table[],MATCH(DD$1,Products,0),2)="Cores",IF(HostBuild[Use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4" s="552">
        <f>IFERROR(IF(FIND(DE$1,$W134)&gt;0,IF(INDEX(Product_Pricing_Table[],MATCH(DE$1,Products,0),2)="Cores",IF(HostBuild[Use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4" s="553">
        <f>IFERROR(IF(FIND(DF$1,$W134)&gt;0,IF(INDEX(Product_Pricing_Table[],MATCH(DF$1,Products,0),2)="Cores",IF(HostBuild[Use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4" s="553">
        <f>IFERROR(IF(FIND(DG$1,$W134)&gt;0,IF(INDEX(Product_Pricing_Table[],MATCH(DG$1,Products,0),2)="Cores",IF(HostBuild[Use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4" s="552">
        <f>IFERROR(IF(FIND(DH$1,$W134)&gt;0,IF(INDEX(Product_Pricing_Table[],MATCH(DH$1,Products,0),2)="Cores",IF(HostBuild[Use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4" s="553">
        <f>IFERROR(IF(FIND(DI$1,$W134)&gt;0,IF(INDEX(Product_Pricing_Table[],MATCH(DI$1,Products,0),2)="Cores",IF(HostBuild[Use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4" s="552">
        <f>IFERROR(IF(FIND(DJ$1,$W134)&gt;0,IF(INDEX(Product_Pricing_Table[],MATCH(DJ$1,Products,0),2)="Cores",IF(HostBuild[Use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4" s="552">
        <f>IFERROR(IF(FIND(DK$1,$W134)&gt;0,IF(INDEX(Product_Pricing_Table[],MATCH(DK$1,Products,0),2)="Cores",IF(HostBuild[Use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4" s="552">
        <f>IFERROR(IF(FIND(DL$1,$W134)&gt;0,IF(INDEX(Product_Pricing_Table[],MATCH(DL$1,Products,0),2)="Cores",IF(HostBuild[Use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4" s="552">
        <f>IFERROR(IF(FIND(DM$1,$W134)&gt;0,IF(INDEX(Product_Pricing_Table[],MATCH(DM$1,Products,0),2)="Cores",IF(HostBuild[Use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4" s="552">
        <f>IFERROR(IF(FIND(DN$1,$W134)&gt;0,IF(INDEX(Product_Pricing_Table[],MATCH(DN$1,Products,0),2)="Cores",IF(HostBuild[Use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4" s="552">
        <f>IFERROR(IF(FIND(DO$1,$W134)&gt;0,IF(INDEX(Product_Pricing_Table[],MATCH(DO$1,Products,0),2)="Cores",IF(HostBuild[Use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4" s="552">
        <f>IFERROR(IF(FIND(DP$1,$W134)&gt;0,IF(INDEX(Product_Pricing_Table[],MATCH(DP$1,Products,0),2)="Cores",IF(HostBuild[Use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4" s="552">
        <f>IFERROR(IF(FIND(DQ$1,$W134)&gt;0,IF(INDEX(Product_Pricing_Table[],MATCH(DQ$1,Products,0),2)="Cores",IF(HostBuild[Use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4" s="552">
        <f>IFERROR(IF(FIND(DR$1,$W134)&gt;0,IF(INDEX(Product_Pricing_Table[],MATCH(DR$1,Products,0),2)="Cores",IF(HostBuild[Use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4" s="552">
        <f>IFERROR(IF(FIND(DS$1,$W134)&gt;0,IF(INDEX(Product_Pricing_Table[],MATCH(DS$1,Products,0),2)="Cores",IF(HostBuild[Use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4" s="552">
        <f>IFERROR(IF(FIND(DT$1,$W134)&gt;0,IF(INDEX(Product_Pricing_Table[],MATCH(DT$1,Products,0),2)="Cores",IF(HostBuild[Use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4" s="552">
        <f>IFERROR(IF(FIND(DU$1,$W134)&gt;0,IF(INDEX(Product_Pricing_Table[],MATCH(DU$1,Products,0),2)="Cores",IF(HostBuild[Use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4" s="552">
        <f>IFERROR(IF(FIND(DV$1,$W134)&gt;0,IF(INDEX(Product_Pricing_Table[],MATCH(DV$1,Products,0),2)="Cores",IF(HostBuild[Use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4" s="552">
        <f>IFERROR(IF(FIND(DW$1,$W134)&gt;0,IF(INDEX(Product_Pricing_Table[],MATCH(DW$1,Products,0),2)="Cores",IF(HostBuild[Use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4" s="552">
        <f>IFERROR(IF(FIND(DX$1,$W134)&gt;0,IF(INDEX(Product_Pricing_Table[],MATCH(DX$1,Products,0),2)="Cores",IF(HostBuild[Use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4" s="552">
        <f>IFERROR(IF(FIND(DY$1,$W134)&gt;0,IF(INDEX(Product_Pricing_Table[],MATCH(DY$1,Products,0),2)="Cores",IF(HostBuild[Use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4" s="552">
        <f>IFERROR(IF(FIND(DZ$1,$W134)&gt;0,IF(INDEX(Product_Pricing_Table[],MATCH(DZ$1,Products,0),2)="Cores",IF(HostBuild[Use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4" s="552">
        <f>IFERROR(IF(FIND(EA$1,$W134)&gt;0,IF(INDEX(Product_Pricing_Table[],MATCH(EA$1,Products,0),2)="Cores",IF(HostBuild[Use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4" s="552">
        <f>IFERROR(IF(FIND(EB$1,$W134)&gt;0,IF(INDEX(Product_Pricing_Table[],MATCH(EB$1,Products,0),2)="Cores",IF(HostBuild[Use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4" s="553">
        <f>IFERROR(IF(FIND(EC$1,$W134)&gt;0,IF(INDEX(Product_Pricing_Table[],MATCH(EC$1,Products,0),2)="Cores",IF(HostBuild[Use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4" s="552">
        <f>IFERROR(IF(FIND(ED$1,$W134)&gt;0,IF(INDEX(Product_Pricing_Table[],MATCH(ED$1,Products,0),2)="Cores",IF(HostBuild[Use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4" s="552">
        <f>IFERROR(IF(FIND(EE$1,$W134)&gt;0,IF(INDEX(Product_Pricing_Table[],MATCH(EE$1,Products,0),2)="Cores",IF(HostBuild[Use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4" s="552">
        <f>IFERROR(IF(FIND(EF$1,$W134)&gt;0,IF(INDEX(Product_Pricing_Table[],MATCH(EF$1,Products,0),2)="Cores",IF(HostBuild[Use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4" s="552">
        <f>IFERROR(IF(FIND(EG$1,$W134)&gt;0,IF(INDEX(Product_Pricing_Table[],MATCH(EG$1,Products,0),2)="Cores",IF(HostBuild[Use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4" s="552">
        <f>IFERROR(IF(FIND(EH$1,$W134)&gt;0,IF(INDEX(Product_Pricing_Table[],MATCH(EH$1,Products,0),2)="Cores",IF(HostBuild[Use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4" s="552">
        <f>IFERROR(IF(FIND(EI$1,$W134)&gt;0,IF(INDEX(Product_Pricing_Table[],MATCH(EI$1,Products,0),2)="Cores",IF(HostBuild[Use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4" s="552">
        <f>IFERROR(IF(FIND(EJ$1,$W134)&gt;0,IF(INDEX(Product_Pricing_Table[],MATCH(EJ$1,Products,0),2)="Cores",IF(HostBuild[Use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4" s="553">
        <f>IFERROR(IF(FIND(EK$1,$W134)&gt;0,IF(INDEX(Product_Pricing_Table[],MATCH(EK$1,Products,0),2)="Cores",IF(HostBuild[Use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4" s="554"/>
      <c r="EM134" s="555">
        <v>718.61</v>
      </c>
      <c r="EN134" s="556">
        <v>125.82666666666667</v>
      </c>
      <c r="EO13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2350.5750000000003</v>
      </c>
      <c r="EQ134" s="558">
        <f>(HostBuild[Archive
Full (GB)]+HostBuild[Archive
Incr (GB)])*Storage_DC_Dist_Tape_2014</f>
        <v>337.44593750000001</v>
      </c>
      <c r="ER134" s="558">
        <f>IF(ISNUMBER(HostBuild[Server HW Costs
(Monthly)]),SUM(HostBuild[[#This Row],[Server HW Costs
(Monthly)]:[Tape Costs
(Monthly)]]),0)</f>
        <v>3576.7209375000007</v>
      </c>
      <c r="ES134" s="559">
        <f>HostBuild[Software Costs
'[Year 1']
(Monthly)]+HostBuild[Total Hardware Costs
(Monthly)]</f>
        <v>4295.3309375000008</v>
      </c>
      <c r="ET134" s="559">
        <f>IFERROR(IF(FIND("Safenet",HostBuild[Server Model]),Safenet_PSE_PL600_Maint,0),0)+IFERROR(IF(FIND("XI52",HostBuild[Server Model]),IBM_DIA_XI52_Maint,0),0)+HostBuild[Software Costs
'[After Year 1']
(Monthly)]+HostBuild[Total Hardware Costs
(Monthly)]</f>
        <v>3702.5476041666675</v>
      </c>
      <c r="EU134" s="560">
        <f>SUM(HostBuild[[#This Row],[Server Cost Breakdown]:[Network Cost]])</f>
        <v>888.7</v>
      </c>
      <c r="EV134" s="561">
        <f>IF(HostBuild[Existing Server?]="Yes - Inside this BoM",0,SUMIF(HostBuild[Alias],HostBuild[Alias],HostBuild[CPU])+SUMIF(HostBuild[Alias],HostBuild[Alias],HostBuild[Existing CPUs]))</f>
        <v>2</v>
      </c>
      <c r="EW134" s="561">
        <f>IF(HostBuild[Existing Server?]="Yes - Inside this BoM",0,SUMIF(HostBuild[Alias],HostBuild[Alias],HostBuild[Cores 
(Licensed Units)])+SUMIF(HostBuild[Alias],HostBuild[Alias],HostBuild[Existing Cores]))</f>
        <v>16</v>
      </c>
      <c r="EX134" s="561">
        <f>IF(HostBuild[Existing Server?]="Yes - Inside this BoM",0,SUMIF(HostBuild[Alias],HostBuild[Alias],HostBuild[RAM 
(GB)])+SUMIF(HostBuild[Alias],HostBuild[Alias],HostBuild[Existing RAM (GB)]))</f>
        <v>128</v>
      </c>
      <c r="EY13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4" s="560">
        <f>IF(ISBLANK(HostBuild[Server Model]),0,IF(HostBuild[Server Tier]="VMware",0,VLOOKUP(HostBuild[Server Tier],ServerTierRates[#Data],2,0))*HostBuild[CPU]*IF(AND(HostBuild[Server Type]="pSeries",HostBuild[Virtual Platform Storage Type]="Cloud-SAN"),0.25,1))</f>
        <v>608</v>
      </c>
      <c r="FD134" s="560">
        <f>0</f>
        <v>0</v>
      </c>
      <c r="FE134" s="560">
        <f>IF(HostBuild[Server Type]="VMware",HostBuild[RAM 
(GB)]*IF(ISERROR(FIND("DevCloud", HostBuild[Server Model])&gt;0),vRAM_per_vCPU_2014_Monthly,vRAM_per_vCPU_2014_Daily*30),0)</f>
        <v>0</v>
      </c>
      <c r="FF13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4" s="563">
        <f>IF(HostBuild[Server Tier]="VMware",0,IF(LEFT(HostBuild[Existing Server?],3)="Yes",0,IF(OR(HostBuild[Server Type]="Sun",HostBuild[Server Type]="pSeries"),Support_Direct_Server_Sun_per_OS_2014,IF(HostBuild[Server Type]="x86",Support_Direct_Server_x86_Wintel_per_OS_2014,0))))</f>
        <v>187.1</v>
      </c>
      <c r="FI13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5" spans="1:165" s="139" customFormat="1" ht="15" customHeight="1">
      <c r="A135" s="360" t="s">
        <v>3942</v>
      </c>
      <c r="B135" s="521"/>
      <c r="C135" s="521"/>
      <c r="D135" s="521"/>
      <c r="E135" s="522"/>
      <c r="F135" s="522"/>
      <c r="G135" s="597"/>
      <c r="H135" s="597"/>
      <c r="I135" s="523"/>
      <c r="J135" s="522"/>
      <c r="K135" s="522"/>
      <c r="L135" s="522"/>
      <c r="M135" s="597" t="e">
        <f ca="1">IF(rngIsDate(HostBuild[CTO Acceptance]),"Y","N")</f>
        <v>#NAME?</v>
      </c>
      <c r="N135" s="361" t="s">
        <v>3938</v>
      </c>
      <c r="O135" s="525"/>
      <c r="P135" s="525"/>
      <c r="Q135" s="361" t="s">
        <v>4139</v>
      </c>
      <c r="R135" s="526" t="str">
        <f>IF(NOT(ISBLANK(HostBuild[Env Label])),IFERROR(VLOOKUP(HostBuild[Env Label],tEnv[],3,FALSE),""),"")</f>
        <v>UAT</v>
      </c>
      <c r="S135" s="598"/>
      <c r="T135" s="527"/>
      <c r="U135" s="599"/>
      <c r="V135" s="524" t="s">
        <v>4016</v>
      </c>
      <c r="W135" s="524" t="s">
        <v>2249</v>
      </c>
      <c r="X135" s="524" t="s">
        <v>32</v>
      </c>
      <c r="Y135" s="361" t="s">
        <v>4067</v>
      </c>
      <c r="Z135" s="526" t="str">
        <f>IF(NOT(ISBLANK(HostBuild[[#This Row],[Product 
(Acronym)]])),CONCATENATE(HostBuild[[#This Row],[Type]],"-",HostBuild[[#This Row],[Product 
(Acronym)]]),"")</f>
        <v>DB-CBOL</v>
      </c>
      <c r="AA135" s="600"/>
      <c r="AB135" s="600" t="s">
        <v>105</v>
      </c>
      <c r="AC135" s="528"/>
      <c r="AD135" s="529"/>
      <c r="AE135" s="529"/>
      <c r="AF135" s="530"/>
      <c r="AG135" s="531"/>
      <c r="AH135" s="601"/>
      <c r="AI135" s="362" t="s">
        <v>4062</v>
      </c>
      <c r="AJ135" s="524">
        <f>IF(COUNTIF(HostBuild[Alias],HostBuild[Alias]),1/COUNTIF(HostBuild[Alias],HostBuild[Alias]),0)</f>
        <v>1</v>
      </c>
      <c r="AK135" s="531"/>
      <c r="AL135" s="531"/>
      <c r="AM135" s="532" t="s">
        <v>2173</v>
      </c>
      <c r="AN135" s="533" t="str">
        <f>IF(NOT(ISBLANK(HostBuild[Server Model])),VLOOKUP(HostBuild[Server Model],ServerModelsTier[],2,FALSE),"")</f>
        <v>x86 Tier 3</v>
      </c>
      <c r="AO135" s="533" t="str">
        <f>IF(NOT(ISBLANK(HostBuild[Server Model])),VLOOKUP(HostBuild[Server Model],ServerModelsTier[],5,FALSE),"")</f>
        <v>x86</v>
      </c>
      <c r="AP135" s="532"/>
      <c r="AQ135" s="532" t="s">
        <v>2337</v>
      </c>
      <c r="AR135" s="534">
        <v>2</v>
      </c>
      <c r="AS135" s="602"/>
      <c r="AT135" s="535">
        <v>16</v>
      </c>
      <c r="AU135" s="603" t="str">
        <f>IF(IFERROR(FIND("P-Series",HostBuild[Server Tier]),0),CEILING((HostBuild[Existing CPUs]+HostBuild[CPU])*16,8),"")</f>
        <v/>
      </c>
      <c r="AV135" s="536">
        <v>128</v>
      </c>
      <c r="AW135" s="531"/>
      <c r="AX135" s="531"/>
      <c r="AY135" s="531"/>
      <c r="AZ135" s="537"/>
      <c r="BA135" s="531"/>
      <c r="BB135" s="531"/>
      <c r="BC135" s="529"/>
      <c r="BD135" s="531"/>
      <c r="BE135" s="531"/>
      <c r="BF135" s="531"/>
      <c r="BG135" s="531"/>
      <c r="BH135" s="531"/>
      <c r="BI135" s="531"/>
      <c r="BJ135" s="531"/>
      <c r="BK135"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5" s="538">
        <v>150</v>
      </c>
      <c r="BM135" s="540">
        <f>IF(ISNUMBER(HostBuild[Recommended SAN (GB)]),HostBuild[Recommended SAN (GB)])+IF(HostBuild[Additional SAN (GB)]&gt;0,CEILING(HostBuild[Additional SAN (GB)],LUN),-(CEILING(-HostBuild[Additional SAN (GB)],LUN)))</f>
        <v>370.70000000000005</v>
      </c>
      <c r="BN135" s="539"/>
      <c r="BO135" s="540">
        <f>HostBuild[SAN (GB)
NEEDED TODAY]+CEILING(HostBuild[SAN (GB)
RESERVED
DO NOT USE TO BUILD], LUN)</f>
        <v>370.70000000000005</v>
      </c>
      <c r="BP135" s="541"/>
      <c r="BQ135" s="542"/>
      <c r="BR135" s="432"/>
      <c r="BS135" s="605">
        <f>IF(HostBuild[Existing Server?]&lt;&gt;"Yes - Inside this BoM",IF(ISNUMBER(HostBuild[RAM 
(GB)]),IF(HostBuild[Existing RAM (GB)]+HostBuild[RAM 
(GB)]&gt;0,IF(HostBuild[Virtual Platform Storage Type]="NAS",110+HostBuild[Existing RAM (GB)]+HostBuild[RAM 
(GB)]*1.75,0),0),0),0)</f>
        <v>0</v>
      </c>
      <c r="BT135" s="606"/>
      <c r="BU135" s="607">
        <f>IF(ISNUMBER(HostBuild[Recommended NAS (GB)]),HostBuild[Recommended NAS (GB)])+HostBuild[Additional NAS (GB)]</f>
        <v>0</v>
      </c>
      <c r="BV135" s="543"/>
      <c r="BW135" s="543"/>
      <c r="BX135" s="604">
        <f>IFERROR((HostBuild[SAN (GB)
End-State
DO NOT USE TO BUILD]+HostBuild[SAN (GB) Shared])*25%,"")</f>
        <v>92.675000000000011</v>
      </c>
      <c r="BY135" s="608">
        <f>IFERROR(HostBuild[Archive
Full (GB)]*15%,"")</f>
        <v>13.901250000000001</v>
      </c>
      <c r="BZ135" s="544"/>
      <c r="CA135" s="544"/>
      <c r="CB135" s="545"/>
      <c r="CC135" s="546"/>
      <c r="CD135" s="545"/>
      <c r="CE135" s="547"/>
      <c r="CF135" s="539"/>
      <c r="CG135" s="609"/>
      <c r="CH135" s="548"/>
      <c r="CI135" s="549"/>
      <c r="CJ135" s="550"/>
      <c r="CK135" s="551"/>
      <c r="CL135" s="552">
        <f>IFERROR(IF(FIND(CL$1,$W135)&gt;0,IF(INDEX(Product_Pricing_Table[],MATCH(CL$1,Products,0),2)="Cores",IF(HostBuild[Use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5" s="552">
        <f>IFERROR(IF(FIND(CM$1,$W135)&gt;0,IF(INDEX(Product_Pricing_Table[],MATCH(CM$1,Products,0),2)="Cores",IF(HostBuild[Use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5" s="552">
        <f>IFERROR(IF(FIND(CN$1,$W135)&gt;0,IF(INDEX(Product_Pricing_Table[],MATCH(CN$1,Products,0),2)="Cores",IF(HostBuild[Use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5" s="552">
        <f>IFERROR(IF(FIND(CO$1,$W135)&gt;0,IF(INDEX(Product_Pricing_Table[],MATCH(CO$1,Products,0),2)="Cores",IF(HostBuild[Use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5" s="552">
        <f>IFERROR(IF(FIND(CP$1,$W135)&gt;0,IF(INDEX(Product_Pricing_Table[],MATCH(CP$1,Products,0),2)="Cores",IF(HostBuild[Use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5" s="552">
        <f>IFERROR(IF(FIND(CQ$1,$W135)&gt;0,IF(INDEX(Product_Pricing_Table[],MATCH(CQ$1,Products,0),2)="Cores",IF(HostBuild[Use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5" s="552">
        <f>IFERROR(IF(FIND(CR$1,$W135)&gt;0,IF(INDEX(Product_Pricing_Table[],MATCH(CR$1,Products,0),2)="Cores",IF(HostBuild[Use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5" s="552">
        <f>IFERROR(IF(FIND(CS$1,$W135)&gt;0,IF(INDEX(Product_Pricing_Table[],MATCH(CS$1,Products,0),2)="Cores",IF(HostBuild[Use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5" s="552">
        <f>IFERROR(IF(FIND(CT$1,$W135)&gt;0,IF(INDEX(Product_Pricing_Table[],MATCH(CT$1,Products,0),2)="Cores",IF(HostBuild[Use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5" s="552">
        <f>IFERROR(IF(FIND(CU$1,$W135)&gt;0,IF(INDEX(Product_Pricing_Table[],MATCH(CU$1,Products,0),2)="Cores",IF(HostBuild[Use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5" s="552">
        <f>IFERROR(IF(FIND(CV$1,$W135)&gt;0,IF(INDEX(Product_Pricing_Table[],MATCH(CV$1,Products,0),2)="Cores",IF(HostBuild[Use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5" s="552">
        <f>IFERROR(IF(FIND(CW$1,$W135)&gt;0,IF(INDEX(Product_Pricing_Table[],MATCH(CW$1,Products,0),2)="Cores",IF(HostBuild[Use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5" s="552">
        <f>IFERROR(IF(FIND(CX$1,$W135)&gt;0,IF(INDEX(Product_Pricing_Table[],MATCH(CX$1,Products,0),2)="Cores",IF(HostBuild[Use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5" s="552">
        <f>IFERROR(IF(FIND(CY$1,$W135)&gt;0,IF(INDEX(Product_Pricing_Table[],MATCH(CY$1,Products,0),2)="Cores",IF(HostBuild[Use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5" s="552">
        <f>IFERROR(IF(FIND(CZ$1,$W135)&gt;0,IF(INDEX(Product_Pricing_Table[],MATCH(CZ$1,Products,0),2)="Cores",IF(HostBuild[Use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5" s="552">
        <f>IFERROR(IF(FIND(DA$1,$W135)&gt;0,IF(INDEX(Product_Pricing_Table[],MATCH(DA$1,Products,0),2)="Cores",IF(HostBuild[Use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5" s="552">
        <f>IFERROR(IF(FIND(DB$1,$W135)&gt;0,IF(INDEX(Product_Pricing_Table[],MATCH(DB$1,Products,0),2)="Cores",IF(HostBuild[Use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5" s="552">
        <f>IFERROR(IF(FIND(DC$1,$W135)&gt;0,IF(INDEX(Product_Pricing_Table[],MATCH(DC$1,Products,0),2)="Cores",IF(HostBuild[Use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5" s="552">
        <f>IFERROR(IF(FIND(DD$1,$W135)&gt;0,IF(INDEX(Product_Pricing_Table[],MATCH(DD$1,Products,0),2)="Cores",IF(HostBuild[Use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5" s="552">
        <f>IFERROR(IF(FIND(DE$1,$W135)&gt;0,IF(INDEX(Product_Pricing_Table[],MATCH(DE$1,Products,0),2)="Cores",IF(HostBuild[Use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5" s="553">
        <f>IFERROR(IF(FIND(DF$1,$W135)&gt;0,IF(INDEX(Product_Pricing_Table[],MATCH(DF$1,Products,0),2)="Cores",IF(HostBuild[Use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5" s="553">
        <f>IFERROR(IF(FIND(DG$1,$W135)&gt;0,IF(INDEX(Product_Pricing_Table[],MATCH(DG$1,Products,0),2)="Cores",IF(HostBuild[Use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5" s="552">
        <f>IFERROR(IF(FIND(DH$1,$W135)&gt;0,IF(INDEX(Product_Pricing_Table[],MATCH(DH$1,Products,0),2)="Cores",IF(HostBuild[Use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5" s="553">
        <f>IFERROR(IF(FIND(DI$1,$W135)&gt;0,IF(INDEX(Product_Pricing_Table[],MATCH(DI$1,Products,0),2)="Cores",IF(HostBuild[Use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5" s="552">
        <f>IFERROR(IF(FIND(DJ$1,$W135)&gt;0,IF(INDEX(Product_Pricing_Table[],MATCH(DJ$1,Products,0),2)="Cores",IF(HostBuild[Use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5" s="552">
        <f>IFERROR(IF(FIND(DK$1,$W135)&gt;0,IF(INDEX(Product_Pricing_Table[],MATCH(DK$1,Products,0),2)="Cores",IF(HostBuild[Use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5" s="552">
        <f>IFERROR(IF(FIND(DL$1,$W135)&gt;0,IF(INDEX(Product_Pricing_Table[],MATCH(DL$1,Products,0),2)="Cores",IF(HostBuild[Use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5" s="552">
        <f>IFERROR(IF(FIND(DM$1,$W135)&gt;0,IF(INDEX(Product_Pricing_Table[],MATCH(DM$1,Products,0),2)="Cores",IF(HostBuild[Use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5" s="552">
        <f>IFERROR(IF(FIND(DN$1,$W135)&gt;0,IF(INDEX(Product_Pricing_Table[],MATCH(DN$1,Products,0),2)="Cores",IF(HostBuild[Use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5" s="552">
        <f>IFERROR(IF(FIND(DO$1,$W135)&gt;0,IF(INDEX(Product_Pricing_Table[],MATCH(DO$1,Products,0),2)="Cores",IF(HostBuild[Use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5" s="552">
        <f>IFERROR(IF(FIND(DP$1,$W135)&gt;0,IF(INDEX(Product_Pricing_Table[],MATCH(DP$1,Products,0),2)="Cores",IF(HostBuild[Use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5" s="552">
        <f>IFERROR(IF(FIND(DQ$1,$W135)&gt;0,IF(INDEX(Product_Pricing_Table[],MATCH(DQ$1,Products,0),2)="Cores",IF(HostBuild[Use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5" s="552">
        <f>IFERROR(IF(FIND(DR$1,$W135)&gt;0,IF(INDEX(Product_Pricing_Table[],MATCH(DR$1,Products,0),2)="Cores",IF(HostBuild[Use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5" s="552">
        <f>IFERROR(IF(FIND(DS$1,$W135)&gt;0,IF(INDEX(Product_Pricing_Table[],MATCH(DS$1,Products,0),2)="Cores",IF(HostBuild[Use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5" s="552">
        <f>IFERROR(IF(FIND(DT$1,$W135)&gt;0,IF(INDEX(Product_Pricing_Table[],MATCH(DT$1,Products,0),2)="Cores",IF(HostBuild[Use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5" s="552">
        <f>IFERROR(IF(FIND(DU$1,$W135)&gt;0,IF(INDEX(Product_Pricing_Table[],MATCH(DU$1,Products,0),2)="Cores",IF(HostBuild[Use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5" s="552">
        <f>IFERROR(IF(FIND(DV$1,$W135)&gt;0,IF(INDEX(Product_Pricing_Table[],MATCH(DV$1,Products,0),2)="Cores",IF(HostBuild[Use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5" s="552">
        <f>IFERROR(IF(FIND(DW$1,$W135)&gt;0,IF(INDEX(Product_Pricing_Table[],MATCH(DW$1,Products,0),2)="Cores",IF(HostBuild[Use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5" s="552">
        <f>IFERROR(IF(FIND(DX$1,$W135)&gt;0,IF(INDEX(Product_Pricing_Table[],MATCH(DX$1,Products,0),2)="Cores",IF(HostBuild[Use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5" s="552">
        <f>IFERROR(IF(FIND(DY$1,$W135)&gt;0,IF(INDEX(Product_Pricing_Table[],MATCH(DY$1,Products,0),2)="Cores",IF(HostBuild[Use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5" s="552">
        <f>IFERROR(IF(FIND(DZ$1,$W135)&gt;0,IF(INDEX(Product_Pricing_Table[],MATCH(DZ$1,Products,0),2)="Cores",IF(HostBuild[Use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5" s="552">
        <f>IFERROR(IF(FIND(EA$1,$W135)&gt;0,IF(INDEX(Product_Pricing_Table[],MATCH(EA$1,Products,0),2)="Cores",IF(HostBuild[Use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5" s="552">
        <f>IFERROR(IF(FIND(EB$1,$W135)&gt;0,IF(INDEX(Product_Pricing_Table[],MATCH(EB$1,Products,0),2)="Cores",IF(HostBuild[Use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5" s="553">
        <f>IFERROR(IF(FIND(EC$1,$W135)&gt;0,IF(INDEX(Product_Pricing_Table[],MATCH(EC$1,Products,0),2)="Cores",IF(HostBuild[Use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5" s="552">
        <f>IFERROR(IF(FIND(ED$1,$W135)&gt;0,IF(INDEX(Product_Pricing_Table[],MATCH(ED$1,Products,0),2)="Cores",IF(HostBuild[Use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5" s="552">
        <f>IFERROR(IF(FIND(EE$1,$W135)&gt;0,IF(INDEX(Product_Pricing_Table[],MATCH(EE$1,Products,0),2)="Cores",IF(HostBuild[Use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5" s="552">
        <f>IFERROR(IF(FIND(EF$1,$W135)&gt;0,IF(INDEX(Product_Pricing_Table[],MATCH(EF$1,Products,0),2)="Cores",IF(HostBuild[Use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5" s="552">
        <f>IFERROR(IF(FIND(EG$1,$W135)&gt;0,IF(INDEX(Product_Pricing_Table[],MATCH(EG$1,Products,0),2)="Cores",IF(HostBuild[Use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5" s="552">
        <f>IFERROR(IF(FIND(EH$1,$W135)&gt;0,IF(INDEX(Product_Pricing_Table[],MATCH(EH$1,Products,0),2)="Cores",IF(HostBuild[Use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5" s="552">
        <f>IFERROR(IF(FIND(EI$1,$W135)&gt;0,IF(INDEX(Product_Pricing_Table[],MATCH(EI$1,Products,0),2)="Cores",IF(HostBuild[Use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5" s="552">
        <f>IFERROR(IF(FIND(EJ$1,$W135)&gt;0,IF(INDEX(Product_Pricing_Table[],MATCH(EJ$1,Products,0),2)="Cores",IF(HostBuild[Use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5" s="553">
        <f>IFERROR(IF(FIND(EK$1,$W135)&gt;0,IF(INDEX(Product_Pricing_Table[],MATCH(EK$1,Products,0),2)="Cores",IF(HostBuild[Use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5" s="554"/>
      <c r="EM135" s="555">
        <v>718.61</v>
      </c>
      <c r="EN135" s="556">
        <v>125.82666666666667</v>
      </c>
      <c r="EO13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166.81500000000003</v>
      </c>
      <c r="EQ135" s="558">
        <f>(HostBuild[Archive
Full (GB)]+HostBuild[Archive
Incr (GB)])*Storage_DC_Dist_Tape_2014</f>
        <v>37.3016875</v>
      </c>
      <c r="ER135" s="558">
        <f>IF(ISNUMBER(HostBuild[Server HW Costs
(Monthly)]),SUM(HostBuild[[#This Row],[Server HW Costs
(Monthly)]:[Tape Costs
(Monthly)]]),0)</f>
        <v>1092.8166875000002</v>
      </c>
      <c r="ES135" s="559">
        <f>HostBuild[Software Costs
'[Year 1']
(Monthly)]+HostBuild[Total Hardware Costs
(Monthly)]</f>
        <v>1811.4266875000003</v>
      </c>
      <c r="ET135" s="559">
        <f>IFERROR(IF(FIND("Safenet",HostBuild[Server Model]),Safenet_PSE_PL600_Maint,0),0)+IFERROR(IF(FIND("XI52",HostBuild[Server Model]),IBM_DIA_XI52_Maint,0),0)+HostBuild[Software Costs
'[After Year 1']
(Monthly)]+HostBuild[Total Hardware Costs
(Monthly)]</f>
        <v>1218.6433541666668</v>
      </c>
      <c r="EU135" s="560">
        <f>SUM(HostBuild[[#This Row],[Server Cost Breakdown]:[Network Cost]])</f>
        <v>888.7</v>
      </c>
      <c r="EV135" s="561">
        <f>IF(HostBuild[Existing Server?]="Yes - Inside this BoM",0,SUMIF(HostBuild[Alias],HostBuild[Alias],HostBuild[CPU])+SUMIF(HostBuild[Alias],HostBuild[Alias],HostBuild[Existing CPUs]))</f>
        <v>2</v>
      </c>
      <c r="EW135" s="561">
        <f>IF(HostBuild[Existing Server?]="Yes - Inside this BoM",0,SUMIF(HostBuild[Alias],HostBuild[Alias],HostBuild[Cores 
(Licensed Units)])+SUMIF(HostBuild[Alias],HostBuild[Alias],HostBuild[Existing Cores]))</f>
        <v>16</v>
      </c>
      <c r="EX135" s="561">
        <f>IF(HostBuild[Existing Server?]="Yes - Inside this BoM",0,SUMIF(HostBuild[Alias],HostBuild[Alias],HostBuild[RAM 
(GB)])+SUMIF(HostBuild[Alias],HostBuild[Alias],HostBuild[Existing RAM (GB)]))</f>
        <v>128</v>
      </c>
      <c r="EY13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5" s="560">
        <f>IF(ISBLANK(HostBuild[Server Model]),0,IF(HostBuild[Server Tier]="VMware",0,VLOOKUP(HostBuild[Server Tier],ServerTierRates[#Data],2,0))*HostBuild[CPU]*IF(AND(HostBuild[Server Type]="pSeries",HostBuild[Virtual Platform Storage Type]="Cloud-SAN"),0.25,1))</f>
        <v>608</v>
      </c>
      <c r="FD135" s="560">
        <f>0</f>
        <v>0</v>
      </c>
      <c r="FE135" s="560">
        <f>IF(HostBuild[Server Type]="VMware",HostBuild[RAM 
(GB)]*IF(ISERROR(FIND("DevCloud", HostBuild[Server Model])&gt;0),vRAM_per_vCPU_2014_Monthly,vRAM_per_vCPU_2014_Daily*30),0)</f>
        <v>0</v>
      </c>
      <c r="FF13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5" s="563">
        <f>IF(HostBuild[Server Tier]="VMware",0,IF(LEFT(HostBuild[Existing Server?],3)="Yes",0,IF(OR(HostBuild[Server Type]="Sun",HostBuild[Server Type]="pSeries"),Support_Direct_Server_Sun_per_OS_2014,IF(HostBuild[Server Type]="x86",Support_Direct_Server_x86_Wintel_per_OS_2014,0))))</f>
        <v>187.1</v>
      </c>
      <c r="FI13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6" spans="1:165" s="139" customFormat="1" ht="15" customHeight="1">
      <c r="A136" s="360" t="s">
        <v>3942</v>
      </c>
      <c r="B136" s="521"/>
      <c r="C136" s="521"/>
      <c r="D136" s="521"/>
      <c r="E136" s="522"/>
      <c r="F136" s="522"/>
      <c r="G136" s="597"/>
      <c r="H136" s="597"/>
      <c r="I136" s="523"/>
      <c r="J136" s="522"/>
      <c r="K136" s="522"/>
      <c r="L136" s="522"/>
      <c r="M136" s="597" t="e">
        <f ca="1">IF(rngIsDate(HostBuild[CTO Acceptance]),"Y","N")</f>
        <v>#NAME?</v>
      </c>
      <c r="N136" s="361" t="s">
        <v>3938</v>
      </c>
      <c r="O136" s="525"/>
      <c r="P136" s="525"/>
      <c r="Q136" s="361" t="s">
        <v>4139</v>
      </c>
      <c r="R136" s="526" t="str">
        <f>IF(NOT(ISBLANK(HostBuild[Env Label])),IFERROR(VLOOKUP(HostBuild[Env Label],tEnv[],3,FALSE),""),"")</f>
        <v>UAT</v>
      </c>
      <c r="S136" s="598"/>
      <c r="T136" s="527"/>
      <c r="U136" s="599"/>
      <c r="V136" s="524" t="s">
        <v>4017</v>
      </c>
      <c r="W136" s="524" t="s">
        <v>2249</v>
      </c>
      <c r="X136" s="524" t="s">
        <v>32</v>
      </c>
      <c r="Y136" s="361" t="s">
        <v>4067</v>
      </c>
      <c r="Z136" s="526" t="str">
        <f>IF(NOT(ISBLANK(HostBuild[[#This Row],[Product 
(Acronym)]])),CONCATENATE(HostBuild[[#This Row],[Type]],"-",HostBuild[[#This Row],[Product 
(Acronym)]]),"")</f>
        <v>DB-CBOL</v>
      </c>
      <c r="AA136" s="600"/>
      <c r="AB136" s="600" t="s">
        <v>105</v>
      </c>
      <c r="AC136" s="528"/>
      <c r="AD136" s="529"/>
      <c r="AE136" s="529"/>
      <c r="AF136" s="530"/>
      <c r="AG136" s="531"/>
      <c r="AH136" s="601"/>
      <c r="AI136" s="362" t="s">
        <v>4063</v>
      </c>
      <c r="AJ136" s="524">
        <f>IF(COUNTIF(HostBuild[Alias],HostBuild[Alias]),1/COUNTIF(HostBuild[Alias],HostBuild[Alias]),0)</f>
        <v>1</v>
      </c>
      <c r="AK136" s="531"/>
      <c r="AL136" s="531"/>
      <c r="AM136" s="532" t="s">
        <v>2173</v>
      </c>
      <c r="AN136" s="533" t="str">
        <f>IF(NOT(ISBLANK(HostBuild[Server Model])),VLOOKUP(HostBuild[Server Model],ServerModelsTier[],2,FALSE),"")</f>
        <v>x86 Tier 3</v>
      </c>
      <c r="AO136" s="533" t="str">
        <f>IF(NOT(ISBLANK(HostBuild[Server Model])),VLOOKUP(HostBuild[Server Model],ServerModelsTier[],5,FALSE),"")</f>
        <v>x86</v>
      </c>
      <c r="AP136" s="532"/>
      <c r="AQ136" s="532" t="s">
        <v>2337</v>
      </c>
      <c r="AR136" s="534">
        <v>2</v>
      </c>
      <c r="AS136" s="602"/>
      <c r="AT136" s="535">
        <v>16</v>
      </c>
      <c r="AU136" s="603" t="str">
        <f>IF(IFERROR(FIND("P-Series",HostBuild[Server Tier]),0),CEILING((HostBuild[Existing CPUs]+HostBuild[CPU])*16,8),"")</f>
        <v/>
      </c>
      <c r="AV136" s="536">
        <v>128</v>
      </c>
      <c r="AW136" s="531"/>
      <c r="AX136" s="531"/>
      <c r="AY136" s="531"/>
      <c r="AZ136" s="537"/>
      <c r="BA136" s="531"/>
      <c r="BB136" s="531"/>
      <c r="BC136" s="529"/>
      <c r="BD136" s="531"/>
      <c r="BE136" s="531"/>
      <c r="BF136" s="531"/>
      <c r="BG136" s="531"/>
      <c r="BH136" s="531"/>
      <c r="BI136" s="531"/>
      <c r="BJ136" s="531"/>
      <c r="BK136"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6" s="538">
        <v>1650</v>
      </c>
      <c r="BM136" s="540">
        <f>IF(ISNUMBER(HostBuild[Recommended SAN (GB)]),HostBuild[Recommended SAN (GB)])+IF(HostBuild[Additional SAN (GB)]&gt;0,CEILING(HostBuild[Additional SAN (GB)],LUN),-(CEILING(-HostBuild[Additional SAN (GB)],LUN)))</f>
        <v>1853.5000000000002</v>
      </c>
      <c r="BN136" s="539"/>
      <c r="BO136" s="540">
        <f>HostBuild[SAN (GB)
NEEDED TODAY]+CEILING(HostBuild[SAN (GB)
RESERVED
DO NOT USE TO BUILD], LUN)</f>
        <v>1853.5000000000002</v>
      </c>
      <c r="BP136" s="541">
        <v>1500</v>
      </c>
      <c r="BQ136" s="542"/>
      <c r="BR136" s="432"/>
      <c r="BS136" s="605">
        <f>IF(HostBuild[Existing Server?]&lt;&gt;"Yes - Inside this BoM",IF(ISNUMBER(HostBuild[RAM 
(GB)]),IF(HostBuild[Existing RAM (GB)]+HostBuild[RAM 
(GB)]&gt;0,IF(HostBuild[Virtual Platform Storage Type]="NAS",110+HostBuild[Existing RAM (GB)]+HostBuild[RAM 
(GB)]*1.75,0),0),0),0)</f>
        <v>0</v>
      </c>
      <c r="BT136" s="606"/>
      <c r="BU136" s="607">
        <f>IF(ISNUMBER(HostBuild[Recommended NAS (GB)]),HostBuild[Recommended NAS (GB)])+HostBuild[Additional NAS (GB)]</f>
        <v>0</v>
      </c>
      <c r="BV136" s="543"/>
      <c r="BW136" s="543"/>
      <c r="BX136" s="604">
        <f>IFERROR((HostBuild[SAN (GB)
End-State
DO NOT USE TO BUILD]+HostBuild[SAN (GB) Shared])*25%,"")</f>
        <v>838.375</v>
      </c>
      <c r="BY136" s="608">
        <f>IFERROR(HostBuild[Archive
Full (GB)]*15%,"")</f>
        <v>125.75624999999999</v>
      </c>
      <c r="BZ136" s="544"/>
      <c r="CA136" s="544"/>
      <c r="CB136" s="545"/>
      <c r="CC136" s="546"/>
      <c r="CD136" s="545"/>
      <c r="CE136" s="547"/>
      <c r="CF136" s="539"/>
      <c r="CG136" s="609"/>
      <c r="CH136" s="548"/>
      <c r="CI136" s="549"/>
      <c r="CJ136" s="550"/>
      <c r="CK136" s="551"/>
      <c r="CL136" s="552">
        <f>IFERROR(IF(FIND(CL$1,$W136)&gt;0,IF(INDEX(Product_Pricing_Table[],MATCH(CL$1,Products,0),2)="Cores",IF(HostBuild[Use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6" s="552">
        <f>IFERROR(IF(FIND(CM$1,$W136)&gt;0,IF(INDEX(Product_Pricing_Table[],MATCH(CM$1,Products,0),2)="Cores",IF(HostBuild[Use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6" s="552">
        <f>IFERROR(IF(FIND(CN$1,$W136)&gt;0,IF(INDEX(Product_Pricing_Table[],MATCH(CN$1,Products,0),2)="Cores",IF(HostBuild[Use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6" s="552">
        <f>IFERROR(IF(FIND(CO$1,$W136)&gt;0,IF(INDEX(Product_Pricing_Table[],MATCH(CO$1,Products,0),2)="Cores",IF(HostBuild[Use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6" s="552">
        <f>IFERROR(IF(FIND(CP$1,$W136)&gt;0,IF(INDEX(Product_Pricing_Table[],MATCH(CP$1,Products,0),2)="Cores",IF(HostBuild[Use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6" s="552">
        <f>IFERROR(IF(FIND(CQ$1,$W136)&gt;0,IF(INDEX(Product_Pricing_Table[],MATCH(CQ$1,Products,0),2)="Cores",IF(HostBuild[Use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6" s="552">
        <f>IFERROR(IF(FIND(CR$1,$W136)&gt;0,IF(INDEX(Product_Pricing_Table[],MATCH(CR$1,Products,0),2)="Cores",IF(HostBuild[Use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6" s="552">
        <f>IFERROR(IF(FIND(CS$1,$W136)&gt;0,IF(INDEX(Product_Pricing_Table[],MATCH(CS$1,Products,0),2)="Cores",IF(HostBuild[Use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6" s="552">
        <f>IFERROR(IF(FIND(CT$1,$W136)&gt;0,IF(INDEX(Product_Pricing_Table[],MATCH(CT$1,Products,0),2)="Cores",IF(HostBuild[Use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6" s="552">
        <f>IFERROR(IF(FIND(CU$1,$W136)&gt;0,IF(INDEX(Product_Pricing_Table[],MATCH(CU$1,Products,0),2)="Cores",IF(HostBuild[Use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6" s="552">
        <f>IFERROR(IF(FIND(CV$1,$W136)&gt;0,IF(INDEX(Product_Pricing_Table[],MATCH(CV$1,Products,0),2)="Cores",IF(HostBuild[Use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6" s="552">
        <f>IFERROR(IF(FIND(CW$1,$W136)&gt;0,IF(INDEX(Product_Pricing_Table[],MATCH(CW$1,Products,0),2)="Cores",IF(HostBuild[Use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6" s="552">
        <f>IFERROR(IF(FIND(CX$1,$W136)&gt;0,IF(INDEX(Product_Pricing_Table[],MATCH(CX$1,Products,0),2)="Cores",IF(HostBuild[Use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6" s="552">
        <f>IFERROR(IF(FIND(CY$1,$W136)&gt;0,IF(INDEX(Product_Pricing_Table[],MATCH(CY$1,Products,0),2)="Cores",IF(HostBuild[Use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6" s="552">
        <f>IFERROR(IF(FIND(CZ$1,$W136)&gt;0,IF(INDEX(Product_Pricing_Table[],MATCH(CZ$1,Products,0),2)="Cores",IF(HostBuild[Use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6" s="552">
        <f>IFERROR(IF(FIND(DA$1,$W136)&gt;0,IF(INDEX(Product_Pricing_Table[],MATCH(DA$1,Products,0),2)="Cores",IF(HostBuild[Use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6" s="552">
        <f>IFERROR(IF(FIND(DB$1,$W136)&gt;0,IF(INDEX(Product_Pricing_Table[],MATCH(DB$1,Products,0),2)="Cores",IF(HostBuild[Use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6" s="552">
        <f>IFERROR(IF(FIND(DC$1,$W136)&gt;0,IF(INDEX(Product_Pricing_Table[],MATCH(DC$1,Products,0),2)="Cores",IF(HostBuild[Use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6" s="552">
        <f>IFERROR(IF(FIND(DD$1,$W136)&gt;0,IF(INDEX(Product_Pricing_Table[],MATCH(DD$1,Products,0),2)="Cores",IF(HostBuild[Use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6" s="552">
        <f>IFERROR(IF(FIND(DE$1,$W136)&gt;0,IF(INDEX(Product_Pricing_Table[],MATCH(DE$1,Products,0),2)="Cores",IF(HostBuild[Use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6" s="553">
        <f>IFERROR(IF(FIND(DF$1,$W136)&gt;0,IF(INDEX(Product_Pricing_Table[],MATCH(DF$1,Products,0),2)="Cores",IF(HostBuild[Use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6" s="553">
        <f>IFERROR(IF(FIND(DG$1,$W136)&gt;0,IF(INDEX(Product_Pricing_Table[],MATCH(DG$1,Products,0),2)="Cores",IF(HostBuild[Use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6" s="552">
        <f>IFERROR(IF(FIND(DH$1,$W136)&gt;0,IF(INDEX(Product_Pricing_Table[],MATCH(DH$1,Products,0),2)="Cores",IF(HostBuild[Use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6" s="553">
        <f>IFERROR(IF(FIND(DI$1,$W136)&gt;0,IF(INDEX(Product_Pricing_Table[],MATCH(DI$1,Products,0),2)="Cores",IF(HostBuild[Use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6" s="552">
        <f>IFERROR(IF(FIND(DJ$1,$W136)&gt;0,IF(INDEX(Product_Pricing_Table[],MATCH(DJ$1,Products,0),2)="Cores",IF(HostBuild[Use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6" s="552">
        <f>IFERROR(IF(FIND(DK$1,$W136)&gt;0,IF(INDEX(Product_Pricing_Table[],MATCH(DK$1,Products,0),2)="Cores",IF(HostBuild[Use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6" s="552">
        <f>IFERROR(IF(FIND(DL$1,$W136)&gt;0,IF(INDEX(Product_Pricing_Table[],MATCH(DL$1,Products,0),2)="Cores",IF(HostBuild[Use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6" s="552">
        <f>IFERROR(IF(FIND(DM$1,$W136)&gt;0,IF(INDEX(Product_Pricing_Table[],MATCH(DM$1,Products,0),2)="Cores",IF(HostBuild[Use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6" s="552">
        <f>IFERROR(IF(FIND(DN$1,$W136)&gt;0,IF(INDEX(Product_Pricing_Table[],MATCH(DN$1,Products,0),2)="Cores",IF(HostBuild[Use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6" s="552">
        <f>IFERROR(IF(FIND(DO$1,$W136)&gt;0,IF(INDEX(Product_Pricing_Table[],MATCH(DO$1,Products,0),2)="Cores",IF(HostBuild[Use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6" s="552">
        <f>IFERROR(IF(FIND(DP$1,$W136)&gt;0,IF(INDEX(Product_Pricing_Table[],MATCH(DP$1,Products,0),2)="Cores",IF(HostBuild[Use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6" s="552">
        <f>IFERROR(IF(FIND(DQ$1,$W136)&gt;0,IF(INDEX(Product_Pricing_Table[],MATCH(DQ$1,Products,0),2)="Cores",IF(HostBuild[Use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6" s="552">
        <f>IFERROR(IF(FIND(DR$1,$W136)&gt;0,IF(INDEX(Product_Pricing_Table[],MATCH(DR$1,Products,0),2)="Cores",IF(HostBuild[Use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6" s="552">
        <f>IFERROR(IF(FIND(DS$1,$W136)&gt;0,IF(INDEX(Product_Pricing_Table[],MATCH(DS$1,Products,0),2)="Cores",IF(HostBuild[Use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6" s="552">
        <f>IFERROR(IF(FIND(DT$1,$W136)&gt;0,IF(INDEX(Product_Pricing_Table[],MATCH(DT$1,Products,0),2)="Cores",IF(HostBuild[Use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6" s="552">
        <f>IFERROR(IF(FIND(DU$1,$W136)&gt;0,IF(INDEX(Product_Pricing_Table[],MATCH(DU$1,Products,0),2)="Cores",IF(HostBuild[Use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6" s="552">
        <f>IFERROR(IF(FIND(DV$1,$W136)&gt;0,IF(INDEX(Product_Pricing_Table[],MATCH(DV$1,Products,0),2)="Cores",IF(HostBuild[Use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6" s="552">
        <f>IFERROR(IF(FIND(DW$1,$W136)&gt;0,IF(INDEX(Product_Pricing_Table[],MATCH(DW$1,Products,0),2)="Cores",IF(HostBuild[Use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6" s="552">
        <f>IFERROR(IF(FIND(DX$1,$W136)&gt;0,IF(INDEX(Product_Pricing_Table[],MATCH(DX$1,Products,0),2)="Cores",IF(HostBuild[Use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6" s="552">
        <f>IFERROR(IF(FIND(DY$1,$W136)&gt;0,IF(INDEX(Product_Pricing_Table[],MATCH(DY$1,Products,0),2)="Cores",IF(HostBuild[Use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6" s="552">
        <f>IFERROR(IF(FIND(DZ$1,$W136)&gt;0,IF(INDEX(Product_Pricing_Table[],MATCH(DZ$1,Products,0),2)="Cores",IF(HostBuild[Use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6" s="552">
        <f>IFERROR(IF(FIND(EA$1,$W136)&gt;0,IF(INDEX(Product_Pricing_Table[],MATCH(EA$1,Products,0),2)="Cores",IF(HostBuild[Use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6" s="552">
        <f>IFERROR(IF(FIND(EB$1,$W136)&gt;0,IF(INDEX(Product_Pricing_Table[],MATCH(EB$1,Products,0),2)="Cores",IF(HostBuild[Use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6" s="553">
        <f>IFERROR(IF(FIND(EC$1,$W136)&gt;0,IF(INDEX(Product_Pricing_Table[],MATCH(EC$1,Products,0),2)="Cores",IF(HostBuild[Use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6" s="552">
        <f>IFERROR(IF(FIND(ED$1,$W136)&gt;0,IF(INDEX(Product_Pricing_Table[],MATCH(ED$1,Products,0),2)="Cores",IF(HostBuild[Use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6" s="552">
        <f>IFERROR(IF(FIND(EE$1,$W136)&gt;0,IF(INDEX(Product_Pricing_Table[],MATCH(EE$1,Products,0),2)="Cores",IF(HostBuild[Use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6" s="552">
        <f>IFERROR(IF(FIND(EF$1,$W136)&gt;0,IF(INDEX(Product_Pricing_Table[],MATCH(EF$1,Products,0),2)="Cores",IF(HostBuild[Use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6" s="552">
        <f>IFERROR(IF(FIND(EG$1,$W136)&gt;0,IF(INDEX(Product_Pricing_Table[],MATCH(EG$1,Products,0),2)="Cores",IF(HostBuild[Use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6" s="552">
        <f>IFERROR(IF(FIND(EH$1,$W136)&gt;0,IF(INDEX(Product_Pricing_Table[],MATCH(EH$1,Products,0),2)="Cores",IF(HostBuild[Use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6" s="552">
        <f>IFERROR(IF(FIND(EI$1,$W136)&gt;0,IF(INDEX(Product_Pricing_Table[],MATCH(EI$1,Products,0),2)="Cores",IF(HostBuild[Use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6" s="552">
        <f>IFERROR(IF(FIND(EJ$1,$W136)&gt;0,IF(INDEX(Product_Pricing_Table[],MATCH(EJ$1,Products,0),2)="Cores",IF(HostBuild[Use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6" s="553">
        <f>IFERROR(IF(FIND(EK$1,$W136)&gt;0,IF(INDEX(Product_Pricing_Table[],MATCH(EK$1,Products,0),2)="Cores",IF(HostBuild[Use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6" s="554"/>
      <c r="EM136" s="555">
        <v>718.61</v>
      </c>
      <c r="EN136" s="556">
        <v>125.82666666666667</v>
      </c>
      <c r="EO136"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2350.5750000000003</v>
      </c>
      <c r="EQ136" s="558">
        <f>(HostBuild[Archive
Full (GB)]+HostBuild[Archive
Incr (GB)])*Storage_DC_Dist_Tape_2014</f>
        <v>337.44593750000001</v>
      </c>
      <c r="ER136" s="558">
        <f>IF(ISNUMBER(HostBuild[Server HW Costs
(Monthly)]),SUM(HostBuild[[#This Row],[Server HW Costs
(Monthly)]:[Tape Costs
(Monthly)]]),0)</f>
        <v>3576.7209375000007</v>
      </c>
      <c r="ES136" s="559">
        <f>HostBuild[Software Costs
'[Year 1']
(Monthly)]+HostBuild[Total Hardware Costs
(Monthly)]</f>
        <v>4295.3309375000008</v>
      </c>
      <c r="ET136" s="559">
        <f>IFERROR(IF(FIND("Safenet",HostBuild[Server Model]),Safenet_PSE_PL600_Maint,0),0)+IFERROR(IF(FIND("XI52",HostBuild[Server Model]),IBM_DIA_XI52_Maint,0),0)+HostBuild[Software Costs
'[After Year 1']
(Monthly)]+HostBuild[Total Hardware Costs
(Monthly)]</f>
        <v>3702.5476041666675</v>
      </c>
      <c r="EU136" s="560">
        <f>SUM(HostBuild[[#This Row],[Server Cost Breakdown]:[Network Cost]])</f>
        <v>888.7</v>
      </c>
      <c r="EV136" s="561">
        <f>IF(HostBuild[Existing Server?]="Yes - Inside this BoM",0,SUMIF(HostBuild[Alias],HostBuild[Alias],HostBuild[CPU])+SUMIF(HostBuild[Alias],HostBuild[Alias],HostBuild[Existing CPUs]))</f>
        <v>2</v>
      </c>
      <c r="EW136" s="561">
        <f>IF(HostBuild[Existing Server?]="Yes - Inside this BoM",0,SUMIF(HostBuild[Alias],HostBuild[Alias],HostBuild[Cores 
(Licensed Units)])+SUMIF(HostBuild[Alias],HostBuild[Alias],HostBuild[Existing Cores]))</f>
        <v>16</v>
      </c>
      <c r="EX136" s="561">
        <f>IF(HostBuild[Existing Server?]="Yes - Inside this BoM",0,SUMIF(HostBuild[Alias],HostBuild[Alias],HostBuild[RAM 
(GB)])+SUMIF(HostBuild[Alias],HostBuild[Alias],HostBuild[Existing RAM (GB)]))</f>
        <v>128</v>
      </c>
      <c r="EY13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6" s="560">
        <f>IF(ISBLANK(HostBuild[Server Model]),0,IF(HostBuild[Server Tier]="VMware",0,VLOOKUP(HostBuild[Server Tier],ServerTierRates[#Data],2,0))*HostBuild[CPU]*IF(AND(HostBuild[Server Type]="pSeries",HostBuild[Virtual Platform Storage Type]="Cloud-SAN"),0.25,1))</f>
        <v>608</v>
      </c>
      <c r="FD136" s="560">
        <f>0</f>
        <v>0</v>
      </c>
      <c r="FE136" s="560">
        <f>IF(HostBuild[Server Type]="VMware",HostBuild[RAM 
(GB)]*IF(ISERROR(FIND("DevCloud", HostBuild[Server Model])&gt;0),vRAM_per_vCPU_2014_Monthly,vRAM_per_vCPU_2014_Daily*30),0)</f>
        <v>0</v>
      </c>
      <c r="FF13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6" s="563">
        <f>IF(HostBuild[Server Tier]="VMware",0,IF(LEFT(HostBuild[Existing Server?],3)="Yes",0,IF(OR(HostBuild[Server Type]="Sun",HostBuild[Server Type]="pSeries"),Support_Direct_Server_Sun_per_OS_2014,IF(HostBuild[Server Type]="x86",Support_Direct_Server_x86_Wintel_per_OS_2014,0))))</f>
        <v>187.1</v>
      </c>
      <c r="FI13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7" spans="1:165" s="139" customFormat="1" ht="15" customHeight="1">
      <c r="A137" s="360" t="s">
        <v>3942</v>
      </c>
      <c r="B137" s="521"/>
      <c r="C137" s="521"/>
      <c r="D137" s="521"/>
      <c r="E137" s="522"/>
      <c r="F137" s="522"/>
      <c r="G137" s="597"/>
      <c r="H137" s="597"/>
      <c r="I137" s="523"/>
      <c r="J137" s="522"/>
      <c r="K137" s="522"/>
      <c r="L137" s="522"/>
      <c r="M137" s="597" t="e">
        <f ca="1">IF(rngIsDate(HostBuild[CTO Acceptance]),"Y","N")</f>
        <v>#NAME?</v>
      </c>
      <c r="N137" s="361" t="s">
        <v>3938</v>
      </c>
      <c r="O137" s="525"/>
      <c r="P137" s="525"/>
      <c r="Q137" s="361" t="s">
        <v>4139</v>
      </c>
      <c r="R137" s="526" t="str">
        <f>IF(NOT(ISBLANK(HostBuild[Env Label])),IFERROR(VLOOKUP(HostBuild[Env Label],tEnv[],3,FALSE),""),"")</f>
        <v>UAT</v>
      </c>
      <c r="S137" s="598"/>
      <c r="T137" s="527"/>
      <c r="U137" s="599"/>
      <c r="V137" s="524" t="s">
        <v>4017</v>
      </c>
      <c r="W137" s="524" t="s">
        <v>2249</v>
      </c>
      <c r="X137" s="524" t="s">
        <v>32</v>
      </c>
      <c r="Y137" s="361" t="s">
        <v>4067</v>
      </c>
      <c r="Z137" s="526" t="str">
        <f>IF(NOT(ISBLANK(HostBuild[[#This Row],[Product 
(Acronym)]])),CONCATENATE(HostBuild[[#This Row],[Type]],"-",HostBuild[[#This Row],[Product 
(Acronym)]]),"")</f>
        <v>DB-CBOL</v>
      </c>
      <c r="AA137" s="600"/>
      <c r="AB137" s="600" t="s">
        <v>105</v>
      </c>
      <c r="AC137" s="528"/>
      <c r="AD137" s="529"/>
      <c r="AE137" s="529"/>
      <c r="AF137" s="530"/>
      <c r="AG137" s="531"/>
      <c r="AH137" s="601"/>
      <c r="AI137" s="362" t="s">
        <v>4064</v>
      </c>
      <c r="AJ137" s="524">
        <f>IF(COUNTIF(HostBuild[Alias],HostBuild[Alias]),1/COUNTIF(HostBuild[Alias],HostBuild[Alias]),0)</f>
        <v>1</v>
      </c>
      <c r="AK137" s="531"/>
      <c r="AL137" s="531"/>
      <c r="AM137" s="532" t="s">
        <v>2173</v>
      </c>
      <c r="AN137" s="533" t="str">
        <f>IF(NOT(ISBLANK(HostBuild[Server Model])),VLOOKUP(HostBuild[Server Model],ServerModelsTier[],2,FALSE),"")</f>
        <v>x86 Tier 3</v>
      </c>
      <c r="AO137" s="533" t="str">
        <f>IF(NOT(ISBLANK(HostBuild[Server Model])),VLOOKUP(HostBuild[Server Model],ServerModelsTier[],5,FALSE),"")</f>
        <v>x86</v>
      </c>
      <c r="AP137" s="532"/>
      <c r="AQ137" s="532" t="s">
        <v>2337</v>
      </c>
      <c r="AR137" s="534">
        <v>2</v>
      </c>
      <c r="AS137" s="602"/>
      <c r="AT137" s="535">
        <v>16</v>
      </c>
      <c r="AU137" s="603" t="str">
        <f>IF(IFERROR(FIND("P-Series",HostBuild[Server Tier]),0),CEILING((HostBuild[Existing CPUs]+HostBuild[CPU])*16,8),"")</f>
        <v/>
      </c>
      <c r="AV137" s="536">
        <v>128</v>
      </c>
      <c r="AW137" s="531"/>
      <c r="AX137" s="531"/>
      <c r="AY137" s="531"/>
      <c r="AZ137" s="537"/>
      <c r="BA137" s="531"/>
      <c r="BB137" s="531"/>
      <c r="BC137" s="529"/>
      <c r="BD137" s="531"/>
      <c r="BE137" s="531"/>
      <c r="BF137" s="531"/>
      <c r="BG137" s="531"/>
      <c r="BH137" s="531"/>
      <c r="BI137" s="531"/>
      <c r="BJ137" s="531"/>
      <c r="BK137"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7" s="538">
        <v>150</v>
      </c>
      <c r="BM137" s="540">
        <f>IF(ISNUMBER(HostBuild[Recommended SAN (GB)]),HostBuild[Recommended SAN (GB)])+IF(HostBuild[Additional SAN (GB)]&gt;0,CEILING(HostBuild[Additional SAN (GB)],LUN),-(CEILING(-HostBuild[Additional SAN (GB)],LUN)))</f>
        <v>370.70000000000005</v>
      </c>
      <c r="BN137" s="539"/>
      <c r="BO137" s="540">
        <f>HostBuild[SAN (GB)
NEEDED TODAY]+CEILING(HostBuild[SAN (GB)
RESERVED
DO NOT USE TO BUILD], LUN)</f>
        <v>370.70000000000005</v>
      </c>
      <c r="BP137" s="541"/>
      <c r="BQ137" s="542"/>
      <c r="BR137" s="432"/>
      <c r="BS137" s="605">
        <f>IF(HostBuild[Existing Server?]&lt;&gt;"Yes - Inside this BoM",IF(ISNUMBER(HostBuild[RAM 
(GB)]),IF(HostBuild[Existing RAM (GB)]+HostBuild[RAM 
(GB)]&gt;0,IF(HostBuild[Virtual Platform Storage Type]="NAS",110+HostBuild[Existing RAM (GB)]+HostBuild[RAM 
(GB)]*1.75,0),0),0),0)</f>
        <v>0</v>
      </c>
      <c r="BT137" s="606"/>
      <c r="BU137" s="607">
        <f>IF(ISNUMBER(HostBuild[Recommended NAS (GB)]),HostBuild[Recommended NAS (GB)])+HostBuild[Additional NAS (GB)]</f>
        <v>0</v>
      </c>
      <c r="BV137" s="543"/>
      <c r="BW137" s="543"/>
      <c r="BX137" s="604">
        <f>IFERROR((HostBuild[SAN (GB)
End-State
DO NOT USE TO BUILD]+HostBuild[SAN (GB) Shared])*25%,"")</f>
        <v>92.675000000000011</v>
      </c>
      <c r="BY137" s="608">
        <f>IFERROR(HostBuild[Archive
Full (GB)]*15%,"")</f>
        <v>13.901250000000001</v>
      </c>
      <c r="BZ137" s="544"/>
      <c r="CA137" s="544"/>
      <c r="CB137" s="545"/>
      <c r="CC137" s="546"/>
      <c r="CD137" s="545"/>
      <c r="CE137" s="547"/>
      <c r="CF137" s="539"/>
      <c r="CG137" s="609"/>
      <c r="CH137" s="548"/>
      <c r="CI137" s="549"/>
      <c r="CJ137" s="550"/>
      <c r="CK137" s="551"/>
      <c r="CL137" s="552">
        <f>IFERROR(IF(FIND(CL$1,$W137)&gt;0,IF(INDEX(Product_Pricing_Table[],MATCH(CL$1,Products,0),2)="Cores",IF(HostBuild[Use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7" s="552">
        <f>IFERROR(IF(FIND(CM$1,$W137)&gt;0,IF(INDEX(Product_Pricing_Table[],MATCH(CM$1,Products,0),2)="Cores",IF(HostBuild[Use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7" s="552">
        <f>IFERROR(IF(FIND(CN$1,$W137)&gt;0,IF(INDEX(Product_Pricing_Table[],MATCH(CN$1,Products,0),2)="Cores",IF(HostBuild[Use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7" s="552">
        <f>IFERROR(IF(FIND(CO$1,$W137)&gt;0,IF(INDEX(Product_Pricing_Table[],MATCH(CO$1,Products,0),2)="Cores",IF(HostBuild[Use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7" s="552">
        <f>IFERROR(IF(FIND(CP$1,$W137)&gt;0,IF(INDEX(Product_Pricing_Table[],MATCH(CP$1,Products,0),2)="Cores",IF(HostBuild[Use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7" s="552">
        <f>IFERROR(IF(FIND(CQ$1,$W137)&gt;0,IF(INDEX(Product_Pricing_Table[],MATCH(CQ$1,Products,0),2)="Cores",IF(HostBuild[Use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7" s="552">
        <f>IFERROR(IF(FIND(CR$1,$W137)&gt;0,IF(INDEX(Product_Pricing_Table[],MATCH(CR$1,Products,0),2)="Cores",IF(HostBuild[Use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7" s="552">
        <f>IFERROR(IF(FIND(CS$1,$W137)&gt;0,IF(INDEX(Product_Pricing_Table[],MATCH(CS$1,Products,0),2)="Cores",IF(HostBuild[Use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7" s="552">
        <f>IFERROR(IF(FIND(CT$1,$W137)&gt;0,IF(INDEX(Product_Pricing_Table[],MATCH(CT$1,Products,0),2)="Cores",IF(HostBuild[Use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7" s="552">
        <f>IFERROR(IF(FIND(CU$1,$W137)&gt;0,IF(INDEX(Product_Pricing_Table[],MATCH(CU$1,Products,0),2)="Cores",IF(HostBuild[Use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7" s="552">
        <f>IFERROR(IF(FIND(CV$1,$W137)&gt;0,IF(INDEX(Product_Pricing_Table[],MATCH(CV$1,Products,0),2)="Cores",IF(HostBuild[Use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7" s="552">
        <f>IFERROR(IF(FIND(CW$1,$W137)&gt;0,IF(INDEX(Product_Pricing_Table[],MATCH(CW$1,Products,0),2)="Cores",IF(HostBuild[Use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7" s="552">
        <f>IFERROR(IF(FIND(CX$1,$W137)&gt;0,IF(INDEX(Product_Pricing_Table[],MATCH(CX$1,Products,0),2)="Cores",IF(HostBuild[Use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7" s="552">
        <f>IFERROR(IF(FIND(CY$1,$W137)&gt;0,IF(INDEX(Product_Pricing_Table[],MATCH(CY$1,Products,0),2)="Cores",IF(HostBuild[Use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7" s="552">
        <f>IFERROR(IF(FIND(CZ$1,$W137)&gt;0,IF(INDEX(Product_Pricing_Table[],MATCH(CZ$1,Products,0),2)="Cores",IF(HostBuild[Use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7" s="552">
        <f>IFERROR(IF(FIND(DA$1,$W137)&gt;0,IF(INDEX(Product_Pricing_Table[],MATCH(DA$1,Products,0),2)="Cores",IF(HostBuild[Use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7" s="552">
        <f>IFERROR(IF(FIND(DB$1,$W137)&gt;0,IF(INDEX(Product_Pricing_Table[],MATCH(DB$1,Products,0),2)="Cores",IF(HostBuild[Use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7" s="552">
        <f>IFERROR(IF(FIND(DC$1,$W137)&gt;0,IF(INDEX(Product_Pricing_Table[],MATCH(DC$1,Products,0),2)="Cores",IF(HostBuild[Use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7" s="552">
        <f>IFERROR(IF(FIND(DD$1,$W137)&gt;0,IF(INDEX(Product_Pricing_Table[],MATCH(DD$1,Products,0),2)="Cores",IF(HostBuild[Use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7" s="552">
        <f>IFERROR(IF(FIND(DE$1,$W137)&gt;0,IF(INDEX(Product_Pricing_Table[],MATCH(DE$1,Products,0),2)="Cores",IF(HostBuild[Use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7" s="553">
        <f>IFERROR(IF(FIND(DF$1,$W137)&gt;0,IF(INDEX(Product_Pricing_Table[],MATCH(DF$1,Products,0),2)="Cores",IF(HostBuild[Use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7" s="553">
        <f>IFERROR(IF(FIND(DG$1,$W137)&gt;0,IF(INDEX(Product_Pricing_Table[],MATCH(DG$1,Products,0),2)="Cores",IF(HostBuild[Use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7" s="552">
        <f>IFERROR(IF(FIND(DH$1,$W137)&gt;0,IF(INDEX(Product_Pricing_Table[],MATCH(DH$1,Products,0),2)="Cores",IF(HostBuild[Use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7" s="553">
        <f>IFERROR(IF(FIND(DI$1,$W137)&gt;0,IF(INDEX(Product_Pricing_Table[],MATCH(DI$1,Products,0),2)="Cores",IF(HostBuild[Use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7" s="552">
        <f>IFERROR(IF(FIND(DJ$1,$W137)&gt;0,IF(INDEX(Product_Pricing_Table[],MATCH(DJ$1,Products,0),2)="Cores",IF(HostBuild[Use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7" s="552">
        <f>IFERROR(IF(FIND(DK$1,$W137)&gt;0,IF(INDEX(Product_Pricing_Table[],MATCH(DK$1,Products,0),2)="Cores",IF(HostBuild[Use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7" s="552">
        <f>IFERROR(IF(FIND(DL$1,$W137)&gt;0,IF(INDEX(Product_Pricing_Table[],MATCH(DL$1,Products,0),2)="Cores",IF(HostBuild[Use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7" s="552">
        <f>IFERROR(IF(FIND(DM$1,$W137)&gt;0,IF(INDEX(Product_Pricing_Table[],MATCH(DM$1,Products,0),2)="Cores",IF(HostBuild[Use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7" s="552">
        <f>IFERROR(IF(FIND(DN$1,$W137)&gt;0,IF(INDEX(Product_Pricing_Table[],MATCH(DN$1,Products,0),2)="Cores",IF(HostBuild[Use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7" s="552">
        <f>IFERROR(IF(FIND(DO$1,$W137)&gt;0,IF(INDEX(Product_Pricing_Table[],MATCH(DO$1,Products,0),2)="Cores",IF(HostBuild[Use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7" s="552">
        <f>IFERROR(IF(FIND(DP$1,$W137)&gt;0,IF(INDEX(Product_Pricing_Table[],MATCH(DP$1,Products,0),2)="Cores",IF(HostBuild[Use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7" s="552">
        <f>IFERROR(IF(FIND(DQ$1,$W137)&gt;0,IF(INDEX(Product_Pricing_Table[],MATCH(DQ$1,Products,0),2)="Cores",IF(HostBuild[Use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7" s="552">
        <f>IFERROR(IF(FIND(DR$1,$W137)&gt;0,IF(INDEX(Product_Pricing_Table[],MATCH(DR$1,Products,0),2)="Cores",IF(HostBuild[Use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7" s="552">
        <f>IFERROR(IF(FIND(DS$1,$W137)&gt;0,IF(INDEX(Product_Pricing_Table[],MATCH(DS$1,Products,0),2)="Cores",IF(HostBuild[Use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7" s="552">
        <f>IFERROR(IF(FIND(DT$1,$W137)&gt;0,IF(INDEX(Product_Pricing_Table[],MATCH(DT$1,Products,0),2)="Cores",IF(HostBuild[Use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7" s="552">
        <f>IFERROR(IF(FIND(DU$1,$W137)&gt;0,IF(INDEX(Product_Pricing_Table[],MATCH(DU$1,Products,0),2)="Cores",IF(HostBuild[Use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7" s="552">
        <f>IFERROR(IF(FIND(DV$1,$W137)&gt;0,IF(INDEX(Product_Pricing_Table[],MATCH(DV$1,Products,0),2)="Cores",IF(HostBuild[Use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7" s="552">
        <f>IFERROR(IF(FIND(DW$1,$W137)&gt;0,IF(INDEX(Product_Pricing_Table[],MATCH(DW$1,Products,0),2)="Cores",IF(HostBuild[Use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7" s="552">
        <f>IFERROR(IF(FIND(DX$1,$W137)&gt;0,IF(INDEX(Product_Pricing_Table[],MATCH(DX$1,Products,0),2)="Cores",IF(HostBuild[Use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7" s="552">
        <f>IFERROR(IF(FIND(DY$1,$W137)&gt;0,IF(INDEX(Product_Pricing_Table[],MATCH(DY$1,Products,0),2)="Cores",IF(HostBuild[Use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7" s="552">
        <f>IFERROR(IF(FIND(DZ$1,$W137)&gt;0,IF(INDEX(Product_Pricing_Table[],MATCH(DZ$1,Products,0),2)="Cores",IF(HostBuild[Use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7" s="552">
        <f>IFERROR(IF(FIND(EA$1,$W137)&gt;0,IF(INDEX(Product_Pricing_Table[],MATCH(EA$1,Products,0),2)="Cores",IF(HostBuild[Use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7" s="552">
        <f>IFERROR(IF(FIND(EB$1,$W137)&gt;0,IF(INDEX(Product_Pricing_Table[],MATCH(EB$1,Products,0),2)="Cores",IF(HostBuild[Use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7" s="553">
        <f>IFERROR(IF(FIND(EC$1,$W137)&gt;0,IF(INDEX(Product_Pricing_Table[],MATCH(EC$1,Products,0),2)="Cores",IF(HostBuild[Use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7" s="552">
        <f>IFERROR(IF(FIND(ED$1,$W137)&gt;0,IF(INDEX(Product_Pricing_Table[],MATCH(ED$1,Products,0),2)="Cores",IF(HostBuild[Use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7" s="552">
        <f>IFERROR(IF(FIND(EE$1,$W137)&gt;0,IF(INDEX(Product_Pricing_Table[],MATCH(EE$1,Products,0),2)="Cores",IF(HostBuild[Use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7" s="552">
        <f>IFERROR(IF(FIND(EF$1,$W137)&gt;0,IF(INDEX(Product_Pricing_Table[],MATCH(EF$1,Products,0),2)="Cores",IF(HostBuild[Use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7" s="552">
        <f>IFERROR(IF(FIND(EG$1,$W137)&gt;0,IF(INDEX(Product_Pricing_Table[],MATCH(EG$1,Products,0),2)="Cores",IF(HostBuild[Use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7" s="552">
        <f>IFERROR(IF(FIND(EH$1,$W137)&gt;0,IF(INDEX(Product_Pricing_Table[],MATCH(EH$1,Products,0),2)="Cores",IF(HostBuild[Use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7" s="552">
        <f>IFERROR(IF(FIND(EI$1,$W137)&gt;0,IF(INDEX(Product_Pricing_Table[],MATCH(EI$1,Products,0),2)="Cores",IF(HostBuild[Use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7" s="552">
        <f>IFERROR(IF(FIND(EJ$1,$W137)&gt;0,IF(INDEX(Product_Pricing_Table[],MATCH(EJ$1,Products,0),2)="Cores",IF(HostBuild[Use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7" s="553">
        <f>IFERROR(IF(FIND(EK$1,$W137)&gt;0,IF(INDEX(Product_Pricing_Table[],MATCH(EK$1,Products,0),2)="Cores",IF(HostBuild[Use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7" s="554"/>
      <c r="EM137" s="555">
        <v>718.61</v>
      </c>
      <c r="EN137" s="556">
        <v>125.82666666666667</v>
      </c>
      <c r="EO137"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166.81500000000003</v>
      </c>
      <c r="EQ137" s="558">
        <f>(HostBuild[Archive
Full (GB)]+HostBuild[Archive
Incr (GB)])*Storage_DC_Dist_Tape_2014</f>
        <v>37.3016875</v>
      </c>
      <c r="ER137" s="558">
        <f>IF(ISNUMBER(HostBuild[Server HW Costs
(Monthly)]),SUM(HostBuild[[#This Row],[Server HW Costs
(Monthly)]:[Tape Costs
(Monthly)]]),0)</f>
        <v>1092.8166875000002</v>
      </c>
      <c r="ES137" s="559">
        <f>HostBuild[Software Costs
'[Year 1']
(Monthly)]+HostBuild[Total Hardware Costs
(Monthly)]</f>
        <v>1811.4266875000003</v>
      </c>
      <c r="ET137" s="559">
        <f>IFERROR(IF(FIND("Safenet",HostBuild[Server Model]),Safenet_PSE_PL600_Maint,0),0)+IFERROR(IF(FIND("XI52",HostBuild[Server Model]),IBM_DIA_XI52_Maint,0),0)+HostBuild[Software Costs
'[After Year 1']
(Monthly)]+HostBuild[Total Hardware Costs
(Monthly)]</f>
        <v>1218.6433541666668</v>
      </c>
      <c r="EU137" s="560">
        <f>SUM(HostBuild[[#This Row],[Server Cost Breakdown]:[Network Cost]])</f>
        <v>888.7</v>
      </c>
      <c r="EV137" s="561">
        <f>IF(HostBuild[Existing Server?]="Yes - Inside this BoM",0,SUMIF(HostBuild[Alias],HostBuild[Alias],HostBuild[CPU])+SUMIF(HostBuild[Alias],HostBuild[Alias],HostBuild[Existing CPUs]))</f>
        <v>2</v>
      </c>
      <c r="EW137" s="561">
        <f>IF(HostBuild[Existing Server?]="Yes - Inside this BoM",0,SUMIF(HostBuild[Alias],HostBuild[Alias],HostBuild[Cores 
(Licensed Units)])+SUMIF(HostBuild[Alias],HostBuild[Alias],HostBuild[Existing Cores]))</f>
        <v>16</v>
      </c>
      <c r="EX137" s="561">
        <f>IF(HostBuild[Existing Server?]="Yes - Inside this BoM",0,SUMIF(HostBuild[Alias],HostBuild[Alias],HostBuild[RAM 
(GB)])+SUMIF(HostBuild[Alias],HostBuild[Alias],HostBuild[Existing RAM (GB)]))</f>
        <v>128</v>
      </c>
      <c r="EY13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7" s="560">
        <f>IF(ISBLANK(HostBuild[Server Model]),0,IF(HostBuild[Server Tier]="VMware",0,VLOOKUP(HostBuild[Server Tier],ServerTierRates[#Data],2,0))*HostBuild[CPU]*IF(AND(HostBuild[Server Type]="pSeries",HostBuild[Virtual Platform Storage Type]="Cloud-SAN"),0.25,1))</f>
        <v>608</v>
      </c>
      <c r="FD137" s="560">
        <f>0</f>
        <v>0</v>
      </c>
      <c r="FE137" s="560">
        <f>IF(HostBuild[Server Type]="VMware",HostBuild[RAM 
(GB)]*IF(ISERROR(FIND("DevCloud", HostBuild[Server Model])&gt;0),vRAM_per_vCPU_2014_Monthly,vRAM_per_vCPU_2014_Daily*30),0)</f>
        <v>0</v>
      </c>
      <c r="FF13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7" s="563">
        <f>IF(HostBuild[Server Tier]="VMware",0,IF(LEFT(HostBuild[Existing Server?],3)="Yes",0,IF(OR(HostBuild[Server Type]="Sun",HostBuild[Server Type]="pSeries"),Support_Direct_Server_Sun_per_OS_2014,IF(HostBuild[Server Type]="x86",Support_Direct_Server_x86_Wintel_per_OS_2014,0))))</f>
        <v>187.1</v>
      </c>
      <c r="FI13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8" spans="1:165" s="139" customFormat="1" ht="15" customHeight="1">
      <c r="A138" s="360" t="s">
        <v>3942</v>
      </c>
      <c r="B138" s="521"/>
      <c r="C138" s="521"/>
      <c r="D138" s="521"/>
      <c r="E138" s="522"/>
      <c r="F138" s="522"/>
      <c r="G138" s="597"/>
      <c r="H138" s="597"/>
      <c r="I138" s="523"/>
      <c r="J138" s="522"/>
      <c r="K138" s="522"/>
      <c r="L138" s="522"/>
      <c r="M138" s="597" t="e">
        <f ca="1">IF(rngIsDate(HostBuild[CTO Acceptance]),"Y","N")</f>
        <v>#NAME?</v>
      </c>
      <c r="N138" s="361" t="s">
        <v>3938</v>
      </c>
      <c r="O138" s="525"/>
      <c r="P138" s="525"/>
      <c r="Q138" s="361" t="s">
        <v>4139</v>
      </c>
      <c r="R138" s="526" t="str">
        <f>IF(NOT(ISBLANK(HostBuild[Env Label])),IFERROR(VLOOKUP(HostBuild[Env Label],tEnv[],3,FALSE),""),"")</f>
        <v>UAT</v>
      </c>
      <c r="S138" s="598"/>
      <c r="T138" s="527"/>
      <c r="U138" s="599"/>
      <c r="V138" s="524" t="s">
        <v>4018</v>
      </c>
      <c r="W138" s="524" t="s">
        <v>2249</v>
      </c>
      <c r="X138" s="524" t="s">
        <v>32</v>
      </c>
      <c r="Y138" s="361" t="s">
        <v>4067</v>
      </c>
      <c r="Z138" s="526" t="str">
        <f>IF(NOT(ISBLANK(HostBuild[[#This Row],[Product 
(Acronym)]])),CONCATENATE(HostBuild[[#This Row],[Type]],"-",HostBuild[[#This Row],[Product 
(Acronym)]]),"")</f>
        <v>DB-CBOL</v>
      </c>
      <c r="AA138" s="600"/>
      <c r="AB138" s="600" t="s">
        <v>105</v>
      </c>
      <c r="AC138" s="528"/>
      <c r="AD138" s="529"/>
      <c r="AE138" s="529"/>
      <c r="AF138" s="530"/>
      <c r="AG138" s="531"/>
      <c r="AH138" s="601"/>
      <c r="AI138" s="362" t="s">
        <v>4065</v>
      </c>
      <c r="AJ138" s="524">
        <f>IF(COUNTIF(HostBuild[Alias],HostBuild[Alias]),1/COUNTIF(HostBuild[Alias],HostBuild[Alias]),0)</f>
        <v>1</v>
      </c>
      <c r="AK138" s="531"/>
      <c r="AL138" s="531"/>
      <c r="AM138" s="532" t="s">
        <v>2173</v>
      </c>
      <c r="AN138" s="533" t="str">
        <f>IF(NOT(ISBLANK(HostBuild[Server Model])),VLOOKUP(HostBuild[Server Model],ServerModelsTier[],2,FALSE),"")</f>
        <v>x86 Tier 3</v>
      </c>
      <c r="AO138" s="533" t="str">
        <f>IF(NOT(ISBLANK(HostBuild[Server Model])),VLOOKUP(HostBuild[Server Model],ServerModelsTier[],5,FALSE),"")</f>
        <v>x86</v>
      </c>
      <c r="AP138" s="532"/>
      <c r="AQ138" s="532" t="s">
        <v>2337</v>
      </c>
      <c r="AR138" s="534">
        <v>2</v>
      </c>
      <c r="AS138" s="602"/>
      <c r="AT138" s="535">
        <v>16</v>
      </c>
      <c r="AU138" s="603"/>
      <c r="AV138" s="536">
        <v>128</v>
      </c>
      <c r="AW138" s="531"/>
      <c r="AX138" s="531"/>
      <c r="AY138" s="531"/>
      <c r="AZ138" s="537"/>
      <c r="BA138" s="531"/>
      <c r="BB138" s="531"/>
      <c r="BC138" s="529"/>
      <c r="BD138" s="531"/>
      <c r="BE138" s="531"/>
      <c r="BF138" s="531"/>
      <c r="BG138" s="531"/>
      <c r="BH138" s="531"/>
      <c r="BI138" s="531"/>
      <c r="BJ138" s="531"/>
      <c r="BK138"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8" s="538">
        <v>1650</v>
      </c>
      <c r="BM138" s="540">
        <f>IF(ISNUMBER(HostBuild[Recommended SAN (GB)]),HostBuild[Recommended SAN (GB)])+IF(HostBuild[Additional SAN (GB)]&gt;0,CEILING(HostBuild[Additional SAN (GB)],LUN),-(CEILING(-HostBuild[Additional SAN (GB)],LUN)))</f>
        <v>1853.5000000000002</v>
      </c>
      <c r="BN138" s="539"/>
      <c r="BO138" s="540">
        <f>HostBuild[SAN (GB)
NEEDED TODAY]+CEILING(HostBuild[SAN (GB)
RESERVED
DO NOT USE TO BUILD], LUN)</f>
        <v>1853.5000000000002</v>
      </c>
      <c r="BP138" s="541">
        <v>1500</v>
      </c>
      <c r="BQ138" s="542"/>
      <c r="BR138" s="432"/>
      <c r="BS138" s="605">
        <f>IF(HostBuild[Existing Server?]&lt;&gt;"Yes - Inside this BoM",IF(ISNUMBER(HostBuild[RAM 
(GB)]),IF(HostBuild[Existing RAM (GB)]+HostBuild[RAM 
(GB)]&gt;0,IF(HostBuild[Virtual Platform Storage Type]="NAS",110+HostBuild[Existing RAM (GB)]+HostBuild[RAM 
(GB)]*1.75,0),0),0),0)</f>
        <v>0</v>
      </c>
      <c r="BT138" s="606"/>
      <c r="BU138" s="607">
        <f>IF(ISNUMBER(HostBuild[Recommended NAS (GB)]),HostBuild[Recommended NAS (GB)])+HostBuild[Additional NAS (GB)]</f>
        <v>0</v>
      </c>
      <c r="BV138" s="543"/>
      <c r="BW138" s="543"/>
      <c r="BX138" s="604">
        <f>IFERROR((HostBuild[SAN (GB)
End-State
DO NOT USE TO BUILD]+HostBuild[SAN (GB) Shared])*25%,"")</f>
        <v>838.375</v>
      </c>
      <c r="BY138" s="608">
        <f>IFERROR(HostBuild[Archive
Full (GB)]*15%,"")</f>
        <v>125.75624999999999</v>
      </c>
      <c r="BZ138" s="544"/>
      <c r="CA138" s="544"/>
      <c r="CB138" s="545"/>
      <c r="CC138" s="546"/>
      <c r="CD138" s="545"/>
      <c r="CE138" s="547"/>
      <c r="CF138" s="539"/>
      <c r="CG138" s="609"/>
      <c r="CH138" s="548"/>
      <c r="CI138" s="549"/>
      <c r="CJ138" s="550"/>
      <c r="CK138" s="551"/>
      <c r="CL138" s="552">
        <f>IFERROR(IF(FIND(CL$1,$W138)&gt;0,IF(INDEX(Product_Pricing_Table[],MATCH(CL$1,Products,0),2)="Cores",IF(HostBuild[Use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8" s="552">
        <f>IFERROR(IF(FIND(CM$1,$W138)&gt;0,IF(INDEX(Product_Pricing_Table[],MATCH(CM$1,Products,0),2)="Cores",IF(HostBuild[Use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8" s="552">
        <f>IFERROR(IF(FIND(CN$1,$W138)&gt;0,IF(INDEX(Product_Pricing_Table[],MATCH(CN$1,Products,0),2)="Cores",IF(HostBuild[Use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8" s="552">
        <f>IFERROR(IF(FIND(CO$1,$W138)&gt;0,IF(INDEX(Product_Pricing_Table[],MATCH(CO$1,Products,0),2)="Cores",IF(HostBuild[Use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8" s="552">
        <f>IFERROR(IF(FIND(CP$1,$W138)&gt;0,IF(INDEX(Product_Pricing_Table[],MATCH(CP$1,Products,0),2)="Cores",IF(HostBuild[Use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8" s="552">
        <f>IFERROR(IF(FIND(CQ$1,$W138)&gt;0,IF(INDEX(Product_Pricing_Table[],MATCH(CQ$1,Products,0),2)="Cores",IF(HostBuild[Use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8" s="552">
        <f>IFERROR(IF(FIND(CR$1,$W138)&gt;0,IF(INDEX(Product_Pricing_Table[],MATCH(CR$1,Products,0),2)="Cores",IF(HostBuild[Use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8" s="552">
        <f>IFERROR(IF(FIND(CS$1,$W138)&gt;0,IF(INDEX(Product_Pricing_Table[],MATCH(CS$1,Products,0),2)="Cores",IF(HostBuild[Use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8" s="552">
        <f>IFERROR(IF(FIND(CT$1,$W138)&gt;0,IF(INDEX(Product_Pricing_Table[],MATCH(CT$1,Products,0),2)="Cores",IF(HostBuild[Use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8" s="552">
        <f>IFERROR(IF(FIND(CU$1,$W138)&gt;0,IF(INDEX(Product_Pricing_Table[],MATCH(CU$1,Products,0),2)="Cores",IF(HostBuild[Use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8" s="552">
        <f>IFERROR(IF(FIND(CV$1,$W138)&gt;0,IF(INDEX(Product_Pricing_Table[],MATCH(CV$1,Products,0),2)="Cores",IF(HostBuild[Use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8" s="552">
        <f>IFERROR(IF(FIND(CW$1,$W138)&gt;0,IF(INDEX(Product_Pricing_Table[],MATCH(CW$1,Products,0),2)="Cores",IF(HostBuild[Use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8" s="552">
        <f>IFERROR(IF(FIND(CX$1,$W138)&gt;0,IF(INDEX(Product_Pricing_Table[],MATCH(CX$1,Products,0),2)="Cores",IF(HostBuild[Use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8" s="552">
        <f>IFERROR(IF(FIND(CY$1,$W138)&gt;0,IF(INDEX(Product_Pricing_Table[],MATCH(CY$1,Products,0),2)="Cores",IF(HostBuild[Use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8" s="552">
        <f>IFERROR(IF(FIND(CZ$1,$W138)&gt;0,IF(INDEX(Product_Pricing_Table[],MATCH(CZ$1,Products,0),2)="Cores",IF(HostBuild[Use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8" s="552">
        <f>IFERROR(IF(FIND(DA$1,$W138)&gt;0,IF(INDEX(Product_Pricing_Table[],MATCH(DA$1,Products,0),2)="Cores",IF(HostBuild[Use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8" s="552">
        <f>IFERROR(IF(FIND(DB$1,$W138)&gt;0,IF(INDEX(Product_Pricing_Table[],MATCH(DB$1,Products,0),2)="Cores",IF(HostBuild[Use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8" s="552">
        <f>IFERROR(IF(FIND(DC$1,$W138)&gt;0,IF(INDEX(Product_Pricing_Table[],MATCH(DC$1,Products,0),2)="Cores",IF(HostBuild[Use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8" s="552">
        <f>IFERROR(IF(FIND(DD$1,$W138)&gt;0,IF(INDEX(Product_Pricing_Table[],MATCH(DD$1,Products,0),2)="Cores",IF(HostBuild[Use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8" s="552">
        <f>IFERROR(IF(FIND(DE$1,$W138)&gt;0,IF(INDEX(Product_Pricing_Table[],MATCH(DE$1,Products,0),2)="Cores",IF(HostBuild[Use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8" s="553">
        <f>IFERROR(IF(FIND(DF$1,$W138)&gt;0,IF(INDEX(Product_Pricing_Table[],MATCH(DF$1,Products,0),2)="Cores",IF(HostBuild[Use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8" s="553">
        <f>IFERROR(IF(FIND(DG$1,$W138)&gt;0,IF(INDEX(Product_Pricing_Table[],MATCH(DG$1,Products,0),2)="Cores",IF(HostBuild[Use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8" s="552">
        <f>IFERROR(IF(FIND(DH$1,$W138)&gt;0,IF(INDEX(Product_Pricing_Table[],MATCH(DH$1,Products,0),2)="Cores",IF(HostBuild[Use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8" s="553">
        <f>IFERROR(IF(FIND(DI$1,$W138)&gt;0,IF(INDEX(Product_Pricing_Table[],MATCH(DI$1,Products,0),2)="Cores",IF(HostBuild[Use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8" s="552">
        <f>IFERROR(IF(FIND(DJ$1,$W138)&gt;0,IF(INDEX(Product_Pricing_Table[],MATCH(DJ$1,Products,0),2)="Cores",IF(HostBuild[Use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8" s="552">
        <f>IFERROR(IF(FIND(DK$1,$W138)&gt;0,IF(INDEX(Product_Pricing_Table[],MATCH(DK$1,Products,0),2)="Cores",IF(HostBuild[Use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8" s="552">
        <f>IFERROR(IF(FIND(DL$1,$W138)&gt;0,IF(INDEX(Product_Pricing_Table[],MATCH(DL$1,Products,0),2)="Cores",IF(HostBuild[Use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8" s="552">
        <f>IFERROR(IF(FIND(DM$1,$W138)&gt;0,IF(INDEX(Product_Pricing_Table[],MATCH(DM$1,Products,0),2)="Cores",IF(HostBuild[Use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8" s="552">
        <f>IFERROR(IF(FIND(DN$1,$W138)&gt;0,IF(INDEX(Product_Pricing_Table[],MATCH(DN$1,Products,0),2)="Cores",IF(HostBuild[Use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8" s="552">
        <f>IFERROR(IF(FIND(DO$1,$W138)&gt;0,IF(INDEX(Product_Pricing_Table[],MATCH(DO$1,Products,0),2)="Cores",IF(HostBuild[Use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8" s="552">
        <f>IFERROR(IF(FIND(DP$1,$W138)&gt;0,IF(INDEX(Product_Pricing_Table[],MATCH(DP$1,Products,0),2)="Cores",IF(HostBuild[Use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8" s="552">
        <f>IFERROR(IF(FIND(DQ$1,$W138)&gt;0,IF(INDEX(Product_Pricing_Table[],MATCH(DQ$1,Products,0),2)="Cores",IF(HostBuild[Use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8" s="552">
        <f>IFERROR(IF(FIND(DR$1,$W138)&gt;0,IF(INDEX(Product_Pricing_Table[],MATCH(DR$1,Products,0),2)="Cores",IF(HostBuild[Use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8" s="552">
        <f>IFERROR(IF(FIND(DS$1,$W138)&gt;0,IF(INDEX(Product_Pricing_Table[],MATCH(DS$1,Products,0),2)="Cores",IF(HostBuild[Use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8" s="552">
        <f>IFERROR(IF(FIND(DT$1,$W138)&gt;0,IF(INDEX(Product_Pricing_Table[],MATCH(DT$1,Products,0),2)="Cores",IF(HostBuild[Use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8" s="552">
        <f>IFERROR(IF(FIND(DU$1,$W138)&gt;0,IF(INDEX(Product_Pricing_Table[],MATCH(DU$1,Products,0),2)="Cores",IF(HostBuild[Use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8" s="552">
        <f>IFERROR(IF(FIND(DV$1,$W138)&gt;0,IF(INDEX(Product_Pricing_Table[],MATCH(DV$1,Products,0),2)="Cores",IF(HostBuild[Use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8" s="552">
        <f>IFERROR(IF(FIND(DW$1,$W138)&gt;0,IF(INDEX(Product_Pricing_Table[],MATCH(DW$1,Products,0),2)="Cores",IF(HostBuild[Use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8" s="552">
        <f>IFERROR(IF(FIND(DX$1,$W138)&gt;0,IF(INDEX(Product_Pricing_Table[],MATCH(DX$1,Products,0),2)="Cores",IF(HostBuild[Use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8" s="552">
        <f>IFERROR(IF(FIND(DY$1,$W138)&gt;0,IF(INDEX(Product_Pricing_Table[],MATCH(DY$1,Products,0),2)="Cores",IF(HostBuild[Use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8" s="552">
        <f>IFERROR(IF(FIND(DZ$1,$W138)&gt;0,IF(INDEX(Product_Pricing_Table[],MATCH(DZ$1,Products,0),2)="Cores",IF(HostBuild[Use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8" s="552">
        <f>IFERROR(IF(FIND(EA$1,$W138)&gt;0,IF(INDEX(Product_Pricing_Table[],MATCH(EA$1,Products,0),2)="Cores",IF(HostBuild[Use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8" s="552">
        <f>IFERROR(IF(FIND(EB$1,$W138)&gt;0,IF(INDEX(Product_Pricing_Table[],MATCH(EB$1,Products,0),2)="Cores",IF(HostBuild[Use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8" s="553">
        <f>IFERROR(IF(FIND(EC$1,$W138)&gt;0,IF(INDEX(Product_Pricing_Table[],MATCH(EC$1,Products,0),2)="Cores",IF(HostBuild[Use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8" s="552">
        <f>IFERROR(IF(FIND(ED$1,$W138)&gt;0,IF(INDEX(Product_Pricing_Table[],MATCH(ED$1,Products,0),2)="Cores",IF(HostBuild[Use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8" s="552">
        <f>IFERROR(IF(FIND(EE$1,$W138)&gt;0,IF(INDEX(Product_Pricing_Table[],MATCH(EE$1,Products,0),2)="Cores",IF(HostBuild[Use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8" s="552">
        <f>IFERROR(IF(FIND(EF$1,$W138)&gt;0,IF(INDEX(Product_Pricing_Table[],MATCH(EF$1,Products,0),2)="Cores",IF(HostBuild[Use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8" s="552">
        <f>IFERROR(IF(FIND(EG$1,$W138)&gt;0,IF(INDEX(Product_Pricing_Table[],MATCH(EG$1,Products,0),2)="Cores",IF(HostBuild[Use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8" s="552">
        <f>IFERROR(IF(FIND(EH$1,$W138)&gt;0,IF(INDEX(Product_Pricing_Table[],MATCH(EH$1,Products,0),2)="Cores",IF(HostBuild[Use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8" s="552">
        <f>IFERROR(IF(FIND(EI$1,$W138)&gt;0,IF(INDEX(Product_Pricing_Table[],MATCH(EI$1,Products,0),2)="Cores",IF(HostBuild[Use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8" s="552">
        <f>IFERROR(IF(FIND(EJ$1,$W138)&gt;0,IF(INDEX(Product_Pricing_Table[],MATCH(EJ$1,Products,0),2)="Cores",IF(HostBuild[Use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8" s="553">
        <f>IFERROR(IF(FIND(EK$1,$W138)&gt;0,IF(INDEX(Product_Pricing_Table[],MATCH(EK$1,Products,0),2)="Cores",IF(HostBuild[Use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8" s="554"/>
      <c r="EM138" s="555">
        <v>718.61</v>
      </c>
      <c r="EN138" s="556">
        <v>125.82666666666667</v>
      </c>
      <c r="EO138"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2350.5750000000003</v>
      </c>
      <c r="EQ138" s="558">
        <f>(HostBuild[Archive
Full (GB)]+HostBuild[Archive
Incr (GB)])*Storage_DC_Dist_Tape_2014</f>
        <v>337.44593750000001</v>
      </c>
      <c r="ER138" s="558">
        <f>IF(ISNUMBER(HostBuild[Server HW Costs
(Monthly)]),SUM(HostBuild[[#This Row],[Server HW Costs
(Monthly)]:[Tape Costs
(Monthly)]]),0)</f>
        <v>3576.7209375000007</v>
      </c>
      <c r="ES138" s="559">
        <f>HostBuild[Software Costs
'[Year 1']
(Monthly)]+HostBuild[Total Hardware Costs
(Monthly)]</f>
        <v>4295.3309375000008</v>
      </c>
      <c r="ET138" s="559">
        <f>IFERROR(IF(FIND("Safenet",HostBuild[Server Model]),Safenet_PSE_PL600_Maint,0),0)+IFERROR(IF(FIND("XI52",HostBuild[Server Model]),IBM_DIA_XI52_Maint,0),0)+HostBuild[Software Costs
'[After Year 1']
(Monthly)]+HostBuild[Total Hardware Costs
(Monthly)]</f>
        <v>3702.5476041666675</v>
      </c>
      <c r="EU138" s="560">
        <f>SUM(HostBuild[[#This Row],[Server Cost Breakdown]:[Network Cost]])</f>
        <v>888.7</v>
      </c>
      <c r="EV138" s="561">
        <f>IF(HostBuild[Existing Server?]="Yes - Inside this BoM",0,SUMIF(HostBuild[Alias],HostBuild[Alias],HostBuild[CPU])+SUMIF(HostBuild[Alias],HostBuild[Alias],HostBuild[Existing CPUs]))</f>
        <v>2</v>
      </c>
      <c r="EW138" s="561">
        <f>IF(HostBuild[Existing Server?]="Yes - Inside this BoM",0,SUMIF(HostBuild[Alias],HostBuild[Alias],HostBuild[Cores 
(Licensed Units)])+SUMIF(HostBuild[Alias],HostBuild[Alias],HostBuild[Existing Cores]))</f>
        <v>16</v>
      </c>
      <c r="EX138" s="561">
        <f>IF(HostBuild[Existing Server?]="Yes - Inside this BoM",0,SUMIF(HostBuild[Alias],HostBuild[Alias],HostBuild[RAM 
(GB)])+SUMIF(HostBuild[Alias],HostBuild[Alias],HostBuild[Existing RAM (GB)]))</f>
        <v>128</v>
      </c>
      <c r="EY13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8" s="560">
        <f>IF(ISBLANK(HostBuild[Server Model]),0,IF(HostBuild[Server Tier]="VMware",0,VLOOKUP(HostBuild[Server Tier],ServerTierRates[#Data],2,0))*HostBuild[CPU]*IF(AND(HostBuild[Server Type]="pSeries",HostBuild[Virtual Platform Storage Type]="Cloud-SAN"),0.25,1))</f>
        <v>608</v>
      </c>
      <c r="FD138" s="560">
        <f>0</f>
        <v>0</v>
      </c>
      <c r="FE138" s="560">
        <f>IF(HostBuild[Server Type]="VMware",HostBuild[RAM 
(GB)]*IF(ISERROR(FIND("DevCloud", HostBuild[Server Model])&gt;0),vRAM_per_vCPU_2014_Monthly,vRAM_per_vCPU_2014_Daily*30),0)</f>
        <v>0</v>
      </c>
      <c r="FF13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8" s="563">
        <f>IF(HostBuild[Server Tier]="VMware",0,IF(LEFT(HostBuild[Existing Server?],3)="Yes",0,IF(OR(HostBuild[Server Type]="Sun",HostBuild[Server Type]="pSeries"),Support_Direct_Server_Sun_per_OS_2014,IF(HostBuild[Server Type]="x86",Support_Direct_Server_x86_Wintel_per_OS_2014,0))))</f>
        <v>187.1</v>
      </c>
      <c r="FI13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39" spans="1:165" s="139" customFormat="1" ht="15" customHeight="1">
      <c r="A139" s="360" t="s">
        <v>3942</v>
      </c>
      <c r="B139" s="521"/>
      <c r="C139" s="521"/>
      <c r="D139" s="521"/>
      <c r="E139" s="522"/>
      <c r="F139" s="522"/>
      <c r="G139" s="597"/>
      <c r="H139" s="597"/>
      <c r="I139" s="523"/>
      <c r="J139" s="522"/>
      <c r="K139" s="522"/>
      <c r="L139" s="522"/>
      <c r="M139" s="597" t="e">
        <f ca="1">IF(rngIsDate(HostBuild[CTO Acceptance]),"Y","N")</f>
        <v>#NAME?</v>
      </c>
      <c r="N139" s="361" t="s">
        <v>3938</v>
      </c>
      <c r="O139" s="525"/>
      <c r="P139" s="525"/>
      <c r="Q139" s="361" t="s">
        <v>4139</v>
      </c>
      <c r="R139" s="526" t="str">
        <f>IF(NOT(ISBLANK(HostBuild[Env Label])),IFERROR(VLOOKUP(HostBuild[Env Label],tEnv[],3,FALSE),""),"")</f>
        <v>UAT</v>
      </c>
      <c r="S139" s="598"/>
      <c r="T139" s="527"/>
      <c r="U139" s="599"/>
      <c r="V139" s="524" t="s">
        <v>4018</v>
      </c>
      <c r="W139" s="524" t="s">
        <v>2249</v>
      </c>
      <c r="X139" s="524" t="s">
        <v>32</v>
      </c>
      <c r="Y139" s="361" t="s">
        <v>4067</v>
      </c>
      <c r="Z139" s="526" t="str">
        <f>IF(NOT(ISBLANK(HostBuild[[#This Row],[Product 
(Acronym)]])),CONCATENATE(HostBuild[[#This Row],[Type]],"-",HostBuild[[#This Row],[Product 
(Acronym)]]),"")</f>
        <v>DB-CBOL</v>
      </c>
      <c r="AA139" s="600"/>
      <c r="AB139" s="600" t="s">
        <v>105</v>
      </c>
      <c r="AC139" s="528"/>
      <c r="AD139" s="529"/>
      <c r="AE139" s="529"/>
      <c r="AF139" s="530"/>
      <c r="AG139" s="531"/>
      <c r="AH139" s="601"/>
      <c r="AI139" s="362" t="s">
        <v>4066</v>
      </c>
      <c r="AJ139" s="524">
        <f>IF(COUNTIF(HostBuild[Alias],HostBuild[Alias]),1/COUNTIF(HostBuild[Alias],HostBuild[Alias]),0)</f>
        <v>1</v>
      </c>
      <c r="AK139" s="531"/>
      <c r="AL139" s="531"/>
      <c r="AM139" s="532" t="s">
        <v>2173</v>
      </c>
      <c r="AN139" s="533" t="str">
        <f>IF(NOT(ISBLANK(HostBuild[Server Model])),VLOOKUP(HostBuild[Server Model],ServerModelsTier[],2,FALSE),"")</f>
        <v>x86 Tier 3</v>
      </c>
      <c r="AO139" s="533" t="str">
        <f>IF(NOT(ISBLANK(HostBuild[Server Model])),VLOOKUP(HostBuild[Server Model],ServerModelsTier[],5,FALSE),"")</f>
        <v>x86</v>
      </c>
      <c r="AP139" s="532"/>
      <c r="AQ139" s="532" t="s">
        <v>2337</v>
      </c>
      <c r="AR139" s="534">
        <v>2</v>
      </c>
      <c r="AS139" s="602"/>
      <c r="AT139" s="535">
        <v>16</v>
      </c>
      <c r="AU139" s="603"/>
      <c r="AV139" s="536">
        <v>128</v>
      </c>
      <c r="AW139" s="531"/>
      <c r="AX139" s="531"/>
      <c r="AY139" s="531"/>
      <c r="AZ139" s="537"/>
      <c r="BA139" s="531"/>
      <c r="BB139" s="531"/>
      <c r="BC139" s="529"/>
      <c r="BD139" s="531"/>
      <c r="BE139" s="531"/>
      <c r="BF139" s="531"/>
      <c r="BG139" s="531"/>
      <c r="BH139" s="531"/>
      <c r="BI139" s="531"/>
      <c r="BJ139" s="531"/>
      <c r="BK139"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39" s="538">
        <v>150</v>
      </c>
      <c r="BM139" s="540">
        <f>IF(ISNUMBER(HostBuild[Recommended SAN (GB)]),HostBuild[Recommended SAN (GB)])+IF(HostBuild[Additional SAN (GB)]&gt;0,CEILING(HostBuild[Additional SAN (GB)],LUN),-(CEILING(-HostBuild[Additional SAN (GB)],LUN)))</f>
        <v>370.70000000000005</v>
      </c>
      <c r="BN139" s="539"/>
      <c r="BO139" s="540">
        <f>HostBuild[SAN (GB)
NEEDED TODAY]+CEILING(HostBuild[SAN (GB)
RESERVED
DO NOT USE TO BUILD], LUN)</f>
        <v>370.70000000000005</v>
      </c>
      <c r="BP139" s="541"/>
      <c r="BQ139" s="542"/>
      <c r="BR139" s="432"/>
      <c r="BS139" s="605">
        <f>IF(HostBuild[Existing Server?]&lt;&gt;"Yes - Inside this BoM",IF(ISNUMBER(HostBuild[RAM 
(GB)]),IF(HostBuild[Existing RAM (GB)]+HostBuild[RAM 
(GB)]&gt;0,IF(HostBuild[Virtual Platform Storage Type]="NAS",110+HostBuild[Existing RAM (GB)]+HostBuild[RAM 
(GB)]*1.75,0),0),0),0)</f>
        <v>0</v>
      </c>
      <c r="BT139" s="606"/>
      <c r="BU139" s="607">
        <f>IF(ISNUMBER(HostBuild[Recommended NAS (GB)]),HostBuild[Recommended NAS (GB)])+HostBuild[Additional NAS (GB)]</f>
        <v>0</v>
      </c>
      <c r="BV139" s="543"/>
      <c r="BW139" s="543"/>
      <c r="BX139" s="604">
        <f>IFERROR((HostBuild[SAN (GB)
End-State
DO NOT USE TO BUILD]+HostBuild[SAN (GB) Shared])*25%,"")</f>
        <v>92.675000000000011</v>
      </c>
      <c r="BY139" s="608">
        <f>IFERROR(HostBuild[Archive
Full (GB)]*15%,"")</f>
        <v>13.901250000000001</v>
      </c>
      <c r="BZ139" s="544"/>
      <c r="CA139" s="544"/>
      <c r="CB139" s="545"/>
      <c r="CC139" s="546"/>
      <c r="CD139" s="545"/>
      <c r="CE139" s="547"/>
      <c r="CF139" s="539"/>
      <c r="CG139" s="609"/>
      <c r="CH139" s="548"/>
      <c r="CI139" s="549"/>
      <c r="CJ139" s="550"/>
      <c r="CK139" s="551"/>
      <c r="CL139" s="552">
        <f>IFERROR(IF(FIND(CL$1,$W139)&gt;0,IF(INDEX(Product_Pricing_Table[],MATCH(CL$1,Products,0),2)="Cores",IF(HostBuild[Use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39" s="552">
        <f>IFERROR(IF(FIND(CM$1,$W139)&gt;0,IF(INDEX(Product_Pricing_Table[],MATCH(CM$1,Products,0),2)="Cores",IF(HostBuild[Use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39" s="552">
        <f>IFERROR(IF(FIND(CN$1,$W139)&gt;0,IF(INDEX(Product_Pricing_Table[],MATCH(CN$1,Products,0),2)="Cores",IF(HostBuild[Use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39" s="552">
        <f>IFERROR(IF(FIND(CO$1,$W139)&gt;0,IF(INDEX(Product_Pricing_Table[],MATCH(CO$1,Products,0),2)="Cores",IF(HostBuild[Use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39" s="552">
        <f>IFERROR(IF(FIND(CP$1,$W139)&gt;0,IF(INDEX(Product_Pricing_Table[],MATCH(CP$1,Products,0),2)="Cores",IF(HostBuild[Use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39" s="552">
        <f>IFERROR(IF(FIND(CQ$1,$W139)&gt;0,IF(INDEX(Product_Pricing_Table[],MATCH(CQ$1,Products,0),2)="Cores",IF(HostBuild[Use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39" s="552">
        <f>IFERROR(IF(FIND(CR$1,$W139)&gt;0,IF(INDEX(Product_Pricing_Table[],MATCH(CR$1,Products,0),2)="Cores",IF(HostBuild[Use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39" s="552">
        <f>IFERROR(IF(FIND(CS$1,$W139)&gt;0,IF(INDEX(Product_Pricing_Table[],MATCH(CS$1,Products,0),2)="Cores",IF(HostBuild[Use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39" s="552">
        <f>IFERROR(IF(FIND(CT$1,$W139)&gt;0,IF(INDEX(Product_Pricing_Table[],MATCH(CT$1,Products,0),2)="Cores",IF(HostBuild[Use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39" s="552">
        <f>IFERROR(IF(FIND(CU$1,$W139)&gt;0,IF(INDEX(Product_Pricing_Table[],MATCH(CU$1,Products,0),2)="Cores",IF(HostBuild[Use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39" s="552">
        <f>IFERROR(IF(FIND(CV$1,$W139)&gt;0,IF(INDEX(Product_Pricing_Table[],MATCH(CV$1,Products,0),2)="Cores",IF(HostBuild[Use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39" s="552">
        <f>IFERROR(IF(FIND(CW$1,$W139)&gt;0,IF(INDEX(Product_Pricing_Table[],MATCH(CW$1,Products,0),2)="Cores",IF(HostBuild[Use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39" s="552">
        <f>IFERROR(IF(FIND(CX$1,$W139)&gt;0,IF(INDEX(Product_Pricing_Table[],MATCH(CX$1,Products,0),2)="Cores",IF(HostBuild[Use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39" s="552">
        <f>IFERROR(IF(FIND(CY$1,$W139)&gt;0,IF(INDEX(Product_Pricing_Table[],MATCH(CY$1,Products,0),2)="Cores",IF(HostBuild[Use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39" s="552">
        <f>IFERROR(IF(FIND(CZ$1,$W139)&gt;0,IF(INDEX(Product_Pricing_Table[],MATCH(CZ$1,Products,0),2)="Cores",IF(HostBuild[Use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39" s="552">
        <f>IFERROR(IF(FIND(DA$1,$W139)&gt;0,IF(INDEX(Product_Pricing_Table[],MATCH(DA$1,Products,0),2)="Cores",IF(HostBuild[Use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39" s="552">
        <f>IFERROR(IF(FIND(DB$1,$W139)&gt;0,IF(INDEX(Product_Pricing_Table[],MATCH(DB$1,Products,0),2)="Cores",IF(HostBuild[Use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39" s="552">
        <f>IFERROR(IF(FIND(DC$1,$W139)&gt;0,IF(INDEX(Product_Pricing_Table[],MATCH(DC$1,Products,0),2)="Cores",IF(HostBuild[Use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39" s="552">
        <f>IFERROR(IF(FIND(DD$1,$W139)&gt;0,IF(INDEX(Product_Pricing_Table[],MATCH(DD$1,Products,0),2)="Cores",IF(HostBuild[Use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39" s="552">
        <f>IFERROR(IF(FIND(DE$1,$W139)&gt;0,IF(INDEX(Product_Pricing_Table[],MATCH(DE$1,Products,0),2)="Cores",IF(HostBuild[Use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39" s="553">
        <f>IFERROR(IF(FIND(DF$1,$W139)&gt;0,IF(INDEX(Product_Pricing_Table[],MATCH(DF$1,Products,0),2)="Cores",IF(HostBuild[Use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39" s="553">
        <f>IFERROR(IF(FIND(DG$1,$W139)&gt;0,IF(INDEX(Product_Pricing_Table[],MATCH(DG$1,Products,0),2)="Cores",IF(HostBuild[Use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39" s="552">
        <f>IFERROR(IF(FIND(DH$1,$W139)&gt;0,IF(INDEX(Product_Pricing_Table[],MATCH(DH$1,Products,0),2)="Cores",IF(HostBuild[Use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39" s="553">
        <f>IFERROR(IF(FIND(DI$1,$W139)&gt;0,IF(INDEX(Product_Pricing_Table[],MATCH(DI$1,Products,0),2)="Cores",IF(HostBuild[Use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39" s="552">
        <f>IFERROR(IF(FIND(DJ$1,$W139)&gt;0,IF(INDEX(Product_Pricing_Table[],MATCH(DJ$1,Products,0),2)="Cores",IF(HostBuild[Use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39" s="552">
        <f>IFERROR(IF(FIND(DK$1,$W139)&gt;0,IF(INDEX(Product_Pricing_Table[],MATCH(DK$1,Products,0),2)="Cores",IF(HostBuild[Use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39" s="552">
        <f>IFERROR(IF(FIND(DL$1,$W139)&gt;0,IF(INDEX(Product_Pricing_Table[],MATCH(DL$1,Products,0),2)="Cores",IF(HostBuild[Use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39" s="552">
        <f>IFERROR(IF(FIND(DM$1,$W139)&gt;0,IF(INDEX(Product_Pricing_Table[],MATCH(DM$1,Products,0),2)="Cores",IF(HostBuild[Use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39" s="552">
        <f>IFERROR(IF(FIND(DN$1,$W139)&gt;0,IF(INDEX(Product_Pricing_Table[],MATCH(DN$1,Products,0),2)="Cores",IF(HostBuild[Use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39" s="552">
        <f>IFERROR(IF(FIND(DO$1,$W139)&gt;0,IF(INDEX(Product_Pricing_Table[],MATCH(DO$1,Products,0),2)="Cores",IF(HostBuild[Use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39" s="552">
        <f>IFERROR(IF(FIND(DP$1,$W139)&gt;0,IF(INDEX(Product_Pricing_Table[],MATCH(DP$1,Products,0),2)="Cores",IF(HostBuild[Use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39" s="552">
        <f>IFERROR(IF(FIND(DQ$1,$W139)&gt;0,IF(INDEX(Product_Pricing_Table[],MATCH(DQ$1,Products,0),2)="Cores",IF(HostBuild[Use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39" s="552">
        <f>IFERROR(IF(FIND(DR$1,$W139)&gt;0,IF(INDEX(Product_Pricing_Table[],MATCH(DR$1,Products,0),2)="Cores",IF(HostBuild[Use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39" s="552">
        <f>IFERROR(IF(FIND(DS$1,$W139)&gt;0,IF(INDEX(Product_Pricing_Table[],MATCH(DS$1,Products,0),2)="Cores",IF(HostBuild[Use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39" s="552">
        <f>IFERROR(IF(FIND(DT$1,$W139)&gt;0,IF(INDEX(Product_Pricing_Table[],MATCH(DT$1,Products,0),2)="Cores",IF(HostBuild[Use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39" s="552">
        <f>IFERROR(IF(FIND(DU$1,$W139)&gt;0,IF(INDEX(Product_Pricing_Table[],MATCH(DU$1,Products,0),2)="Cores",IF(HostBuild[Use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39" s="552">
        <f>IFERROR(IF(FIND(DV$1,$W139)&gt;0,IF(INDEX(Product_Pricing_Table[],MATCH(DV$1,Products,0),2)="Cores",IF(HostBuild[Use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16</v>
      </c>
      <c r="DW139" s="552">
        <f>IFERROR(IF(FIND(DW$1,$W139)&gt;0,IF(INDEX(Product_Pricing_Table[],MATCH(DW$1,Products,0),2)="Cores",IF(HostBuild[Use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39" s="552">
        <f>IFERROR(IF(FIND(DX$1,$W139)&gt;0,IF(INDEX(Product_Pricing_Table[],MATCH(DX$1,Products,0),2)="Cores",IF(HostBuild[Use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39" s="552">
        <f>IFERROR(IF(FIND(DY$1,$W139)&gt;0,IF(INDEX(Product_Pricing_Table[],MATCH(DY$1,Products,0),2)="Cores",IF(HostBuild[Use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39" s="552">
        <f>IFERROR(IF(FIND(DZ$1,$W139)&gt;0,IF(INDEX(Product_Pricing_Table[],MATCH(DZ$1,Products,0),2)="Cores",IF(HostBuild[Use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39" s="552">
        <f>IFERROR(IF(FIND(EA$1,$W139)&gt;0,IF(INDEX(Product_Pricing_Table[],MATCH(EA$1,Products,0),2)="Cores",IF(HostBuild[Use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39" s="552">
        <f>IFERROR(IF(FIND(EB$1,$W139)&gt;0,IF(INDEX(Product_Pricing_Table[],MATCH(EB$1,Products,0),2)="Cores",IF(HostBuild[Use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39" s="553">
        <f>IFERROR(IF(FIND(EC$1,$W139)&gt;0,IF(INDEX(Product_Pricing_Table[],MATCH(EC$1,Products,0),2)="Cores",IF(HostBuild[Use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39" s="552">
        <f>IFERROR(IF(FIND(ED$1,$W139)&gt;0,IF(INDEX(Product_Pricing_Table[],MATCH(ED$1,Products,0),2)="Cores",IF(HostBuild[Use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39" s="552">
        <f>IFERROR(IF(FIND(EE$1,$W139)&gt;0,IF(INDEX(Product_Pricing_Table[],MATCH(EE$1,Products,0),2)="Cores",IF(HostBuild[Use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39" s="552">
        <f>IFERROR(IF(FIND(EF$1,$W139)&gt;0,IF(INDEX(Product_Pricing_Table[],MATCH(EF$1,Products,0),2)="Cores",IF(HostBuild[Use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39" s="552">
        <f>IFERROR(IF(FIND(EG$1,$W139)&gt;0,IF(INDEX(Product_Pricing_Table[],MATCH(EG$1,Products,0),2)="Cores",IF(HostBuild[Use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39" s="552">
        <f>IFERROR(IF(FIND(EH$1,$W139)&gt;0,IF(INDEX(Product_Pricing_Table[],MATCH(EH$1,Products,0),2)="Cores",IF(HostBuild[Use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39" s="552">
        <f>IFERROR(IF(FIND(EI$1,$W139)&gt;0,IF(INDEX(Product_Pricing_Table[],MATCH(EI$1,Products,0),2)="Cores",IF(HostBuild[Use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39" s="552">
        <f>IFERROR(IF(FIND(EJ$1,$W139)&gt;0,IF(INDEX(Product_Pricing_Table[],MATCH(EJ$1,Products,0),2)="Cores",IF(HostBuild[Use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39" s="553">
        <f>IFERROR(IF(FIND(EK$1,$W139)&gt;0,IF(INDEX(Product_Pricing_Table[],MATCH(EK$1,Products,0),2)="Cores",IF(HostBuild[Use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39" s="554"/>
      <c r="EM139" s="555">
        <v>718.61</v>
      </c>
      <c r="EN139" s="556">
        <v>125.82666666666667</v>
      </c>
      <c r="EO139"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3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166.81500000000003</v>
      </c>
      <c r="EQ139" s="558">
        <f>(HostBuild[Archive
Full (GB)]+HostBuild[Archive
Incr (GB)])*Storage_DC_Dist_Tape_2014</f>
        <v>37.3016875</v>
      </c>
      <c r="ER139" s="558">
        <f>IF(ISNUMBER(HostBuild[Server HW Costs
(Monthly)]),SUM(HostBuild[[#This Row],[Server HW Costs
(Monthly)]:[Tape Costs
(Monthly)]]),0)</f>
        <v>1092.8166875000002</v>
      </c>
      <c r="ES139" s="559">
        <f>HostBuild[Software Costs
'[Year 1']
(Monthly)]+HostBuild[Total Hardware Costs
(Monthly)]</f>
        <v>1811.4266875000003</v>
      </c>
      <c r="ET139" s="559">
        <f>IFERROR(IF(FIND("Safenet",HostBuild[Server Model]),Safenet_PSE_PL600_Maint,0),0)+IFERROR(IF(FIND("XI52",HostBuild[Server Model]),IBM_DIA_XI52_Maint,0),0)+HostBuild[Software Costs
'[After Year 1']
(Monthly)]+HostBuild[Total Hardware Costs
(Monthly)]</f>
        <v>1218.6433541666668</v>
      </c>
      <c r="EU139" s="560">
        <f>SUM(HostBuild[[#This Row],[Server Cost Breakdown]:[Network Cost]])</f>
        <v>888.7</v>
      </c>
      <c r="EV139" s="561">
        <f>IF(HostBuild[Existing Server?]="Yes - Inside this BoM",0,SUMIF(HostBuild[Alias],HostBuild[Alias],HostBuild[CPU])+SUMIF(HostBuild[Alias],HostBuild[Alias],HostBuild[Existing CPUs]))</f>
        <v>2</v>
      </c>
      <c r="EW139" s="561">
        <f>IF(HostBuild[Existing Server?]="Yes - Inside this BoM",0,SUMIF(HostBuild[Alias],HostBuild[Alias],HostBuild[Cores 
(Licensed Units)])+SUMIF(HostBuild[Alias],HostBuild[Alias],HostBuild[Existing Cores]))</f>
        <v>16</v>
      </c>
      <c r="EX139" s="561">
        <f>IF(HostBuild[Existing Server?]="Yes - Inside this BoM",0,SUMIF(HostBuild[Alias],HostBuild[Alias],HostBuild[RAM 
(GB)])+SUMIF(HostBuild[Alias],HostBuild[Alias],HostBuild[Existing RAM (GB)]))</f>
        <v>128</v>
      </c>
      <c r="EY13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3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3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3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39" s="560">
        <f>IF(ISBLANK(HostBuild[Server Model]),0,IF(HostBuild[Server Tier]="VMware",0,VLOOKUP(HostBuild[Server Tier],ServerTierRates[#Data],2,0))*HostBuild[CPU]*IF(AND(HostBuild[Server Type]="pSeries",HostBuild[Virtual Platform Storage Type]="Cloud-SAN"),0.25,1))</f>
        <v>608</v>
      </c>
      <c r="FD139" s="560">
        <f>0</f>
        <v>0</v>
      </c>
      <c r="FE139" s="560">
        <f>IF(HostBuild[Server Type]="VMware",HostBuild[RAM 
(GB)]*IF(ISERROR(FIND("DevCloud", HostBuild[Server Model])&gt;0),vRAM_per_vCPU_2014_Monthly,vRAM_per_vCPU_2014_Daily*30),0)</f>
        <v>0</v>
      </c>
      <c r="FF13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3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39" s="563">
        <f>IF(HostBuild[Server Tier]="VMware",0,IF(LEFT(HostBuild[Existing Server?],3)="Yes",0,IF(OR(HostBuild[Server Type]="Sun",HostBuild[Server Type]="pSeries"),Support_Direct_Server_Sun_per_OS_2014,IF(HostBuild[Server Type]="x86",Support_Direct_Server_x86_Wintel_per_OS_2014,0))))</f>
        <v>187.1</v>
      </c>
      <c r="FI13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0" spans="1:165" s="139" customFormat="1" ht="15" customHeight="1">
      <c r="A140" s="360" t="s">
        <v>3942</v>
      </c>
      <c r="B140" s="521"/>
      <c r="C140" s="521"/>
      <c r="D140" s="521"/>
      <c r="E140" s="522"/>
      <c r="F140" s="522"/>
      <c r="G140" s="597"/>
      <c r="H140" s="597"/>
      <c r="I140" s="523"/>
      <c r="J140" s="522"/>
      <c r="K140" s="522"/>
      <c r="L140" s="522"/>
      <c r="M140" s="597" t="e">
        <f ca="1">IF(rngIsDate(HostBuild[CTO Acceptance]),"Y","N")</f>
        <v>#NAME?</v>
      </c>
      <c r="N140" s="361" t="s">
        <v>3938</v>
      </c>
      <c r="O140" s="525"/>
      <c r="P140" s="525"/>
      <c r="Q140" s="361" t="s">
        <v>4139</v>
      </c>
      <c r="R140" s="526" t="str">
        <f>IF(NOT(ISBLANK(HostBuild[Env Label])),IFERROR(VLOOKUP(HostBuild[Env Label],tEnv[],3,FALSE),""),"")</f>
        <v>UAT</v>
      </c>
      <c r="S140" s="598"/>
      <c r="T140" s="527"/>
      <c r="U140" s="599"/>
      <c r="V140" s="524" t="s">
        <v>4020</v>
      </c>
      <c r="W140" s="524" t="s">
        <v>4046</v>
      </c>
      <c r="X140" s="524" t="s">
        <v>35</v>
      </c>
      <c r="Y140" s="361" t="s">
        <v>4067</v>
      </c>
      <c r="Z140" s="526" t="str">
        <f>IF(NOT(ISBLANK(HostBuild[[#This Row],[Product 
(Acronym)]])),CONCATENATE(HostBuild[[#This Row],[Type]],"-",HostBuild[[#This Row],[Product 
(Acronym)]]),"")</f>
        <v>AP-CBOL</v>
      </c>
      <c r="AA140" s="600"/>
      <c r="AB140" s="600" t="s">
        <v>105</v>
      </c>
      <c r="AC140" s="528"/>
      <c r="AD140" s="529"/>
      <c r="AE140" s="529"/>
      <c r="AF140" s="530"/>
      <c r="AG140" s="531"/>
      <c r="AH140" s="601"/>
      <c r="AI140" s="362" t="s">
        <v>4068</v>
      </c>
      <c r="AJ140" s="524">
        <f>IF(COUNTIF(HostBuild[Alias],HostBuild[Alias]),1/COUNTIF(HostBuild[Alias],HostBuild[Alias]),0)</f>
        <v>1</v>
      </c>
      <c r="AK140" s="531"/>
      <c r="AL140" s="531"/>
      <c r="AM140" s="532" t="s">
        <v>314</v>
      </c>
      <c r="AN140" s="533" t="str">
        <f>IF(NOT(ISBLANK(HostBuild[Server Model])),VLOOKUP(HostBuild[Server Model],ServerModelsTier[],2,FALSE),"")</f>
        <v>IBM P-Series Tier 2</v>
      </c>
      <c r="AO140" s="533" t="str">
        <f>IF(NOT(ISBLANK(HostBuild[Server Model])),VLOOKUP(HostBuild[Server Model],ServerModelsTier[],5,FALSE),"")</f>
        <v>pSeries</v>
      </c>
      <c r="AP140" s="532"/>
      <c r="AQ140" s="532" t="s">
        <v>24</v>
      </c>
      <c r="AR140" s="534">
        <v>1</v>
      </c>
      <c r="AS140" s="602"/>
      <c r="AT140" s="535">
        <v>1</v>
      </c>
      <c r="AU140" s="603"/>
      <c r="AV140" s="536">
        <v>32</v>
      </c>
      <c r="AW140" s="531"/>
      <c r="AX140" s="531"/>
      <c r="AY140" s="531"/>
      <c r="AZ140" s="537"/>
      <c r="BA140" s="531"/>
      <c r="BB140" s="531"/>
      <c r="BC140" s="529"/>
      <c r="BD140" s="531"/>
      <c r="BE140" s="531"/>
      <c r="BF140" s="531"/>
      <c r="BG140" s="531"/>
      <c r="BH140" s="531"/>
      <c r="BI140" s="531"/>
      <c r="BJ140" s="531"/>
      <c r="BK140"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140" s="538">
        <v>600</v>
      </c>
      <c r="BM140" s="540">
        <f>IF(ISNUMBER(HostBuild[Recommended SAN (GB)]),HostBuild[Recommended SAN (GB)])+IF(HostBuild[Additional SAN (GB)]&gt;0,CEILING(HostBuild[Additional SAN (GB)],LUN),-(CEILING(-HostBuild[Additional SAN (GB)],LUN)))</f>
        <v>606.6</v>
      </c>
      <c r="BN140" s="539"/>
      <c r="BO140" s="540">
        <f>HostBuild[SAN (GB)
NEEDED TODAY]+CEILING(HostBuild[SAN (GB)
RESERVED
DO NOT USE TO BUILD], LUN)</f>
        <v>606.6</v>
      </c>
      <c r="BP140" s="541">
        <v>500</v>
      </c>
      <c r="BQ140" s="542"/>
      <c r="BR140" s="432"/>
      <c r="BS140" s="605">
        <f>IF(HostBuild[Existing Server?]&lt;&gt;"Yes - Inside this BoM",IF(ISNUMBER(HostBuild[RAM 
(GB)]),IF(HostBuild[Existing RAM (GB)]+HostBuild[RAM 
(GB)]&gt;0,IF(HostBuild[Virtual Platform Storage Type]="NAS",110+HostBuild[Existing RAM (GB)]+HostBuild[RAM 
(GB)]*1.75,0),0),0),0)</f>
        <v>0</v>
      </c>
      <c r="BT140" s="606"/>
      <c r="BU140" s="607">
        <f>IF(ISNUMBER(HostBuild[Recommended NAS (GB)]),HostBuild[Recommended NAS (GB)])+HostBuild[Additional NAS (GB)]</f>
        <v>0</v>
      </c>
      <c r="BV140" s="543"/>
      <c r="BW140" s="543"/>
      <c r="BX140" s="604">
        <f>IFERROR((HostBuild[SAN (GB)
End-State
DO NOT USE TO BUILD]+HostBuild[SAN (GB) Shared])*25%,"")</f>
        <v>276.64999999999998</v>
      </c>
      <c r="BY140" s="608">
        <f>IFERROR(HostBuild[Archive
Full (GB)]*15%,"")</f>
        <v>41.497499999999995</v>
      </c>
      <c r="BZ140" s="544"/>
      <c r="CA140" s="544"/>
      <c r="CB140" s="545"/>
      <c r="CC140" s="546"/>
      <c r="CD140" s="545"/>
      <c r="CE140" s="547"/>
      <c r="CF140" s="539"/>
      <c r="CG140" s="609"/>
      <c r="CH140" s="548"/>
      <c r="CI140" s="549"/>
      <c r="CJ140" s="550"/>
      <c r="CK140" s="551"/>
      <c r="CL140" s="552">
        <f>IFERROR(IF(FIND(CL$1,$W140)&gt;0,IF(INDEX(Product_Pricing_Table[],MATCH(CL$1,Products,0),2)="Cores",IF(HostBuild[Use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0" s="552">
        <f>IFERROR(IF(FIND(CM$1,$W140)&gt;0,IF(INDEX(Product_Pricing_Table[],MATCH(CM$1,Products,0),2)="Cores",IF(HostBuild[Use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0" s="552">
        <f>IFERROR(IF(FIND(CN$1,$W140)&gt;0,IF(INDEX(Product_Pricing_Table[],MATCH(CN$1,Products,0),2)="Cores",IF(HostBuild[Use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0" s="552">
        <f>IFERROR(IF(FIND(CO$1,$W140)&gt;0,IF(INDEX(Product_Pricing_Table[],MATCH(CO$1,Products,0),2)="Cores",IF(HostBuild[Use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0" s="552">
        <f>IFERROR(IF(FIND(CP$1,$W140)&gt;0,IF(INDEX(Product_Pricing_Table[],MATCH(CP$1,Products,0),2)="Cores",IF(HostBuild[Use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0" s="552">
        <f>IFERROR(IF(FIND(CQ$1,$W140)&gt;0,IF(INDEX(Product_Pricing_Table[],MATCH(CQ$1,Products,0),2)="Cores",IF(HostBuild[Use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0" s="552">
        <f>IFERROR(IF(FIND(CR$1,$W140)&gt;0,IF(INDEX(Product_Pricing_Table[],MATCH(CR$1,Products,0),2)="Cores",IF(HostBuild[Use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0" s="552">
        <f>IFERROR(IF(FIND(CS$1,$W140)&gt;0,IF(INDEX(Product_Pricing_Table[],MATCH(CS$1,Products,0),2)="Cores",IF(HostBuild[Use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0" s="552">
        <f>IFERROR(IF(FIND(CT$1,$W140)&gt;0,IF(INDEX(Product_Pricing_Table[],MATCH(CT$1,Products,0),2)="Cores",IF(HostBuild[Use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0" s="552">
        <f>IFERROR(IF(FIND(CU$1,$W140)&gt;0,IF(INDEX(Product_Pricing_Table[],MATCH(CU$1,Products,0),2)="Cores",IF(HostBuild[Use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0" s="552">
        <f>IFERROR(IF(FIND(CV$1,$W140)&gt;0,IF(INDEX(Product_Pricing_Table[],MATCH(CV$1,Products,0),2)="Cores",IF(HostBuild[Use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0" s="552">
        <f>IFERROR(IF(FIND(CW$1,$W140)&gt;0,IF(INDEX(Product_Pricing_Table[],MATCH(CW$1,Products,0),2)="Cores",IF(HostBuild[Use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0" s="552">
        <f>IFERROR(IF(FIND(CX$1,$W140)&gt;0,IF(INDEX(Product_Pricing_Table[],MATCH(CX$1,Products,0),2)="Cores",IF(HostBuild[Use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0" s="552">
        <f>IFERROR(IF(FIND(CY$1,$W140)&gt;0,IF(INDEX(Product_Pricing_Table[],MATCH(CY$1,Products,0),2)="Cores",IF(HostBuild[Use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0" s="552">
        <f>IFERROR(IF(FIND(CZ$1,$W140)&gt;0,IF(INDEX(Product_Pricing_Table[],MATCH(CZ$1,Products,0),2)="Cores",IF(HostBuild[Use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0" s="552">
        <f>IFERROR(IF(FIND(DA$1,$W140)&gt;0,IF(INDEX(Product_Pricing_Table[],MATCH(DA$1,Products,0),2)="Cores",IF(HostBuild[Use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0" s="552">
        <f>IFERROR(IF(FIND(DB$1,$W140)&gt;0,IF(INDEX(Product_Pricing_Table[],MATCH(DB$1,Products,0),2)="Cores",IF(HostBuild[Use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0" s="552">
        <f>IFERROR(IF(FIND(DC$1,$W140)&gt;0,IF(INDEX(Product_Pricing_Table[],MATCH(DC$1,Products,0),2)="Cores",IF(HostBuild[Use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0" s="552">
        <f>IFERROR(IF(FIND(DD$1,$W140)&gt;0,IF(INDEX(Product_Pricing_Table[],MATCH(DD$1,Products,0),2)="Cores",IF(HostBuild[Use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0" s="552">
        <f>IFERROR(IF(FIND(DE$1,$W140)&gt;0,IF(INDEX(Product_Pricing_Table[],MATCH(DE$1,Products,0),2)="Cores",IF(HostBuild[Use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0" s="553">
        <f>IFERROR(IF(FIND(DF$1,$W140)&gt;0,IF(INDEX(Product_Pricing_Table[],MATCH(DF$1,Products,0),2)="Cores",IF(HostBuild[Use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0" s="553">
        <f>IFERROR(IF(FIND(DG$1,$W140)&gt;0,IF(INDEX(Product_Pricing_Table[],MATCH(DG$1,Products,0),2)="Cores",IF(HostBuild[Use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0" s="552">
        <f>IFERROR(IF(FIND(DH$1,$W140)&gt;0,IF(INDEX(Product_Pricing_Table[],MATCH(DH$1,Products,0),2)="Cores",IF(HostBuild[Use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0" s="553">
        <f>IFERROR(IF(FIND(DI$1,$W140)&gt;0,IF(INDEX(Product_Pricing_Table[],MATCH(DI$1,Products,0),2)="Cores",IF(HostBuild[Use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0" s="552">
        <f>IFERROR(IF(FIND(DJ$1,$W140)&gt;0,IF(INDEX(Product_Pricing_Table[],MATCH(DJ$1,Products,0),2)="Cores",IF(HostBuild[Use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0" s="552">
        <f>IFERROR(IF(FIND(DK$1,$W140)&gt;0,IF(INDEX(Product_Pricing_Table[],MATCH(DK$1,Products,0),2)="Cores",IF(HostBuild[Use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0" s="552">
        <f>IFERROR(IF(FIND(DL$1,$W140)&gt;0,IF(INDEX(Product_Pricing_Table[],MATCH(DL$1,Products,0),2)="Cores",IF(HostBuild[Use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0" s="552">
        <f>IFERROR(IF(FIND(DM$1,$W140)&gt;0,IF(INDEX(Product_Pricing_Table[],MATCH(DM$1,Products,0),2)="Cores",IF(HostBuild[Use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0" s="552">
        <f>IFERROR(IF(FIND(DN$1,$W140)&gt;0,IF(INDEX(Product_Pricing_Table[],MATCH(DN$1,Products,0),2)="Cores",IF(HostBuild[Use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0" s="552">
        <f>IFERROR(IF(FIND(DO$1,$W140)&gt;0,IF(INDEX(Product_Pricing_Table[],MATCH(DO$1,Products,0),2)="Cores",IF(HostBuild[Use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0" s="552">
        <f>IFERROR(IF(FIND(DP$1,$W140)&gt;0,IF(INDEX(Product_Pricing_Table[],MATCH(DP$1,Products,0),2)="Cores",IF(HostBuild[Use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0" s="552">
        <f>IFERROR(IF(FIND(DQ$1,$W140)&gt;0,IF(INDEX(Product_Pricing_Table[],MATCH(DQ$1,Products,0),2)="Cores",IF(HostBuild[Use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0" s="552">
        <f>IFERROR(IF(FIND(DR$1,$W140)&gt;0,IF(INDEX(Product_Pricing_Table[],MATCH(DR$1,Products,0),2)="Cores",IF(HostBuild[Use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0" s="552">
        <f>IFERROR(IF(FIND(DS$1,$W140)&gt;0,IF(INDEX(Product_Pricing_Table[],MATCH(DS$1,Products,0),2)="Cores",IF(HostBuild[Use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0" s="552">
        <f>IFERROR(IF(FIND(DT$1,$W140)&gt;0,IF(INDEX(Product_Pricing_Table[],MATCH(DT$1,Products,0),2)="Cores",IF(HostBuild[Use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0" s="552">
        <f>IFERROR(IF(FIND(DU$1,$W140)&gt;0,IF(INDEX(Product_Pricing_Table[],MATCH(DU$1,Products,0),2)="Cores",IF(HostBuild[Use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0" s="552">
        <f>IFERROR(IF(FIND(DV$1,$W140)&gt;0,IF(INDEX(Product_Pricing_Table[],MATCH(DV$1,Products,0),2)="Cores",IF(HostBuild[Use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0" s="552">
        <f>IFERROR(IF(FIND(DW$1,$W140)&gt;0,IF(INDEX(Product_Pricing_Table[],MATCH(DW$1,Products,0),2)="Cores",IF(HostBuild[Use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0" s="552">
        <f>IFERROR(IF(FIND(DX$1,$W140)&gt;0,IF(INDEX(Product_Pricing_Table[],MATCH(DX$1,Products,0),2)="Cores",IF(HostBuild[Use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0" s="552">
        <f>IFERROR(IF(FIND(DY$1,$W140)&gt;0,IF(INDEX(Product_Pricing_Table[],MATCH(DY$1,Products,0),2)="Cores",IF(HostBuild[Use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0" s="552">
        <f>IFERROR(IF(FIND(DZ$1,$W140)&gt;0,IF(INDEX(Product_Pricing_Table[],MATCH(DZ$1,Products,0),2)="Cores",IF(HostBuild[Use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0" s="552">
        <f>IFERROR(IF(FIND(EA$1,$W140)&gt;0,IF(INDEX(Product_Pricing_Table[],MATCH(EA$1,Products,0),2)="Cores",IF(HostBuild[Use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0" s="552">
        <f>IFERROR(IF(FIND(EB$1,$W140)&gt;0,IF(INDEX(Product_Pricing_Table[],MATCH(EB$1,Products,0),2)="Cores",IF(HostBuild[Use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0" s="553">
        <f>IFERROR(IF(FIND(EC$1,$W140)&gt;0,IF(INDEX(Product_Pricing_Table[],MATCH(EC$1,Products,0),2)="Cores",IF(HostBuild[Use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0" s="552">
        <f>IFERROR(IF(FIND(ED$1,$W140)&gt;0,IF(INDEX(Product_Pricing_Table[],MATCH(ED$1,Products,0),2)="Cores",IF(HostBuild[Use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0" s="552">
        <f>IFERROR(IF(FIND(EE$1,$W140)&gt;0,IF(INDEX(Product_Pricing_Table[],MATCH(EE$1,Products,0),2)="Cores",IF(HostBuild[Use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0" s="552">
        <f>IFERROR(IF(FIND(EF$1,$W140)&gt;0,IF(INDEX(Product_Pricing_Table[],MATCH(EF$1,Products,0),2)="Cores",IF(HostBuild[Use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0" s="552">
        <f>IFERROR(IF(FIND(EG$1,$W140)&gt;0,IF(INDEX(Product_Pricing_Table[],MATCH(EG$1,Products,0),2)="Cores",IF(HostBuild[Use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0" s="552">
        <f>IFERROR(IF(FIND(EH$1,$W140)&gt;0,IF(INDEX(Product_Pricing_Table[],MATCH(EH$1,Products,0),2)="Cores",IF(HostBuild[Use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0" s="552">
        <f>IFERROR(IF(FIND(EI$1,$W140)&gt;0,IF(INDEX(Product_Pricing_Table[],MATCH(EI$1,Products,0),2)="Cores",IF(HostBuild[Use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0" s="552">
        <f>IFERROR(IF(FIND(EJ$1,$W140)&gt;0,IF(INDEX(Product_Pricing_Table[],MATCH(EJ$1,Products,0),2)="Cores",IF(HostBuild[Use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0" s="553">
        <f>IFERROR(IF(FIND(EK$1,$W140)&gt;0,IF(INDEX(Product_Pricing_Table[],MATCH(EK$1,Products,0),2)="Cores",IF(HostBuild[Use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0" s="554"/>
      <c r="EM140" s="555">
        <v>0</v>
      </c>
      <c r="EN140" s="556">
        <v>0</v>
      </c>
      <c r="EO140" s="557">
        <f>IF(OR(ISBLANK(HostBuild[Alias]),HostBuild[Server Tier]="",),0,IF(HostBuild[Server Tier]="SafeNet",Safenet_PSE_PL600+HostBuild[Network Cost],IF(HostBuild[Server Tier]="VMware",HostBuild[New VMware (Adjusted)]+HostBuild[Initial Server Cost],IF(HostBuild[Server Tier]="XI52",IBM_DIA_XI52,HostBuild[Initial Server Cost]))))</f>
        <v>1160.0999999999999</v>
      </c>
      <c r="EP14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778.47</v>
      </c>
      <c r="EQ140" s="558">
        <f>(HostBuild[Archive
Full (GB)]+HostBuild[Archive
Incr (GB)])*Storage_DC_Dist_Tape_2014</f>
        <v>111.35162499999998</v>
      </c>
      <c r="ER140" s="558">
        <f>IF(ISNUMBER(HostBuild[Server HW Costs
(Monthly)]),SUM(HostBuild[[#This Row],[Server HW Costs
(Monthly)]:[Tape Costs
(Monthly)]]),0)</f>
        <v>2049.9216249999999</v>
      </c>
      <c r="ES140" s="559">
        <f>HostBuild[Software Costs
'[Year 1']
(Monthly)]+HostBuild[Total Hardware Costs
(Monthly)]</f>
        <v>2049.9216249999999</v>
      </c>
      <c r="ET140" s="559">
        <f>IFERROR(IF(FIND("Safenet",HostBuild[Server Model]),Safenet_PSE_PL600_Maint,0),0)+IFERROR(IF(FIND("XI52",HostBuild[Server Model]),IBM_DIA_XI52_Maint,0),0)+HostBuild[Software Costs
'[After Year 1']
(Monthly)]+HostBuild[Total Hardware Costs
(Monthly)]</f>
        <v>2049.9216249999999</v>
      </c>
      <c r="EU140" s="560">
        <f>SUM(HostBuild[[#This Row],[Server Cost Breakdown]:[Network Cost]])</f>
        <v>1160.0999999999999</v>
      </c>
      <c r="EV140" s="561">
        <f>IF(HostBuild[Existing Server?]="Yes - Inside this BoM",0,SUMIF(HostBuild[Alias],HostBuild[Alias],HostBuild[CPU])+SUMIF(HostBuild[Alias],HostBuild[Alias],HostBuild[Existing CPUs]))</f>
        <v>1</v>
      </c>
      <c r="EW140" s="561">
        <f>IF(HostBuild[Existing Server?]="Yes - Inside this BoM",0,SUMIF(HostBuild[Alias],HostBuild[Alias],HostBuild[Cores 
(Licensed Units)])+SUMIF(HostBuild[Alias],HostBuild[Alias],HostBuild[Existing Cores]))</f>
        <v>1</v>
      </c>
      <c r="EX140" s="561">
        <f>IF(HostBuild[Existing Server?]="Yes - Inside this BoM",0,SUMIF(HostBuild[Alias],HostBuild[Alias],HostBuild[RAM 
(GB)])+SUMIF(HostBuild[Alias],HostBuild[Alias],HostBuild[Existing RAM (GB)]))</f>
        <v>32</v>
      </c>
      <c r="EY14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0" s="560">
        <f>IF(ISBLANK(HostBuild[Server Model]),0,IF(HostBuild[Server Tier]="VMware",0,VLOOKUP(HostBuild[Server Tier],ServerTierRates[#Data],2,0))*HostBuild[CPU]*IF(AND(HostBuild[Server Type]="pSeries",HostBuild[Virtual Platform Storage Type]="Cloud-SAN"),0.25,1))</f>
        <v>829</v>
      </c>
      <c r="FD140" s="560">
        <f>0</f>
        <v>0</v>
      </c>
      <c r="FE140" s="560">
        <f>IF(HostBuild[Server Type]="VMware",HostBuild[RAM 
(GB)]*IF(ISERROR(FIND("DevCloud", HostBuild[Server Model])&gt;0),vRAM_per_vCPU_2014_Monthly,vRAM_per_vCPU_2014_Daily*30),0)</f>
        <v>0</v>
      </c>
      <c r="FF14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144</v>
      </c>
      <c r="FG14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0" s="563">
        <f>IF(HostBuild[Server Tier]="VMware",0,IF(LEFT(HostBuild[Existing Server?],3)="Yes",0,IF(OR(HostBuild[Server Type]="Sun",HostBuild[Server Type]="pSeries"),Support_Direct_Server_Sun_per_OS_2014,IF(HostBuild[Server Type]="x86",Support_Direct_Server_x86_Wintel_per_OS_2014,0))))</f>
        <v>187.1</v>
      </c>
      <c r="FI14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1" spans="1:165" s="139" customFormat="1" ht="15" customHeight="1">
      <c r="A141" s="360" t="s">
        <v>3942</v>
      </c>
      <c r="B141" s="521"/>
      <c r="C141" s="521"/>
      <c r="D141" s="521"/>
      <c r="E141" s="522"/>
      <c r="F141" s="522"/>
      <c r="G141" s="597"/>
      <c r="H141" s="597"/>
      <c r="I141" s="523"/>
      <c r="J141" s="522"/>
      <c r="K141" s="522"/>
      <c r="L141" s="522"/>
      <c r="M141" s="597" t="e">
        <f ca="1">IF(rngIsDate(HostBuild[CTO Acceptance]),"Y","N")</f>
        <v>#NAME?</v>
      </c>
      <c r="N141" s="361" t="s">
        <v>3938</v>
      </c>
      <c r="O141" s="525"/>
      <c r="P141" s="525"/>
      <c r="Q141" s="361" t="s">
        <v>4139</v>
      </c>
      <c r="R141" s="526" t="str">
        <f>IF(NOT(ISBLANK(HostBuild[Env Label])),IFERROR(VLOOKUP(HostBuild[Env Label],tEnv[],3,FALSE),""),"")</f>
        <v>UAT</v>
      </c>
      <c r="S141" s="598"/>
      <c r="T141" s="527"/>
      <c r="U141" s="599"/>
      <c r="V141" s="524" t="s">
        <v>4020</v>
      </c>
      <c r="W141" s="524" t="s">
        <v>4046</v>
      </c>
      <c r="X141" s="524" t="s">
        <v>35</v>
      </c>
      <c r="Y141" s="361" t="s">
        <v>4067</v>
      </c>
      <c r="Z141" s="526" t="str">
        <f>IF(NOT(ISBLANK(HostBuild[[#This Row],[Product 
(Acronym)]])),CONCATENATE(HostBuild[[#This Row],[Type]],"-",HostBuild[[#This Row],[Product 
(Acronym)]]),"")</f>
        <v>AP-CBOL</v>
      </c>
      <c r="AA141" s="600"/>
      <c r="AB141" s="600" t="s">
        <v>105</v>
      </c>
      <c r="AC141" s="528"/>
      <c r="AD141" s="529"/>
      <c r="AE141" s="529"/>
      <c r="AF141" s="530"/>
      <c r="AG141" s="531"/>
      <c r="AH141" s="601"/>
      <c r="AI141" s="362" t="s">
        <v>4069</v>
      </c>
      <c r="AJ141" s="524">
        <f>IF(COUNTIF(HostBuild[Alias],HostBuild[Alias]),1/COUNTIF(HostBuild[Alias],HostBuild[Alias]),0)</f>
        <v>1</v>
      </c>
      <c r="AK141" s="531"/>
      <c r="AL141" s="531"/>
      <c r="AM141" s="532" t="s">
        <v>314</v>
      </c>
      <c r="AN141" s="533" t="str">
        <f>IF(NOT(ISBLANK(HostBuild[Server Model])),VLOOKUP(HostBuild[Server Model],ServerModelsTier[],2,FALSE),"")</f>
        <v>IBM P-Series Tier 2</v>
      </c>
      <c r="AO141" s="533" t="str">
        <f>IF(NOT(ISBLANK(HostBuild[Server Model])),VLOOKUP(HostBuild[Server Model],ServerModelsTier[],5,FALSE),"")</f>
        <v>pSeries</v>
      </c>
      <c r="AP141" s="532"/>
      <c r="AQ141" s="532" t="s">
        <v>24</v>
      </c>
      <c r="AR141" s="534">
        <v>1</v>
      </c>
      <c r="AS141" s="602"/>
      <c r="AT141" s="535">
        <v>1</v>
      </c>
      <c r="AU141" s="603"/>
      <c r="AV141" s="536">
        <v>32</v>
      </c>
      <c r="AW141" s="531"/>
      <c r="AX141" s="531"/>
      <c r="AY141" s="531"/>
      <c r="AZ141" s="537"/>
      <c r="BA141" s="531"/>
      <c r="BB141" s="531"/>
      <c r="BC141" s="529"/>
      <c r="BD141" s="531"/>
      <c r="BE141" s="531"/>
      <c r="BF141" s="531"/>
      <c r="BG141" s="531"/>
      <c r="BH141" s="531"/>
      <c r="BI141" s="531"/>
      <c r="BJ141" s="531"/>
      <c r="BK141"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141" s="538">
        <v>100</v>
      </c>
      <c r="BM141" s="540">
        <f>IF(ISNUMBER(HostBuild[Recommended SAN (GB)]),HostBuild[Recommended SAN (GB)])+IF(HostBuild[Additional SAN (GB)]&gt;0,CEILING(HostBuild[Additional SAN (GB)],LUN),-(CEILING(-HostBuild[Additional SAN (GB)],LUN)))</f>
        <v>101.10000000000001</v>
      </c>
      <c r="BN141" s="539"/>
      <c r="BO141" s="540">
        <f>HostBuild[SAN (GB)
NEEDED TODAY]+CEILING(HostBuild[SAN (GB)
RESERVED
DO NOT USE TO BUILD], LUN)</f>
        <v>101.10000000000001</v>
      </c>
      <c r="BP141" s="541"/>
      <c r="BQ141" s="542"/>
      <c r="BR141" s="432"/>
      <c r="BS141" s="605">
        <f>IF(HostBuild[Existing Server?]&lt;&gt;"Yes - Inside this BoM",IF(ISNUMBER(HostBuild[RAM 
(GB)]),IF(HostBuild[Existing RAM (GB)]+HostBuild[RAM 
(GB)]&gt;0,IF(HostBuild[Virtual Platform Storage Type]="NAS",110+HostBuild[Existing RAM (GB)]+HostBuild[RAM 
(GB)]*1.75,0),0),0),0)</f>
        <v>0</v>
      </c>
      <c r="BT141" s="606"/>
      <c r="BU141" s="607">
        <f>IF(ISNUMBER(HostBuild[Recommended NAS (GB)]),HostBuild[Recommended NAS (GB)])+HostBuild[Additional NAS (GB)]</f>
        <v>0</v>
      </c>
      <c r="BV141" s="543"/>
      <c r="BW141" s="543"/>
      <c r="BX141" s="604">
        <f>IFERROR((HostBuild[SAN (GB)
End-State
DO NOT USE TO BUILD]+HostBuild[SAN (GB) Shared])*25%,"")</f>
        <v>25.275000000000002</v>
      </c>
      <c r="BY141" s="608">
        <f>IFERROR(HostBuild[Archive
Full (GB)]*15%,"")</f>
        <v>3.7912500000000002</v>
      </c>
      <c r="BZ141" s="544"/>
      <c r="CA141" s="544"/>
      <c r="CB141" s="545"/>
      <c r="CC141" s="546"/>
      <c r="CD141" s="545"/>
      <c r="CE141" s="547"/>
      <c r="CF141" s="539"/>
      <c r="CG141" s="609"/>
      <c r="CH141" s="548"/>
      <c r="CI141" s="549"/>
      <c r="CJ141" s="550"/>
      <c r="CK141" s="551"/>
      <c r="CL141" s="552">
        <f>IFERROR(IF(FIND(CL$1,$W141)&gt;0,IF(INDEX(Product_Pricing_Table[],MATCH(CL$1,Products,0),2)="Cores",IF(HostBuild[Use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1" s="552">
        <f>IFERROR(IF(FIND(CM$1,$W141)&gt;0,IF(INDEX(Product_Pricing_Table[],MATCH(CM$1,Products,0),2)="Cores",IF(HostBuild[Use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1" s="552">
        <f>IFERROR(IF(FIND(CN$1,$W141)&gt;0,IF(INDEX(Product_Pricing_Table[],MATCH(CN$1,Products,0),2)="Cores",IF(HostBuild[Use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1" s="552">
        <f>IFERROR(IF(FIND(CO$1,$W141)&gt;0,IF(INDEX(Product_Pricing_Table[],MATCH(CO$1,Products,0),2)="Cores",IF(HostBuild[Use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1" s="552">
        <f>IFERROR(IF(FIND(CP$1,$W141)&gt;0,IF(INDEX(Product_Pricing_Table[],MATCH(CP$1,Products,0),2)="Cores",IF(HostBuild[Use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1" s="552">
        <f>IFERROR(IF(FIND(CQ$1,$W141)&gt;0,IF(INDEX(Product_Pricing_Table[],MATCH(CQ$1,Products,0),2)="Cores",IF(HostBuild[Use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1" s="552">
        <f>IFERROR(IF(FIND(CR$1,$W141)&gt;0,IF(INDEX(Product_Pricing_Table[],MATCH(CR$1,Products,0),2)="Cores",IF(HostBuild[Use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1" s="552">
        <f>IFERROR(IF(FIND(CS$1,$W141)&gt;0,IF(INDEX(Product_Pricing_Table[],MATCH(CS$1,Products,0),2)="Cores",IF(HostBuild[Use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1" s="552">
        <f>IFERROR(IF(FIND(CT$1,$W141)&gt;0,IF(INDEX(Product_Pricing_Table[],MATCH(CT$1,Products,0),2)="Cores",IF(HostBuild[Use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1" s="552">
        <f>IFERROR(IF(FIND(CU$1,$W141)&gt;0,IF(INDEX(Product_Pricing_Table[],MATCH(CU$1,Products,0),2)="Cores",IF(HostBuild[Use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1" s="552">
        <f>IFERROR(IF(FIND(CV$1,$W141)&gt;0,IF(INDEX(Product_Pricing_Table[],MATCH(CV$1,Products,0),2)="Cores",IF(HostBuild[Use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1" s="552">
        <f>IFERROR(IF(FIND(CW$1,$W141)&gt;0,IF(INDEX(Product_Pricing_Table[],MATCH(CW$1,Products,0),2)="Cores",IF(HostBuild[Use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1" s="552">
        <f>IFERROR(IF(FIND(CX$1,$W141)&gt;0,IF(INDEX(Product_Pricing_Table[],MATCH(CX$1,Products,0),2)="Cores",IF(HostBuild[Use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1" s="552">
        <f>IFERROR(IF(FIND(CY$1,$W141)&gt;0,IF(INDEX(Product_Pricing_Table[],MATCH(CY$1,Products,0),2)="Cores",IF(HostBuild[Use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1" s="552">
        <f>IFERROR(IF(FIND(CZ$1,$W141)&gt;0,IF(INDEX(Product_Pricing_Table[],MATCH(CZ$1,Products,0),2)="Cores",IF(HostBuild[Use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1" s="552">
        <f>IFERROR(IF(FIND(DA$1,$W141)&gt;0,IF(INDEX(Product_Pricing_Table[],MATCH(DA$1,Products,0),2)="Cores",IF(HostBuild[Use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1" s="552">
        <f>IFERROR(IF(FIND(DB$1,$W141)&gt;0,IF(INDEX(Product_Pricing_Table[],MATCH(DB$1,Products,0),2)="Cores",IF(HostBuild[Use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1" s="552">
        <f>IFERROR(IF(FIND(DC$1,$W141)&gt;0,IF(INDEX(Product_Pricing_Table[],MATCH(DC$1,Products,0),2)="Cores",IF(HostBuild[Use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1" s="552">
        <f>IFERROR(IF(FIND(DD$1,$W141)&gt;0,IF(INDEX(Product_Pricing_Table[],MATCH(DD$1,Products,0),2)="Cores",IF(HostBuild[Use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1" s="552">
        <f>IFERROR(IF(FIND(DE$1,$W141)&gt;0,IF(INDEX(Product_Pricing_Table[],MATCH(DE$1,Products,0),2)="Cores",IF(HostBuild[Use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1" s="553">
        <f>IFERROR(IF(FIND(DF$1,$W141)&gt;0,IF(INDEX(Product_Pricing_Table[],MATCH(DF$1,Products,0),2)="Cores",IF(HostBuild[Use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1" s="553">
        <f>IFERROR(IF(FIND(DG$1,$W141)&gt;0,IF(INDEX(Product_Pricing_Table[],MATCH(DG$1,Products,0),2)="Cores",IF(HostBuild[Use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1" s="552">
        <f>IFERROR(IF(FIND(DH$1,$W141)&gt;0,IF(INDEX(Product_Pricing_Table[],MATCH(DH$1,Products,0),2)="Cores",IF(HostBuild[Use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1" s="553">
        <f>IFERROR(IF(FIND(DI$1,$W141)&gt;0,IF(INDEX(Product_Pricing_Table[],MATCH(DI$1,Products,0),2)="Cores",IF(HostBuild[Use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1" s="552">
        <f>IFERROR(IF(FIND(DJ$1,$W141)&gt;0,IF(INDEX(Product_Pricing_Table[],MATCH(DJ$1,Products,0),2)="Cores",IF(HostBuild[Use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1" s="552">
        <f>IFERROR(IF(FIND(DK$1,$W141)&gt;0,IF(INDEX(Product_Pricing_Table[],MATCH(DK$1,Products,0),2)="Cores",IF(HostBuild[Use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1" s="552">
        <f>IFERROR(IF(FIND(DL$1,$W141)&gt;0,IF(INDEX(Product_Pricing_Table[],MATCH(DL$1,Products,0),2)="Cores",IF(HostBuild[Use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1" s="552">
        <f>IFERROR(IF(FIND(DM$1,$W141)&gt;0,IF(INDEX(Product_Pricing_Table[],MATCH(DM$1,Products,0),2)="Cores",IF(HostBuild[Use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1" s="552">
        <f>IFERROR(IF(FIND(DN$1,$W141)&gt;0,IF(INDEX(Product_Pricing_Table[],MATCH(DN$1,Products,0),2)="Cores",IF(HostBuild[Use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1" s="552">
        <f>IFERROR(IF(FIND(DO$1,$W141)&gt;0,IF(INDEX(Product_Pricing_Table[],MATCH(DO$1,Products,0),2)="Cores",IF(HostBuild[Use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1" s="552">
        <f>IFERROR(IF(FIND(DP$1,$W141)&gt;0,IF(INDEX(Product_Pricing_Table[],MATCH(DP$1,Products,0),2)="Cores",IF(HostBuild[Use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1" s="552">
        <f>IFERROR(IF(FIND(DQ$1,$W141)&gt;0,IF(INDEX(Product_Pricing_Table[],MATCH(DQ$1,Products,0),2)="Cores",IF(HostBuild[Use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1" s="552">
        <f>IFERROR(IF(FIND(DR$1,$W141)&gt;0,IF(INDEX(Product_Pricing_Table[],MATCH(DR$1,Products,0),2)="Cores",IF(HostBuild[Use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1" s="552">
        <f>IFERROR(IF(FIND(DS$1,$W141)&gt;0,IF(INDEX(Product_Pricing_Table[],MATCH(DS$1,Products,0),2)="Cores",IF(HostBuild[Use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1" s="552">
        <f>IFERROR(IF(FIND(DT$1,$W141)&gt;0,IF(INDEX(Product_Pricing_Table[],MATCH(DT$1,Products,0),2)="Cores",IF(HostBuild[Use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1" s="552">
        <f>IFERROR(IF(FIND(DU$1,$W141)&gt;0,IF(INDEX(Product_Pricing_Table[],MATCH(DU$1,Products,0),2)="Cores",IF(HostBuild[Use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1" s="552">
        <f>IFERROR(IF(FIND(DV$1,$W141)&gt;0,IF(INDEX(Product_Pricing_Table[],MATCH(DV$1,Products,0),2)="Cores",IF(HostBuild[Use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1" s="552">
        <f>IFERROR(IF(FIND(DW$1,$W141)&gt;0,IF(INDEX(Product_Pricing_Table[],MATCH(DW$1,Products,0),2)="Cores",IF(HostBuild[Use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1" s="552">
        <f>IFERROR(IF(FIND(DX$1,$W141)&gt;0,IF(INDEX(Product_Pricing_Table[],MATCH(DX$1,Products,0),2)="Cores",IF(HostBuild[Use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1" s="552">
        <f>IFERROR(IF(FIND(DY$1,$W141)&gt;0,IF(INDEX(Product_Pricing_Table[],MATCH(DY$1,Products,0),2)="Cores",IF(HostBuild[Use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1" s="552">
        <f>IFERROR(IF(FIND(DZ$1,$W141)&gt;0,IF(INDEX(Product_Pricing_Table[],MATCH(DZ$1,Products,0),2)="Cores",IF(HostBuild[Use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1" s="552">
        <f>IFERROR(IF(FIND(EA$1,$W141)&gt;0,IF(INDEX(Product_Pricing_Table[],MATCH(EA$1,Products,0),2)="Cores",IF(HostBuild[Use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1" s="552">
        <f>IFERROR(IF(FIND(EB$1,$W141)&gt;0,IF(INDEX(Product_Pricing_Table[],MATCH(EB$1,Products,0),2)="Cores",IF(HostBuild[Use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1" s="553">
        <f>IFERROR(IF(FIND(EC$1,$W141)&gt;0,IF(INDEX(Product_Pricing_Table[],MATCH(EC$1,Products,0),2)="Cores",IF(HostBuild[Use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1" s="552">
        <f>IFERROR(IF(FIND(ED$1,$W141)&gt;0,IF(INDEX(Product_Pricing_Table[],MATCH(ED$1,Products,0),2)="Cores",IF(HostBuild[Use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1" s="552">
        <f>IFERROR(IF(FIND(EE$1,$W141)&gt;0,IF(INDEX(Product_Pricing_Table[],MATCH(EE$1,Products,0),2)="Cores",IF(HostBuild[Use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1" s="552">
        <f>IFERROR(IF(FIND(EF$1,$W141)&gt;0,IF(INDEX(Product_Pricing_Table[],MATCH(EF$1,Products,0),2)="Cores",IF(HostBuild[Use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1" s="552">
        <f>IFERROR(IF(FIND(EG$1,$W141)&gt;0,IF(INDEX(Product_Pricing_Table[],MATCH(EG$1,Products,0),2)="Cores",IF(HostBuild[Use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1" s="552">
        <f>IFERROR(IF(FIND(EH$1,$W141)&gt;0,IF(INDEX(Product_Pricing_Table[],MATCH(EH$1,Products,0),2)="Cores",IF(HostBuild[Use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1" s="552">
        <f>IFERROR(IF(FIND(EI$1,$W141)&gt;0,IF(INDEX(Product_Pricing_Table[],MATCH(EI$1,Products,0),2)="Cores",IF(HostBuild[Use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1" s="552">
        <f>IFERROR(IF(FIND(EJ$1,$W141)&gt;0,IF(INDEX(Product_Pricing_Table[],MATCH(EJ$1,Products,0),2)="Cores",IF(HostBuild[Use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1" s="553">
        <f>IFERROR(IF(FIND(EK$1,$W141)&gt;0,IF(INDEX(Product_Pricing_Table[],MATCH(EK$1,Products,0),2)="Cores",IF(HostBuild[Use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1" s="554"/>
      <c r="EM141" s="555">
        <v>0</v>
      </c>
      <c r="EN141" s="556">
        <v>0</v>
      </c>
      <c r="EO141" s="557">
        <f>IF(OR(ISBLANK(HostBuild[Alias]),HostBuild[Server Tier]="",),0,IF(HostBuild[Server Tier]="SafeNet",Safenet_PSE_PL600+HostBuild[Network Cost],IF(HostBuild[Server Tier]="VMware",HostBuild[New VMware (Adjusted)]+HostBuild[Initial Server Cost],IF(HostBuild[Server Tier]="XI52",IBM_DIA_XI52,HostBuild[Initial Server Cost]))))</f>
        <v>1160.0999999999999</v>
      </c>
      <c r="EP141"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45.495000000000005</v>
      </c>
      <c r="EQ141" s="558">
        <f>(HostBuild[Archive
Full (GB)]+HostBuild[Archive
Incr (GB)])*Storage_DC_Dist_Tape_2014</f>
        <v>10.173187500000001</v>
      </c>
      <c r="ER141" s="558">
        <f>IF(ISNUMBER(HostBuild[Server HW Costs
(Monthly)]),SUM(HostBuild[[#This Row],[Server HW Costs
(Monthly)]:[Tape Costs
(Monthly)]]),0)</f>
        <v>1215.7681874999998</v>
      </c>
      <c r="ES141" s="559">
        <f>HostBuild[Software Costs
'[Year 1']
(Monthly)]+HostBuild[Total Hardware Costs
(Monthly)]</f>
        <v>1215.7681874999998</v>
      </c>
      <c r="ET141" s="559">
        <f>IFERROR(IF(FIND("Safenet",HostBuild[Server Model]),Safenet_PSE_PL600_Maint,0),0)+IFERROR(IF(FIND("XI52",HostBuild[Server Model]),IBM_DIA_XI52_Maint,0),0)+HostBuild[Software Costs
'[After Year 1']
(Monthly)]+HostBuild[Total Hardware Costs
(Monthly)]</f>
        <v>1215.7681874999998</v>
      </c>
      <c r="EU141" s="560">
        <f>SUM(HostBuild[[#This Row],[Server Cost Breakdown]:[Network Cost]])</f>
        <v>1160.0999999999999</v>
      </c>
      <c r="EV141" s="561">
        <f>IF(HostBuild[Existing Server?]="Yes - Inside this BoM",0,SUMIF(HostBuild[Alias],HostBuild[Alias],HostBuild[CPU])+SUMIF(HostBuild[Alias],HostBuild[Alias],HostBuild[Existing CPUs]))</f>
        <v>1</v>
      </c>
      <c r="EW141" s="561">
        <f>IF(HostBuild[Existing Server?]="Yes - Inside this BoM",0,SUMIF(HostBuild[Alias],HostBuild[Alias],HostBuild[Cores 
(Licensed Units)])+SUMIF(HostBuild[Alias],HostBuild[Alias],HostBuild[Existing Cores]))</f>
        <v>1</v>
      </c>
      <c r="EX141" s="561">
        <f>IF(HostBuild[Existing Server?]="Yes - Inside this BoM",0,SUMIF(HostBuild[Alias],HostBuild[Alias],HostBuild[RAM 
(GB)])+SUMIF(HostBuild[Alias],HostBuild[Alias],HostBuild[Existing RAM (GB)]))</f>
        <v>32</v>
      </c>
      <c r="EY141"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1"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1"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1"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1" s="560">
        <f>IF(ISBLANK(HostBuild[Server Model]),0,IF(HostBuild[Server Tier]="VMware",0,VLOOKUP(HostBuild[Server Tier],ServerTierRates[#Data],2,0))*HostBuild[CPU]*IF(AND(HostBuild[Server Type]="pSeries",HostBuild[Virtual Platform Storage Type]="Cloud-SAN"),0.25,1))</f>
        <v>829</v>
      </c>
      <c r="FD141" s="560">
        <f>0</f>
        <v>0</v>
      </c>
      <c r="FE141" s="560">
        <f>IF(HostBuild[Server Type]="VMware",HostBuild[RAM 
(GB)]*IF(ISERROR(FIND("DevCloud", HostBuild[Server Model])&gt;0),vRAM_per_vCPU_2014_Monthly,vRAM_per_vCPU_2014_Daily*30),0)</f>
        <v>0</v>
      </c>
      <c r="FF141"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144</v>
      </c>
      <c r="FG141"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1" s="563">
        <f>IF(HostBuild[Server Tier]="VMware",0,IF(LEFT(HostBuild[Existing Server?],3)="Yes",0,IF(OR(HostBuild[Server Type]="Sun",HostBuild[Server Type]="pSeries"),Support_Direct_Server_Sun_per_OS_2014,IF(HostBuild[Server Type]="x86",Support_Direct_Server_x86_Wintel_per_OS_2014,0))))</f>
        <v>187.1</v>
      </c>
      <c r="FI141"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2" spans="1:165" s="139" customFormat="1" ht="15" customHeight="1">
      <c r="A142" s="360" t="s">
        <v>3942</v>
      </c>
      <c r="B142" s="521"/>
      <c r="C142" s="521"/>
      <c r="D142" s="521"/>
      <c r="E142" s="522"/>
      <c r="F142" s="522"/>
      <c r="G142" s="597"/>
      <c r="H142" s="597"/>
      <c r="I142" s="523"/>
      <c r="J142" s="522"/>
      <c r="K142" s="522"/>
      <c r="L142" s="522"/>
      <c r="M142" s="597" t="e">
        <f ca="1">IF(rngIsDate(HostBuild[CTO Acceptance]),"Y","N")</f>
        <v>#NAME?</v>
      </c>
      <c r="N142" s="361" t="s">
        <v>3938</v>
      </c>
      <c r="O142" s="525"/>
      <c r="P142" s="525"/>
      <c r="Q142" s="361" t="s">
        <v>4139</v>
      </c>
      <c r="R142" s="526" t="str">
        <f>IF(NOT(ISBLANK(HostBuild[Env Label])),IFERROR(VLOOKUP(HostBuild[Env Label],tEnv[],3,FALSE),""),"")</f>
        <v>UAT</v>
      </c>
      <c r="S142" s="598"/>
      <c r="T142" s="527"/>
      <c r="U142" s="599"/>
      <c r="V142" s="524" t="s">
        <v>4021</v>
      </c>
      <c r="W142" s="524" t="s">
        <v>4047</v>
      </c>
      <c r="X142" s="524" t="s">
        <v>35</v>
      </c>
      <c r="Y142" s="361" t="s">
        <v>4067</v>
      </c>
      <c r="Z142" s="526" t="str">
        <f>IF(NOT(ISBLANK(HostBuild[[#This Row],[Product 
(Acronym)]])),CONCATENATE(HostBuild[[#This Row],[Type]],"-",HostBuild[[#This Row],[Product 
(Acronym)]]),"")</f>
        <v>AP-CBOL</v>
      </c>
      <c r="AA142" s="600"/>
      <c r="AB142" s="600" t="s">
        <v>3985</v>
      </c>
      <c r="AC142" s="528"/>
      <c r="AD142" s="529"/>
      <c r="AE142" s="529"/>
      <c r="AF142" s="530" t="s">
        <v>3986</v>
      </c>
      <c r="AG142" s="531"/>
      <c r="AH142" s="601"/>
      <c r="AI142" s="362" t="s">
        <v>4070</v>
      </c>
      <c r="AJ142" s="524">
        <f>IF(COUNTIF(HostBuild[Alias],HostBuild[Alias]),1/COUNTIF(HostBuild[Alias],HostBuild[Alias]),0)</f>
        <v>1</v>
      </c>
      <c r="AK142" s="531"/>
      <c r="AL142" s="531"/>
      <c r="AM142" s="532" t="s">
        <v>314</v>
      </c>
      <c r="AN142" s="533" t="str">
        <f>IF(NOT(ISBLANK(HostBuild[Server Model])),VLOOKUP(HostBuild[Server Model],ServerModelsTier[],2,FALSE),"")</f>
        <v>IBM P-Series Tier 2</v>
      </c>
      <c r="AO142" s="533" t="str">
        <f>IF(NOT(ISBLANK(HostBuild[Server Model])),VLOOKUP(HostBuild[Server Model],ServerModelsTier[],5,FALSE),"")</f>
        <v>pSeries</v>
      </c>
      <c r="AP142" s="532"/>
      <c r="AQ142" s="532" t="s">
        <v>24</v>
      </c>
      <c r="AR142" s="534">
        <v>1</v>
      </c>
      <c r="AS142" s="602"/>
      <c r="AT142" s="535">
        <v>1</v>
      </c>
      <c r="AU142" s="603"/>
      <c r="AV142" s="536">
        <v>16</v>
      </c>
      <c r="AW142" s="531"/>
      <c r="AX142" s="531"/>
      <c r="AY142" s="531"/>
      <c r="AZ142" s="537"/>
      <c r="BA142" s="531"/>
      <c r="BB142" s="531"/>
      <c r="BC142" s="529"/>
      <c r="BD142" s="531"/>
      <c r="BE142" s="531"/>
      <c r="BF142" s="531"/>
      <c r="BG142" s="531"/>
      <c r="BH142" s="531"/>
      <c r="BI142" s="531"/>
      <c r="BJ142" s="531"/>
      <c r="BK142"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142" s="538">
        <v>60</v>
      </c>
      <c r="BM142" s="540">
        <f>IF(ISNUMBER(HostBuild[Recommended SAN (GB)]),HostBuild[Recommended SAN (GB)])+IF(HostBuild[Additional SAN (GB)]&gt;0,CEILING(HostBuild[Additional SAN (GB)],LUN),-(CEILING(-HostBuild[Additional SAN (GB)],LUN)))</f>
        <v>67.400000000000006</v>
      </c>
      <c r="BN142" s="539"/>
      <c r="BO142" s="540">
        <f>HostBuild[SAN (GB)
NEEDED TODAY]+CEILING(HostBuild[SAN (GB)
RESERVED
DO NOT USE TO BUILD], LUN)</f>
        <v>67.400000000000006</v>
      </c>
      <c r="BP142" s="541"/>
      <c r="BQ142" s="542"/>
      <c r="BR142" s="432"/>
      <c r="BS142" s="605">
        <f>IF(HostBuild[Existing Server?]&lt;&gt;"Yes - Inside this BoM",IF(ISNUMBER(HostBuild[RAM 
(GB)]),IF(HostBuild[Existing RAM (GB)]+HostBuild[RAM 
(GB)]&gt;0,IF(HostBuild[Virtual Platform Storage Type]="NAS",110+HostBuild[Existing RAM (GB)]+HostBuild[RAM 
(GB)]*1.75,0),0),0),0)</f>
        <v>0</v>
      </c>
      <c r="BT142" s="606"/>
      <c r="BU142" s="607">
        <f>IF(ISNUMBER(HostBuild[Recommended NAS (GB)]),HostBuild[Recommended NAS (GB)])+HostBuild[Additional NAS (GB)]</f>
        <v>0</v>
      </c>
      <c r="BV142" s="543"/>
      <c r="BW142" s="543"/>
      <c r="BX142" s="604">
        <f>IFERROR((HostBuild[SAN (GB)
End-State
DO NOT USE TO BUILD]+HostBuild[SAN (GB) Shared])*25%,"")</f>
        <v>16.850000000000001</v>
      </c>
      <c r="BY142" s="608">
        <f>IFERROR(HostBuild[Archive
Full (GB)]*15%,"")</f>
        <v>2.5275000000000003</v>
      </c>
      <c r="BZ142" s="544"/>
      <c r="CA142" s="544"/>
      <c r="CB142" s="545"/>
      <c r="CC142" s="546"/>
      <c r="CD142" s="545"/>
      <c r="CE142" s="547"/>
      <c r="CF142" s="539"/>
      <c r="CG142" s="609"/>
      <c r="CH142" s="548"/>
      <c r="CI142" s="549"/>
      <c r="CJ142" s="550"/>
      <c r="CK142" s="551"/>
      <c r="CL142" s="552">
        <f>IFERROR(IF(FIND(CL$1,$W142)&gt;0,IF(INDEX(Product_Pricing_Table[],MATCH(CL$1,Products,0),2)="Cores",IF(HostBuild[Use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2" s="552">
        <f>IFERROR(IF(FIND(CM$1,$W142)&gt;0,IF(INDEX(Product_Pricing_Table[],MATCH(CM$1,Products,0),2)="Cores",IF(HostBuild[Use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2" s="552">
        <f>IFERROR(IF(FIND(CN$1,$W142)&gt;0,IF(INDEX(Product_Pricing_Table[],MATCH(CN$1,Products,0),2)="Cores",IF(HostBuild[Use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2" s="552">
        <f>IFERROR(IF(FIND(CO$1,$W142)&gt;0,IF(INDEX(Product_Pricing_Table[],MATCH(CO$1,Products,0),2)="Cores",IF(HostBuild[Use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2" s="552">
        <f>IFERROR(IF(FIND(CP$1,$W142)&gt;0,IF(INDEX(Product_Pricing_Table[],MATCH(CP$1,Products,0),2)="Cores",IF(HostBuild[Use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2" s="552">
        <f>IFERROR(IF(FIND(CQ$1,$W142)&gt;0,IF(INDEX(Product_Pricing_Table[],MATCH(CQ$1,Products,0),2)="Cores",IF(HostBuild[Use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2" s="552">
        <f>IFERROR(IF(FIND(CR$1,$W142)&gt;0,IF(INDEX(Product_Pricing_Table[],MATCH(CR$1,Products,0),2)="Cores",IF(HostBuild[Use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2" s="552">
        <f>IFERROR(IF(FIND(CS$1,$W142)&gt;0,IF(INDEX(Product_Pricing_Table[],MATCH(CS$1,Products,0),2)="Cores",IF(HostBuild[Use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2" s="552">
        <f>IFERROR(IF(FIND(CT$1,$W142)&gt;0,IF(INDEX(Product_Pricing_Table[],MATCH(CT$1,Products,0),2)="Cores",IF(HostBuild[Use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2" s="552">
        <f>IFERROR(IF(FIND(CU$1,$W142)&gt;0,IF(INDEX(Product_Pricing_Table[],MATCH(CU$1,Products,0),2)="Cores",IF(HostBuild[Use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2" s="552">
        <f>IFERROR(IF(FIND(CV$1,$W142)&gt;0,IF(INDEX(Product_Pricing_Table[],MATCH(CV$1,Products,0),2)="Cores",IF(HostBuild[Use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2" s="552">
        <f>IFERROR(IF(FIND(CW$1,$W142)&gt;0,IF(INDEX(Product_Pricing_Table[],MATCH(CW$1,Products,0),2)="Cores",IF(HostBuild[Use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2" s="552">
        <f>IFERROR(IF(FIND(CX$1,$W142)&gt;0,IF(INDEX(Product_Pricing_Table[],MATCH(CX$1,Products,0),2)="Cores",IF(HostBuild[Use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2" s="552">
        <f>IFERROR(IF(FIND(CY$1,$W142)&gt;0,IF(INDEX(Product_Pricing_Table[],MATCH(CY$1,Products,0),2)="Cores",IF(HostBuild[Use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2" s="552">
        <f>IFERROR(IF(FIND(CZ$1,$W142)&gt;0,IF(INDEX(Product_Pricing_Table[],MATCH(CZ$1,Products,0),2)="Cores",IF(HostBuild[Use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2" s="552">
        <f>IFERROR(IF(FIND(DA$1,$W142)&gt;0,IF(INDEX(Product_Pricing_Table[],MATCH(DA$1,Products,0),2)="Cores",IF(HostBuild[Use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2" s="552">
        <f>IFERROR(IF(FIND(DB$1,$W142)&gt;0,IF(INDEX(Product_Pricing_Table[],MATCH(DB$1,Products,0),2)="Cores",IF(HostBuild[Use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2" s="552">
        <f>IFERROR(IF(FIND(DC$1,$W142)&gt;0,IF(INDEX(Product_Pricing_Table[],MATCH(DC$1,Products,0),2)="Cores",IF(HostBuild[Use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2" s="552">
        <f>IFERROR(IF(FIND(DD$1,$W142)&gt;0,IF(INDEX(Product_Pricing_Table[],MATCH(DD$1,Products,0),2)="Cores",IF(HostBuild[Use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2" s="552">
        <f>IFERROR(IF(FIND(DE$1,$W142)&gt;0,IF(INDEX(Product_Pricing_Table[],MATCH(DE$1,Products,0),2)="Cores",IF(HostBuild[Use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2" s="553">
        <f>IFERROR(IF(FIND(DF$1,$W142)&gt;0,IF(INDEX(Product_Pricing_Table[],MATCH(DF$1,Products,0),2)="Cores",IF(HostBuild[Use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2" s="553">
        <f>IFERROR(IF(FIND(DG$1,$W142)&gt;0,IF(INDEX(Product_Pricing_Table[],MATCH(DG$1,Products,0),2)="Cores",IF(HostBuild[Use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2" s="552">
        <f>IFERROR(IF(FIND(DH$1,$W142)&gt;0,IF(INDEX(Product_Pricing_Table[],MATCH(DH$1,Products,0),2)="Cores",IF(HostBuild[Use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2" s="553">
        <f>IFERROR(IF(FIND(DI$1,$W142)&gt;0,IF(INDEX(Product_Pricing_Table[],MATCH(DI$1,Products,0),2)="Cores",IF(HostBuild[Use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2" s="552">
        <f>IFERROR(IF(FIND(DJ$1,$W142)&gt;0,IF(INDEX(Product_Pricing_Table[],MATCH(DJ$1,Products,0),2)="Cores",IF(HostBuild[Use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2" s="552">
        <f>IFERROR(IF(FIND(DK$1,$W142)&gt;0,IF(INDEX(Product_Pricing_Table[],MATCH(DK$1,Products,0),2)="Cores",IF(HostBuild[Use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2" s="552">
        <f>IFERROR(IF(FIND(DL$1,$W142)&gt;0,IF(INDEX(Product_Pricing_Table[],MATCH(DL$1,Products,0),2)="Cores",IF(HostBuild[Use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2" s="552">
        <f>IFERROR(IF(FIND(DM$1,$W142)&gt;0,IF(INDEX(Product_Pricing_Table[],MATCH(DM$1,Products,0),2)="Cores",IF(HostBuild[Use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2" s="552">
        <f>IFERROR(IF(FIND(DN$1,$W142)&gt;0,IF(INDEX(Product_Pricing_Table[],MATCH(DN$1,Products,0),2)="Cores",IF(HostBuild[Use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2" s="552">
        <f>IFERROR(IF(FIND(DO$1,$W142)&gt;0,IF(INDEX(Product_Pricing_Table[],MATCH(DO$1,Products,0),2)="Cores",IF(HostBuild[Use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2" s="552">
        <f>IFERROR(IF(FIND(DP$1,$W142)&gt;0,IF(INDEX(Product_Pricing_Table[],MATCH(DP$1,Products,0),2)="Cores",IF(HostBuild[Use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2" s="552">
        <f>IFERROR(IF(FIND(DQ$1,$W142)&gt;0,IF(INDEX(Product_Pricing_Table[],MATCH(DQ$1,Products,0),2)="Cores",IF(HostBuild[Use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2" s="552">
        <f>IFERROR(IF(FIND(DR$1,$W142)&gt;0,IF(INDEX(Product_Pricing_Table[],MATCH(DR$1,Products,0),2)="Cores",IF(HostBuild[Use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2" s="552">
        <f>IFERROR(IF(FIND(DS$1,$W142)&gt;0,IF(INDEX(Product_Pricing_Table[],MATCH(DS$1,Products,0),2)="Cores",IF(HostBuild[Use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2" s="552">
        <f>IFERROR(IF(FIND(DT$1,$W142)&gt;0,IF(INDEX(Product_Pricing_Table[],MATCH(DT$1,Products,0),2)="Cores",IF(HostBuild[Use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2" s="552">
        <f>IFERROR(IF(FIND(DU$1,$W142)&gt;0,IF(INDEX(Product_Pricing_Table[],MATCH(DU$1,Products,0),2)="Cores",IF(HostBuild[Use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2" s="552">
        <f>IFERROR(IF(FIND(DV$1,$W142)&gt;0,IF(INDEX(Product_Pricing_Table[],MATCH(DV$1,Products,0),2)="Cores",IF(HostBuild[Use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2" s="552">
        <f>IFERROR(IF(FIND(DW$1,$W142)&gt;0,IF(INDEX(Product_Pricing_Table[],MATCH(DW$1,Products,0),2)="Cores",IF(HostBuild[Use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2" s="552">
        <f>IFERROR(IF(FIND(DX$1,$W142)&gt;0,IF(INDEX(Product_Pricing_Table[],MATCH(DX$1,Products,0),2)="Cores",IF(HostBuild[Use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2" s="552">
        <f>IFERROR(IF(FIND(DY$1,$W142)&gt;0,IF(INDEX(Product_Pricing_Table[],MATCH(DY$1,Products,0),2)="Cores",IF(HostBuild[Use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2" s="552">
        <f>IFERROR(IF(FIND(DZ$1,$W142)&gt;0,IF(INDEX(Product_Pricing_Table[],MATCH(DZ$1,Products,0),2)="Cores",IF(HostBuild[Use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2" s="552">
        <f>IFERROR(IF(FIND(EA$1,$W142)&gt;0,IF(INDEX(Product_Pricing_Table[],MATCH(EA$1,Products,0),2)="Cores",IF(HostBuild[Use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2" s="552">
        <f>IFERROR(IF(FIND(EB$1,$W142)&gt;0,IF(INDEX(Product_Pricing_Table[],MATCH(EB$1,Products,0),2)="Cores",IF(HostBuild[Use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2" s="553">
        <f>IFERROR(IF(FIND(EC$1,$W142)&gt;0,IF(INDEX(Product_Pricing_Table[],MATCH(EC$1,Products,0),2)="Cores",IF(HostBuild[Use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2" s="552">
        <f>IFERROR(IF(FIND(ED$1,$W142)&gt;0,IF(INDEX(Product_Pricing_Table[],MATCH(ED$1,Products,0),2)="Cores",IF(HostBuild[Use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2" s="552">
        <f>IFERROR(IF(FIND(EE$1,$W142)&gt;0,IF(INDEX(Product_Pricing_Table[],MATCH(EE$1,Products,0),2)="Cores",IF(HostBuild[Use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2" s="552">
        <f>IFERROR(IF(FIND(EF$1,$W142)&gt;0,IF(INDEX(Product_Pricing_Table[],MATCH(EF$1,Products,0),2)="Cores",IF(HostBuild[Use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2" s="552">
        <f>IFERROR(IF(FIND(EG$1,$W142)&gt;0,IF(INDEX(Product_Pricing_Table[],MATCH(EG$1,Products,0),2)="Cores",IF(HostBuild[Use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2" s="552">
        <f>IFERROR(IF(FIND(EH$1,$W142)&gt;0,IF(INDEX(Product_Pricing_Table[],MATCH(EH$1,Products,0),2)="Cores",IF(HostBuild[Use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2" s="552">
        <f>IFERROR(IF(FIND(EI$1,$W142)&gt;0,IF(INDEX(Product_Pricing_Table[],MATCH(EI$1,Products,0),2)="Cores",IF(HostBuild[Use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2" s="552">
        <f>IFERROR(IF(FIND(EJ$1,$W142)&gt;0,IF(INDEX(Product_Pricing_Table[],MATCH(EJ$1,Products,0),2)="Cores",IF(HostBuild[Use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2" s="553">
        <f>IFERROR(IF(FIND(EK$1,$W142)&gt;0,IF(INDEX(Product_Pricing_Table[],MATCH(EK$1,Products,0),2)="Cores",IF(HostBuild[Use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2" s="554"/>
      <c r="EM142" s="555">
        <v>0</v>
      </c>
      <c r="EN142" s="556">
        <v>0</v>
      </c>
      <c r="EO142" s="557">
        <f>IF(OR(ISBLANK(HostBuild[Alias]),HostBuild[Server Tier]="",),0,IF(HostBuild[Server Tier]="SafeNet",Safenet_PSE_PL600+HostBuild[Network Cost],IF(HostBuild[Server Tier]="VMware",HostBuild[New VMware (Adjusted)]+HostBuild[Initial Server Cost],IF(HostBuild[Server Tier]="XI52",IBM_DIA_XI52,HostBuild[Initial Server Cost]))))</f>
        <v>829</v>
      </c>
      <c r="EP142"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30.330000000000002</v>
      </c>
      <c r="EQ142" s="558">
        <f>(HostBuild[Archive
Full (GB)]+HostBuild[Archive
Incr (GB)])*Storage_DC_Dist_Tape_2014</f>
        <v>6.7821249999999997</v>
      </c>
      <c r="ER142" s="558">
        <f>IF(ISNUMBER(HostBuild[Server HW Costs
(Monthly)]),SUM(HostBuild[[#This Row],[Server HW Costs
(Monthly)]:[Tape Costs
(Monthly)]]),0)</f>
        <v>866.11212499999999</v>
      </c>
      <c r="ES142" s="559">
        <f>HostBuild[Software Costs
'[Year 1']
(Monthly)]+HostBuild[Total Hardware Costs
(Monthly)]</f>
        <v>866.11212499999999</v>
      </c>
      <c r="ET142" s="559">
        <f>IFERROR(IF(FIND("Safenet",HostBuild[Server Model]),Safenet_PSE_PL600_Maint,0),0)+IFERROR(IF(FIND("XI52",HostBuild[Server Model]),IBM_DIA_XI52_Maint,0),0)+HostBuild[Software Costs
'[After Year 1']
(Monthly)]+HostBuild[Total Hardware Costs
(Monthly)]</f>
        <v>866.11212499999999</v>
      </c>
      <c r="EU142" s="560">
        <f>SUM(HostBuild[[#This Row],[Server Cost Breakdown]:[Network Cost]])</f>
        <v>829</v>
      </c>
      <c r="EV142" s="561">
        <f>IF(HostBuild[Existing Server?]="Yes - Inside this BoM",0,SUMIF(HostBuild[Alias],HostBuild[Alias],HostBuild[CPU])+SUMIF(HostBuild[Alias],HostBuild[Alias],HostBuild[Existing CPUs]))</f>
        <v>1</v>
      </c>
      <c r="EW142" s="561">
        <f>IF(HostBuild[Existing Server?]="Yes - Inside this BoM",0,SUMIF(HostBuild[Alias],HostBuild[Alias],HostBuild[Cores 
(Licensed Units)])+SUMIF(HostBuild[Alias],HostBuild[Alias],HostBuild[Existing Cores]))</f>
        <v>1</v>
      </c>
      <c r="EX142" s="561">
        <f>IF(HostBuild[Existing Server?]="Yes - Inside this BoM",0,SUMIF(HostBuild[Alias],HostBuild[Alias],HostBuild[RAM 
(GB)])+SUMIF(HostBuild[Alias],HostBuild[Alias],HostBuild[Existing RAM (GB)]))</f>
        <v>16</v>
      </c>
      <c r="EY142"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2"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2"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2"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2" s="560">
        <f>IF(ISBLANK(HostBuild[Server Model]),0,IF(HostBuild[Server Tier]="VMware",0,VLOOKUP(HostBuild[Server Tier],ServerTierRates[#Data],2,0))*HostBuild[CPU]*IF(AND(HostBuild[Server Type]="pSeries",HostBuild[Virtual Platform Storage Type]="Cloud-SAN"),0.25,1))</f>
        <v>829</v>
      </c>
      <c r="FD142" s="560">
        <f>0</f>
        <v>0</v>
      </c>
      <c r="FE142" s="560">
        <f>IF(HostBuild[Server Type]="VMware",HostBuild[RAM 
(GB)]*IF(ISERROR(FIND("DevCloud", HostBuild[Server Model])&gt;0),vRAM_per_vCPU_2014_Monthly,vRAM_per_vCPU_2014_Daily*30),0)</f>
        <v>0</v>
      </c>
      <c r="FF142"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0</v>
      </c>
      <c r="FG142"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2" s="563">
        <f>IF(HostBuild[Server Tier]="VMware",0,IF(LEFT(HostBuild[Existing Server?],3)="Yes",0,IF(OR(HostBuild[Server Type]="Sun",HostBuild[Server Type]="pSeries"),Support_Direct_Server_Sun_per_OS_2014,IF(HostBuild[Server Type]="x86",Support_Direct_Server_x86_Wintel_per_OS_2014,0))))</f>
        <v>0</v>
      </c>
      <c r="FI142"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3" spans="1:165" s="139" customFormat="1" ht="15" customHeight="1">
      <c r="A143" s="360" t="s">
        <v>3942</v>
      </c>
      <c r="B143" s="521"/>
      <c r="C143" s="521"/>
      <c r="D143" s="521"/>
      <c r="E143" s="522"/>
      <c r="F143" s="522"/>
      <c r="G143" s="597"/>
      <c r="H143" s="597"/>
      <c r="I143" s="523"/>
      <c r="J143" s="522"/>
      <c r="K143" s="522"/>
      <c r="L143" s="522"/>
      <c r="M143" s="597" t="e">
        <f ca="1">IF(rngIsDate(HostBuild[CTO Acceptance]),"Y","N")</f>
        <v>#NAME?</v>
      </c>
      <c r="N143" s="361" t="s">
        <v>4102</v>
      </c>
      <c r="O143" s="525"/>
      <c r="P143" s="525"/>
      <c r="Q143" s="361" t="s">
        <v>4089</v>
      </c>
      <c r="R143" s="526" t="str">
        <f>IF(NOT(ISBLANK(HostBuild[Env Label])),IFERROR(VLOOKUP(HostBuild[Env Label],tEnv[],3,FALSE),""),"")</f>
        <v>SIT</v>
      </c>
      <c r="S143" s="598"/>
      <c r="T143" s="527"/>
      <c r="U143" s="599"/>
      <c r="V143" s="524" t="s">
        <v>4012</v>
      </c>
      <c r="W143" s="524" t="s">
        <v>4078</v>
      </c>
      <c r="X143" s="524" t="s">
        <v>34</v>
      </c>
      <c r="Y143" s="361" t="s">
        <v>4067</v>
      </c>
      <c r="Z143" s="526" t="str">
        <f>IF(NOT(ISBLANK(HostBuild[[#This Row],[Product 
(Acronym)]])),CONCATENATE(HostBuild[[#This Row],[Type]],"-",HostBuild[[#This Row],[Product 
(Acronym)]]),"")</f>
        <v>WW-CBOL</v>
      </c>
      <c r="AA143" s="600"/>
      <c r="AB143" s="600" t="s">
        <v>105</v>
      </c>
      <c r="AC143" s="528"/>
      <c r="AD143" s="529"/>
      <c r="AE143" s="529"/>
      <c r="AF143" s="530"/>
      <c r="AG143" s="531"/>
      <c r="AH143" s="601"/>
      <c r="AI143" s="362" t="s">
        <v>4072</v>
      </c>
      <c r="AJ143" s="524">
        <f>IF(COUNTIF(HostBuild[Alias],HostBuild[Alias]),1/COUNTIF(HostBuild[Alias],HostBuild[Alias]),0)</f>
        <v>1</v>
      </c>
      <c r="AK143" s="531"/>
      <c r="AL143" s="531"/>
      <c r="AM143" s="532" t="s">
        <v>2173</v>
      </c>
      <c r="AN143" s="533" t="str">
        <f>IF(NOT(ISBLANK(HostBuild[Server Model])),VLOOKUP(HostBuild[Server Model],ServerModelsTier[],2,FALSE),"")</f>
        <v>x86 Tier 3</v>
      </c>
      <c r="AO143" s="533" t="str">
        <f>IF(NOT(ISBLANK(HostBuild[Server Model])),VLOOKUP(HostBuild[Server Model],ServerModelsTier[],5,FALSE),"")</f>
        <v>x86</v>
      </c>
      <c r="AP143" s="532"/>
      <c r="AQ143" s="532" t="s">
        <v>2337</v>
      </c>
      <c r="AR143" s="534">
        <v>2</v>
      </c>
      <c r="AS143" s="602"/>
      <c r="AT143" s="535">
        <v>16</v>
      </c>
      <c r="AU143" s="603" t="str">
        <f>IF(IFERROR(FIND("P-Series",HostBuild[Server Tier]),0),CEILING((HostBuild[Existing CPUs]+HostBuild[CPU])*16,8),"")</f>
        <v/>
      </c>
      <c r="AV143" s="536">
        <v>128</v>
      </c>
      <c r="AW143" s="531"/>
      <c r="AX143" s="531"/>
      <c r="AY143" s="531"/>
      <c r="AZ143" s="537"/>
      <c r="BA143" s="531"/>
      <c r="BB143" s="531"/>
      <c r="BC143" s="529"/>
      <c r="BD143" s="531"/>
      <c r="BE143" s="531"/>
      <c r="BF143" s="531"/>
      <c r="BG143" s="531"/>
      <c r="BH143" s="531"/>
      <c r="BI143" s="531"/>
      <c r="BJ143" s="531"/>
      <c r="BK143"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3" s="538">
        <v>700</v>
      </c>
      <c r="BM143" s="540">
        <f>IF(ISNUMBER(HostBuild[Recommended SAN (GB)]),HostBuild[Recommended SAN (GB)])+IF(HostBuild[Additional SAN (GB)]&gt;0,CEILING(HostBuild[Additional SAN (GB)],LUN),-(CEILING(-HostBuild[Additional SAN (GB)],LUN)))</f>
        <v>909.90000000000009</v>
      </c>
      <c r="BN143" s="539"/>
      <c r="BO143" s="540">
        <f>HostBuild[SAN (GB)
NEEDED TODAY]+CEILING(HostBuild[SAN (GB)
RESERVED
DO NOT USE TO BUILD], LUN)</f>
        <v>909.90000000000009</v>
      </c>
      <c r="BP143" s="541"/>
      <c r="BQ143" s="542"/>
      <c r="BR143" s="432"/>
      <c r="BS143" s="605">
        <f>IF(HostBuild[Existing Server?]&lt;&gt;"Yes - Inside this BoM",IF(ISNUMBER(HostBuild[RAM 
(GB)]),IF(HostBuild[Existing RAM (GB)]+HostBuild[RAM 
(GB)]&gt;0,IF(HostBuild[Virtual Platform Storage Type]="NAS",110+HostBuild[Existing RAM (GB)]+HostBuild[RAM 
(GB)]*1.75,0),0),0),0)</f>
        <v>0</v>
      </c>
      <c r="BT143" s="606"/>
      <c r="BU143" s="607">
        <f>IF(ISNUMBER(HostBuild[Recommended NAS (GB)]),HostBuild[Recommended NAS (GB)])+HostBuild[Additional NAS (GB)]</f>
        <v>0</v>
      </c>
      <c r="BV143" s="543"/>
      <c r="BW143" s="543"/>
      <c r="BX143" s="604">
        <f>IFERROR((HostBuild[SAN (GB)
End-State
DO NOT USE TO BUILD]+HostBuild[SAN (GB) Shared])*25%,"")</f>
        <v>227.47500000000002</v>
      </c>
      <c r="BY143" s="608">
        <f>IFERROR(HostBuild[Archive
Full (GB)]*15%,"")</f>
        <v>34.121250000000003</v>
      </c>
      <c r="BZ143" s="544"/>
      <c r="CA143" s="544"/>
      <c r="CB143" s="545"/>
      <c r="CC143" s="546"/>
      <c r="CD143" s="545"/>
      <c r="CE143" s="547"/>
      <c r="CF143" s="539"/>
      <c r="CG143" s="609"/>
      <c r="CH143" s="548"/>
      <c r="CI143" s="549"/>
      <c r="CJ143" s="550"/>
      <c r="CK143" s="551"/>
      <c r="CL143" s="552">
        <f>IFERROR(IF(FIND(CL$1,$W143)&gt;0,IF(INDEX(Product_Pricing_Table[],MATCH(CL$1,Products,0),2)="Cores",IF(HostBuild[Use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3" s="552">
        <f>IFERROR(IF(FIND(CM$1,$W143)&gt;0,IF(INDEX(Product_Pricing_Table[],MATCH(CM$1,Products,0),2)="Cores",IF(HostBuild[Use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3" s="552">
        <f>IFERROR(IF(FIND(CN$1,$W143)&gt;0,IF(INDEX(Product_Pricing_Table[],MATCH(CN$1,Products,0),2)="Cores",IF(HostBuild[Use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3" s="552">
        <f>IFERROR(IF(FIND(CO$1,$W143)&gt;0,IF(INDEX(Product_Pricing_Table[],MATCH(CO$1,Products,0),2)="Cores",IF(HostBuild[Use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3" s="552">
        <f>IFERROR(IF(FIND(CP$1,$W143)&gt;0,IF(INDEX(Product_Pricing_Table[],MATCH(CP$1,Products,0),2)="Cores",IF(HostBuild[Use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3" s="552">
        <f>IFERROR(IF(FIND(CQ$1,$W143)&gt;0,IF(INDEX(Product_Pricing_Table[],MATCH(CQ$1,Products,0),2)="Cores",IF(HostBuild[Use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3" s="552">
        <f>IFERROR(IF(FIND(CR$1,$W143)&gt;0,IF(INDEX(Product_Pricing_Table[],MATCH(CR$1,Products,0),2)="Cores",IF(HostBuild[Use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3" s="552">
        <f>IFERROR(IF(FIND(CS$1,$W143)&gt;0,IF(INDEX(Product_Pricing_Table[],MATCH(CS$1,Products,0),2)="Cores",IF(HostBuild[Use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3" s="552">
        <f>IFERROR(IF(FIND(CT$1,$W143)&gt;0,IF(INDEX(Product_Pricing_Table[],MATCH(CT$1,Products,0),2)="Cores",IF(HostBuild[Use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3" s="552">
        <f>IFERROR(IF(FIND(CU$1,$W143)&gt;0,IF(INDEX(Product_Pricing_Table[],MATCH(CU$1,Products,0),2)="Cores",IF(HostBuild[Use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3" s="552">
        <f>IFERROR(IF(FIND(CV$1,$W143)&gt;0,IF(INDEX(Product_Pricing_Table[],MATCH(CV$1,Products,0),2)="Cores",IF(HostBuild[Use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3" s="552">
        <f>IFERROR(IF(FIND(CW$1,$W143)&gt;0,IF(INDEX(Product_Pricing_Table[],MATCH(CW$1,Products,0),2)="Cores",IF(HostBuild[Use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3" s="552">
        <f>IFERROR(IF(FIND(CX$1,$W143)&gt;0,IF(INDEX(Product_Pricing_Table[],MATCH(CX$1,Products,0),2)="Cores",IF(HostBuild[Use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3" s="552">
        <f>IFERROR(IF(FIND(CY$1,$W143)&gt;0,IF(INDEX(Product_Pricing_Table[],MATCH(CY$1,Products,0),2)="Cores",IF(HostBuild[Use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3" s="552">
        <f>IFERROR(IF(FIND(CZ$1,$W143)&gt;0,IF(INDEX(Product_Pricing_Table[],MATCH(CZ$1,Products,0),2)="Cores",IF(HostBuild[Use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3" s="552">
        <f>IFERROR(IF(FIND(DA$1,$W143)&gt;0,IF(INDEX(Product_Pricing_Table[],MATCH(DA$1,Products,0),2)="Cores",IF(HostBuild[Use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3" s="552">
        <f>IFERROR(IF(FIND(DB$1,$W143)&gt;0,IF(INDEX(Product_Pricing_Table[],MATCH(DB$1,Products,0),2)="Cores",IF(HostBuild[Use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3" s="552">
        <f>IFERROR(IF(FIND(DC$1,$W143)&gt;0,IF(INDEX(Product_Pricing_Table[],MATCH(DC$1,Products,0),2)="Cores",IF(HostBuild[Use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3" s="552">
        <f>IFERROR(IF(FIND(DD$1,$W143)&gt;0,IF(INDEX(Product_Pricing_Table[],MATCH(DD$1,Products,0),2)="Cores",IF(HostBuild[Use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3" s="552">
        <f>IFERROR(IF(FIND(DE$1,$W143)&gt;0,IF(INDEX(Product_Pricing_Table[],MATCH(DE$1,Products,0),2)="Cores",IF(HostBuild[Use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3" s="553">
        <f>IFERROR(IF(FIND(DF$1,$W143)&gt;0,IF(INDEX(Product_Pricing_Table[],MATCH(DF$1,Products,0),2)="Cores",IF(HostBuild[Use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3" s="553">
        <f>IFERROR(IF(FIND(DG$1,$W143)&gt;0,IF(INDEX(Product_Pricing_Table[],MATCH(DG$1,Products,0),2)="Cores",IF(HostBuild[Use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3" s="552">
        <f>IFERROR(IF(FIND(DH$1,$W143)&gt;0,IF(INDEX(Product_Pricing_Table[],MATCH(DH$1,Products,0),2)="Cores",IF(HostBuild[Use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3" s="553">
        <f>IFERROR(IF(FIND(DI$1,$W143)&gt;0,IF(INDEX(Product_Pricing_Table[],MATCH(DI$1,Products,0),2)="Cores",IF(HostBuild[Use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3" s="552">
        <f>IFERROR(IF(FIND(DJ$1,$W143)&gt;0,IF(INDEX(Product_Pricing_Table[],MATCH(DJ$1,Products,0),2)="Cores",IF(HostBuild[Use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3" s="552">
        <f>IFERROR(IF(FIND(DK$1,$W143)&gt;0,IF(INDEX(Product_Pricing_Table[],MATCH(DK$1,Products,0),2)="Cores",IF(HostBuild[Use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3" s="552">
        <f>IFERROR(IF(FIND(DL$1,$W143)&gt;0,IF(INDEX(Product_Pricing_Table[],MATCH(DL$1,Products,0),2)="Cores",IF(HostBuild[Use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3" s="552">
        <f>IFERROR(IF(FIND(DM$1,$W143)&gt;0,IF(INDEX(Product_Pricing_Table[],MATCH(DM$1,Products,0),2)="Cores",IF(HostBuild[Use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3" s="552">
        <f>IFERROR(IF(FIND(DN$1,$W143)&gt;0,IF(INDEX(Product_Pricing_Table[],MATCH(DN$1,Products,0),2)="Cores",IF(HostBuild[Use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3" s="552">
        <f>IFERROR(IF(FIND(DO$1,$W143)&gt;0,IF(INDEX(Product_Pricing_Table[],MATCH(DO$1,Products,0),2)="Cores",IF(HostBuild[Use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3" s="552">
        <f>IFERROR(IF(FIND(DP$1,$W143)&gt;0,IF(INDEX(Product_Pricing_Table[],MATCH(DP$1,Products,0),2)="Cores",IF(HostBuild[Use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3" s="552">
        <f>IFERROR(IF(FIND(DQ$1,$W143)&gt;0,IF(INDEX(Product_Pricing_Table[],MATCH(DQ$1,Products,0),2)="Cores",IF(HostBuild[Use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3" s="552">
        <f>IFERROR(IF(FIND(DR$1,$W143)&gt;0,IF(INDEX(Product_Pricing_Table[],MATCH(DR$1,Products,0),2)="Cores",IF(HostBuild[Use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3" s="552">
        <f>IFERROR(IF(FIND(DS$1,$W143)&gt;0,IF(INDEX(Product_Pricing_Table[],MATCH(DS$1,Products,0),2)="Cores",IF(HostBuild[Use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3" s="552">
        <f>IFERROR(IF(FIND(DT$1,$W143)&gt;0,IF(INDEX(Product_Pricing_Table[],MATCH(DT$1,Products,0),2)="Cores",IF(HostBuild[Use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3" s="552">
        <f>IFERROR(IF(FIND(DU$1,$W143)&gt;0,IF(INDEX(Product_Pricing_Table[],MATCH(DU$1,Products,0),2)="Cores",IF(HostBuild[Use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3" s="552">
        <f>IFERROR(IF(FIND(DV$1,$W143)&gt;0,IF(INDEX(Product_Pricing_Table[],MATCH(DV$1,Products,0),2)="Cores",IF(HostBuild[Use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3" s="552">
        <f>IFERROR(IF(FIND(DW$1,$W143)&gt;0,IF(INDEX(Product_Pricing_Table[],MATCH(DW$1,Products,0),2)="Cores",IF(HostBuild[Use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3" s="552">
        <f>IFERROR(IF(FIND(DX$1,$W143)&gt;0,IF(INDEX(Product_Pricing_Table[],MATCH(DX$1,Products,0),2)="Cores",IF(HostBuild[Use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3" s="552">
        <f>IFERROR(IF(FIND(DY$1,$W143)&gt;0,IF(INDEX(Product_Pricing_Table[],MATCH(DY$1,Products,0),2)="Cores",IF(HostBuild[Use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3" s="552">
        <f>IFERROR(IF(FIND(DZ$1,$W143)&gt;0,IF(INDEX(Product_Pricing_Table[],MATCH(DZ$1,Products,0),2)="Cores",IF(HostBuild[Use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3" s="552">
        <f>IFERROR(IF(FIND(EA$1,$W143)&gt;0,IF(INDEX(Product_Pricing_Table[],MATCH(EA$1,Products,0),2)="Cores",IF(HostBuild[Use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3" s="552">
        <f>IFERROR(IF(FIND(EB$1,$W143)&gt;0,IF(INDEX(Product_Pricing_Table[],MATCH(EB$1,Products,0),2)="Cores",IF(HostBuild[Use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3" s="553">
        <f>IFERROR(IF(FIND(EC$1,$W143)&gt;0,IF(INDEX(Product_Pricing_Table[],MATCH(EC$1,Products,0),2)="Cores",IF(HostBuild[Use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3" s="552">
        <f>IFERROR(IF(FIND(ED$1,$W143)&gt;0,IF(INDEX(Product_Pricing_Table[],MATCH(ED$1,Products,0),2)="Cores",IF(HostBuild[Use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3" s="552">
        <f>IFERROR(IF(FIND(EE$1,$W143)&gt;0,IF(INDEX(Product_Pricing_Table[],MATCH(EE$1,Products,0),2)="Cores",IF(HostBuild[Use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3" s="552">
        <f>IFERROR(IF(FIND(EF$1,$W143)&gt;0,IF(INDEX(Product_Pricing_Table[],MATCH(EF$1,Products,0),2)="Cores",IF(HostBuild[Use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3" s="552">
        <f>IFERROR(IF(FIND(EG$1,$W143)&gt;0,IF(INDEX(Product_Pricing_Table[],MATCH(EG$1,Products,0),2)="Cores",IF(HostBuild[Use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3" s="552">
        <f>IFERROR(IF(FIND(EH$1,$W143)&gt;0,IF(INDEX(Product_Pricing_Table[],MATCH(EH$1,Products,0),2)="Cores",IF(HostBuild[Use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3" s="552">
        <f>IFERROR(IF(FIND(EI$1,$W143)&gt;0,IF(INDEX(Product_Pricing_Table[],MATCH(EI$1,Products,0),2)="Cores",IF(HostBuild[Use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3" s="552">
        <f>IFERROR(IF(FIND(EJ$1,$W143)&gt;0,IF(INDEX(Product_Pricing_Table[],MATCH(EJ$1,Products,0),2)="Cores",IF(HostBuild[Use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3" s="553">
        <f>IFERROR(IF(FIND(EK$1,$W143)&gt;0,IF(INDEX(Product_Pricing_Table[],MATCH(EK$1,Products,0),2)="Cores",IF(HostBuild[Use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3" s="554"/>
      <c r="EM143" s="555">
        <v>0</v>
      </c>
      <c r="EN143" s="556">
        <v>0</v>
      </c>
      <c r="EO143"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3"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409.45500000000004</v>
      </c>
      <c r="EQ143" s="558">
        <f>(HostBuild[Archive
Full (GB)]+HostBuild[Archive
Incr (GB)])*Storage_DC_Dist_Tape_2014</f>
        <v>91.558687500000019</v>
      </c>
      <c r="ER143" s="558">
        <f>IF(ISNUMBER(HostBuild[Server HW Costs
(Monthly)]),SUM(HostBuild[[#This Row],[Server HW Costs
(Monthly)]:[Tape Costs
(Monthly)]]),0)</f>
        <v>1389.7136875000001</v>
      </c>
      <c r="ES143" s="559">
        <f>HostBuild[Software Costs
'[Year 1']
(Monthly)]+HostBuild[Total Hardware Costs
(Monthly)]</f>
        <v>1389.7136875000001</v>
      </c>
      <c r="ET143" s="559">
        <f>IFERROR(IF(FIND("Safenet",HostBuild[Server Model]),Safenet_PSE_PL600_Maint,0),0)+IFERROR(IF(FIND("XI52",HostBuild[Server Model]),IBM_DIA_XI52_Maint,0),0)+HostBuild[Software Costs
'[After Year 1']
(Monthly)]+HostBuild[Total Hardware Costs
(Monthly)]</f>
        <v>1389.7136875000001</v>
      </c>
      <c r="EU143" s="560">
        <f>SUM(HostBuild[[#This Row],[Server Cost Breakdown]:[Network Cost]])</f>
        <v>888.7</v>
      </c>
      <c r="EV143" s="561">
        <f>IF(HostBuild[Existing Server?]="Yes - Inside this BoM",0,SUMIF(HostBuild[Alias],HostBuild[Alias],HostBuild[CPU])+SUMIF(HostBuild[Alias],HostBuild[Alias],HostBuild[Existing CPUs]))</f>
        <v>2</v>
      </c>
      <c r="EW143" s="561">
        <f>IF(HostBuild[Existing Server?]="Yes - Inside this BoM",0,SUMIF(HostBuild[Alias],HostBuild[Alias],HostBuild[Cores 
(Licensed Units)])+SUMIF(HostBuild[Alias],HostBuild[Alias],HostBuild[Existing Cores]))</f>
        <v>16</v>
      </c>
      <c r="EX143" s="561">
        <f>IF(HostBuild[Existing Server?]="Yes - Inside this BoM",0,SUMIF(HostBuild[Alias],HostBuild[Alias],HostBuild[RAM 
(GB)])+SUMIF(HostBuild[Alias],HostBuild[Alias],HostBuild[Existing RAM (GB)]))</f>
        <v>128</v>
      </c>
      <c r="EY143"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3"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3"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3"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3" s="560">
        <f>IF(ISBLANK(HostBuild[Server Model]),0,IF(HostBuild[Server Tier]="VMware",0,VLOOKUP(HostBuild[Server Tier],ServerTierRates[#Data],2,0))*HostBuild[CPU]*IF(AND(HostBuild[Server Type]="pSeries",HostBuild[Virtual Platform Storage Type]="Cloud-SAN"),0.25,1))</f>
        <v>608</v>
      </c>
      <c r="FD143" s="560">
        <f>0</f>
        <v>0</v>
      </c>
      <c r="FE143" s="560">
        <f>IF(HostBuild[Server Type]="VMware",HostBuild[RAM 
(GB)]*IF(ISERROR(FIND("DevCloud", HostBuild[Server Model])&gt;0),vRAM_per_vCPU_2014_Monthly,vRAM_per_vCPU_2014_Daily*30),0)</f>
        <v>0</v>
      </c>
      <c r="FF143"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3"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3" s="563">
        <f>IF(HostBuild[Server Tier]="VMware",0,IF(LEFT(HostBuild[Existing Server?],3)="Yes",0,IF(OR(HostBuild[Server Type]="Sun",HostBuild[Server Type]="pSeries"),Support_Direct_Server_Sun_per_OS_2014,IF(HostBuild[Server Type]="x86",Support_Direct_Server_x86_Wintel_per_OS_2014,0))))</f>
        <v>187.1</v>
      </c>
      <c r="FI143"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4" spans="1:165" s="139" customFormat="1" ht="15" customHeight="1">
      <c r="A144" s="360" t="s">
        <v>3942</v>
      </c>
      <c r="B144" s="521"/>
      <c r="C144" s="521"/>
      <c r="D144" s="521"/>
      <c r="E144" s="522"/>
      <c r="F144" s="522"/>
      <c r="G144" s="597"/>
      <c r="H144" s="597"/>
      <c r="I144" s="523"/>
      <c r="J144" s="522"/>
      <c r="K144" s="522"/>
      <c r="L144" s="522"/>
      <c r="M144" s="597" t="e">
        <f ca="1">IF(rngIsDate(HostBuild[CTO Acceptance]),"Y","N")</f>
        <v>#NAME?</v>
      </c>
      <c r="N144" s="361" t="s">
        <v>4102</v>
      </c>
      <c r="O144" s="525"/>
      <c r="P144" s="525"/>
      <c r="Q144" s="361" t="s">
        <v>213</v>
      </c>
      <c r="R144" s="526" t="str">
        <f>IF(NOT(ISBLANK(HostBuild[Env Label])),IFERROR(VLOOKUP(HostBuild[Env Label],tEnv[],3,FALSE),""),"")</f>
        <v>SIT</v>
      </c>
      <c r="S144" s="598"/>
      <c r="T144" s="527"/>
      <c r="U144" s="599"/>
      <c r="V144" s="524" t="s">
        <v>4048</v>
      </c>
      <c r="W144" s="524" t="s">
        <v>4019</v>
      </c>
      <c r="X144" s="524" t="s">
        <v>35</v>
      </c>
      <c r="Y144" s="361" t="s">
        <v>4067</v>
      </c>
      <c r="Z144" s="526" t="str">
        <f>IF(NOT(ISBLANK(HostBuild[[#This Row],[Product 
(Acronym)]])),CONCATENATE(HostBuild[[#This Row],[Type]],"-",HostBuild[[#This Row],[Product 
(Acronym)]]),"")</f>
        <v>AP-CBOL</v>
      </c>
      <c r="AA144" s="600"/>
      <c r="AB144" s="600" t="s">
        <v>105</v>
      </c>
      <c r="AC144" s="528"/>
      <c r="AD144" s="529"/>
      <c r="AE144" s="529"/>
      <c r="AF144" s="530"/>
      <c r="AG144" s="531"/>
      <c r="AH144" s="601"/>
      <c r="AI144" s="362" t="s">
        <v>4073</v>
      </c>
      <c r="AJ144" s="524">
        <f>IF(COUNTIF(HostBuild[Alias],HostBuild[Alias]),1/COUNTIF(HostBuild[Alias],HostBuild[Alias]),0)</f>
        <v>1</v>
      </c>
      <c r="AK144" s="531"/>
      <c r="AL144" s="531"/>
      <c r="AM144" s="532" t="s">
        <v>2173</v>
      </c>
      <c r="AN144" s="533" t="str">
        <f>IF(NOT(ISBLANK(HostBuild[Server Model])),VLOOKUP(HostBuild[Server Model],ServerModelsTier[],2,FALSE),"")</f>
        <v>x86 Tier 3</v>
      </c>
      <c r="AO144" s="533" t="str">
        <f>IF(NOT(ISBLANK(HostBuild[Server Model])),VLOOKUP(HostBuild[Server Model],ServerModelsTier[],5,FALSE),"")</f>
        <v>x86</v>
      </c>
      <c r="AP144" s="532"/>
      <c r="AQ144" s="532" t="s">
        <v>2337</v>
      </c>
      <c r="AR144" s="534">
        <v>2</v>
      </c>
      <c r="AS144" s="602"/>
      <c r="AT144" s="535">
        <v>16</v>
      </c>
      <c r="AU144" s="603" t="str">
        <f>IF(IFERROR(FIND("P-Series",HostBuild[Server Tier]),0),CEILING((HostBuild[Existing CPUs]+HostBuild[CPU])*16,8),"")</f>
        <v/>
      </c>
      <c r="AV144" s="536">
        <v>128</v>
      </c>
      <c r="AW144" s="531"/>
      <c r="AX144" s="531"/>
      <c r="AY144" s="531"/>
      <c r="AZ144" s="537"/>
      <c r="BA144" s="531"/>
      <c r="BB144" s="531"/>
      <c r="BC144" s="529"/>
      <c r="BD144" s="531"/>
      <c r="BE144" s="531"/>
      <c r="BF144" s="531"/>
      <c r="BG144" s="531"/>
      <c r="BH144" s="531"/>
      <c r="BI144" s="531"/>
      <c r="BJ144" s="531"/>
      <c r="BK144"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4" s="538">
        <v>600</v>
      </c>
      <c r="BM144" s="540">
        <f>IF(ISNUMBER(HostBuild[Recommended SAN (GB)]),HostBuild[Recommended SAN (GB)])+IF(HostBuild[Additional SAN (GB)]&gt;0,CEILING(HostBuild[Additional SAN (GB)],LUN),-(CEILING(-HostBuild[Additional SAN (GB)],LUN)))</f>
        <v>808.80000000000007</v>
      </c>
      <c r="BN144" s="539"/>
      <c r="BO144" s="540">
        <f>HostBuild[SAN (GB)
NEEDED TODAY]+CEILING(HostBuild[SAN (GB)
RESERVED
DO NOT USE TO BUILD], LUN)</f>
        <v>808.80000000000007</v>
      </c>
      <c r="BP144" s="541"/>
      <c r="BQ144" s="542"/>
      <c r="BR144" s="432"/>
      <c r="BS144" s="605">
        <f>IF(HostBuild[Existing Server?]&lt;&gt;"Yes - Inside this BoM",IF(ISNUMBER(HostBuild[RAM 
(GB)]),IF(HostBuild[Existing RAM (GB)]+HostBuild[RAM 
(GB)]&gt;0,IF(HostBuild[Virtual Platform Storage Type]="NAS",110+HostBuild[Existing RAM (GB)]+HostBuild[RAM 
(GB)]*1.75,0),0),0),0)</f>
        <v>0</v>
      </c>
      <c r="BT144" s="606"/>
      <c r="BU144" s="607">
        <f>IF(ISNUMBER(HostBuild[Recommended NAS (GB)]),HostBuild[Recommended NAS (GB)])+HostBuild[Additional NAS (GB)]</f>
        <v>0</v>
      </c>
      <c r="BV144" s="543"/>
      <c r="BW144" s="543"/>
      <c r="BX144" s="604">
        <f>IFERROR((HostBuild[SAN (GB)
End-State
DO NOT USE TO BUILD]+HostBuild[SAN (GB) Shared])*25%,"")</f>
        <v>202.20000000000002</v>
      </c>
      <c r="BY144" s="608">
        <f>IFERROR(HostBuild[Archive
Full (GB)]*15%,"")</f>
        <v>30.330000000000002</v>
      </c>
      <c r="BZ144" s="544"/>
      <c r="CA144" s="544"/>
      <c r="CB144" s="545"/>
      <c r="CC144" s="546"/>
      <c r="CD144" s="545"/>
      <c r="CE144" s="547"/>
      <c r="CF144" s="539"/>
      <c r="CG144" s="609"/>
      <c r="CH144" s="548"/>
      <c r="CI144" s="549"/>
      <c r="CJ144" s="550"/>
      <c r="CK144" s="551"/>
      <c r="CL144" s="552">
        <f>IFERROR(IF(FIND(CL$1,$W144)&gt;0,IF(INDEX(Product_Pricing_Table[],MATCH(CL$1,Products,0),2)="Cores",IF(HostBuild[Use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4" s="552">
        <f>IFERROR(IF(FIND(CM$1,$W144)&gt;0,IF(INDEX(Product_Pricing_Table[],MATCH(CM$1,Products,0),2)="Cores",IF(HostBuild[Use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4" s="552">
        <f>IFERROR(IF(FIND(CN$1,$W144)&gt;0,IF(INDEX(Product_Pricing_Table[],MATCH(CN$1,Products,0),2)="Cores",IF(HostBuild[Use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4" s="552">
        <f>IFERROR(IF(FIND(CO$1,$W144)&gt;0,IF(INDEX(Product_Pricing_Table[],MATCH(CO$1,Products,0),2)="Cores",IF(HostBuild[Use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4" s="552">
        <f>IFERROR(IF(FIND(CP$1,$W144)&gt;0,IF(INDEX(Product_Pricing_Table[],MATCH(CP$1,Products,0),2)="Cores",IF(HostBuild[Use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4" s="552">
        <f>IFERROR(IF(FIND(CQ$1,$W144)&gt;0,IF(INDEX(Product_Pricing_Table[],MATCH(CQ$1,Products,0),2)="Cores",IF(HostBuild[Use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4" s="552">
        <f>IFERROR(IF(FIND(CR$1,$W144)&gt;0,IF(INDEX(Product_Pricing_Table[],MATCH(CR$1,Products,0),2)="Cores",IF(HostBuild[Use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4" s="552">
        <f>IFERROR(IF(FIND(CS$1,$W144)&gt;0,IF(INDEX(Product_Pricing_Table[],MATCH(CS$1,Products,0),2)="Cores",IF(HostBuild[Use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4" s="552">
        <f>IFERROR(IF(FIND(CT$1,$W144)&gt;0,IF(INDEX(Product_Pricing_Table[],MATCH(CT$1,Products,0),2)="Cores",IF(HostBuild[Use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4" s="552">
        <f>IFERROR(IF(FIND(CU$1,$W144)&gt;0,IF(INDEX(Product_Pricing_Table[],MATCH(CU$1,Products,0),2)="Cores",IF(HostBuild[Use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44" s="552">
        <f>IFERROR(IF(FIND(CV$1,$W144)&gt;0,IF(INDEX(Product_Pricing_Table[],MATCH(CV$1,Products,0),2)="Cores",IF(HostBuild[Use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4" s="552">
        <f>IFERROR(IF(FIND(CW$1,$W144)&gt;0,IF(INDEX(Product_Pricing_Table[],MATCH(CW$1,Products,0),2)="Cores",IF(HostBuild[Use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4" s="552">
        <f>IFERROR(IF(FIND(CX$1,$W144)&gt;0,IF(INDEX(Product_Pricing_Table[],MATCH(CX$1,Products,0),2)="Cores",IF(HostBuild[Use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44" s="552">
        <f>IFERROR(IF(FIND(CY$1,$W144)&gt;0,IF(INDEX(Product_Pricing_Table[],MATCH(CY$1,Products,0),2)="Cores",IF(HostBuild[Use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4" s="552">
        <f>IFERROR(IF(FIND(CZ$1,$W144)&gt;0,IF(INDEX(Product_Pricing_Table[],MATCH(CZ$1,Products,0),2)="Cores",IF(HostBuild[Use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4" s="552">
        <f>IFERROR(IF(FIND(DA$1,$W144)&gt;0,IF(INDEX(Product_Pricing_Table[],MATCH(DA$1,Products,0),2)="Cores",IF(HostBuild[Use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4" s="552">
        <f>IFERROR(IF(FIND(DB$1,$W144)&gt;0,IF(INDEX(Product_Pricing_Table[],MATCH(DB$1,Products,0),2)="Cores",IF(HostBuild[Use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4" s="552">
        <f>IFERROR(IF(FIND(DC$1,$W144)&gt;0,IF(INDEX(Product_Pricing_Table[],MATCH(DC$1,Products,0),2)="Cores",IF(HostBuild[Use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4" s="552">
        <f>IFERROR(IF(FIND(DD$1,$W144)&gt;0,IF(INDEX(Product_Pricing_Table[],MATCH(DD$1,Products,0),2)="Cores",IF(HostBuild[Use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4" s="552">
        <f>IFERROR(IF(FIND(DE$1,$W144)&gt;0,IF(INDEX(Product_Pricing_Table[],MATCH(DE$1,Products,0),2)="Cores",IF(HostBuild[Use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4" s="553">
        <f>IFERROR(IF(FIND(DF$1,$W144)&gt;0,IF(INDEX(Product_Pricing_Table[],MATCH(DF$1,Products,0),2)="Cores",IF(HostBuild[Use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4" s="553">
        <f>IFERROR(IF(FIND(DG$1,$W144)&gt;0,IF(INDEX(Product_Pricing_Table[],MATCH(DG$1,Products,0),2)="Cores",IF(HostBuild[Use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4" s="552">
        <f>IFERROR(IF(FIND(DH$1,$W144)&gt;0,IF(INDEX(Product_Pricing_Table[],MATCH(DH$1,Products,0),2)="Cores",IF(HostBuild[Use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4" s="553">
        <f>IFERROR(IF(FIND(DI$1,$W144)&gt;0,IF(INDEX(Product_Pricing_Table[],MATCH(DI$1,Products,0),2)="Cores",IF(HostBuild[Use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4" s="552">
        <f>IFERROR(IF(FIND(DJ$1,$W144)&gt;0,IF(INDEX(Product_Pricing_Table[],MATCH(DJ$1,Products,0),2)="Cores",IF(HostBuild[Use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4" s="552">
        <f>IFERROR(IF(FIND(DK$1,$W144)&gt;0,IF(INDEX(Product_Pricing_Table[],MATCH(DK$1,Products,0),2)="Cores",IF(HostBuild[Use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4" s="552">
        <f>IFERROR(IF(FIND(DL$1,$W144)&gt;0,IF(INDEX(Product_Pricing_Table[],MATCH(DL$1,Products,0),2)="Cores",IF(HostBuild[Use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4" s="552">
        <f>IFERROR(IF(FIND(DM$1,$W144)&gt;0,IF(INDEX(Product_Pricing_Table[],MATCH(DM$1,Products,0),2)="Cores",IF(HostBuild[Use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4" s="552">
        <f>IFERROR(IF(FIND(DN$1,$W144)&gt;0,IF(INDEX(Product_Pricing_Table[],MATCH(DN$1,Products,0),2)="Cores",IF(HostBuild[Use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4" s="552">
        <f>IFERROR(IF(FIND(DO$1,$W144)&gt;0,IF(INDEX(Product_Pricing_Table[],MATCH(DO$1,Products,0),2)="Cores",IF(HostBuild[Use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4" s="552">
        <f>IFERROR(IF(FIND(DP$1,$W144)&gt;0,IF(INDEX(Product_Pricing_Table[],MATCH(DP$1,Products,0),2)="Cores",IF(HostBuild[Use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4" s="552">
        <f>IFERROR(IF(FIND(DQ$1,$W144)&gt;0,IF(INDEX(Product_Pricing_Table[],MATCH(DQ$1,Products,0),2)="Cores",IF(HostBuild[Use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4" s="552">
        <f>IFERROR(IF(FIND(DR$1,$W144)&gt;0,IF(INDEX(Product_Pricing_Table[],MATCH(DR$1,Products,0),2)="Cores",IF(HostBuild[Use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4" s="552">
        <f>IFERROR(IF(FIND(DS$1,$W144)&gt;0,IF(INDEX(Product_Pricing_Table[],MATCH(DS$1,Products,0),2)="Cores",IF(HostBuild[Use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4" s="552">
        <f>IFERROR(IF(FIND(DT$1,$W144)&gt;0,IF(INDEX(Product_Pricing_Table[],MATCH(DT$1,Products,0),2)="Cores",IF(HostBuild[Use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4" s="552">
        <f>IFERROR(IF(FIND(DU$1,$W144)&gt;0,IF(INDEX(Product_Pricing_Table[],MATCH(DU$1,Products,0),2)="Cores",IF(HostBuild[Use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4" s="552">
        <f>IFERROR(IF(FIND(DV$1,$W144)&gt;0,IF(INDEX(Product_Pricing_Table[],MATCH(DV$1,Products,0),2)="Cores",IF(HostBuild[Use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4" s="552">
        <f>IFERROR(IF(FIND(DW$1,$W144)&gt;0,IF(INDEX(Product_Pricing_Table[],MATCH(DW$1,Products,0),2)="Cores",IF(HostBuild[Use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4" s="552">
        <f>IFERROR(IF(FIND(DX$1,$W144)&gt;0,IF(INDEX(Product_Pricing_Table[],MATCH(DX$1,Products,0),2)="Cores",IF(HostBuild[Use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4" s="552">
        <f>IFERROR(IF(FIND(DY$1,$W144)&gt;0,IF(INDEX(Product_Pricing_Table[],MATCH(DY$1,Products,0),2)="Cores",IF(HostBuild[Use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4" s="552">
        <f>IFERROR(IF(FIND(DZ$1,$W144)&gt;0,IF(INDEX(Product_Pricing_Table[],MATCH(DZ$1,Products,0),2)="Cores",IF(HostBuild[Use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4" s="552">
        <f>IFERROR(IF(FIND(EA$1,$W144)&gt;0,IF(INDEX(Product_Pricing_Table[],MATCH(EA$1,Products,0),2)="Cores",IF(HostBuild[Use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4" s="552">
        <f>IFERROR(IF(FIND(EB$1,$W144)&gt;0,IF(INDEX(Product_Pricing_Table[],MATCH(EB$1,Products,0),2)="Cores",IF(HostBuild[Use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4" s="553">
        <f>IFERROR(IF(FIND(EC$1,$W144)&gt;0,IF(INDEX(Product_Pricing_Table[],MATCH(EC$1,Products,0),2)="Cores",IF(HostBuild[Use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4" s="552">
        <f>IFERROR(IF(FIND(ED$1,$W144)&gt;0,IF(INDEX(Product_Pricing_Table[],MATCH(ED$1,Products,0),2)="Cores",IF(HostBuild[Use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4" s="552">
        <f>IFERROR(IF(FIND(EE$1,$W144)&gt;0,IF(INDEX(Product_Pricing_Table[],MATCH(EE$1,Products,0),2)="Cores",IF(HostBuild[Use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4" s="552">
        <f>IFERROR(IF(FIND(EF$1,$W144)&gt;0,IF(INDEX(Product_Pricing_Table[],MATCH(EF$1,Products,0),2)="Cores",IF(HostBuild[Use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4" s="552">
        <f>IFERROR(IF(FIND(EG$1,$W144)&gt;0,IF(INDEX(Product_Pricing_Table[],MATCH(EG$1,Products,0),2)="Cores",IF(HostBuild[Use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4" s="552">
        <f>IFERROR(IF(FIND(EH$1,$W144)&gt;0,IF(INDEX(Product_Pricing_Table[],MATCH(EH$1,Products,0),2)="Cores",IF(HostBuild[Use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4" s="552">
        <f>IFERROR(IF(FIND(EI$1,$W144)&gt;0,IF(INDEX(Product_Pricing_Table[],MATCH(EI$1,Products,0),2)="Cores",IF(HostBuild[Use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4" s="552">
        <f>IFERROR(IF(FIND(EJ$1,$W144)&gt;0,IF(INDEX(Product_Pricing_Table[],MATCH(EJ$1,Products,0),2)="Cores",IF(HostBuild[Use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4" s="553">
        <f>IFERROR(IF(FIND(EK$1,$W144)&gt;0,IF(INDEX(Product_Pricing_Table[],MATCH(EK$1,Products,0),2)="Cores",IF(HostBuild[Use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4" s="554"/>
      <c r="EM144" s="555"/>
      <c r="EN144" s="556"/>
      <c r="EO144"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4"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44" s="558">
        <f>(HostBuild[Archive
Full (GB)]+HostBuild[Archive
Incr (GB)])*Storage_DC_Dist_Tape_2014</f>
        <v>81.385500000000008</v>
      </c>
      <c r="ER144" s="558">
        <f>IF(ISNUMBER(HostBuild[Server HW Costs
(Monthly)]),SUM(HostBuild[[#This Row],[Server HW Costs
(Monthly)]:[Tape Costs
(Monthly)]]),0)</f>
        <v>1334.0455000000002</v>
      </c>
      <c r="ES144" s="559">
        <f>HostBuild[Software Costs
'[Year 1']
(Monthly)]+HostBuild[Total Hardware Costs
(Monthly)]</f>
        <v>1334.0455000000002</v>
      </c>
      <c r="ET144" s="559">
        <f>IFERROR(IF(FIND("Safenet",HostBuild[Server Model]),Safenet_PSE_PL600_Maint,0),0)+IFERROR(IF(FIND("XI52",HostBuild[Server Model]),IBM_DIA_XI52_Maint,0),0)+HostBuild[Software Costs
'[After Year 1']
(Monthly)]+HostBuild[Total Hardware Costs
(Monthly)]</f>
        <v>1334.0455000000002</v>
      </c>
      <c r="EU144" s="560">
        <f>SUM(HostBuild[[#This Row],[Server Cost Breakdown]:[Network Cost]])</f>
        <v>888.7</v>
      </c>
      <c r="EV144" s="561">
        <f>IF(HostBuild[Existing Server?]="Yes - Inside this BoM",0,SUMIF(HostBuild[Alias],HostBuild[Alias],HostBuild[CPU])+SUMIF(HostBuild[Alias],HostBuild[Alias],HostBuild[Existing CPUs]))</f>
        <v>2</v>
      </c>
      <c r="EW144" s="561">
        <f>IF(HostBuild[Existing Server?]="Yes - Inside this BoM",0,SUMIF(HostBuild[Alias],HostBuild[Alias],HostBuild[Cores 
(Licensed Units)])+SUMIF(HostBuild[Alias],HostBuild[Alias],HostBuild[Existing Cores]))</f>
        <v>16</v>
      </c>
      <c r="EX144" s="561">
        <f>IF(HostBuild[Existing Server?]="Yes - Inside this BoM",0,SUMIF(HostBuild[Alias],HostBuild[Alias],HostBuild[RAM 
(GB)])+SUMIF(HostBuild[Alias],HostBuild[Alias],HostBuild[Existing RAM (GB)]))</f>
        <v>128</v>
      </c>
      <c r="EY144"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4"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4"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4"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4" s="560">
        <f>IF(ISBLANK(HostBuild[Server Model]),0,IF(HostBuild[Server Tier]="VMware",0,VLOOKUP(HostBuild[Server Tier],ServerTierRates[#Data],2,0))*HostBuild[CPU]*IF(AND(HostBuild[Server Type]="pSeries",HostBuild[Virtual Platform Storage Type]="Cloud-SAN"),0.25,1))</f>
        <v>608</v>
      </c>
      <c r="FD144" s="560">
        <f>0</f>
        <v>0</v>
      </c>
      <c r="FE144" s="560">
        <f>IF(HostBuild[Server Type]="VMware",HostBuild[RAM 
(GB)]*IF(ISERROR(FIND("DevCloud", HostBuild[Server Model])&gt;0),vRAM_per_vCPU_2014_Monthly,vRAM_per_vCPU_2014_Daily*30),0)</f>
        <v>0</v>
      </c>
      <c r="FF144"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4"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4" s="563">
        <f>IF(HostBuild[Server Tier]="VMware",0,IF(LEFT(HostBuild[Existing Server?],3)="Yes",0,IF(OR(HostBuild[Server Type]="Sun",HostBuild[Server Type]="pSeries"),Support_Direct_Server_Sun_per_OS_2014,IF(HostBuild[Server Type]="x86",Support_Direct_Server_x86_Wintel_per_OS_2014,0))))</f>
        <v>187.1</v>
      </c>
      <c r="FI144"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5" spans="1:165" s="139" customFormat="1" ht="15" customHeight="1">
      <c r="A145" s="360" t="s">
        <v>3942</v>
      </c>
      <c r="B145" s="521"/>
      <c r="C145" s="521"/>
      <c r="D145" s="521"/>
      <c r="E145" s="522"/>
      <c r="F145" s="522"/>
      <c r="G145" s="597"/>
      <c r="H145" s="597"/>
      <c r="I145" s="523"/>
      <c r="J145" s="522"/>
      <c r="K145" s="522"/>
      <c r="L145" s="522"/>
      <c r="M145" s="597" t="e">
        <f ca="1">IF(rngIsDate(HostBuild[CTO Acceptance]),"Y","N")</f>
        <v>#NAME?</v>
      </c>
      <c r="N145" s="361" t="s">
        <v>4102</v>
      </c>
      <c r="O145" s="525"/>
      <c r="P145" s="525"/>
      <c r="Q145" s="361" t="s">
        <v>213</v>
      </c>
      <c r="R145" s="526" t="str">
        <f>IF(NOT(ISBLANK(HostBuild[Env Label])),IFERROR(VLOOKUP(HostBuild[Env Label],tEnv[],3,FALSE),""),"")</f>
        <v>SIT</v>
      </c>
      <c r="S145" s="598"/>
      <c r="T145" s="527"/>
      <c r="U145" s="599"/>
      <c r="V145" s="524" t="s">
        <v>4049</v>
      </c>
      <c r="W145" s="524" t="s">
        <v>4019</v>
      </c>
      <c r="X145" s="524" t="s">
        <v>35</v>
      </c>
      <c r="Y145" s="361" t="s">
        <v>4067</v>
      </c>
      <c r="Z145" s="526" t="str">
        <f>IF(NOT(ISBLANK(HostBuild[[#This Row],[Product 
(Acronym)]])),CONCATENATE(HostBuild[[#This Row],[Type]],"-",HostBuild[[#This Row],[Product 
(Acronym)]]),"")</f>
        <v>AP-CBOL</v>
      </c>
      <c r="AA145" s="600"/>
      <c r="AB145" s="600" t="s">
        <v>105</v>
      </c>
      <c r="AC145" s="528"/>
      <c r="AD145" s="529"/>
      <c r="AE145" s="529"/>
      <c r="AF145" s="530"/>
      <c r="AG145" s="531"/>
      <c r="AH145" s="601"/>
      <c r="AI145" s="362" t="s">
        <v>4074</v>
      </c>
      <c r="AJ145" s="524">
        <f>IF(COUNTIF(HostBuild[Alias],HostBuild[Alias]),1/COUNTIF(HostBuild[Alias],HostBuild[Alias]),0)</f>
        <v>1</v>
      </c>
      <c r="AK145" s="531"/>
      <c r="AL145" s="531"/>
      <c r="AM145" s="532" t="s">
        <v>2173</v>
      </c>
      <c r="AN145" s="533" t="str">
        <f>IF(NOT(ISBLANK(HostBuild[Server Model])),VLOOKUP(HostBuild[Server Model],ServerModelsTier[],2,FALSE),"")</f>
        <v>x86 Tier 3</v>
      </c>
      <c r="AO145" s="533" t="str">
        <f>IF(NOT(ISBLANK(HostBuild[Server Model])),VLOOKUP(HostBuild[Server Model],ServerModelsTier[],5,FALSE),"")</f>
        <v>x86</v>
      </c>
      <c r="AP145" s="532"/>
      <c r="AQ145" s="532" t="s">
        <v>2337</v>
      </c>
      <c r="AR145" s="534">
        <v>2</v>
      </c>
      <c r="AS145" s="602"/>
      <c r="AT145" s="535">
        <v>16</v>
      </c>
      <c r="AU145" s="603" t="str">
        <f>IF(IFERROR(FIND("P-Series",HostBuild[Server Tier]),0),CEILING((HostBuild[Existing CPUs]+HostBuild[CPU])*16,8),"")</f>
        <v/>
      </c>
      <c r="AV145" s="536">
        <v>128</v>
      </c>
      <c r="AW145" s="531"/>
      <c r="AX145" s="531"/>
      <c r="AY145" s="531"/>
      <c r="AZ145" s="537"/>
      <c r="BA145" s="531"/>
      <c r="BB145" s="531"/>
      <c r="BC145" s="529"/>
      <c r="BD145" s="531"/>
      <c r="BE145" s="531"/>
      <c r="BF145" s="531"/>
      <c r="BG145" s="531"/>
      <c r="BH145" s="531"/>
      <c r="BI145" s="531"/>
      <c r="BJ145" s="531"/>
      <c r="BK145"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5" s="538">
        <v>600</v>
      </c>
      <c r="BM145" s="540">
        <f>IF(ISNUMBER(HostBuild[Recommended SAN (GB)]),HostBuild[Recommended SAN (GB)])+IF(HostBuild[Additional SAN (GB)]&gt;0,CEILING(HostBuild[Additional SAN (GB)],LUN),-(CEILING(-HostBuild[Additional SAN (GB)],LUN)))</f>
        <v>808.80000000000007</v>
      </c>
      <c r="BN145" s="539"/>
      <c r="BO145" s="540">
        <f>HostBuild[SAN (GB)
NEEDED TODAY]+CEILING(HostBuild[SAN (GB)
RESERVED
DO NOT USE TO BUILD], LUN)</f>
        <v>808.80000000000007</v>
      </c>
      <c r="BP145" s="541"/>
      <c r="BQ145" s="542"/>
      <c r="BR145" s="432"/>
      <c r="BS145" s="605">
        <f>IF(HostBuild[Existing Server?]&lt;&gt;"Yes - Inside this BoM",IF(ISNUMBER(HostBuild[RAM 
(GB)]),IF(HostBuild[Existing RAM (GB)]+HostBuild[RAM 
(GB)]&gt;0,IF(HostBuild[Virtual Platform Storage Type]="NAS",110+HostBuild[Existing RAM (GB)]+HostBuild[RAM 
(GB)]*1.75,0),0),0),0)</f>
        <v>0</v>
      </c>
      <c r="BT145" s="606"/>
      <c r="BU145" s="607">
        <f>IF(ISNUMBER(HostBuild[Recommended NAS (GB)]),HostBuild[Recommended NAS (GB)])+HostBuild[Additional NAS (GB)]</f>
        <v>0</v>
      </c>
      <c r="BV145" s="543"/>
      <c r="BW145" s="543"/>
      <c r="BX145" s="604">
        <f>IFERROR((HostBuild[SAN (GB)
End-State
DO NOT USE TO BUILD]+HostBuild[SAN (GB) Shared])*25%,"")</f>
        <v>202.20000000000002</v>
      </c>
      <c r="BY145" s="608">
        <f>IFERROR(HostBuild[Archive
Full (GB)]*15%,"")</f>
        <v>30.330000000000002</v>
      </c>
      <c r="BZ145" s="544"/>
      <c r="CA145" s="544"/>
      <c r="CB145" s="545"/>
      <c r="CC145" s="546"/>
      <c r="CD145" s="545"/>
      <c r="CE145" s="547"/>
      <c r="CF145" s="539"/>
      <c r="CG145" s="609"/>
      <c r="CH145" s="548"/>
      <c r="CI145" s="549"/>
      <c r="CJ145" s="550"/>
      <c r="CK145" s="551"/>
      <c r="CL145" s="552">
        <f>IFERROR(IF(FIND(CL$1,$W145)&gt;0,IF(INDEX(Product_Pricing_Table[],MATCH(CL$1,Products,0),2)="Cores",IF(HostBuild[Use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5" s="552">
        <f>IFERROR(IF(FIND(CM$1,$W145)&gt;0,IF(INDEX(Product_Pricing_Table[],MATCH(CM$1,Products,0),2)="Cores",IF(HostBuild[Use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5" s="552">
        <f>IFERROR(IF(FIND(CN$1,$W145)&gt;0,IF(INDEX(Product_Pricing_Table[],MATCH(CN$1,Products,0),2)="Cores",IF(HostBuild[Use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5" s="552">
        <f>IFERROR(IF(FIND(CO$1,$W145)&gt;0,IF(INDEX(Product_Pricing_Table[],MATCH(CO$1,Products,0),2)="Cores",IF(HostBuild[Use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5" s="552">
        <f>IFERROR(IF(FIND(CP$1,$W145)&gt;0,IF(INDEX(Product_Pricing_Table[],MATCH(CP$1,Products,0),2)="Cores",IF(HostBuild[Use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5" s="552">
        <f>IFERROR(IF(FIND(CQ$1,$W145)&gt;0,IF(INDEX(Product_Pricing_Table[],MATCH(CQ$1,Products,0),2)="Cores",IF(HostBuild[Use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5" s="552">
        <f>IFERROR(IF(FIND(CR$1,$W145)&gt;0,IF(INDEX(Product_Pricing_Table[],MATCH(CR$1,Products,0),2)="Cores",IF(HostBuild[Use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5" s="552">
        <f>IFERROR(IF(FIND(CS$1,$W145)&gt;0,IF(INDEX(Product_Pricing_Table[],MATCH(CS$1,Products,0),2)="Cores",IF(HostBuild[Use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5" s="552">
        <f>IFERROR(IF(FIND(CT$1,$W145)&gt;0,IF(INDEX(Product_Pricing_Table[],MATCH(CT$1,Products,0),2)="Cores",IF(HostBuild[Use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5" s="552">
        <f>IFERROR(IF(FIND(CU$1,$W145)&gt;0,IF(INDEX(Product_Pricing_Table[],MATCH(CU$1,Products,0),2)="Cores",IF(HostBuild[Use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45" s="552">
        <f>IFERROR(IF(FIND(CV$1,$W145)&gt;0,IF(INDEX(Product_Pricing_Table[],MATCH(CV$1,Products,0),2)="Cores",IF(HostBuild[Use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5" s="552">
        <f>IFERROR(IF(FIND(CW$1,$W145)&gt;0,IF(INDEX(Product_Pricing_Table[],MATCH(CW$1,Products,0),2)="Cores",IF(HostBuild[Use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5" s="552">
        <f>IFERROR(IF(FIND(CX$1,$W145)&gt;0,IF(INDEX(Product_Pricing_Table[],MATCH(CX$1,Products,0),2)="Cores",IF(HostBuild[Use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45" s="552">
        <f>IFERROR(IF(FIND(CY$1,$W145)&gt;0,IF(INDEX(Product_Pricing_Table[],MATCH(CY$1,Products,0),2)="Cores",IF(HostBuild[Use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5" s="552">
        <f>IFERROR(IF(FIND(CZ$1,$W145)&gt;0,IF(INDEX(Product_Pricing_Table[],MATCH(CZ$1,Products,0),2)="Cores",IF(HostBuild[Use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5" s="552">
        <f>IFERROR(IF(FIND(DA$1,$W145)&gt;0,IF(INDEX(Product_Pricing_Table[],MATCH(DA$1,Products,0),2)="Cores",IF(HostBuild[Use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5" s="552">
        <f>IFERROR(IF(FIND(DB$1,$W145)&gt;0,IF(INDEX(Product_Pricing_Table[],MATCH(DB$1,Products,0),2)="Cores",IF(HostBuild[Use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5" s="552">
        <f>IFERROR(IF(FIND(DC$1,$W145)&gt;0,IF(INDEX(Product_Pricing_Table[],MATCH(DC$1,Products,0),2)="Cores",IF(HostBuild[Use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5" s="552">
        <f>IFERROR(IF(FIND(DD$1,$W145)&gt;0,IF(INDEX(Product_Pricing_Table[],MATCH(DD$1,Products,0),2)="Cores",IF(HostBuild[Use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5" s="552">
        <f>IFERROR(IF(FIND(DE$1,$W145)&gt;0,IF(INDEX(Product_Pricing_Table[],MATCH(DE$1,Products,0),2)="Cores",IF(HostBuild[Use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5" s="553">
        <f>IFERROR(IF(FIND(DF$1,$W145)&gt;0,IF(INDEX(Product_Pricing_Table[],MATCH(DF$1,Products,0),2)="Cores",IF(HostBuild[Use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5" s="553">
        <f>IFERROR(IF(FIND(DG$1,$W145)&gt;0,IF(INDEX(Product_Pricing_Table[],MATCH(DG$1,Products,0),2)="Cores",IF(HostBuild[Use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5" s="552">
        <f>IFERROR(IF(FIND(DH$1,$W145)&gt;0,IF(INDEX(Product_Pricing_Table[],MATCH(DH$1,Products,0),2)="Cores",IF(HostBuild[Use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5" s="553">
        <f>IFERROR(IF(FIND(DI$1,$W145)&gt;0,IF(INDEX(Product_Pricing_Table[],MATCH(DI$1,Products,0),2)="Cores",IF(HostBuild[Use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5" s="552">
        <f>IFERROR(IF(FIND(DJ$1,$W145)&gt;0,IF(INDEX(Product_Pricing_Table[],MATCH(DJ$1,Products,0),2)="Cores",IF(HostBuild[Use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5" s="552">
        <f>IFERROR(IF(FIND(DK$1,$W145)&gt;0,IF(INDEX(Product_Pricing_Table[],MATCH(DK$1,Products,0),2)="Cores",IF(HostBuild[Use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5" s="552">
        <f>IFERROR(IF(FIND(DL$1,$W145)&gt;0,IF(INDEX(Product_Pricing_Table[],MATCH(DL$1,Products,0),2)="Cores",IF(HostBuild[Use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5" s="552">
        <f>IFERROR(IF(FIND(DM$1,$W145)&gt;0,IF(INDEX(Product_Pricing_Table[],MATCH(DM$1,Products,0),2)="Cores",IF(HostBuild[Use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5" s="552">
        <f>IFERROR(IF(FIND(DN$1,$W145)&gt;0,IF(INDEX(Product_Pricing_Table[],MATCH(DN$1,Products,0),2)="Cores",IF(HostBuild[Use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5" s="552">
        <f>IFERROR(IF(FIND(DO$1,$W145)&gt;0,IF(INDEX(Product_Pricing_Table[],MATCH(DO$1,Products,0),2)="Cores",IF(HostBuild[Use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5" s="552">
        <f>IFERROR(IF(FIND(DP$1,$W145)&gt;0,IF(INDEX(Product_Pricing_Table[],MATCH(DP$1,Products,0),2)="Cores",IF(HostBuild[Use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5" s="552">
        <f>IFERROR(IF(FIND(DQ$1,$W145)&gt;0,IF(INDEX(Product_Pricing_Table[],MATCH(DQ$1,Products,0),2)="Cores",IF(HostBuild[Use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5" s="552">
        <f>IFERROR(IF(FIND(DR$1,$W145)&gt;0,IF(INDEX(Product_Pricing_Table[],MATCH(DR$1,Products,0),2)="Cores",IF(HostBuild[Use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5" s="552">
        <f>IFERROR(IF(FIND(DS$1,$W145)&gt;0,IF(INDEX(Product_Pricing_Table[],MATCH(DS$1,Products,0),2)="Cores",IF(HostBuild[Use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5" s="552">
        <f>IFERROR(IF(FIND(DT$1,$W145)&gt;0,IF(INDEX(Product_Pricing_Table[],MATCH(DT$1,Products,0),2)="Cores",IF(HostBuild[Use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5" s="552">
        <f>IFERROR(IF(FIND(DU$1,$W145)&gt;0,IF(INDEX(Product_Pricing_Table[],MATCH(DU$1,Products,0),2)="Cores",IF(HostBuild[Use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5" s="552">
        <f>IFERROR(IF(FIND(DV$1,$W145)&gt;0,IF(INDEX(Product_Pricing_Table[],MATCH(DV$1,Products,0),2)="Cores",IF(HostBuild[Use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5" s="552">
        <f>IFERROR(IF(FIND(DW$1,$W145)&gt;0,IF(INDEX(Product_Pricing_Table[],MATCH(DW$1,Products,0),2)="Cores",IF(HostBuild[Use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5" s="552">
        <f>IFERROR(IF(FIND(DX$1,$W145)&gt;0,IF(INDEX(Product_Pricing_Table[],MATCH(DX$1,Products,0),2)="Cores",IF(HostBuild[Use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5" s="552">
        <f>IFERROR(IF(FIND(DY$1,$W145)&gt;0,IF(INDEX(Product_Pricing_Table[],MATCH(DY$1,Products,0),2)="Cores",IF(HostBuild[Use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5" s="552">
        <f>IFERROR(IF(FIND(DZ$1,$W145)&gt;0,IF(INDEX(Product_Pricing_Table[],MATCH(DZ$1,Products,0),2)="Cores",IF(HostBuild[Use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5" s="552">
        <f>IFERROR(IF(FIND(EA$1,$W145)&gt;0,IF(INDEX(Product_Pricing_Table[],MATCH(EA$1,Products,0),2)="Cores",IF(HostBuild[Use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5" s="552">
        <f>IFERROR(IF(FIND(EB$1,$W145)&gt;0,IF(INDEX(Product_Pricing_Table[],MATCH(EB$1,Products,0),2)="Cores",IF(HostBuild[Use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5" s="553">
        <f>IFERROR(IF(FIND(EC$1,$W145)&gt;0,IF(INDEX(Product_Pricing_Table[],MATCH(EC$1,Products,0),2)="Cores",IF(HostBuild[Use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5" s="552">
        <f>IFERROR(IF(FIND(ED$1,$W145)&gt;0,IF(INDEX(Product_Pricing_Table[],MATCH(ED$1,Products,0),2)="Cores",IF(HostBuild[Use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5" s="552">
        <f>IFERROR(IF(FIND(EE$1,$W145)&gt;0,IF(INDEX(Product_Pricing_Table[],MATCH(EE$1,Products,0),2)="Cores",IF(HostBuild[Use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5" s="552">
        <f>IFERROR(IF(FIND(EF$1,$W145)&gt;0,IF(INDEX(Product_Pricing_Table[],MATCH(EF$1,Products,0),2)="Cores",IF(HostBuild[Use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5" s="552">
        <f>IFERROR(IF(FIND(EG$1,$W145)&gt;0,IF(INDEX(Product_Pricing_Table[],MATCH(EG$1,Products,0),2)="Cores",IF(HostBuild[Use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5" s="552">
        <f>IFERROR(IF(FIND(EH$1,$W145)&gt;0,IF(INDEX(Product_Pricing_Table[],MATCH(EH$1,Products,0),2)="Cores",IF(HostBuild[Use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5" s="552">
        <f>IFERROR(IF(FIND(EI$1,$W145)&gt;0,IF(INDEX(Product_Pricing_Table[],MATCH(EI$1,Products,0),2)="Cores",IF(HostBuild[Use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5" s="552">
        <f>IFERROR(IF(FIND(EJ$1,$W145)&gt;0,IF(INDEX(Product_Pricing_Table[],MATCH(EJ$1,Products,0),2)="Cores",IF(HostBuild[Use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5" s="553">
        <f>IFERROR(IF(FIND(EK$1,$W145)&gt;0,IF(INDEX(Product_Pricing_Table[],MATCH(EK$1,Products,0),2)="Cores",IF(HostBuild[Use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5" s="554"/>
      <c r="EM145" s="555"/>
      <c r="EN145" s="556"/>
      <c r="EO145"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5"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363.96000000000004</v>
      </c>
      <c r="EQ145" s="558">
        <f>(HostBuild[Archive
Full (GB)]+HostBuild[Archive
Incr (GB)])*Storage_DC_Dist_Tape_2014</f>
        <v>81.385500000000008</v>
      </c>
      <c r="ER145" s="558">
        <f>IF(ISNUMBER(HostBuild[Server HW Costs
(Monthly)]),SUM(HostBuild[[#This Row],[Server HW Costs
(Monthly)]:[Tape Costs
(Monthly)]]),0)</f>
        <v>1334.0455000000002</v>
      </c>
      <c r="ES145" s="559">
        <f>HostBuild[Software Costs
'[Year 1']
(Monthly)]+HostBuild[Total Hardware Costs
(Monthly)]</f>
        <v>1334.0455000000002</v>
      </c>
      <c r="ET145" s="559">
        <f>IFERROR(IF(FIND("Safenet",HostBuild[Server Model]),Safenet_PSE_PL600_Maint,0),0)+IFERROR(IF(FIND("XI52",HostBuild[Server Model]),IBM_DIA_XI52_Maint,0),0)+HostBuild[Software Costs
'[After Year 1']
(Monthly)]+HostBuild[Total Hardware Costs
(Monthly)]</f>
        <v>1334.0455000000002</v>
      </c>
      <c r="EU145" s="560">
        <f>SUM(HostBuild[[#This Row],[Server Cost Breakdown]:[Network Cost]])</f>
        <v>888.7</v>
      </c>
      <c r="EV145" s="561">
        <f>IF(HostBuild[Existing Server?]="Yes - Inside this BoM",0,SUMIF(HostBuild[Alias],HostBuild[Alias],HostBuild[CPU])+SUMIF(HostBuild[Alias],HostBuild[Alias],HostBuild[Existing CPUs]))</f>
        <v>2</v>
      </c>
      <c r="EW145" s="561">
        <f>IF(HostBuild[Existing Server?]="Yes - Inside this BoM",0,SUMIF(HostBuild[Alias],HostBuild[Alias],HostBuild[Cores 
(Licensed Units)])+SUMIF(HostBuild[Alias],HostBuild[Alias],HostBuild[Existing Cores]))</f>
        <v>16</v>
      </c>
      <c r="EX145" s="561">
        <f>IF(HostBuild[Existing Server?]="Yes - Inside this BoM",0,SUMIF(HostBuild[Alias],HostBuild[Alias],HostBuild[RAM 
(GB)])+SUMIF(HostBuild[Alias],HostBuild[Alias],HostBuild[Existing RAM (GB)]))</f>
        <v>128</v>
      </c>
      <c r="EY145"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5"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5"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5"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5" s="560">
        <f>IF(ISBLANK(HostBuild[Server Model]),0,IF(HostBuild[Server Tier]="VMware",0,VLOOKUP(HostBuild[Server Tier],ServerTierRates[#Data],2,0))*HostBuild[CPU]*IF(AND(HostBuild[Server Type]="pSeries",HostBuild[Virtual Platform Storage Type]="Cloud-SAN"),0.25,1))</f>
        <v>608</v>
      </c>
      <c r="FD145" s="560">
        <f>0</f>
        <v>0</v>
      </c>
      <c r="FE145" s="560">
        <f>IF(HostBuild[Server Type]="VMware",HostBuild[RAM 
(GB)]*IF(ISERROR(FIND("DevCloud", HostBuild[Server Model])&gt;0),vRAM_per_vCPU_2014_Monthly,vRAM_per_vCPU_2014_Daily*30),0)</f>
        <v>0</v>
      </c>
      <c r="FF145"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5"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5" s="563">
        <f>IF(HostBuild[Server Tier]="VMware",0,IF(LEFT(HostBuild[Existing Server?],3)="Yes",0,IF(OR(HostBuild[Server Type]="Sun",HostBuild[Server Type]="pSeries"),Support_Direct_Server_Sun_per_OS_2014,IF(HostBuild[Server Type]="x86",Support_Direct_Server_x86_Wintel_per_OS_2014,0))))</f>
        <v>187.1</v>
      </c>
      <c r="FI145"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6" spans="1:165" s="139" customFormat="1" ht="15" customHeight="1">
      <c r="A146" s="360" t="s">
        <v>3942</v>
      </c>
      <c r="B146" s="521"/>
      <c r="C146" s="521"/>
      <c r="D146" s="521"/>
      <c r="E146" s="522"/>
      <c r="F146" s="522"/>
      <c r="G146" s="597"/>
      <c r="H146" s="597"/>
      <c r="I146" s="523"/>
      <c r="J146" s="522"/>
      <c r="K146" s="522"/>
      <c r="L146" s="522"/>
      <c r="M146" s="597" t="e">
        <f ca="1">IF(rngIsDate(HostBuild[CTO Acceptance]),"Y","N")</f>
        <v>#NAME?</v>
      </c>
      <c r="N146" s="361" t="s">
        <v>4102</v>
      </c>
      <c r="O146" s="525"/>
      <c r="P146" s="525"/>
      <c r="Q146" s="361" t="s">
        <v>25</v>
      </c>
      <c r="R146" s="526" t="str">
        <f>IF(NOT(ISBLANK(HostBuild[Env Label])),IFERROR(VLOOKUP(HostBuild[Env Label],tEnv[],3,FALSE),""),"")</f>
        <v>DIT</v>
      </c>
      <c r="S146" s="598"/>
      <c r="T146" s="527"/>
      <c r="U146" s="599"/>
      <c r="V146" s="524" t="s">
        <v>4048</v>
      </c>
      <c r="W146" s="524" t="s">
        <v>4019</v>
      </c>
      <c r="X146" s="524" t="s">
        <v>35</v>
      </c>
      <c r="Y146" s="361" t="s">
        <v>4067</v>
      </c>
      <c r="Z146" s="526" t="str">
        <f>IF(NOT(ISBLANK(HostBuild[[#This Row],[Product 
(Acronym)]])),CONCATENATE(HostBuild[[#This Row],[Type]],"-",HostBuild[[#This Row],[Product 
(Acronym)]]),"")</f>
        <v>AP-CBOL</v>
      </c>
      <c r="AA146" s="600"/>
      <c r="AB146" s="600" t="s">
        <v>105</v>
      </c>
      <c r="AC146" s="528"/>
      <c r="AD146" s="529"/>
      <c r="AE146" s="529"/>
      <c r="AF146" s="530"/>
      <c r="AG146" s="531"/>
      <c r="AH146" s="601"/>
      <c r="AI146" s="362" t="s">
        <v>4075</v>
      </c>
      <c r="AJ146" s="524">
        <f>IF(COUNTIF(HostBuild[Alias],HostBuild[Alias]),1/COUNTIF(HostBuild[Alias],HostBuild[Alias]),0)</f>
        <v>1</v>
      </c>
      <c r="AK146" s="531"/>
      <c r="AL146" s="531"/>
      <c r="AM146" s="532" t="s">
        <v>2173</v>
      </c>
      <c r="AN146" s="533" t="str">
        <f>IF(NOT(ISBLANK(HostBuild[Server Model])),VLOOKUP(HostBuild[Server Model],ServerModelsTier[],2,FALSE),"")</f>
        <v>x86 Tier 3</v>
      </c>
      <c r="AO146" s="533" t="str">
        <f>IF(NOT(ISBLANK(HostBuild[Server Model])),VLOOKUP(HostBuild[Server Model],ServerModelsTier[],5,FALSE),"")</f>
        <v>x86</v>
      </c>
      <c r="AP146" s="532"/>
      <c r="AQ146" s="532" t="s">
        <v>2337</v>
      </c>
      <c r="AR146" s="534">
        <v>2</v>
      </c>
      <c r="AS146" s="602"/>
      <c r="AT146" s="535">
        <v>16</v>
      </c>
      <c r="AU146" s="603" t="str">
        <f>IF(IFERROR(FIND("P-Series",HostBuild[Server Tier]),0),CEILING((HostBuild[Existing CPUs]+HostBuild[CPU])*16,8),"")</f>
        <v/>
      </c>
      <c r="AV146" s="536">
        <v>128</v>
      </c>
      <c r="AW146" s="531"/>
      <c r="AX146" s="531"/>
      <c r="AY146" s="531"/>
      <c r="AZ146" s="537"/>
      <c r="BA146" s="531"/>
      <c r="BB146" s="531"/>
      <c r="BC146" s="529"/>
      <c r="BD146" s="531"/>
      <c r="BE146" s="531"/>
      <c r="BF146" s="531"/>
      <c r="BG146" s="531"/>
      <c r="BH146" s="531"/>
      <c r="BI146" s="531"/>
      <c r="BJ146" s="531"/>
      <c r="BK146"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6" s="538">
        <v>800</v>
      </c>
      <c r="BM146" s="540">
        <f>IF(ISNUMBER(HostBuild[Recommended SAN (GB)]),HostBuild[Recommended SAN (GB)])+IF(HostBuild[Additional SAN (GB)]&gt;0,CEILING(HostBuild[Additional SAN (GB)],LUN),-(CEILING(-HostBuild[Additional SAN (GB)],LUN)))</f>
        <v>1011.0000000000001</v>
      </c>
      <c r="BN146" s="539"/>
      <c r="BO146" s="540">
        <f>HostBuild[SAN (GB)
NEEDED TODAY]+CEILING(HostBuild[SAN (GB)
RESERVED
DO NOT USE TO BUILD], LUN)</f>
        <v>1011.0000000000001</v>
      </c>
      <c r="BP146" s="541"/>
      <c r="BQ146" s="542"/>
      <c r="BR146" s="432"/>
      <c r="BS146" s="605">
        <f>IF(HostBuild[Existing Server?]&lt;&gt;"Yes - Inside this BoM",IF(ISNUMBER(HostBuild[RAM 
(GB)]),IF(HostBuild[Existing RAM (GB)]+HostBuild[RAM 
(GB)]&gt;0,IF(HostBuild[Virtual Platform Storage Type]="NAS",110+HostBuild[Existing RAM (GB)]+HostBuild[RAM 
(GB)]*1.75,0),0),0),0)</f>
        <v>0</v>
      </c>
      <c r="BT146" s="606"/>
      <c r="BU146" s="607">
        <f>IF(ISNUMBER(HostBuild[Recommended NAS (GB)]),HostBuild[Recommended NAS (GB)])+HostBuild[Additional NAS (GB)]</f>
        <v>0</v>
      </c>
      <c r="BV146" s="543"/>
      <c r="BW146" s="543"/>
      <c r="BX146" s="604">
        <f>IFERROR((HostBuild[SAN (GB)
End-State
DO NOT USE TO BUILD]+HostBuild[SAN (GB) Shared])*25%,"")</f>
        <v>252.75000000000003</v>
      </c>
      <c r="BY146" s="608">
        <f>IFERROR(HostBuild[Archive
Full (GB)]*15%,"")</f>
        <v>37.912500000000001</v>
      </c>
      <c r="BZ146" s="544"/>
      <c r="CA146" s="544"/>
      <c r="CB146" s="545"/>
      <c r="CC146" s="546"/>
      <c r="CD146" s="545"/>
      <c r="CE146" s="547"/>
      <c r="CF146" s="539"/>
      <c r="CG146" s="609"/>
      <c r="CH146" s="548"/>
      <c r="CI146" s="549"/>
      <c r="CJ146" s="550"/>
      <c r="CK146" s="551"/>
      <c r="CL146" s="552">
        <f>IFERROR(IF(FIND(CL$1,$W146)&gt;0,IF(INDEX(Product_Pricing_Table[],MATCH(CL$1,Products,0),2)="Cores",IF(HostBuild[Use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6" s="552">
        <f>IFERROR(IF(FIND(CM$1,$W146)&gt;0,IF(INDEX(Product_Pricing_Table[],MATCH(CM$1,Products,0),2)="Cores",IF(HostBuild[Use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6" s="552">
        <f>IFERROR(IF(FIND(CN$1,$W146)&gt;0,IF(INDEX(Product_Pricing_Table[],MATCH(CN$1,Products,0),2)="Cores",IF(HostBuild[Use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6" s="552">
        <f>IFERROR(IF(FIND(CO$1,$W146)&gt;0,IF(INDEX(Product_Pricing_Table[],MATCH(CO$1,Products,0),2)="Cores",IF(HostBuild[Use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6" s="552">
        <f>IFERROR(IF(FIND(CP$1,$W146)&gt;0,IF(INDEX(Product_Pricing_Table[],MATCH(CP$1,Products,0),2)="Cores",IF(HostBuild[Use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6" s="552">
        <f>IFERROR(IF(FIND(CQ$1,$W146)&gt;0,IF(INDEX(Product_Pricing_Table[],MATCH(CQ$1,Products,0),2)="Cores",IF(HostBuild[Use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6" s="552">
        <f>IFERROR(IF(FIND(CR$1,$W146)&gt;0,IF(INDEX(Product_Pricing_Table[],MATCH(CR$1,Products,0),2)="Cores",IF(HostBuild[Use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6" s="552">
        <f>IFERROR(IF(FIND(CS$1,$W146)&gt;0,IF(INDEX(Product_Pricing_Table[],MATCH(CS$1,Products,0),2)="Cores",IF(HostBuild[Use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6" s="552">
        <f>IFERROR(IF(FIND(CT$1,$W146)&gt;0,IF(INDEX(Product_Pricing_Table[],MATCH(CT$1,Products,0),2)="Cores",IF(HostBuild[Use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6" s="552">
        <f>IFERROR(IF(FIND(CU$1,$W146)&gt;0,IF(INDEX(Product_Pricing_Table[],MATCH(CU$1,Products,0),2)="Cores",IF(HostBuild[Use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46" s="552">
        <f>IFERROR(IF(FIND(CV$1,$W146)&gt;0,IF(INDEX(Product_Pricing_Table[],MATCH(CV$1,Products,0),2)="Cores",IF(HostBuild[Use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6" s="552">
        <f>IFERROR(IF(FIND(CW$1,$W146)&gt;0,IF(INDEX(Product_Pricing_Table[],MATCH(CW$1,Products,0),2)="Cores",IF(HostBuild[Use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6" s="552">
        <f>IFERROR(IF(FIND(CX$1,$W146)&gt;0,IF(INDEX(Product_Pricing_Table[],MATCH(CX$1,Products,0),2)="Cores",IF(HostBuild[Use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46" s="552">
        <f>IFERROR(IF(FIND(CY$1,$W146)&gt;0,IF(INDEX(Product_Pricing_Table[],MATCH(CY$1,Products,0),2)="Cores",IF(HostBuild[Use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6" s="552">
        <f>IFERROR(IF(FIND(CZ$1,$W146)&gt;0,IF(INDEX(Product_Pricing_Table[],MATCH(CZ$1,Products,0),2)="Cores",IF(HostBuild[Use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6" s="552">
        <f>IFERROR(IF(FIND(DA$1,$W146)&gt;0,IF(INDEX(Product_Pricing_Table[],MATCH(DA$1,Products,0),2)="Cores",IF(HostBuild[Use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6" s="552">
        <f>IFERROR(IF(FIND(DB$1,$W146)&gt;0,IF(INDEX(Product_Pricing_Table[],MATCH(DB$1,Products,0),2)="Cores",IF(HostBuild[Use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6" s="552">
        <f>IFERROR(IF(FIND(DC$1,$W146)&gt;0,IF(INDEX(Product_Pricing_Table[],MATCH(DC$1,Products,0),2)="Cores",IF(HostBuild[Use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6" s="552">
        <f>IFERROR(IF(FIND(DD$1,$W146)&gt;0,IF(INDEX(Product_Pricing_Table[],MATCH(DD$1,Products,0),2)="Cores",IF(HostBuild[Use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6" s="552">
        <f>IFERROR(IF(FIND(DE$1,$W146)&gt;0,IF(INDEX(Product_Pricing_Table[],MATCH(DE$1,Products,0),2)="Cores",IF(HostBuild[Use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6" s="553">
        <f>IFERROR(IF(FIND(DF$1,$W146)&gt;0,IF(INDEX(Product_Pricing_Table[],MATCH(DF$1,Products,0),2)="Cores",IF(HostBuild[Use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6" s="553">
        <f>IFERROR(IF(FIND(DG$1,$W146)&gt;0,IF(INDEX(Product_Pricing_Table[],MATCH(DG$1,Products,0),2)="Cores",IF(HostBuild[Use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6" s="552">
        <f>IFERROR(IF(FIND(DH$1,$W146)&gt;0,IF(INDEX(Product_Pricing_Table[],MATCH(DH$1,Products,0),2)="Cores",IF(HostBuild[Use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6" s="553">
        <f>IFERROR(IF(FIND(DI$1,$W146)&gt;0,IF(INDEX(Product_Pricing_Table[],MATCH(DI$1,Products,0),2)="Cores",IF(HostBuild[Use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6" s="552">
        <f>IFERROR(IF(FIND(DJ$1,$W146)&gt;0,IF(INDEX(Product_Pricing_Table[],MATCH(DJ$1,Products,0),2)="Cores",IF(HostBuild[Use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6" s="552">
        <f>IFERROR(IF(FIND(DK$1,$W146)&gt;0,IF(INDEX(Product_Pricing_Table[],MATCH(DK$1,Products,0),2)="Cores",IF(HostBuild[Use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6" s="552">
        <f>IFERROR(IF(FIND(DL$1,$W146)&gt;0,IF(INDEX(Product_Pricing_Table[],MATCH(DL$1,Products,0),2)="Cores",IF(HostBuild[Use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6" s="552">
        <f>IFERROR(IF(FIND(DM$1,$W146)&gt;0,IF(INDEX(Product_Pricing_Table[],MATCH(DM$1,Products,0),2)="Cores",IF(HostBuild[Use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6" s="552">
        <f>IFERROR(IF(FIND(DN$1,$W146)&gt;0,IF(INDEX(Product_Pricing_Table[],MATCH(DN$1,Products,0),2)="Cores",IF(HostBuild[Use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6" s="552">
        <f>IFERROR(IF(FIND(DO$1,$W146)&gt;0,IF(INDEX(Product_Pricing_Table[],MATCH(DO$1,Products,0),2)="Cores",IF(HostBuild[Use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6" s="552">
        <f>IFERROR(IF(FIND(DP$1,$W146)&gt;0,IF(INDEX(Product_Pricing_Table[],MATCH(DP$1,Products,0),2)="Cores",IF(HostBuild[Use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6" s="552">
        <f>IFERROR(IF(FIND(DQ$1,$W146)&gt;0,IF(INDEX(Product_Pricing_Table[],MATCH(DQ$1,Products,0),2)="Cores",IF(HostBuild[Use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6" s="552">
        <f>IFERROR(IF(FIND(DR$1,$W146)&gt;0,IF(INDEX(Product_Pricing_Table[],MATCH(DR$1,Products,0),2)="Cores",IF(HostBuild[Use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6" s="552">
        <f>IFERROR(IF(FIND(DS$1,$W146)&gt;0,IF(INDEX(Product_Pricing_Table[],MATCH(DS$1,Products,0),2)="Cores",IF(HostBuild[Use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6" s="552">
        <f>IFERROR(IF(FIND(DT$1,$W146)&gt;0,IF(INDEX(Product_Pricing_Table[],MATCH(DT$1,Products,0),2)="Cores",IF(HostBuild[Use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6" s="552">
        <f>IFERROR(IF(FIND(DU$1,$W146)&gt;0,IF(INDEX(Product_Pricing_Table[],MATCH(DU$1,Products,0),2)="Cores",IF(HostBuild[Use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6" s="552">
        <f>IFERROR(IF(FIND(DV$1,$W146)&gt;0,IF(INDEX(Product_Pricing_Table[],MATCH(DV$1,Products,0),2)="Cores",IF(HostBuild[Use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6" s="552">
        <f>IFERROR(IF(FIND(DW$1,$W146)&gt;0,IF(INDEX(Product_Pricing_Table[],MATCH(DW$1,Products,0),2)="Cores",IF(HostBuild[Use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6" s="552">
        <f>IFERROR(IF(FIND(DX$1,$W146)&gt;0,IF(INDEX(Product_Pricing_Table[],MATCH(DX$1,Products,0),2)="Cores",IF(HostBuild[Use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6" s="552">
        <f>IFERROR(IF(FIND(DY$1,$W146)&gt;0,IF(INDEX(Product_Pricing_Table[],MATCH(DY$1,Products,0),2)="Cores",IF(HostBuild[Use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6" s="552">
        <f>IFERROR(IF(FIND(DZ$1,$W146)&gt;0,IF(INDEX(Product_Pricing_Table[],MATCH(DZ$1,Products,0),2)="Cores",IF(HostBuild[Use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6" s="552">
        <f>IFERROR(IF(FIND(EA$1,$W146)&gt;0,IF(INDEX(Product_Pricing_Table[],MATCH(EA$1,Products,0),2)="Cores",IF(HostBuild[Use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6" s="552">
        <f>IFERROR(IF(FIND(EB$1,$W146)&gt;0,IF(INDEX(Product_Pricing_Table[],MATCH(EB$1,Products,0),2)="Cores",IF(HostBuild[Use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6" s="553">
        <f>IFERROR(IF(FIND(EC$1,$W146)&gt;0,IF(INDEX(Product_Pricing_Table[],MATCH(EC$1,Products,0),2)="Cores",IF(HostBuild[Use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6" s="552">
        <f>IFERROR(IF(FIND(ED$1,$W146)&gt;0,IF(INDEX(Product_Pricing_Table[],MATCH(ED$1,Products,0),2)="Cores",IF(HostBuild[Use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6" s="552">
        <f>IFERROR(IF(FIND(EE$1,$W146)&gt;0,IF(INDEX(Product_Pricing_Table[],MATCH(EE$1,Products,0),2)="Cores",IF(HostBuild[Use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6" s="552">
        <f>IFERROR(IF(FIND(EF$1,$W146)&gt;0,IF(INDEX(Product_Pricing_Table[],MATCH(EF$1,Products,0),2)="Cores",IF(HostBuild[Use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6" s="552">
        <f>IFERROR(IF(FIND(EG$1,$W146)&gt;0,IF(INDEX(Product_Pricing_Table[],MATCH(EG$1,Products,0),2)="Cores",IF(HostBuild[Use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6" s="552">
        <f>IFERROR(IF(FIND(EH$1,$W146)&gt;0,IF(INDEX(Product_Pricing_Table[],MATCH(EH$1,Products,0),2)="Cores",IF(HostBuild[Use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6" s="552">
        <f>IFERROR(IF(FIND(EI$1,$W146)&gt;0,IF(INDEX(Product_Pricing_Table[],MATCH(EI$1,Products,0),2)="Cores",IF(HostBuild[Use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6" s="552">
        <f>IFERROR(IF(FIND(EJ$1,$W146)&gt;0,IF(INDEX(Product_Pricing_Table[],MATCH(EJ$1,Products,0),2)="Cores",IF(HostBuild[Use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6" s="553">
        <f>IFERROR(IF(FIND(EK$1,$W146)&gt;0,IF(INDEX(Product_Pricing_Table[],MATCH(EK$1,Products,0),2)="Cores",IF(HostBuild[Use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6" s="554"/>
      <c r="EM146" s="555">
        <v>0</v>
      </c>
      <c r="EN146" s="556">
        <v>0</v>
      </c>
      <c r="EO146"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6"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454.95000000000005</v>
      </c>
      <c r="EQ146" s="558">
        <f>(HostBuild[Archive
Full (GB)]+HostBuild[Archive
Incr (GB)])*Storage_DC_Dist_Tape_2014</f>
        <v>101.731875</v>
      </c>
      <c r="ER146" s="558">
        <f>IF(ISNUMBER(HostBuild[Server HW Costs
(Monthly)]),SUM(HostBuild[[#This Row],[Server HW Costs
(Monthly)]:[Tape Costs
(Monthly)]]),0)</f>
        <v>1445.381875</v>
      </c>
      <c r="ES146" s="559">
        <f>HostBuild[Software Costs
'[Year 1']
(Monthly)]+HostBuild[Total Hardware Costs
(Monthly)]</f>
        <v>1445.381875</v>
      </c>
      <c r="ET146" s="559">
        <f>IFERROR(IF(FIND("Safenet",HostBuild[Server Model]),Safenet_PSE_PL600_Maint,0),0)+IFERROR(IF(FIND("XI52",HostBuild[Server Model]),IBM_DIA_XI52_Maint,0),0)+HostBuild[Software Costs
'[After Year 1']
(Monthly)]+HostBuild[Total Hardware Costs
(Monthly)]</f>
        <v>1445.381875</v>
      </c>
      <c r="EU146" s="560">
        <f>SUM(HostBuild[[#This Row],[Server Cost Breakdown]:[Network Cost]])</f>
        <v>888.7</v>
      </c>
      <c r="EV146" s="561">
        <f>IF(HostBuild[Existing Server?]="Yes - Inside this BoM",0,SUMIF(HostBuild[Alias],HostBuild[Alias],HostBuild[CPU])+SUMIF(HostBuild[Alias],HostBuild[Alias],HostBuild[Existing CPUs]))</f>
        <v>2</v>
      </c>
      <c r="EW146" s="561">
        <f>IF(HostBuild[Existing Server?]="Yes - Inside this BoM",0,SUMIF(HostBuild[Alias],HostBuild[Alias],HostBuild[Cores 
(Licensed Units)])+SUMIF(HostBuild[Alias],HostBuild[Alias],HostBuild[Existing Cores]))</f>
        <v>16</v>
      </c>
      <c r="EX146" s="561">
        <f>IF(HostBuild[Existing Server?]="Yes - Inside this BoM",0,SUMIF(HostBuild[Alias],HostBuild[Alias],HostBuild[RAM 
(GB)])+SUMIF(HostBuild[Alias],HostBuild[Alias],HostBuild[Existing RAM (GB)]))</f>
        <v>128</v>
      </c>
      <c r="EY146"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6"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6"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6"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6" s="560">
        <f>IF(ISBLANK(HostBuild[Server Model]),0,IF(HostBuild[Server Tier]="VMware",0,VLOOKUP(HostBuild[Server Tier],ServerTierRates[#Data],2,0))*HostBuild[CPU]*IF(AND(HostBuild[Server Type]="pSeries",HostBuild[Virtual Platform Storage Type]="Cloud-SAN"),0.25,1))</f>
        <v>608</v>
      </c>
      <c r="FD146" s="560">
        <f>0</f>
        <v>0</v>
      </c>
      <c r="FE146" s="560">
        <f>IF(HostBuild[Server Type]="VMware",HostBuild[RAM 
(GB)]*IF(ISERROR(FIND("DevCloud", HostBuild[Server Model])&gt;0),vRAM_per_vCPU_2014_Monthly,vRAM_per_vCPU_2014_Daily*30),0)</f>
        <v>0</v>
      </c>
      <c r="FF146"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6"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6" s="563">
        <f>IF(HostBuild[Server Tier]="VMware",0,IF(LEFT(HostBuild[Existing Server?],3)="Yes",0,IF(OR(HostBuild[Server Type]="Sun",HostBuild[Server Type]="pSeries"),Support_Direct_Server_Sun_per_OS_2014,IF(HostBuild[Server Type]="x86",Support_Direct_Server_x86_Wintel_per_OS_2014,0))))</f>
        <v>187.1</v>
      </c>
      <c r="FI146"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7" spans="1:165" s="139" customFormat="1" ht="15" customHeight="1">
      <c r="A147" s="360" t="s">
        <v>3942</v>
      </c>
      <c r="B147" s="521"/>
      <c r="C147" s="521"/>
      <c r="D147" s="521"/>
      <c r="E147" s="522"/>
      <c r="F147" s="522"/>
      <c r="G147" s="597"/>
      <c r="H147" s="597"/>
      <c r="I147" s="523"/>
      <c r="J147" s="522"/>
      <c r="K147" s="522"/>
      <c r="L147" s="522"/>
      <c r="M147" s="597" t="e">
        <f ca="1">IF(rngIsDate(HostBuild[CTO Acceptance]),"Y","N")</f>
        <v>#NAME?</v>
      </c>
      <c r="N147" s="361" t="s">
        <v>4102</v>
      </c>
      <c r="O147" s="525"/>
      <c r="P147" s="525"/>
      <c r="Q147" s="361" t="s">
        <v>25</v>
      </c>
      <c r="R147" s="526" t="str">
        <f>IF(NOT(ISBLANK(HostBuild[Env Label])),IFERROR(VLOOKUP(HostBuild[Env Label],tEnv[],3,FALSE),""),"")</f>
        <v>DIT</v>
      </c>
      <c r="S147" s="598"/>
      <c r="T147" s="527"/>
      <c r="U147" s="599"/>
      <c r="V147" s="524" t="s">
        <v>4049</v>
      </c>
      <c r="W147" s="524" t="s">
        <v>4019</v>
      </c>
      <c r="X147" s="524" t="s">
        <v>35</v>
      </c>
      <c r="Y147" s="361" t="s">
        <v>4067</v>
      </c>
      <c r="Z147" s="526" t="str">
        <f>IF(NOT(ISBLANK(HostBuild[[#This Row],[Product 
(Acronym)]])),CONCATENATE(HostBuild[[#This Row],[Type]],"-",HostBuild[[#This Row],[Product 
(Acronym)]]),"")</f>
        <v>AP-CBOL</v>
      </c>
      <c r="AA147" s="600"/>
      <c r="AB147" s="600" t="s">
        <v>105</v>
      </c>
      <c r="AC147" s="528"/>
      <c r="AD147" s="529"/>
      <c r="AE147" s="529"/>
      <c r="AF147" s="530"/>
      <c r="AG147" s="531"/>
      <c r="AH147" s="601"/>
      <c r="AI147" s="362" t="s">
        <v>4076</v>
      </c>
      <c r="AJ147" s="524">
        <f>IF(COUNTIF(HostBuild[Alias],HostBuild[Alias]),1/COUNTIF(HostBuild[Alias],HostBuild[Alias]),0)</f>
        <v>1</v>
      </c>
      <c r="AK147" s="531"/>
      <c r="AL147" s="531"/>
      <c r="AM147" s="532" t="s">
        <v>2173</v>
      </c>
      <c r="AN147" s="533" t="str">
        <f>IF(NOT(ISBLANK(HostBuild[Server Model])),VLOOKUP(HostBuild[Server Model],ServerModelsTier[],2,FALSE),"")</f>
        <v>x86 Tier 3</v>
      </c>
      <c r="AO147" s="533" t="str">
        <f>IF(NOT(ISBLANK(HostBuild[Server Model])),VLOOKUP(HostBuild[Server Model],ServerModelsTier[],5,FALSE),"")</f>
        <v>x86</v>
      </c>
      <c r="AP147" s="532"/>
      <c r="AQ147" s="532" t="s">
        <v>2337</v>
      </c>
      <c r="AR147" s="534">
        <v>2</v>
      </c>
      <c r="AS147" s="602"/>
      <c r="AT147" s="535">
        <v>16</v>
      </c>
      <c r="AU147" s="603" t="str">
        <f>IF(IFERROR(FIND("P-Series",HostBuild[Server Tier]),0),CEILING((HostBuild[Existing CPUs]+HostBuild[CPU])*16,8),"")</f>
        <v/>
      </c>
      <c r="AV147" s="536">
        <v>128</v>
      </c>
      <c r="AW147" s="531"/>
      <c r="AX147" s="531"/>
      <c r="AY147" s="531"/>
      <c r="AZ147" s="537"/>
      <c r="BA147" s="531"/>
      <c r="BB147" s="531"/>
      <c r="BC147" s="529"/>
      <c r="BD147" s="531"/>
      <c r="BE147" s="531"/>
      <c r="BF147" s="531"/>
      <c r="BG147" s="531"/>
      <c r="BH147" s="531"/>
      <c r="BI147" s="531"/>
      <c r="BJ147" s="531"/>
      <c r="BK147"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7" s="538">
        <v>800</v>
      </c>
      <c r="BM147" s="540">
        <f>IF(ISNUMBER(HostBuild[Recommended SAN (GB)]),HostBuild[Recommended SAN (GB)])+IF(HostBuild[Additional SAN (GB)]&gt;0,CEILING(HostBuild[Additional SAN (GB)],LUN),-(CEILING(-HostBuild[Additional SAN (GB)],LUN)))</f>
        <v>1011.0000000000001</v>
      </c>
      <c r="BN147" s="539"/>
      <c r="BO147" s="540">
        <f>HostBuild[SAN (GB)
NEEDED TODAY]+CEILING(HostBuild[SAN (GB)
RESERVED
DO NOT USE TO BUILD], LUN)</f>
        <v>1011.0000000000001</v>
      </c>
      <c r="BP147" s="541"/>
      <c r="BQ147" s="542"/>
      <c r="BR147" s="432"/>
      <c r="BS147" s="605">
        <f>IF(HostBuild[Existing Server?]&lt;&gt;"Yes - Inside this BoM",IF(ISNUMBER(HostBuild[RAM 
(GB)]),IF(HostBuild[Existing RAM (GB)]+HostBuild[RAM 
(GB)]&gt;0,IF(HostBuild[Virtual Platform Storage Type]="NAS",110+HostBuild[Existing RAM (GB)]+HostBuild[RAM 
(GB)]*1.75,0),0),0),0)</f>
        <v>0</v>
      </c>
      <c r="BT147" s="606"/>
      <c r="BU147" s="607">
        <f>IF(ISNUMBER(HostBuild[Recommended NAS (GB)]),HostBuild[Recommended NAS (GB)])+HostBuild[Additional NAS (GB)]</f>
        <v>0</v>
      </c>
      <c r="BV147" s="543"/>
      <c r="BW147" s="543"/>
      <c r="BX147" s="604">
        <f>IFERROR((HostBuild[SAN (GB)
End-State
DO NOT USE TO BUILD]+HostBuild[SAN (GB) Shared])*25%,"")</f>
        <v>252.75000000000003</v>
      </c>
      <c r="BY147" s="608">
        <f>IFERROR(HostBuild[Archive
Full (GB)]*15%,"")</f>
        <v>37.912500000000001</v>
      </c>
      <c r="BZ147" s="544"/>
      <c r="CA147" s="544"/>
      <c r="CB147" s="545"/>
      <c r="CC147" s="546"/>
      <c r="CD147" s="545"/>
      <c r="CE147" s="547"/>
      <c r="CF147" s="539"/>
      <c r="CG147" s="609"/>
      <c r="CH147" s="548"/>
      <c r="CI147" s="549"/>
      <c r="CJ147" s="550"/>
      <c r="CK147" s="551"/>
      <c r="CL147" s="552">
        <f>IFERROR(IF(FIND(CL$1,$W147)&gt;0,IF(INDEX(Product_Pricing_Table[],MATCH(CL$1,Products,0),2)="Cores",IF(HostBuild[Use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7" s="552">
        <f>IFERROR(IF(FIND(CM$1,$W147)&gt;0,IF(INDEX(Product_Pricing_Table[],MATCH(CM$1,Products,0),2)="Cores",IF(HostBuild[Use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1</v>
      </c>
      <c r="CN147" s="552">
        <f>IFERROR(IF(FIND(CN$1,$W147)&gt;0,IF(INDEX(Product_Pricing_Table[],MATCH(CN$1,Products,0),2)="Cores",IF(HostBuild[Use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7" s="552">
        <f>IFERROR(IF(FIND(CO$1,$W147)&gt;0,IF(INDEX(Product_Pricing_Table[],MATCH(CO$1,Products,0),2)="Cores",IF(HostBuild[Use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7" s="552">
        <f>IFERROR(IF(FIND(CP$1,$W147)&gt;0,IF(INDEX(Product_Pricing_Table[],MATCH(CP$1,Products,0),2)="Cores",IF(HostBuild[Use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7" s="552">
        <f>IFERROR(IF(FIND(CQ$1,$W147)&gt;0,IF(INDEX(Product_Pricing_Table[],MATCH(CQ$1,Products,0),2)="Cores",IF(HostBuild[Use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7" s="552">
        <f>IFERROR(IF(FIND(CR$1,$W147)&gt;0,IF(INDEX(Product_Pricing_Table[],MATCH(CR$1,Products,0),2)="Cores",IF(HostBuild[Use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7" s="552">
        <f>IFERROR(IF(FIND(CS$1,$W147)&gt;0,IF(INDEX(Product_Pricing_Table[],MATCH(CS$1,Products,0),2)="Cores",IF(HostBuild[Use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7" s="552">
        <f>IFERROR(IF(FIND(CT$1,$W147)&gt;0,IF(INDEX(Product_Pricing_Table[],MATCH(CT$1,Products,0),2)="Cores",IF(HostBuild[Use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7" s="552">
        <f>IFERROR(IF(FIND(CU$1,$W147)&gt;0,IF(INDEX(Product_Pricing_Table[],MATCH(CU$1,Products,0),2)="Cores",IF(HostBuild[Use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16</v>
      </c>
      <c r="CV147" s="552">
        <f>IFERROR(IF(FIND(CV$1,$W147)&gt;0,IF(INDEX(Product_Pricing_Table[],MATCH(CV$1,Products,0),2)="Cores",IF(HostBuild[Use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7" s="552">
        <f>IFERROR(IF(FIND(CW$1,$W147)&gt;0,IF(INDEX(Product_Pricing_Table[],MATCH(CW$1,Products,0),2)="Cores",IF(HostBuild[Use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7" s="552">
        <f>IFERROR(IF(FIND(CX$1,$W147)&gt;0,IF(INDEX(Product_Pricing_Table[],MATCH(CX$1,Products,0),2)="Cores",IF(HostBuild[Use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16</v>
      </c>
      <c r="CY147" s="552">
        <f>IFERROR(IF(FIND(CY$1,$W147)&gt;0,IF(INDEX(Product_Pricing_Table[],MATCH(CY$1,Products,0),2)="Cores",IF(HostBuild[Use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7" s="552">
        <f>IFERROR(IF(FIND(CZ$1,$W147)&gt;0,IF(INDEX(Product_Pricing_Table[],MATCH(CZ$1,Products,0),2)="Cores",IF(HostBuild[Use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7" s="552">
        <f>IFERROR(IF(FIND(DA$1,$W147)&gt;0,IF(INDEX(Product_Pricing_Table[],MATCH(DA$1,Products,0),2)="Cores",IF(HostBuild[Use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7" s="552">
        <f>IFERROR(IF(FIND(DB$1,$W147)&gt;0,IF(INDEX(Product_Pricing_Table[],MATCH(DB$1,Products,0),2)="Cores",IF(HostBuild[Use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7" s="552">
        <f>IFERROR(IF(FIND(DC$1,$W147)&gt;0,IF(INDEX(Product_Pricing_Table[],MATCH(DC$1,Products,0),2)="Cores",IF(HostBuild[Use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7" s="552">
        <f>IFERROR(IF(FIND(DD$1,$W147)&gt;0,IF(INDEX(Product_Pricing_Table[],MATCH(DD$1,Products,0),2)="Cores",IF(HostBuild[Use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7" s="552">
        <f>IFERROR(IF(FIND(DE$1,$W147)&gt;0,IF(INDEX(Product_Pricing_Table[],MATCH(DE$1,Products,0),2)="Cores",IF(HostBuild[Use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7" s="553">
        <f>IFERROR(IF(FIND(DF$1,$W147)&gt;0,IF(INDEX(Product_Pricing_Table[],MATCH(DF$1,Products,0),2)="Cores",IF(HostBuild[Use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7" s="553">
        <f>IFERROR(IF(FIND(DG$1,$W147)&gt;0,IF(INDEX(Product_Pricing_Table[],MATCH(DG$1,Products,0),2)="Cores",IF(HostBuild[Use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7" s="552">
        <f>IFERROR(IF(FIND(DH$1,$W147)&gt;0,IF(INDEX(Product_Pricing_Table[],MATCH(DH$1,Products,0),2)="Cores",IF(HostBuild[Use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7" s="553">
        <f>IFERROR(IF(FIND(DI$1,$W147)&gt;0,IF(INDEX(Product_Pricing_Table[],MATCH(DI$1,Products,0),2)="Cores",IF(HostBuild[Use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7" s="552">
        <f>IFERROR(IF(FIND(DJ$1,$W147)&gt;0,IF(INDEX(Product_Pricing_Table[],MATCH(DJ$1,Products,0),2)="Cores",IF(HostBuild[Use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7" s="552">
        <f>IFERROR(IF(FIND(DK$1,$W147)&gt;0,IF(INDEX(Product_Pricing_Table[],MATCH(DK$1,Products,0),2)="Cores",IF(HostBuild[Use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7" s="552">
        <f>IFERROR(IF(FIND(DL$1,$W147)&gt;0,IF(INDEX(Product_Pricing_Table[],MATCH(DL$1,Products,0),2)="Cores",IF(HostBuild[Use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7" s="552">
        <f>IFERROR(IF(FIND(DM$1,$W147)&gt;0,IF(INDEX(Product_Pricing_Table[],MATCH(DM$1,Products,0),2)="Cores",IF(HostBuild[Use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7" s="552">
        <f>IFERROR(IF(FIND(DN$1,$W147)&gt;0,IF(INDEX(Product_Pricing_Table[],MATCH(DN$1,Products,0),2)="Cores",IF(HostBuild[Use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7" s="552">
        <f>IFERROR(IF(FIND(DO$1,$W147)&gt;0,IF(INDEX(Product_Pricing_Table[],MATCH(DO$1,Products,0),2)="Cores",IF(HostBuild[Use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7" s="552">
        <f>IFERROR(IF(FIND(DP$1,$W147)&gt;0,IF(INDEX(Product_Pricing_Table[],MATCH(DP$1,Products,0),2)="Cores",IF(HostBuild[Use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7" s="552">
        <f>IFERROR(IF(FIND(DQ$1,$W147)&gt;0,IF(INDEX(Product_Pricing_Table[],MATCH(DQ$1,Products,0),2)="Cores",IF(HostBuild[Use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7" s="552">
        <f>IFERROR(IF(FIND(DR$1,$W147)&gt;0,IF(INDEX(Product_Pricing_Table[],MATCH(DR$1,Products,0),2)="Cores",IF(HostBuild[Use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7" s="552">
        <f>IFERROR(IF(FIND(DS$1,$W147)&gt;0,IF(INDEX(Product_Pricing_Table[],MATCH(DS$1,Products,0),2)="Cores",IF(HostBuild[Use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7" s="552">
        <f>IFERROR(IF(FIND(DT$1,$W147)&gt;0,IF(INDEX(Product_Pricing_Table[],MATCH(DT$1,Products,0),2)="Cores",IF(HostBuild[Use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7" s="552">
        <f>IFERROR(IF(FIND(DU$1,$W147)&gt;0,IF(INDEX(Product_Pricing_Table[],MATCH(DU$1,Products,0),2)="Cores",IF(HostBuild[Use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7" s="552">
        <f>IFERROR(IF(FIND(DV$1,$W147)&gt;0,IF(INDEX(Product_Pricing_Table[],MATCH(DV$1,Products,0),2)="Cores",IF(HostBuild[Use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7" s="552">
        <f>IFERROR(IF(FIND(DW$1,$W147)&gt;0,IF(INDEX(Product_Pricing_Table[],MATCH(DW$1,Products,0),2)="Cores",IF(HostBuild[Use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7" s="552">
        <f>IFERROR(IF(FIND(DX$1,$W147)&gt;0,IF(INDEX(Product_Pricing_Table[],MATCH(DX$1,Products,0),2)="Cores",IF(HostBuild[Use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7" s="552">
        <f>IFERROR(IF(FIND(DY$1,$W147)&gt;0,IF(INDEX(Product_Pricing_Table[],MATCH(DY$1,Products,0),2)="Cores",IF(HostBuild[Use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7" s="552">
        <f>IFERROR(IF(FIND(DZ$1,$W147)&gt;0,IF(INDEX(Product_Pricing_Table[],MATCH(DZ$1,Products,0),2)="Cores",IF(HostBuild[Use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7" s="552">
        <f>IFERROR(IF(FIND(EA$1,$W147)&gt;0,IF(INDEX(Product_Pricing_Table[],MATCH(EA$1,Products,0),2)="Cores",IF(HostBuild[Use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7" s="552">
        <f>IFERROR(IF(FIND(EB$1,$W147)&gt;0,IF(INDEX(Product_Pricing_Table[],MATCH(EB$1,Products,0),2)="Cores",IF(HostBuild[Use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7" s="553">
        <f>IFERROR(IF(FIND(EC$1,$W147)&gt;0,IF(INDEX(Product_Pricing_Table[],MATCH(EC$1,Products,0),2)="Cores",IF(HostBuild[Use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7" s="552">
        <f>IFERROR(IF(FIND(ED$1,$W147)&gt;0,IF(INDEX(Product_Pricing_Table[],MATCH(ED$1,Products,0),2)="Cores",IF(HostBuild[Use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7" s="552">
        <f>IFERROR(IF(FIND(EE$1,$W147)&gt;0,IF(INDEX(Product_Pricing_Table[],MATCH(EE$1,Products,0),2)="Cores",IF(HostBuild[Use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7" s="552">
        <f>IFERROR(IF(FIND(EF$1,$W147)&gt;0,IF(INDEX(Product_Pricing_Table[],MATCH(EF$1,Products,0),2)="Cores",IF(HostBuild[Use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7" s="552">
        <f>IFERROR(IF(FIND(EG$1,$W147)&gt;0,IF(INDEX(Product_Pricing_Table[],MATCH(EG$1,Products,0),2)="Cores",IF(HostBuild[Use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7" s="552">
        <f>IFERROR(IF(FIND(EH$1,$W147)&gt;0,IF(INDEX(Product_Pricing_Table[],MATCH(EH$1,Products,0),2)="Cores",IF(HostBuild[Use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7" s="552">
        <f>IFERROR(IF(FIND(EI$1,$W147)&gt;0,IF(INDEX(Product_Pricing_Table[],MATCH(EI$1,Products,0),2)="Cores",IF(HostBuild[Use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7" s="552">
        <f>IFERROR(IF(FIND(EJ$1,$W147)&gt;0,IF(INDEX(Product_Pricing_Table[],MATCH(EJ$1,Products,0),2)="Cores",IF(HostBuild[Use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7" s="553">
        <f>IFERROR(IF(FIND(EK$1,$W147)&gt;0,IF(INDEX(Product_Pricing_Table[],MATCH(EK$1,Products,0),2)="Cores",IF(HostBuild[Use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7" s="554"/>
      <c r="EM147" s="555">
        <v>0</v>
      </c>
      <c r="EN147" s="556">
        <v>0</v>
      </c>
      <c r="EO147"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7"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454.95000000000005</v>
      </c>
      <c r="EQ147" s="558">
        <f>(HostBuild[Archive
Full (GB)]+HostBuild[Archive
Incr (GB)])*Storage_DC_Dist_Tape_2014</f>
        <v>101.731875</v>
      </c>
      <c r="ER147" s="558">
        <f>IF(ISNUMBER(HostBuild[Server HW Costs
(Monthly)]),SUM(HostBuild[[#This Row],[Server HW Costs
(Monthly)]:[Tape Costs
(Monthly)]]),0)</f>
        <v>1445.381875</v>
      </c>
      <c r="ES147" s="559">
        <f>HostBuild[Software Costs
'[Year 1']
(Monthly)]+HostBuild[Total Hardware Costs
(Monthly)]</f>
        <v>1445.381875</v>
      </c>
      <c r="ET147" s="559">
        <f>IFERROR(IF(FIND("Safenet",HostBuild[Server Model]),Safenet_PSE_PL600_Maint,0),0)+IFERROR(IF(FIND("XI52",HostBuild[Server Model]),IBM_DIA_XI52_Maint,0),0)+HostBuild[Software Costs
'[After Year 1']
(Monthly)]+HostBuild[Total Hardware Costs
(Monthly)]</f>
        <v>1445.381875</v>
      </c>
      <c r="EU147" s="560">
        <f>SUM(HostBuild[[#This Row],[Server Cost Breakdown]:[Network Cost]])</f>
        <v>888.7</v>
      </c>
      <c r="EV147" s="561">
        <f>IF(HostBuild[Existing Server?]="Yes - Inside this BoM",0,SUMIF(HostBuild[Alias],HostBuild[Alias],HostBuild[CPU])+SUMIF(HostBuild[Alias],HostBuild[Alias],HostBuild[Existing CPUs]))</f>
        <v>2</v>
      </c>
      <c r="EW147" s="561">
        <f>IF(HostBuild[Existing Server?]="Yes - Inside this BoM",0,SUMIF(HostBuild[Alias],HostBuild[Alias],HostBuild[Cores 
(Licensed Units)])+SUMIF(HostBuild[Alias],HostBuild[Alias],HostBuild[Existing Cores]))</f>
        <v>16</v>
      </c>
      <c r="EX147" s="561">
        <f>IF(HostBuild[Existing Server?]="Yes - Inside this BoM",0,SUMIF(HostBuild[Alias],HostBuild[Alias],HostBuild[RAM 
(GB)])+SUMIF(HostBuild[Alias],HostBuild[Alias],HostBuild[Existing RAM (GB)]))</f>
        <v>128</v>
      </c>
      <c r="EY147"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7"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7"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7"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7" s="560">
        <f>IF(ISBLANK(HostBuild[Server Model]),0,IF(HostBuild[Server Tier]="VMware",0,VLOOKUP(HostBuild[Server Tier],ServerTierRates[#Data],2,0))*HostBuild[CPU]*IF(AND(HostBuild[Server Type]="pSeries",HostBuild[Virtual Platform Storage Type]="Cloud-SAN"),0.25,1))</f>
        <v>608</v>
      </c>
      <c r="FD147" s="560">
        <f>0</f>
        <v>0</v>
      </c>
      <c r="FE147" s="560">
        <f>IF(HostBuild[Server Type]="VMware",HostBuild[RAM 
(GB)]*IF(ISERROR(FIND("DevCloud", HostBuild[Server Model])&gt;0),vRAM_per_vCPU_2014_Monthly,vRAM_per_vCPU_2014_Daily*30),0)</f>
        <v>0</v>
      </c>
      <c r="FF147"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7"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7" s="563">
        <f>IF(HostBuild[Server Tier]="VMware",0,IF(LEFT(HostBuild[Existing Server?],3)="Yes",0,IF(OR(HostBuild[Server Type]="Sun",HostBuild[Server Type]="pSeries"),Support_Direct_Server_Sun_per_OS_2014,IF(HostBuild[Server Type]="x86",Support_Direct_Server_x86_Wintel_per_OS_2014,0))))</f>
        <v>187.1</v>
      </c>
      <c r="FI147"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8" spans="1:165" s="139" customFormat="1" ht="15" customHeight="1">
      <c r="A148" s="360" t="s">
        <v>3942</v>
      </c>
      <c r="B148" s="521"/>
      <c r="C148" s="521"/>
      <c r="D148" s="521"/>
      <c r="E148" s="522"/>
      <c r="F148" s="522"/>
      <c r="G148" s="597"/>
      <c r="H148" s="597"/>
      <c r="I148" s="523"/>
      <c r="J148" s="522"/>
      <c r="K148" s="522"/>
      <c r="L148" s="522"/>
      <c r="M148" s="597" t="e">
        <f ca="1">IF(rngIsDate(HostBuild[CTO Acceptance]),"Y","N")</f>
        <v>#NAME?</v>
      </c>
      <c r="N148" s="361" t="s">
        <v>4102</v>
      </c>
      <c r="O148" s="525"/>
      <c r="P148" s="525"/>
      <c r="Q148" s="361" t="s">
        <v>213</v>
      </c>
      <c r="R148" s="526" t="str">
        <f>IF(NOT(ISBLANK(HostBuild[Env Label])),IFERROR(VLOOKUP(HostBuild[Env Label],tEnv[],3,FALSE),""),"")</f>
        <v>SIT</v>
      </c>
      <c r="S148" s="598"/>
      <c r="T148" s="527"/>
      <c r="U148" s="599"/>
      <c r="V148" s="524" t="s">
        <v>4071</v>
      </c>
      <c r="W148" s="524" t="s">
        <v>4080</v>
      </c>
      <c r="X148" s="524" t="s">
        <v>32</v>
      </c>
      <c r="Y148" s="361" t="s">
        <v>4067</v>
      </c>
      <c r="Z148" s="526" t="str">
        <f>IF(NOT(ISBLANK(HostBuild[[#This Row],[Product 
(Acronym)]])),CONCATENATE(HostBuild[[#This Row],[Type]],"-",HostBuild[[#This Row],[Product 
(Acronym)]]),"")</f>
        <v>DB-CBOL</v>
      </c>
      <c r="AA148" s="600"/>
      <c r="AB148" s="600" t="s">
        <v>105</v>
      </c>
      <c r="AC148" s="528"/>
      <c r="AD148" s="529"/>
      <c r="AE148" s="529"/>
      <c r="AF148" s="530"/>
      <c r="AG148" s="531"/>
      <c r="AH148" s="601"/>
      <c r="AI148" s="362" t="s">
        <v>4077</v>
      </c>
      <c r="AJ148" s="524">
        <f>IF(COUNTIF(HostBuild[Alias],HostBuild[Alias]),1/COUNTIF(HostBuild[Alias],HostBuild[Alias]),0)</f>
        <v>1</v>
      </c>
      <c r="AK148" s="531"/>
      <c r="AL148" s="531"/>
      <c r="AM148" s="532" t="s">
        <v>2173</v>
      </c>
      <c r="AN148" s="533" t="str">
        <f>IF(NOT(ISBLANK(HostBuild[Server Model])),VLOOKUP(HostBuild[Server Model],ServerModelsTier[],2,FALSE),"")</f>
        <v>x86 Tier 3</v>
      </c>
      <c r="AO148" s="533" t="str">
        <f>IF(NOT(ISBLANK(HostBuild[Server Model])),VLOOKUP(HostBuild[Server Model],ServerModelsTier[],5,FALSE),"")</f>
        <v>x86</v>
      </c>
      <c r="AP148" s="532"/>
      <c r="AQ148" s="532" t="s">
        <v>2337</v>
      </c>
      <c r="AR148" s="534">
        <v>2</v>
      </c>
      <c r="AS148" s="602"/>
      <c r="AT148" s="535">
        <v>16</v>
      </c>
      <c r="AU148" s="603"/>
      <c r="AV148" s="536">
        <v>128</v>
      </c>
      <c r="AW148" s="531"/>
      <c r="AX148" s="531"/>
      <c r="AY148" s="531"/>
      <c r="AZ148" s="537"/>
      <c r="BA148" s="531"/>
      <c r="BB148" s="531"/>
      <c r="BC148" s="529"/>
      <c r="BD148" s="531"/>
      <c r="BE148" s="531"/>
      <c r="BF148" s="531"/>
      <c r="BG148" s="531"/>
      <c r="BH148" s="531"/>
      <c r="BI148" s="531"/>
      <c r="BJ148" s="531"/>
      <c r="BK148" s="604">
        <f>IF(HostBuild[Existing Server?]&lt;&gt;"Yes - Inside this BoM",IF(ISNUMBER(HostBuild[RAM 
(GB)]),IF(HostBuild[Existing RAM (GB)]+HostBuild[RAM 
(GB)]&gt;0,IF(OR(HostBuild[Server Type]="x86",IFERROR(FIND("SAN", HostBuild[Virtual Platform Storage Type]),FALSE)),CEILING(2*LUN+(HostBuild[Existing RAM (GB)]+HostBuild[RAM 
(GB)]),LUN),0),0),0),0)</f>
        <v>202.20000000000002</v>
      </c>
      <c r="BL148" s="538">
        <v>1500</v>
      </c>
      <c r="BM148" s="540">
        <f>IF(ISNUMBER(HostBuild[Recommended SAN (GB)]),HostBuild[Recommended SAN (GB)])+IF(HostBuild[Additional SAN (GB)]&gt;0,CEILING(HostBuild[Additional SAN (GB)],LUN),-(CEILING(-HostBuild[Additional SAN (GB)],LUN)))</f>
        <v>1718.7000000000003</v>
      </c>
      <c r="BN148" s="539"/>
      <c r="BO148" s="540">
        <f>HostBuild[SAN (GB)
NEEDED TODAY]+CEILING(HostBuild[SAN (GB)
RESERVED
DO NOT USE TO BUILD], LUN)</f>
        <v>1718.7000000000003</v>
      </c>
      <c r="BP148" s="541"/>
      <c r="BQ148" s="542"/>
      <c r="BR148" s="432"/>
      <c r="BS148" s="605">
        <f>IF(HostBuild[Existing Server?]&lt;&gt;"Yes - Inside this BoM",IF(ISNUMBER(HostBuild[RAM 
(GB)]),IF(HostBuild[Existing RAM (GB)]+HostBuild[RAM 
(GB)]&gt;0,IF(HostBuild[Virtual Platform Storage Type]="NAS",110+HostBuild[Existing RAM (GB)]+HostBuild[RAM 
(GB)]*1.75,0),0),0),0)</f>
        <v>0</v>
      </c>
      <c r="BT148" s="606"/>
      <c r="BU148" s="607">
        <f>IF(ISNUMBER(HostBuild[Recommended NAS (GB)]),HostBuild[Recommended NAS (GB)])+HostBuild[Additional NAS (GB)]</f>
        <v>0</v>
      </c>
      <c r="BV148" s="543"/>
      <c r="BW148" s="543"/>
      <c r="BX148" s="604">
        <f>IFERROR((HostBuild[SAN (GB)
End-State
DO NOT USE TO BUILD]+HostBuild[SAN (GB) Shared])*25%,"")</f>
        <v>429.67500000000007</v>
      </c>
      <c r="BY148" s="608">
        <f>IFERROR(HostBuild[Archive
Full (GB)]*15%,"")</f>
        <v>64.451250000000002</v>
      </c>
      <c r="BZ148" s="544"/>
      <c r="CA148" s="544"/>
      <c r="CB148" s="545"/>
      <c r="CC148" s="546"/>
      <c r="CD148" s="545"/>
      <c r="CE148" s="547"/>
      <c r="CF148" s="539"/>
      <c r="CG148" s="609"/>
      <c r="CH148" s="548"/>
      <c r="CI148" s="549"/>
      <c r="CJ148" s="550"/>
      <c r="CK148" s="551"/>
      <c r="CL148" s="552">
        <f>IFERROR(IF(FIND(CL$1,$W148)&gt;0,IF(INDEX(Product_Pricing_Table[],MATCH(CL$1,Products,0),2)="Cores",IF(HostBuild[Use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8" s="552">
        <f>IFERROR(IF(FIND(CM$1,$W148)&gt;0,IF(INDEX(Product_Pricing_Table[],MATCH(CM$1,Products,0),2)="Cores",IF(HostBuild[Use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8" s="552">
        <f>IFERROR(IF(FIND(CN$1,$W148)&gt;0,IF(INDEX(Product_Pricing_Table[],MATCH(CN$1,Products,0),2)="Cores",IF(HostBuild[Use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8" s="552">
        <f>IFERROR(IF(FIND(CO$1,$W148)&gt;0,IF(INDEX(Product_Pricing_Table[],MATCH(CO$1,Products,0),2)="Cores",IF(HostBuild[Use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8" s="552">
        <f>IFERROR(IF(FIND(CP$1,$W148)&gt;0,IF(INDEX(Product_Pricing_Table[],MATCH(CP$1,Products,0),2)="Cores",IF(HostBuild[Use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8" s="552">
        <f>IFERROR(IF(FIND(CQ$1,$W148)&gt;0,IF(INDEX(Product_Pricing_Table[],MATCH(CQ$1,Products,0),2)="Cores",IF(HostBuild[Use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8" s="552">
        <f>IFERROR(IF(FIND(CR$1,$W148)&gt;0,IF(INDEX(Product_Pricing_Table[],MATCH(CR$1,Products,0),2)="Cores",IF(HostBuild[Use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8" s="552">
        <f>IFERROR(IF(FIND(CS$1,$W148)&gt;0,IF(INDEX(Product_Pricing_Table[],MATCH(CS$1,Products,0),2)="Cores",IF(HostBuild[Use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8" s="552">
        <f>IFERROR(IF(FIND(CT$1,$W148)&gt;0,IF(INDEX(Product_Pricing_Table[],MATCH(CT$1,Products,0),2)="Cores",IF(HostBuild[Use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8" s="552">
        <f>IFERROR(IF(FIND(CU$1,$W148)&gt;0,IF(INDEX(Product_Pricing_Table[],MATCH(CU$1,Products,0),2)="Cores",IF(HostBuild[Use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8" s="552">
        <f>IFERROR(IF(FIND(CV$1,$W148)&gt;0,IF(INDEX(Product_Pricing_Table[],MATCH(CV$1,Products,0),2)="Cores",IF(HostBuild[Use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8" s="552">
        <f>IFERROR(IF(FIND(CW$1,$W148)&gt;0,IF(INDEX(Product_Pricing_Table[],MATCH(CW$1,Products,0),2)="Cores",IF(HostBuild[Use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8" s="552">
        <f>IFERROR(IF(FIND(CX$1,$W148)&gt;0,IF(INDEX(Product_Pricing_Table[],MATCH(CX$1,Products,0),2)="Cores",IF(HostBuild[Use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8" s="552">
        <f>IFERROR(IF(FIND(CY$1,$W148)&gt;0,IF(INDEX(Product_Pricing_Table[],MATCH(CY$1,Products,0),2)="Cores",IF(HostBuild[Use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8" s="552">
        <f>IFERROR(IF(FIND(CZ$1,$W148)&gt;0,IF(INDEX(Product_Pricing_Table[],MATCH(CZ$1,Products,0),2)="Cores",IF(HostBuild[Use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8" s="552">
        <f>IFERROR(IF(FIND(DA$1,$W148)&gt;0,IF(INDEX(Product_Pricing_Table[],MATCH(DA$1,Products,0),2)="Cores",IF(HostBuild[Use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8" s="552">
        <f>IFERROR(IF(FIND(DB$1,$W148)&gt;0,IF(INDEX(Product_Pricing_Table[],MATCH(DB$1,Products,0),2)="Cores",IF(HostBuild[Use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8" s="552">
        <f>IFERROR(IF(FIND(DC$1,$W148)&gt;0,IF(INDEX(Product_Pricing_Table[],MATCH(DC$1,Products,0),2)="Cores",IF(HostBuild[Use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8" s="552">
        <f>IFERROR(IF(FIND(DD$1,$W148)&gt;0,IF(INDEX(Product_Pricing_Table[],MATCH(DD$1,Products,0),2)="Cores",IF(HostBuild[Use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8" s="552">
        <f>IFERROR(IF(FIND(DE$1,$W148)&gt;0,IF(INDEX(Product_Pricing_Table[],MATCH(DE$1,Products,0),2)="Cores",IF(HostBuild[Use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8" s="553">
        <f>IFERROR(IF(FIND(DF$1,$W148)&gt;0,IF(INDEX(Product_Pricing_Table[],MATCH(DF$1,Products,0),2)="Cores",IF(HostBuild[Use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8" s="553">
        <f>IFERROR(IF(FIND(DG$1,$W148)&gt;0,IF(INDEX(Product_Pricing_Table[],MATCH(DG$1,Products,0),2)="Cores",IF(HostBuild[Use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8" s="552">
        <f>IFERROR(IF(FIND(DH$1,$W148)&gt;0,IF(INDEX(Product_Pricing_Table[],MATCH(DH$1,Products,0),2)="Cores",IF(HostBuild[Use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8" s="553">
        <f>IFERROR(IF(FIND(DI$1,$W148)&gt;0,IF(INDEX(Product_Pricing_Table[],MATCH(DI$1,Products,0),2)="Cores",IF(HostBuild[Use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8" s="552">
        <f>IFERROR(IF(FIND(DJ$1,$W148)&gt;0,IF(INDEX(Product_Pricing_Table[],MATCH(DJ$1,Products,0),2)="Cores",IF(HostBuild[Use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8" s="552">
        <f>IFERROR(IF(FIND(DK$1,$W148)&gt;0,IF(INDEX(Product_Pricing_Table[],MATCH(DK$1,Products,0),2)="Cores",IF(HostBuild[Use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8" s="552">
        <f>IFERROR(IF(FIND(DL$1,$W148)&gt;0,IF(INDEX(Product_Pricing_Table[],MATCH(DL$1,Products,0),2)="Cores",IF(HostBuild[Use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8" s="552">
        <f>IFERROR(IF(FIND(DM$1,$W148)&gt;0,IF(INDEX(Product_Pricing_Table[],MATCH(DM$1,Products,0),2)="Cores",IF(HostBuild[Use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8" s="552">
        <f>IFERROR(IF(FIND(DN$1,$W148)&gt;0,IF(INDEX(Product_Pricing_Table[],MATCH(DN$1,Products,0),2)="Cores",IF(HostBuild[Use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8" s="552">
        <f>IFERROR(IF(FIND(DO$1,$W148)&gt;0,IF(INDEX(Product_Pricing_Table[],MATCH(DO$1,Products,0),2)="Cores",IF(HostBuild[Use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8" s="552">
        <f>IFERROR(IF(FIND(DP$1,$W148)&gt;0,IF(INDEX(Product_Pricing_Table[],MATCH(DP$1,Products,0),2)="Cores",IF(HostBuild[Use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8" s="552">
        <f>IFERROR(IF(FIND(DQ$1,$W148)&gt;0,IF(INDEX(Product_Pricing_Table[],MATCH(DQ$1,Products,0),2)="Cores",IF(HostBuild[Use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8" s="552">
        <f>IFERROR(IF(FIND(DR$1,$W148)&gt;0,IF(INDEX(Product_Pricing_Table[],MATCH(DR$1,Products,0),2)="Cores",IF(HostBuild[Use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8" s="552">
        <f>IFERROR(IF(FIND(DS$1,$W148)&gt;0,IF(INDEX(Product_Pricing_Table[],MATCH(DS$1,Products,0),2)="Cores",IF(HostBuild[Use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8" s="552">
        <f>IFERROR(IF(FIND(DT$1,$W148)&gt;0,IF(INDEX(Product_Pricing_Table[],MATCH(DT$1,Products,0),2)="Cores",IF(HostBuild[Use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8" s="552">
        <f>IFERROR(IF(FIND(DU$1,$W148)&gt;0,IF(INDEX(Product_Pricing_Table[],MATCH(DU$1,Products,0),2)="Cores",IF(HostBuild[Use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8" s="552">
        <f>IFERROR(IF(FIND(DV$1,$W148)&gt;0,IF(INDEX(Product_Pricing_Table[],MATCH(DV$1,Products,0),2)="Cores",IF(HostBuild[Use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8" s="552">
        <f>IFERROR(IF(FIND(DW$1,$W148)&gt;0,IF(INDEX(Product_Pricing_Table[],MATCH(DW$1,Products,0),2)="Cores",IF(HostBuild[Use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8" s="552">
        <f>IFERROR(IF(FIND(DX$1,$W148)&gt;0,IF(INDEX(Product_Pricing_Table[],MATCH(DX$1,Products,0),2)="Cores",IF(HostBuild[Use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8" s="552">
        <f>IFERROR(IF(FIND(DY$1,$W148)&gt;0,IF(INDEX(Product_Pricing_Table[],MATCH(DY$1,Products,0),2)="Cores",IF(HostBuild[Use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8" s="552">
        <f>IFERROR(IF(FIND(DZ$1,$W148)&gt;0,IF(INDEX(Product_Pricing_Table[],MATCH(DZ$1,Products,0),2)="Cores",IF(HostBuild[Use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8" s="552">
        <f>IFERROR(IF(FIND(EA$1,$W148)&gt;0,IF(INDEX(Product_Pricing_Table[],MATCH(EA$1,Products,0),2)="Cores",IF(HostBuild[Use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8" s="552">
        <f>IFERROR(IF(FIND(EB$1,$W148)&gt;0,IF(INDEX(Product_Pricing_Table[],MATCH(EB$1,Products,0),2)="Cores",IF(HostBuild[Use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8" s="553">
        <f>IFERROR(IF(FIND(EC$1,$W148)&gt;0,IF(INDEX(Product_Pricing_Table[],MATCH(EC$1,Products,0),2)="Cores",IF(HostBuild[Use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8" s="552">
        <f>IFERROR(IF(FIND(ED$1,$W148)&gt;0,IF(INDEX(Product_Pricing_Table[],MATCH(ED$1,Products,0),2)="Cores",IF(HostBuild[Use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8" s="552">
        <f>IFERROR(IF(FIND(EE$1,$W148)&gt;0,IF(INDEX(Product_Pricing_Table[],MATCH(EE$1,Products,0),2)="Cores",IF(HostBuild[Use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8" s="552">
        <f>IFERROR(IF(FIND(EF$1,$W148)&gt;0,IF(INDEX(Product_Pricing_Table[],MATCH(EF$1,Products,0),2)="Cores",IF(HostBuild[Use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8" s="552">
        <f>IFERROR(IF(FIND(EG$1,$W148)&gt;0,IF(INDEX(Product_Pricing_Table[],MATCH(EG$1,Products,0),2)="Cores",IF(HostBuild[Use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8" s="552">
        <f>IFERROR(IF(FIND(EH$1,$W148)&gt;0,IF(INDEX(Product_Pricing_Table[],MATCH(EH$1,Products,0),2)="Cores",IF(HostBuild[Use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8" s="552">
        <f>IFERROR(IF(FIND(EI$1,$W148)&gt;0,IF(INDEX(Product_Pricing_Table[],MATCH(EI$1,Products,0),2)="Cores",IF(HostBuild[Use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8" s="552">
        <f>IFERROR(IF(FIND(EJ$1,$W148)&gt;0,IF(INDEX(Product_Pricing_Table[],MATCH(EJ$1,Products,0),2)="Cores",IF(HostBuild[Use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8" s="553">
        <f>IFERROR(IF(FIND(EK$1,$W148)&gt;0,IF(INDEX(Product_Pricing_Table[],MATCH(EK$1,Products,0),2)="Cores",IF(HostBuild[Use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8" s="554"/>
      <c r="EM148" s="555"/>
      <c r="EN148" s="556"/>
      <c r="EO148" s="557">
        <f>IF(OR(ISBLANK(HostBuild[Alias]),HostBuild[Server Tier]="",),0,IF(HostBuild[Server Tier]="SafeNet",Safenet_PSE_PL600+HostBuild[Network Cost],IF(HostBuild[Server Tier]="VMware",HostBuild[New VMware (Adjusted)]+HostBuild[Initial Server Cost],IF(HostBuild[Server Tier]="XI52",IBM_DIA_XI52,HostBuild[Initial Server Cost]))))</f>
        <v>888.7</v>
      </c>
      <c r="EP148"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773.41500000000019</v>
      </c>
      <c r="EQ148" s="558">
        <f>(HostBuild[Archive
Full (GB)]+HostBuild[Archive
Incr (GB)])*Storage_DC_Dist_Tape_2014</f>
        <v>172.94418750000003</v>
      </c>
      <c r="ER148" s="558">
        <f>IF(ISNUMBER(HostBuild[Server HW Costs
(Monthly)]),SUM(HostBuild[[#This Row],[Server HW Costs
(Monthly)]:[Tape Costs
(Monthly)]]),0)</f>
        <v>1835.0591875000002</v>
      </c>
      <c r="ES148" s="559">
        <f>HostBuild[Software Costs
'[Year 1']
(Monthly)]+HostBuild[Total Hardware Costs
(Monthly)]</f>
        <v>1835.0591875000002</v>
      </c>
      <c r="ET148" s="559">
        <f>IFERROR(IF(FIND("Safenet",HostBuild[Server Model]),Safenet_PSE_PL600_Maint,0),0)+IFERROR(IF(FIND("XI52",HostBuild[Server Model]),IBM_DIA_XI52_Maint,0),0)+HostBuild[Software Costs
'[After Year 1']
(Monthly)]+HostBuild[Total Hardware Costs
(Monthly)]</f>
        <v>1835.0591875000002</v>
      </c>
      <c r="EU148" s="560">
        <f>SUM(HostBuild[[#This Row],[Server Cost Breakdown]:[Network Cost]])</f>
        <v>888.7</v>
      </c>
      <c r="EV148" s="561">
        <f>IF(HostBuild[Existing Server?]="Yes - Inside this BoM",0,SUMIF(HostBuild[Alias],HostBuild[Alias],HostBuild[CPU])+SUMIF(HostBuild[Alias],HostBuild[Alias],HostBuild[Existing CPUs]))</f>
        <v>2</v>
      </c>
      <c r="EW148" s="561">
        <f>IF(HostBuild[Existing Server?]="Yes - Inside this BoM",0,SUMIF(HostBuild[Alias],HostBuild[Alias],HostBuild[Cores 
(Licensed Units)])+SUMIF(HostBuild[Alias],HostBuild[Alias],HostBuild[Existing Cores]))</f>
        <v>16</v>
      </c>
      <c r="EX148" s="561">
        <f>IF(HostBuild[Existing Server?]="Yes - Inside this BoM",0,SUMIF(HostBuild[Alias],HostBuild[Alias],HostBuild[RAM 
(GB)])+SUMIF(HostBuild[Alias],HostBuild[Alias],HostBuild[Existing RAM (GB)]))</f>
        <v>128</v>
      </c>
      <c r="EY148"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8"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8"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8"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8" s="560">
        <f>IF(ISBLANK(HostBuild[Server Model]),0,IF(HostBuild[Server Tier]="VMware",0,VLOOKUP(HostBuild[Server Tier],ServerTierRates[#Data],2,0))*HostBuild[CPU]*IF(AND(HostBuild[Server Type]="pSeries",HostBuild[Virtual Platform Storage Type]="Cloud-SAN"),0.25,1))</f>
        <v>608</v>
      </c>
      <c r="FD148" s="560">
        <f>0</f>
        <v>0</v>
      </c>
      <c r="FE148" s="560">
        <f>IF(HostBuild[Server Type]="VMware",HostBuild[RAM 
(GB)]*IF(ISERROR(FIND("DevCloud", HostBuild[Server Model])&gt;0),vRAM_per_vCPU_2014_Monthly,vRAM_per_vCPU_2014_Daily*30),0)</f>
        <v>0</v>
      </c>
      <c r="FF148"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93.600000000000009</v>
      </c>
      <c r="FG148"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8" s="563">
        <f>IF(HostBuild[Server Tier]="VMware",0,IF(LEFT(HostBuild[Existing Server?],3)="Yes",0,IF(OR(HostBuild[Server Type]="Sun",HostBuild[Server Type]="pSeries"),Support_Direct_Server_Sun_per_OS_2014,IF(HostBuild[Server Type]="x86",Support_Direct_Server_x86_Wintel_per_OS_2014,0))))</f>
        <v>187.1</v>
      </c>
      <c r="FI148"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49" spans="1:165" s="139" customFormat="1" ht="15" customHeight="1">
      <c r="A149" s="360" t="s">
        <v>3942</v>
      </c>
      <c r="B149" s="521"/>
      <c r="C149" s="521"/>
      <c r="D149" s="521"/>
      <c r="E149" s="522"/>
      <c r="F149" s="522"/>
      <c r="G149" s="597"/>
      <c r="H149" s="597"/>
      <c r="I149" s="523"/>
      <c r="J149" s="522"/>
      <c r="K149" s="522"/>
      <c r="L149" s="522"/>
      <c r="M149" s="597" t="e">
        <f ca="1">IF(rngIsDate(HostBuild[CTO Acceptance]),"Y","N")</f>
        <v>#NAME?</v>
      </c>
      <c r="N149" s="361" t="s">
        <v>4102</v>
      </c>
      <c r="O149" s="525"/>
      <c r="P149" s="525"/>
      <c r="Q149" s="361" t="s">
        <v>213</v>
      </c>
      <c r="R149" s="526" t="str">
        <f>IF(NOT(ISBLANK(HostBuild[Env Label])),IFERROR(VLOOKUP(HostBuild[Env Label],tEnv[],3,FALSE),""),"")</f>
        <v>SIT</v>
      </c>
      <c r="S149" s="598"/>
      <c r="T149" s="527"/>
      <c r="U149" s="599"/>
      <c r="V149" s="524" t="s">
        <v>4020</v>
      </c>
      <c r="W149" s="524" t="s">
        <v>4046</v>
      </c>
      <c r="X149" s="524" t="s">
        <v>32</v>
      </c>
      <c r="Y149" s="361" t="s">
        <v>4067</v>
      </c>
      <c r="Z149" s="526" t="str">
        <f>IF(NOT(ISBLANK(HostBuild[[#This Row],[Product 
(Acronym)]])),CONCATENATE(HostBuild[[#This Row],[Type]],"-",HostBuild[[#This Row],[Product 
(Acronym)]]),"")</f>
        <v>DB-CBOL</v>
      </c>
      <c r="AA149" s="600"/>
      <c r="AB149" s="600" t="s">
        <v>105</v>
      </c>
      <c r="AC149" s="528"/>
      <c r="AD149" s="529"/>
      <c r="AE149" s="529"/>
      <c r="AF149" s="530"/>
      <c r="AG149" s="531"/>
      <c r="AH149" s="601"/>
      <c r="AI149" s="362" t="s">
        <v>4081</v>
      </c>
      <c r="AJ149" s="524">
        <f>IF(COUNTIF(HostBuild[Alias],HostBuild[Alias]),1/COUNTIF(HostBuild[Alias],HostBuild[Alias]),0)</f>
        <v>1</v>
      </c>
      <c r="AK149" s="531"/>
      <c r="AL149" s="531"/>
      <c r="AM149" s="532" t="s">
        <v>314</v>
      </c>
      <c r="AN149" s="533" t="str">
        <f>IF(NOT(ISBLANK(HostBuild[Server Model])),VLOOKUP(HostBuild[Server Model],ServerModelsTier[],2,FALSE),"")</f>
        <v>IBM P-Series Tier 2</v>
      </c>
      <c r="AO149" s="533" t="str">
        <f>IF(NOT(ISBLANK(HostBuild[Server Model])),VLOOKUP(HostBuild[Server Model],ServerModelsTier[],5,FALSE),"")</f>
        <v>pSeries</v>
      </c>
      <c r="AP149" s="532"/>
      <c r="AQ149" s="532" t="s">
        <v>24</v>
      </c>
      <c r="AR149" s="534">
        <v>1</v>
      </c>
      <c r="AS149" s="602"/>
      <c r="AT149" s="535">
        <v>1</v>
      </c>
      <c r="AU149" s="603"/>
      <c r="AV149" s="536">
        <v>128</v>
      </c>
      <c r="AW149" s="531"/>
      <c r="AX149" s="531"/>
      <c r="AY149" s="531"/>
      <c r="AZ149" s="537"/>
      <c r="BA149" s="531"/>
      <c r="BB149" s="531"/>
      <c r="BC149" s="529"/>
      <c r="BD149" s="531"/>
      <c r="BE149" s="531"/>
      <c r="BF149" s="531"/>
      <c r="BG149" s="531"/>
      <c r="BH149" s="531"/>
      <c r="BI149" s="531"/>
      <c r="BJ149" s="531"/>
      <c r="BK149"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149" s="538">
        <v>600</v>
      </c>
      <c r="BM149" s="540">
        <f>IF(ISNUMBER(HostBuild[Recommended SAN (GB)]),HostBuild[Recommended SAN (GB)])+IF(HostBuild[Additional SAN (GB)]&gt;0,CEILING(HostBuild[Additional SAN (GB)],LUN),-(CEILING(-HostBuild[Additional SAN (GB)],LUN)))</f>
        <v>606.6</v>
      </c>
      <c r="BN149" s="539"/>
      <c r="BO149" s="540">
        <f>HostBuild[SAN (GB)
NEEDED TODAY]+CEILING(HostBuild[SAN (GB)
RESERVED
DO NOT USE TO BUILD], LUN)</f>
        <v>606.6</v>
      </c>
      <c r="BP149" s="541"/>
      <c r="BQ149" s="542"/>
      <c r="BR149" s="432"/>
      <c r="BS149" s="605">
        <f>IF(HostBuild[Existing Server?]&lt;&gt;"Yes - Inside this BoM",IF(ISNUMBER(HostBuild[RAM 
(GB)]),IF(HostBuild[Existing RAM (GB)]+HostBuild[RAM 
(GB)]&gt;0,IF(HostBuild[Virtual Platform Storage Type]="NAS",110+HostBuild[Existing RAM (GB)]+HostBuild[RAM 
(GB)]*1.75,0),0),0),0)</f>
        <v>0</v>
      </c>
      <c r="BT149" s="606"/>
      <c r="BU149" s="607">
        <f>IF(ISNUMBER(HostBuild[Recommended NAS (GB)]),HostBuild[Recommended NAS (GB)])+HostBuild[Additional NAS (GB)]</f>
        <v>0</v>
      </c>
      <c r="BV149" s="543"/>
      <c r="BW149" s="543"/>
      <c r="BX149" s="604">
        <f>IFERROR((HostBuild[SAN (GB)
End-State
DO NOT USE TO BUILD]+HostBuild[SAN (GB) Shared])*25%,"")</f>
        <v>151.65</v>
      </c>
      <c r="BY149" s="608">
        <f>IFERROR(HostBuild[Archive
Full (GB)]*15%,"")</f>
        <v>22.747499999999999</v>
      </c>
      <c r="BZ149" s="544"/>
      <c r="CA149" s="544"/>
      <c r="CB149" s="545"/>
      <c r="CC149" s="546"/>
      <c r="CD149" s="545"/>
      <c r="CE149" s="547"/>
      <c r="CF149" s="539"/>
      <c r="CG149" s="609"/>
      <c r="CH149" s="548"/>
      <c r="CI149" s="549"/>
      <c r="CJ149" s="550"/>
      <c r="CK149" s="551"/>
      <c r="CL149" s="552">
        <f>IFERROR(IF(FIND(CL$1,$W149)&gt;0,IF(INDEX(Product_Pricing_Table[],MATCH(CL$1,Products,0),2)="Cores",IF(HostBuild[Use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49" s="552">
        <f>IFERROR(IF(FIND(CM$1,$W149)&gt;0,IF(INDEX(Product_Pricing_Table[],MATCH(CM$1,Products,0),2)="Cores",IF(HostBuild[Use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49" s="552">
        <f>IFERROR(IF(FIND(CN$1,$W149)&gt;0,IF(INDEX(Product_Pricing_Table[],MATCH(CN$1,Products,0),2)="Cores",IF(HostBuild[Use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49" s="552">
        <f>IFERROR(IF(FIND(CO$1,$W149)&gt;0,IF(INDEX(Product_Pricing_Table[],MATCH(CO$1,Products,0),2)="Cores",IF(HostBuild[Use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49" s="552">
        <f>IFERROR(IF(FIND(CP$1,$W149)&gt;0,IF(INDEX(Product_Pricing_Table[],MATCH(CP$1,Products,0),2)="Cores",IF(HostBuild[Use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49" s="552">
        <f>IFERROR(IF(FIND(CQ$1,$W149)&gt;0,IF(INDEX(Product_Pricing_Table[],MATCH(CQ$1,Products,0),2)="Cores",IF(HostBuild[Use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49" s="552">
        <f>IFERROR(IF(FIND(CR$1,$W149)&gt;0,IF(INDEX(Product_Pricing_Table[],MATCH(CR$1,Products,0),2)="Cores",IF(HostBuild[Use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49" s="552">
        <f>IFERROR(IF(FIND(CS$1,$W149)&gt;0,IF(INDEX(Product_Pricing_Table[],MATCH(CS$1,Products,0),2)="Cores",IF(HostBuild[Use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49" s="552">
        <f>IFERROR(IF(FIND(CT$1,$W149)&gt;0,IF(INDEX(Product_Pricing_Table[],MATCH(CT$1,Products,0),2)="Cores",IF(HostBuild[Use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49" s="552">
        <f>IFERROR(IF(FIND(CU$1,$W149)&gt;0,IF(INDEX(Product_Pricing_Table[],MATCH(CU$1,Products,0),2)="Cores",IF(HostBuild[Use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49" s="552">
        <f>IFERROR(IF(FIND(CV$1,$W149)&gt;0,IF(INDEX(Product_Pricing_Table[],MATCH(CV$1,Products,0),2)="Cores",IF(HostBuild[Use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49" s="552">
        <f>IFERROR(IF(FIND(CW$1,$W149)&gt;0,IF(INDEX(Product_Pricing_Table[],MATCH(CW$1,Products,0),2)="Cores",IF(HostBuild[Use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49" s="552">
        <f>IFERROR(IF(FIND(CX$1,$W149)&gt;0,IF(INDEX(Product_Pricing_Table[],MATCH(CX$1,Products,0),2)="Cores",IF(HostBuild[Use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49" s="552">
        <f>IFERROR(IF(FIND(CY$1,$W149)&gt;0,IF(INDEX(Product_Pricing_Table[],MATCH(CY$1,Products,0),2)="Cores",IF(HostBuild[Use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49" s="552">
        <f>IFERROR(IF(FIND(CZ$1,$W149)&gt;0,IF(INDEX(Product_Pricing_Table[],MATCH(CZ$1,Products,0),2)="Cores",IF(HostBuild[Use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49" s="552">
        <f>IFERROR(IF(FIND(DA$1,$W149)&gt;0,IF(INDEX(Product_Pricing_Table[],MATCH(DA$1,Products,0),2)="Cores",IF(HostBuild[Use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49" s="552">
        <f>IFERROR(IF(FIND(DB$1,$W149)&gt;0,IF(INDEX(Product_Pricing_Table[],MATCH(DB$1,Products,0),2)="Cores",IF(HostBuild[Use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49" s="552">
        <f>IFERROR(IF(FIND(DC$1,$W149)&gt;0,IF(INDEX(Product_Pricing_Table[],MATCH(DC$1,Products,0),2)="Cores",IF(HostBuild[Use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49" s="552">
        <f>IFERROR(IF(FIND(DD$1,$W149)&gt;0,IF(INDEX(Product_Pricing_Table[],MATCH(DD$1,Products,0),2)="Cores",IF(HostBuild[Use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49" s="552">
        <f>IFERROR(IF(FIND(DE$1,$W149)&gt;0,IF(INDEX(Product_Pricing_Table[],MATCH(DE$1,Products,0),2)="Cores",IF(HostBuild[Use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49" s="553">
        <f>IFERROR(IF(FIND(DF$1,$W149)&gt;0,IF(INDEX(Product_Pricing_Table[],MATCH(DF$1,Products,0),2)="Cores",IF(HostBuild[Use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49" s="553">
        <f>IFERROR(IF(FIND(DG$1,$W149)&gt;0,IF(INDEX(Product_Pricing_Table[],MATCH(DG$1,Products,0),2)="Cores",IF(HostBuild[Use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49" s="552">
        <f>IFERROR(IF(FIND(DH$1,$W149)&gt;0,IF(INDEX(Product_Pricing_Table[],MATCH(DH$1,Products,0),2)="Cores",IF(HostBuild[Use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49" s="553">
        <f>IFERROR(IF(FIND(DI$1,$W149)&gt;0,IF(INDEX(Product_Pricing_Table[],MATCH(DI$1,Products,0),2)="Cores",IF(HostBuild[Use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49" s="552">
        <f>IFERROR(IF(FIND(DJ$1,$W149)&gt;0,IF(INDEX(Product_Pricing_Table[],MATCH(DJ$1,Products,0),2)="Cores",IF(HostBuild[Use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49" s="552">
        <f>IFERROR(IF(FIND(DK$1,$W149)&gt;0,IF(INDEX(Product_Pricing_Table[],MATCH(DK$1,Products,0),2)="Cores",IF(HostBuild[Use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49" s="552">
        <f>IFERROR(IF(FIND(DL$1,$W149)&gt;0,IF(INDEX(Product_Pricing_Table[],MATCH(DL$1,Products,0),2)="Cores",IF(HostBuild[Use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49" s="552">
        <f>IFERROR(IF(FIND(DM$1,$W149)&gt;0,IF(INDEX(Product_Pricing_Table[],MATCH(DM$1,Products,0),2)="Cores",IF(HostBuild[Use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49" s="552">
        <f>IFERROR(IF(FIND(DN$1,$W149)&gt;0,IF(INDEX(Product_Pricing_Table[],MATCH(DN$1,Products,0),2)="Cores",IF(HostBuild[Use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49" s="552">
        <f>IFERROR(IF(FIND(DO$1,$W149)&gt;0,IF(INDEX(Product_Pricing_Table[],MATCH(DO$1,Products,0),2)="Cores",IF(HostBuild[Use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49" s="552">
        <f>IFERROR(IF(FIND(DP$1,$W149)&gt;0,IF(INDEX(Product_Pricing_Table[],MATCH(DP$1,Products,0),2)="Cores",IF(HostBuild[Use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49" s="552">
        <f>IFERROR(IF(FIND(DQ$1,$W149)&gt;0,IF(INDEX(Product_Pricing_Table[],MATCH(DQ$1,Products,0),2)="Cores",IF(HostBuild[Use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49" s="552">
        <f>IFERROR(IF(FIND(DR$1,$W149)&gt;0,IF(INDEX(Product_Pricing_Table[],MATCH(DR$1,Products,0),2)="Cores",IF(HostBuild[Use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49" s="552">
        <f>IFERROR(IF(FIND(DS$1,$W149)&gt;0,IF(INDEX(Product_Pricing_Table[],MATCH(DS$1,Products,0),2)="Cores",IF(HostBuild[Use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49" s="552">
        <f>IFERROR(IF(FIND(DT$1,$W149)&gt;0,IF(INDEX(Product_Pricing_Table[],MATCH(DT$1,Products,0),2)="Cores",IF(HostBuild[Use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49" s="552">
        <f>IFERROR(IF(FIND(DU$1,$W149)&gt;0,IF(INDEX(Product_Pricing_Table[],MATCH(DU$1,Products,0),2)="Cores",IF(HostBuild[Use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49" s="552">
        <f>IFERROR(IF(FIND(DV$1,$W149)&gt;0,IF(INDEX(Product_Pricing_Table[],MATCH(DV$1,Products,0),2)="Cores",IF(HostBuild[Use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49" s="552">
        <f>IFERROR(IF(FIND(DW$1,$W149)&gt;0,IF(INDEX(Product_Pricing_Table[],MATCH(DW$1,Products,0),2)="Cores",IF(HostBuild[Use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49" s="552">
        <f>IFERROR(IF(FIND(DX$1,$W149)&gt;0,IF(INDEX(Product_Pricing_Table[],MATCH(DX$1,Products,0),2)="Cores",IF(HostBuild[Use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49" s="552">
        <f>IFERROR(IF(FIND(DY$1,$W149)&gt;0,IF(INDEX(Product_Pricing_Table[],MATCH(DY$1,Products,0),2)="Cores",IF(HostBuild[Use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49" s="552">
        <f>IFERROR(IF(FIND(DZ$1,$W149)&gt;0,IF(INDEX(Product_Pricing_Table[],MATCH(DZ$1,Products,0),2)="Cores",IF(HostBuild[Use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49" s="552">
        <f>IFERROR(IF(FIND(EA$1,$W149)&gt;0,IF(INDEX(Product_Pricing_Table[],MATCH(EA$1,Products,0),2)="Cores",IF(HostBuild[Use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49" s="552">
        <f>IFERROR(IF(FIND(EB$1,$W149)&gt;0,IF(INDEX(Product_Pricing_Table[],MATCH(EB$1,Products,0),2)="Cores",IF(HostBuild[Use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49" s="553">
        <f>IFERROR(IF(FIND(EC$1,$W149)&gt;0,IF(INDEX(Product_Pricing_Table[],MATCH(EC$1,Products,0),2)="Cores",IF(HostBuild[Use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49" s="552">
        <f>IFERROR(IF(FIND(ED$1,$W149)&gt;0,IF(INDEX(Product_Pricing_Table[],MATCH(ED$1,Products,0),2)="Cores",IF(HostBuild[Use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49" s="552">
        <f>IFERROR(IF(FIND(EE$1,$W149)&gt;0,IF(INDEX(Product_Pricing_Table[],MATCH(EE$1,Products,0),2)="Cores",IF(HostBuild[Use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49" s="552">
        <f>IFERROR(IF(FIND(EF$1,$W149)&gt;0,IF(INDEX(Product_Pricing_Table[],MATCH(EF$1,Products,0),2)="Cores",IF(HostBuild[Use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49" s="552">
        <f>IFERROR(IF(FIND(EG$1,$W149)&gt;0,IF(INDEX(Product_Pricing_Table[],MATCH(EG$1,Products,0),2)="Cores",IF(HostBuild[Use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49" s="552">
        <f>IFERROR(IF(FIND(EH$1,$W149)&gt;0,IF(INDEX(Product_Pricing_Table[],MATCH(EH$1,Products,0),2)="Cores",IF(HostBuild[Use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49" s="552">
        <f>IFERROR(IF(FIND(EI$1,$W149)&gt;0,IF(INDEX(Product_Pricing_Table[],MATCH(EI$1,Products,0),2)="Cores",IF(HostBuild[Use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49" s="552">
        <f>IFERROR(IF(FIND(EJ$1,$W149)&gt;0,IF(INDEX(Product_Pricing_Table[],MATCH(EJ$1,Products,0),2)="Cores",IF(HostBuild[Use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49" s="553">
        <f>IFERROR(IF(FIND(EK$1,$W149)&gt;0,IF(INDEX(Product_Pricing_Table[],MATCH(EK$1,Products,0),2)="Cores",IF(HostBuild[Use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49" s="554"/>
      <c r="EM149" s="555"/>
      <c r="EN149" s="556"/>
      <c r="EO149" s="557">
        <f>IF(OR(ISBLANK(HostBuild[Alias]),HostBuild[Server Tier]="",),0,IF(HostBuild[Server Tier]="SafeNet",Safenet_PSE_PL600+HostBuild[Network Cost],IF(HostBuild[Server Tier]="VMware",HostBuild[New VMware (Adjusted)]+HostBuild[Initial Server Cost],IF(HostBuild[Server Tier]="XI52",IBM_DIA_XI52,HostBuild[Initial Server Cost]))))</f>
        <v>2024.1</v>
      </c>
      <c r="EP149"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272.97000000000003</v>
      </c>
      <c r="EQ149" s="558">
        <f>(HostBuild[Archive
Full (GB)]+HostBuild[Archive
Incr (GB)])*Storage_DC_Dist_Tape_2014</f>
        <v>61.039124999999999</v>
      </c>
      <c r="ER149" s="558">
        <f>IF(ISNUMBER(HostBuild[Server HW Costs
(Monthly)]),SUM(HostBuild[[#This Row],[Server HW Costs
(Monthly)]:[Tape Costs
(Monthly)]]),0)</f>
        <v>2358.1091249999995</v>
      </c>
      <c r="ES149" s="559">
        <f>HostBuild[Software Costs
'[Year 1']
(Monthly)]+HostBuild[Total Hardware Costs
(Monthly)]</f>
        <v>2358.1091249999995</v>
      </c>
      <c r="ET149" s="559">
        <f>IFERROR(IF(FIND("Safenet",HostBuild[Server Model]),Safenet_PSE_PL600_Maint,0),0)+IFERROR(IF(FIND("XI52",HostBuild[Server Model]),IBM_DIA_XI52_Maint,0),0)+HostBuild[Software Costs
'[After Year 1']
(Monthly)]+HostBuild[Total Hardware Costs
(Monthly)]</f>
        <v>2358.1091249999995</v>
      </c>
      <c r="EU149" s="560">
        <f>SUM(HostBuild[[#This Row],[Server Cost Breakdown]:[Network Cost]])</f>
        <v>2024.1</v>
      </c>
      <c r="EV149" s="561">
        <f>IF(HostBuild[Existing Server?]="Yes - Inside this BoM",0,SUMIF(HostBuild[Alias],HostBuild[Alias],HostBuild[CPU])+SUMIF(HostBuild[Alias],HostBuild[Alias],HostBuild[Existing CPUs]))</f>
        <v>1</v>
      </c>
      <c r="EW149" s="561">
        <f>IF(HostBuild[Existing Server?]="Yes - Inside this BoM",0,SUMIF(HostBuild[Alias],HostBuild[Alias],HostBuild[Cores 
(Licensed Units)])+SUMIF(HostBuild[Alias],HostBuild[Alias],HostBuild[Existing Cores]))</f>
        <v>1</v>
      </c>
      <c r="EX149" s="561">
        <f>IF(HostBuild[Existing Server?]="Yes - Inside this BoM",0,SUMIF(HostBuild[Alias],HostBuild[Alias],HostBuild[RAM 
(GB)])+SUMIF(HostBuild[Alias],HostBuild[Alias],HostBuild[Existing RAM (GB)]))</f>
        <v>128</v>
      </c>
      <c r="EY149"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49"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49"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49"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49" s="560">
        <f>IF(ISBLANK(HostBuild[Server Model]),0,IF(HostBuild[Server Tier]="VMware",0,VLOOKUP(HostBuild[Server Tier],ServerTierRates[#Data],2,0))*HostBuild[CPU]*IF(AND(HostBuild[Server Type]="pSeries",HostBuild[Virtual Platform Storage Type]="Cloud-SAN"),0.25,1))</f>
        <v>829</v>
      </c>
      <c r="FD149" s="560">
        <f>0</f>
        <v>0</v>
      </c>
      <c r="FE149" s="560">
        <f>IF(HostBuild[Server Type]="VMware",HostBuild[RAM 
(GB)]*IF(ISERROR(FIND("DevCloud", HostBuild[Server Model])&gt;0),vRAM_per_vCPU_2014_Monthly,vRAM_per_vCPU_2014_Daily*30),0)</f>
        <v>0</v>
      </c>
      <c r="FF149"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1008</v>
      </c>
      <c r="FG149"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49" s="563">
        <f>IF(HostBuild[Server Tier]="VMware",0,IF(LEFT(HostBuild[Existing Server?],3)="Yes",0,IF(OR(HostBuild[Server Type]="Sun",HostBuild[Server Type]="pSeries"),Support_Direct_Server_Sun_per_OS_2014,IF(HostBuild[Server Type]="x86",Support_Direct_Server_x86_Wintel_per_OS_2014,0))))</f>
        <v>187.1</v>
      </c>
      <c r="FI149"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0" spans="1:165" s="139" customFormat="1" ht="15" customHeight="1" thickBot="1">
      <c r="A150" s="360" t="s">
        <v>3942</v>
      </c>
      <c r="B150" s="521"/>
      <c r="C150" s="521"/>
      <c r="D150" s="521"/>
      <c r="E150" s="522"/>
      <c r="F150" s="522"/>
      <c r="G150" s="597"/>
      <c r="H150" s="597"/>
      <c r="I150" s="523"/>
      <c r="J150" s="522"/>
      <c r="K150" s="522"/>
      <c r="L150" s="522"/>
      <c r="M150" s="597" t="e">
        <f ca="1">IF(rngIsDate(HostBuild[CTO Acceptance]),"Y","N")</f>
        <v>#NAME?</v>
      </c>
      <c r="N150" s="361" t="s">
        <v>4102</v>
      </c>
      <c r="O150" s="525"/>
      <c r="P150" s="525"/>
      <c r="Q150" s="361" t="s">
        <v>4089</v>
      </c>
      <c r="R150" s="526" t="str">
        <f>IF(NOT(ISBLANK(HostBuild[Env Label])),IFERROR(VLOOKUP(HostBuild[Env Label],tEnv[],3,FALSE),""),"")</f>
        <v>SIT</v>
      </c>
      <c r="S150" s="598"/>
      <c r="T150" s="527"/>
      <c r="U150" s="599"/>
      <c r="V150" s="524" t="s">
        <v>4021</v>
      </c>
      <c r="W150" s="524" t="s">
        <v>4047</v>
      </c>
      <c r="X150" s="524" t="s">
        <v>32</v>
      </c>
      <c r="Y150" s="361" t="s">
        <v>4067</v>
      </c>
      <c r="Z150" s="526" t="str">
        <f>IF(NOT(ISBLANK(HostBuild[[#This Row],[Product 
(Acronym)]])),CONCATENATE(HostBuild[[#This Row],[Type]],"-",HostBuild[[#This Row],[Product 
(Acronym)]]),"")</f>
        <v>DB-CBOL</v>
      </c>
      <c r="AA150" s="600"/>
      <c r="AB150" s="600" t="s">
        <v>105</v>
      </c>
      <c r="AC150" s="528"/>
      <c r="AD150" s="529"/>
      <c r="AE150" s="529"/>
      <c r="AF150" s="530"/>
      <c r="AG150" s="531"/>
      <c r="AH150" s="601"/>
      <c r="AI150" s="362" t="s">
        <v>4082</v>
      </c>
      <c r="AJ150" s="524">
        <f>IF(COUNTIF(HostBuild[Alias],HostBuild[Alias]),1/COUNTIF(HostBuild[Alias],HostBuild[Alias]),0)</f>
        <v>1</v>
      </c>
      <c r="AK150" s="531"/>
      <c r="AL150" s="531"/>
      <c r="AM150" s="532" t="s">
        <v>314</v>
      </c>
      <c r="AN150" s="533" t="str">
        <f>IF(NOT(ISBLANK(HostBuild[Server Model])),VLOOKUP(HostBuild[Server Model],ServerModelsTier[],2,FALSE),"")</f>
        <v>IBM P-Series Tier 2</v>
      </c>
      <c r="AO150" s="533" t="str">
        <f>IF(NOT(ISBLANK(HostBuild[Server Model])),VLOOKUP(HostBuild[Server Model],ServerModelsTier[],5,FALSE),"")</f>
        <v>pSeries</v>
      </c>
      <c r="AP150" s="532"/>
      <c r="AQ150" s="532" t="s">
        <v>24</v>
      </c>
      <c r="AR150" s="534">
        <v>1</v>
      </c>
      <c r="AS150" s="602"/>
      <c r="AT150" s="535">
        <v>2</v>
      </c>
      <c r="AU150" s="603"/>
      <c r="AV150" s="536">
        <v>48</v>
      </c>
      <c r="AW150" s="531"/>
      <c r="AX150" s="531"/>
      <c r="AY150" s="531"/>
      <c r="AZ150" s="537"/>
      <c r="BA150" s="531"/>
      <c r="BB150" s="531"/>
      <c r="BC150" s="529"/>
      <c r="BD150" s="531"/>
      <c r="BE150" s="531"/>
      <c r="BF150" s="531"/>
      <c r="BG150" s="531"/>
      <c r="BH150" s="531"/>
      <c r="BI150" s="531"/>
      <c r="BJ150" s="531"/>
      <c r="BK150" s="604">
        <f>IF(HostBuild[Existing Server?]&lt;&gt;"Yes - Inside this BoM",IF(ISNUMBER(HostBuild[RAM 
(GB)]),IF(HostBuild[Existing RAM (GB)]+HostBuild[RAM 
(GB)]&gt;0,IF(OR(HostBuild[Server Type]="x86",IFERROR(FIND("SAN", HostBuild[Virtual Platform Storage Type]),FALSE)),CEILING(2*LUN+(HostBuild[Existing RAM (GB)]+HostBuild[RAM 
(GB)]),LUN),0),0),0),0)</f>
        <v>0</v>
      </c>
      <c r="BL150" s="538">
        <v>600</v>
      </c>
      <c r="BM150" s="540">
        <f>IF(ISNUMBER(HostBuild[Recommended SAN (GB)]),HostBuild[Recommended SAN (GB)])+IF(HostBuild[Additional SAN (GB)]&gt;0,CEILING(HostBuild[Additional SAN (GB)],LUN),-(CEILING(-HostBuild[Additional SAN (GB)],LUN)))</f>
        <v>606.6</v>
      </c>
      <c r="BN150" s="539"/>
      <c r="BO150" s="540">
        <f>HostBuild[SAN (GB)
NEEDED TODAY]+CEILING(HostBuild[SAN (GB)
RESERVED
DO NOT USE TO BUILD], LUN)</f>
        <v>606.6</v>
      </c>
      <c r="BP150" s="541"/>
      <c r="BQ150" s="542"/>
      <c r="BR150" s="432"/>
      <c r="BS150" s="605">
        <f>IF(HostBuild[Existing Server?]&lt;&gt;"Yes - Inside this BoM",IF(ISNUMBER(HostBuild[RAM 
(GB)]),IF(HostBuild[Existing RAM (GB)]+HostBuild[RAM 
(GB)]&gt;0,IF(HostBuild[Virtual Platform Storage Type]="NAS",110+HostBuild[Existing RAM (GB)]+HostBuild[RAM 
(GB)]*1.75,0),0),0),0)</f>
        <v>0</v>
      </c>
      <c r="BT150" s="606"/>
      <c r="BU150" s="607">
        <f>IF(ISNUMBER(HostBuild[Recommended NAS (GB)]),HostBuild[Recommended NAS (GB)])+HostBuild[Additional NAS (GB)]</f>
        <v>0</v>
      </c>
      <c r="BV150" s="543"/>
      <c r="BW150" s="543"/>
      <c r="BX150" s="604">
        <f>IFERROR((HostBuild[SAN (GB)
End-State
DO NOT USE TO BUILD]+HostBuild[SAN (GB) Shared])*25%,"")</f>
        <v>151.65</v>
      </c>
      <c r="BY150" s="608">
        <f>IFERROR(HostBuild[Archive
Full (GB)]*15%,"")</f>
        <v>22.747499999999999</v>
      </c>
      <c r="BZ150" s="544"/>
      <c r="CA150" s="544"/>
      <c r="CB150" s="545"/>
      <c r="CC150" s="546"/>
      <c r="CD150" s="545"/>
      <c r="CE150" s="547"/>
      <c r="CF150" s="539"/>
      <c r="CG150" s="609"/>
      <c r="CH150" s="548"/>
      <c r="CI150" s="549"/>
      <c r="CJ150" s="524" t="s">
        <v>4047</v>
      </c>
      <c r="CK150" s="551"/>
      <c r="CL150" s="552">
        <f>IFERROR(IF(FIND(CL$1,$W150)&gt;0,IF(INDEX(Product_Pricing_Table[],MATCH(CL$1,Products,0),2)="Cores",IF(HostBuild[Use existing server config towards SW Licensing?]="a",HostBuild[Existing Cores],0)+HostBuild[Cores 
(Licensed Units)],IF(INDEX(Product_Pricing_Table[],MATCH(CL$1,Products,0),2)="CPU",IF(HostBuild[Use existing server config towards SW Licensing?]="a",HostBuild[Existing CPUs],0)+HostBuild[CPU],IF(INDEX(Product_Pricing_Table[],MATCH(CL$1,Products,0),2)="Per Server",IF(OR(AND(HostBuild[Existing Server?]="Yes - Outside this BoM", HostBuild[Use existing server config towards SW Licensing?]="a"),ISNUMBER(HostBuild[CPU])),IF(HostBuild[CPU]&gt;0,1,IF(HostBuild[CPU]&lt;0,-1,0)),0),0)))),0)</f>
        <v>0</v>
      </c>
      <c r="CM150" s="552">
        <f>IFERROR(IF(FIND(CM$1,$W150)&gt;0,IF(INDEX(Product_Pricing_Table[],MATCH(CM$1,Products,0),2)="Cores",IF(HostBuild[Use existing server config towards SW Licensing?]="a",HostBuild[Existing Cores],0)+HostBuild[Cores 
(Licensed Units)],IF(INDEX(Product_Pricing_Table[],MATCH(CM$1,Products,0),2)="CPU",IF(HostBuild[Use existing server config towards SW Licensing?]="a",HostBuild[Existing CPUs],0)+HostBuild[CPU],IF(INDEX(Product_Pricing_Table[],MATCH(CM$1,Products,0),2)="Per Server",IF(OR(AND(HostBuild[Existing Server?]="Yes - Outside this BoM", HostBuild[Use existing server config towards SW Licensing?]="a"),ISNUMBER(HostBuild[CPU])),IF(HostBuild[CPU]&gt;0,1,IF(HostBuild[CPU]&lt;0,-1,0)),0),0)))),0)</f>
        <v>0</v>
      </c>
      <c r="CN150" s="552">
        <f>IFERROR(IF(FIND(CN$1,$W150)&gt;0,IF(INDEX(Product_Pricing_Table[],MATCH(CN$1,Products,0),2)="Cores",IF(HostBuild[Use existing server config towards SW Licensing?]="a",HostBuild[Existing Cores],0)+HostBuild[Cores 
(Licensed Units)],IF(INDEX(Product_Pricing_Table[],MATCH(CN$1,Products,0),2)="CPU",IF(HostBuild[Use existing server config towards SW Licensing?]="a",HostBuild[Existing CPUs],0)+HostBuild[CPU],IF(INDEX(Product_Pricing_Table[],MATCH(CN$1,Products,0),2)="Per Server",IF(OR(AND(HostBuild[Existing Server?]="Yes - Outside this BoM", HostBuild[Use existing server config towards SW Licensing?]="a"),ISNUMBER(HostBuild[CPU])),IF(HostBuild[CPU]&gt;0,1,IF(HostBuild[CPU]&lt;0,-1,0)),0),0)))),0)</f>
        <v>0</v>
      </c>
      <c r="CO150" s="552">
        <f>IFERROR(IF(FIND(CO$1,$W150)&gt;0,IF(INDEX(Product_Pricing_Table[],MATCH(CO$1,Products,0),2)="Cores",IF(HostBuild[Use existing server config towards SW Licensing?]="a",HostBuild[Existing Cores],0)+HostBuild[Cores 
(Licensed Units)],IF(INDEX(Product_Pricing_Table[],MATCH(CO$1,Products,0),2)="CPU",IF(HostBuild[Use existing server config towards SW Licensing?]="a",HostBuild[Existing CPUs],0)+HostBuild[CPU],IF(INDEX(Product_Pricing_Table[],MATCH(CO$1,Products,0),2)="Per Server",IF(OR(AND(HostBuild[Existing Server?]="Yes - Outside this BoM", HostBuild[Use existing server config towards SW Licensing?]="a"),ISNUMBER(HostBuild[CPU])),IF(HostBuild[CPU]&gt;0,1,IF(HostBuild[CPU]&lt;0,-1,0)),0),0)))),0)</f>
        <v>0</v>
      </c>
      <c r="CP150" s="552">
        <f>IFERROR(IF(FIND(CP$1,$W150)&gt;0,IF(INDEX(Product_Pricing_Table[],MATCH(CP$1,Products,0),2)="Cores",IF(HostBuild[Use existing server config towards SW Licensing?]="a",HostBuild[Existing Cores],0)+HostBuild[Cores 
(Licensed Units)],IF(INDEX(Product_Pricing_Table[],MATCH(CP$1,Products,0),2)="CPU",IF(HostBuild[Use existing server config towards SW Licensing?]="a",HostBuild[Existing CPUs],0)+HostBuild[CPU],IF(INDEX(Product_Pricing_Table[],MATCH(CP$1,Products,0),2)="Per Server",IF(OR(AND(HostBuild[Existing Server?]="Yes - Outside this BoM", HostBuild[Use existing server config towards SW Licensing?]="a"),ISNUMBER(HostBuild[CPU])),IF(HostBuild[CPU]&gt;0,1,IF(HostBuild[CPU]&lt;0,-1,0)),0),0)))),0)</f>
        <v>0</v>
      </c>
      <c r="CQ150" s="552">
        <f>IFERROR(IF(FIND(CQ$1,$W150)&gt;0,IF(INDEX(Product_Pricing_Table[],MATCH(CQ$1,Products,0),2)="Cores",IF(HostBuild[Use existing server config towards SW Licensing?]="a",HostBuild[Existing Cores],0)+HostBuild[Cores 
(Licensed Units)],IF(INDEX(Product_Pricing_Table[],MATCH(CQ$1,Products,0),2)="CPU",IF(HostBuild[Use existing server config towards SW Licensing?]="a",HostBuild[Existing CPUs],0)+HostBuild[CPU],IF(INDEX(Product_Pricing_Table[],MATCH(CQ$1,Products,0),2)="Per Server",IF(OR(AND(HostBuild[Existing Server?]="Yes - Outside this BoM", HostBuild[Use existing server config towards SW Licensing?]="a"),ISNUMBER(HostBuild[CPU])),IF(HostBuild[CPU]&gt;0,1,IF(HostBuild[CPU]&lt;0,-1,0)),0),0)))),0)</f>
        <v>0</v>
      </c>
      <c r="CR150" s="552">
        <f>IFERROR(IF(FIND(CR$1,$W150)&gt;0,IF(INDEX(Product_Pricing_Table[],MATCH(CR$1,Products,0),2)="Cores",IF(HostBuild[Use existing server config towards SW Licensing?]="a",HostBuild[Existing Cores],0)+HostBuild[Cores 
(Licensed Units)],IF(INDEX(Product_Pricing_Table[],MATCH(CR$1,Products,0),2)="CPU",IF(HostBuild[Use existing server config towards SW Licensing?]="a",HostBuild[Existing CPUs],0)+HostBuild[CPU],IF(INDEX(Product_Pricing_Table[],MATCH(CR$1,Products,0),2)="Per Server",IF(OR(AND(HostBuild[Existing Server?]="Yes - Outside this BoM", HostBuild[Use existing server config towards SW Licensing?]="a"),ISNUMBER(HostBuild[CPU])),IF(HostBuild[CPU]&gt;0,1,IF(HostBuild[CPU]&lt;0,-1,0)),0),0)))),0)</f>
        <v>0</v>
      </c>
      <c r="CS150" s="552">
        <f>IFERROR(IF(FIND(CS$1,$W150)&gt;0,IF(INDEX(Product_Pricing_Table[],MATCH(CS$1,Products,0),2)="Cores",IF(HostBuild[Use existing server config towards SW Licensing?]="a",HostBuild[Existing Cores],0)+HostBuild[Cores 
(Licensed Units)],IF(INDEX(Product_Pricing_Table[],MATCH(CS$1,Products,0),2)="CPU",IF(HostBuild[Use existing server config towards SW Licensing?]="a",HostBuild[Existing CPUs],0)+HostBuild[CPU],IF(INDEX(Product_Pricing_Table[],MATCH(CS$1,Products,0),2)="Per Server",IF(OR(AND(HostBuild[Existing Server?]="Yes - Outside this BoM", HostBuild[Use existing server config towards SW Licensing?]="a"),ISNUMBER(HostBuild[CPU])),IF(HostBuild[CPU]&gt;0,1,IF(HostBuild[CPU]&lt;0,-1,0)),0),0)))),0)</f>
        <v>0</v>
      </c>
      <c r="CT150" s="552">
        <f>IFERROR(IF(FIND(CT$1,$W150)&gt;0,IF(INDEX(Product_Pricing_Table[],MATCH(CT$1,Products,0),2)="Cores",IF(HostBuild[Use existing server config towards SW Licensing?]="a",HostBuild[Existing Cores],0)+HostBuild[Cores 
(Licensed Units)],IF(INDEX(Product_Pricing_Table[],MATCH(CT$1,Products,0),2)="CPU",IF(HostBuild[Use existing server config towards SW Licensing?]="a",HostBuild[Existing CPUs],0)+HostBuild[CPU],IF(INDEX(Product_Pricing_Table[],MATCH(CT$1,Products,0),2)="Per Server",IF(OR(AND(HostBuild[Existing Server?]="Yes - Outside this BoM", HostBuild[Use existing server config towards SW Licensing?]="a"),ISNUMBER(HostBuild[CPU])),IF(HostBuild[CPU]&gt;0,1,IF(HostBuild[CPU]&lt;0,-1,0)),0),0)))),0)</f>
        <v>0</v>
      </c>
      <c r="CU150" s="552">
        <f>IFERROR(IF(FIND(CU$1,$W150)&gt;0,IF(INDEX(Product_Pricing_Table[],MATCH(CU$1,Products,0),2)="Cores",IF(HostBuild[Use existing server config towards SW Licensing?]="a",HostBuild[Existing Cores],0)+HostBuild[Cores 
(Licensed Units)],IF(INDEX(Product_Pricing_Table[],MATCH(CU$1,Products,0),2)="CPU",IF(HostBuild[Use existing server config towards SW Licensing?]="a",HostBuild[Existing CPUs],0)+HostBuild[CPU],IF(INDEX(Product_Pricing_Table[],MATCH(CU$1,Products,0),2)="Per Server",IF(OR(AND(HostBuild[Existing Server?]="Yes - Outside this BoM", HostBuild[Use existing server config towards SW Licensing?]="a"),ISNUMBER(HostBuild[CPU])),IF(HostBuild[CPU]&gt;0,1,IF(HostBuild[CPU]&lt;0,-1,0)),0),0)))),0)</f>
        <v>0</v>
      </c>
      <c r="CV150" s="552">
        <f>IFERROR(IF(FIND(CV$1,$W150)&gt;0,IF(INDEX(Product_Pricing_Table[],MATCH(CV$1,Products,0),2)="Cores",IF(HostBuild[Use existing server config towards SW Licensing?]="a",HostBuild[Existing Cores],0)+HostBuild[Cores 
(Licensed Units)],IF(INDEX(Product_Pricing_Table[],MATCH(CV$1,Products,0),2)="CPU",IF(HostBuild[Use existing server config towards SW Licensing?]="a",HostBuild[Existing CPUs],0)+HostBuild[CPU],IF(INDEX(Product_Pricing_Table[],MATCH(CV$1,Products,0),2)="Per Server",IF(OR(AND(HostBuild[Existing Server?]="Yes - Outside this BoM", HostBuild[Use existing server config towards SW Licensing?]="a"),ISNUMBER(HostBuild[CPU])),IF(HostBuild[CPU]&gt;0,1,IF(HostBuild[CPU]&lt;0,-1,0)),0),0)))),0)</f>
        <v>0</v>
      </c>
      <c r="CW150" s="552">
        <f>IFERROR(IF(FIND(CW$1,$W150)&gt;0,IF(INDEX(Product_Pricing_Table[],MATCH(CW$1,Products,0),2)="Cores",IF(HostBuild[Use existing server config towards SW Licensing?]="a",HostBuild[Existing Cores],0)+HostBuild[Cores 
(Licensed Units)],IF(INDEX(Product_Pricing_Table[],MATCH(CW$1,Products,0),2)="CPU",IF(HostBuild[Use existing server config towards SW Licensing?]="a",HostBuild[Existing CPUs],0)+HostBuild[CPU],IF(INDEX(Product_Pricing_Table[],MATCH(CW$1,Products,0),2)="Per Server",IF(OR(AND(HostBuild[Existing Server?]="Yes - Outside this BoM", HostBuild[Use existing server config towards SW Licensing?]="a"),ISNUMBER(HostBuild[CPU])),IF(HostBuild[CPU]&gt;0,1,IF(HostBuild[CPU]&lt;0,-1,0)),0),0)))),0)</f>
        <v>0</v>
      </c>
      <c r="CX150" s="552">
        <f>IFERROR(IF(FIND(CX$1,$W150)&gt;0,IF(INDEX(Product_Pricing_Table[],MATCH(CX$1,Products,0),2)="Cores",IF(HostBuild[Use existing server config towards SW Licensing?]="a",HostBuild[Existing Cores],0)+HostBuild[Cores 
(Licensed Units)],IF(INDEX(Product_Pricing_Table[],MATCH(CX$1,Products,0),2)="CPU",IF(HostBuild[Use existing server config towards SW Licensing?]="a",HostBuild[Existing CPUs],0)+HostBuild[CPU],IF(INDEX(Product_Pricing_Table[],MATCH(CX$1,Products,0),2)="Per Server",IF(OR(AND(HostBuild[Existing Server?]="Yes - Outside this BoM", HostBuild[Use existing server config towards SW Licensing?]="a"),ISNUMBER(HostBuild[CPU])),IF(HostBuild[CPU]&gt;0,1,IF(HostBuild[CPU]&lt;0,-1,0)),0),0)))),0)</f>
        <v>0</v>
      </c>
      <c r="CY150" s="552">
        <f>IFERROR(IF(FIND(CY$1,$W150)&gt;0,IF(INDEX(Product_Pricing_Table[],MATCH(CY$1,Products,0),2)="Cores",IF(HostBuild[Use existing server config towards SW Licensing?]="a",HostBuild[Existing Cores],0)+HostBuild[Cores 
(Licensed Units)],IF(INDEX(Product_Pricing_Table[],MATCH(CY$1,Products,0),2)="CPU",IF(HostBuild[Use existing server config towards SW Licensing?]="a",HostBuild[Existing CPUs],0)+HostBuild[CPU],IF(INDEX(Product_Pricing_Table[],MATCH(CY$1,Products,0),2)="Per Server",IF(OR(AND(HostBuild[Existing Server?]="Yes - Outside this BoM", HostBuild[Use existing server config towards SW Licensing?]="a"),ISNUMBER(HostBuild[CPU])),IF(HostBuild[CPU]&gt;0,1,IF(HostBuild[CPU]&lt;0,-1,0)),0),0)))),0)</f>
        <v>0</v>
      </c>
      <c r="CZ150" s="552">
        <f>IFERROR(IF(FIND(CZ$1,$W150)&gt;0,IF(INDEX(Product_Pricing_Table[],MATCH(CZ$1,Products,0),2)="Cores",IF(HostBuild[Use existing server config towards SW Licensing?]="a",HostBuild[Existing Cores],0)+HostBuild[Cores 
(Licensed Units)],IF(INDEX(Product_Pricing_Table[],MATCH(CZ$1,Products,0),2)="CPU",IF(HostBuild[Use existing server config towards SW Licensing?]="a",HostBuild[Existing CPUs],0)+HostBuild[CPU],IF(INDEX(Product_Pricing_Table[],MATCH(CZ$1,Products,0),2)="Per Server",IF(OR(AND(HostBuild[Existing Server?]="Yes - Outside this BoM", HostBuild[Use existing server config towards SW Licensing?]="a"),ISNUMBER(HostBuild[CPU])),IF(HostBuild[CPU]&gt;0,1,IF(HostBuild[CPU]&lt;0,-1,0)),0),0)))),0)</f>
        <v>0</v>
      </c>
      <c r="DA150" s="552">
        <f>IFERROR(IF(FIND(DA$1,$W150)&gt;0,IF(INDEX(Product_Pricing_Table[],MATCH(DA$1,Products,0),2)="Cores",IF(HostBuild[Use existing server config towards SW Licensing?]="a",HostBuild[Existing Cores],0)+HostBuild[Cores 
(Licensed Units)],IF(INDEX(Product_Pricing_Table[],MATCH(DA$1,Products,0),2)="CPU",IF(HostBuild[Use existing server config towards SW Licensing?]="a",HostBuild[Existing CPUs],0)+HostBuild[CPU],IF(INDEX(Product_Pricing_Table[],MATCH(DA$1,Products,0),2)="Per Server",IF(OR(AND(HostBuild[Existing Server?]="Yes - Outside this BoM", HostBuild[Use existing server config towards SW Licensing?]="a"),ISNUMBER(HostBuild[CPU])),IF(HostBuild[CPU]&gt;0,1,IF(HostBuild[CPU]&lt;0,-1,0)),0),0)))),0)</f>
        <v>0</v>
      </c>
      <c r="DB150" s="552">
        <f>IFERROR(IF(FIND(DB$1,$W150)&gt;0,IF(INDEX(Product_Pricing_Table[],MATCH(DB$1,Products,0),2)="Cores",IF(HostBuild[Use existing server config towards SW Licensing?]="a",HostBuild[Existing Cores],0)+HostBuild[Cores 
(Licensed Units)],IF(INDEX(Product_Pricing_Table[],MATCH(DB$1,Products,0),2)="CPU",IF(HostBuild[Use existing server config towards SW Licensing?]="a",HostBuild[Existing CPUs],0)+HostBuild[CPU],IF(INDEX(Product_Pricing_Table[],MATCH(DB$1,Products,0),2)="Per Server",IF(OR(AND(HostBuild[Existing Server?]="Yes - Outside this BoM", HostBuild[Use existing server config towards SW Licensing?]="a"),ISNUMBER(HostBuild[CPU])),IF(HostBuild[CPU]&gt;0,1,IF(HostBuild[CPU]&lt;0,-1,0)),0),0)))),0)</f>
        <v>0</v>
      </c>
      <c r="DC150" s="552">
        <f>IFERROR(IF(FIND(DC$1,$W150)&gt;0,IF(INDEX(Product_Pricing_Table[],MATCH(DC$1,Products,0),2)="Cores",IF(HostBuild[Use existing server config towards SW Licensing?]="a",HostBuild[Existing Cores],0)+HostBuild[Cores 
(Licensed Units)],IF(INDEX(Product_Pricing_Table[],MATCH(DC$1,Products,0),2)="CPU",IF(HostBuild[Use existing server config towards SW Licensing?]="a",HostBuild[Existing CPUs],0)+HostBuild[CPU],IF(INDEX(Product_Pricing_Table[],MATCH(DC$1,Products,0),2)="Per Server",IF(OR(AND(HostBuild[Existing Server?]="Yes - Outside this BoM", HostBuild[Use existing server config towards SW Licensing?]="a"),ISNUMBER(HostBuild[CPU])),IF(HostBuild[CPU]&gt;0,1,IF(HostBuild[CPU]&lt;0,-1,0)),0),0)))),0)</f>
        <v>0</v>
      </c>
      <c r="DD150" s="552">
        <f>IFERROR(IF(FIND(DD$1,$W150)&gt;0,IF(INDEX(Product_Pricing_Table[],MATCH(DD$1,Products,0),2)="Cores",IF(HostBuild[Use existing server config towards SW Licensing?]="a",HostBuild[Existing Cores],0)+HostBuild[Cores 
(Licensed Units)],IF(INDEX(Product_Pricing_Table[],MATCH(DD$1,Products,0),2)="CPU",IF(HostBuild[Use existing server config towards SW Licensing?]="a",HostBuild[Existing CPUs],0)+HostBuild[CPU],IF(INDEX(Product_Pricing_Table[],MATCH(DD$1,Products,0),2)="Per Server",IF(OR(AND(HostBuild[Existing Server?]="Yes - Outside this BoM", HostBuild[Use existing server config towards SW Licensing?]="a"),ISNUMBER(HostBuild[CPU])),IF(HostBuild[CPU]&gt;0,1,IF(HostBuild[CPU]&lt;0,-1,0)),0),0)))),0)</f>
        <v>0</v>
      </c>
      <c r="DE150" s="552">
        <f>IFERROR(IF(FIND(DE$1,$W150)&gt;0,IF(INDEX(Product_Pricing_Table[],MATCH(DE$1,Products,0),2)="Cores",IF(HostBuild[Use existing server config towards SW Licensing?]="a",HostBuild[Existing Cores],0)+HostBuild[Cores 
(Licensed Units)],IF(INDEX(Product_Pricing_Table[],MATCH(DE$1,Products,0),2)="CPU",IF(HostBuild[Use existing server config towards SW Licensing?]="a",HostBuild[Existing CPUs],0)+HostBuild[CPU],IF(INDEX(Product_Pricing_Table[],MATCH(DE$1,Products,0),2)="Per Server",IF(OR(AND(HostBuild[Existing Server?]="Yes - Outside this BoM", HostBuild[Use existing server config towards SW Licensing?]="a"),ISNUMBER(HostBuild[CPU])),IF(HostBuild[CPU]&gt;0,1,IF(HostBuild[CPU]&lt;0,-1,0)),0),0)))),0)</f>
        <v>0</v>
      </c>
      <c r="DF150" s="553">
        <f>IFERROR(IF(FIND(DF$1,$W150)&gt;0,IF(INDEX(Product_Pricing_Table[],MATCH(DF$1,Products,0),2)="Cores",IF(HostBuild[Use existing server config towards SW Licensing?]="a",HostBuild[Existing Cores],0)+HostBuild[Cores 
(Licensed Units)],IF(INDEX(Product_Pricing_Table[],MATCH(DF$1,Products,0),2)="CPU",IF(HostBuild[Use existing server config towards SW Licensing?]="a",HostBuild[Existing CPUs],0)+HostBuild[CPU],IF(INDEX(Product_Pricing_Table[],MATCH(DF$1,Products,0),2)="Per Server",IF(OR(AND(HostBuild[Existing Server?]="Yes - Outside this BoM", HostBuild[Use existing server config towards SW Licensing?]="a"),ISNUMBER(HostBuild[CPU])),IF(HostBuild[CPU]&gt;0,1,IF(HostBuild[CPU]&lt;0,-1,0)),0),0)))),0)</f>
        <v>0</v>
      </c>
      <c r="DG150" s="553">
        <f>IFERROR(IF(FIND(DG$1,$W150)&gt;0,IF(INDEX(Product_Pricing_Table[],MATCH(DG$1,Products,0),2)="Cores",IF(HostBuild[Use existing server config towards SW Licensing?]="a",HostBuild[Existing Cores],0)+HostBuild[Cores 
(Licensed Units)],IF(INDEX(Product_Pricing_Table[],MATCH(DG$1,Products,0),2)="CPU",IF(HostBuild[Use existing server config towards SW Licensing?]="a",HostBuild[Existing CPUs],0)+HostBuild[CPU],IF(INDEX(Product_Pricing_Table[],MATCH(DG$1,Products,0),2)="Per Server",IF(OR(AND(HostBuild[Existing Server?]="Yes - Outside this BoM", HostBuild[Use existing server config towards SW Licensing?]="a"),ISNUMBER(HostBuild[CPU])),IF(HostBuild[CPU]&gt;0,1,IF(HostBuild[CPU]&lt;0,-1,0)),0),0)))),0)</f>
        <v>0</v>
      </c>
      <c r="DH150" s="552">
        <f>IFERROR(IF(FIND(DH$1,$W150)&gt;0,IF(INDEX(Product_Pricing_Table[],MATCH(DH$1,Products,0),2)="Cores",IF(HostBuild[Use existing server config towards SW Licensing?]="a",HostBuild[Existing Cores],0)+HostBuild[Cores 
(Licensed Units)],IF(INDEX(Product_Pricing_Table[],MATCH(DH$1,Products,0),2)="CPU",IF(HostBuild[Use existing server config towards SW Licensing?]="a",HostBuild[Existing CPUs],0)+HostBuild[CPU],IF(INDEX(Product_Pricing_Table[],MATCH(DH$1,Products,0),2)="Per Server",IF(OR(AND(HostBuild[Existing Server?]="Yes - Outside this BoM", HostBuild[Use existing server config towards SW Licensing?]="a"),ISNUMBER(HostBuild[CPU])),IF(HostBuild[CPU]&gt;0,1,IF(HostBuild[CPU]&lt;0,-1,0)),0),0)))),0)</f>
        <v>0</v>
      </c>
      <c r="DI150" s="553">
        <f>IFERROR(IF(FIND(DI$1,$W150)&gt;0,IF(INDEX(Product_Pricing_Table[],MATCH(DI$1,Products,0),2)="Cores",IF(HostBuild[Use existing server config towards SW Licensing?]="a",HostBuild[Existing Cores],0)+HostBuild[Cores 
(Licensed Units)],IF(INDEX(Product_Pricing_Table[],MATCH(DI$1,Products,0),2)="CPU",IF(HostBuild[Use existing server config towards SW Licensing?]="a",HostBuild[Existing CPUs],0)+HostBuild[CPU],IF(INDEX(Product_Pricing_Table[],MATCH(DI$1,Products,0),2)="Per Server",IF(OR(AND(HostBuild[Existing Server?]="Yes - Outside this BoM", HostBuild[Use existing server config towards SW Licensing?]="a"),ISNUMBER(HostBuild[CPU])),IF(HostBuild[CPU]&gt;0,1,IF(HostBuild[CPU]&lt;0,-1,0)),0),0)))),0)</f>
        <v>0</v>
      </c>
      <c r="DJ150" s="552">
        <f>IFERROR(IF(FIND(DJ$1,$W150)&gt;0,IF(INDEX(Product_Pricing_Table[],MATCH(DJ$1,Products,0),2)="Cores",IF(HostBuild[Use existing server config towards SW Licensing?]="a",HostBuild[Existing Cores],0)+HostBuild[Cores 
(Licensed Units)],IF(INDEX(Product_Pricing_Table[],MATCH(DJ$1,Products,0),2)="CPU",IF(HostBuild[Use existing server config towards SW Licensing?]="a",HostBuild[Existing CPUs],0)+HostBuild[CPU],IF(INDEX(Product_Pricing_Table[],MATCH(DJ$1,Products,0),2)="Per Server",IF(OR(AND(HostBuild[Existing Server?]="Yes - Outside this BoM", HostBuild[Use existing server config towards SW Licensing?]="a"),ISNUMBER(HostBuild[CPU])),IF(HostBuild[CPU]&gt;0,1,IF(HostBuild[CPU]&lt;0,-1,0)),0),0)))),0)</f>
        <v>0</v>
      </c>
      <c r="DK150" s="552">
        <f>IFERROR(IF(FIND(DK$1,$W150)&gt;0,IF(INDEX(Product_Pricing_Table[],MATCH(DK$1,Products,0),2)="Cores",IF(HostBuild[Use existing server config towards SW Licensing?]="a",HostBuild[Existing Cores],0)+HostBuild[Cores 
(Licensed Units)],IF(INDEX(Product_Pricing_Table[],MATCH(DK$1,Products,0),2)="CPU",IF(HostBuild[Use existing server config towards SW Licensing?]="a",HostBuild[Existing CPUs],0)+HostBuild[CPU],IF(INDEX(Product_Pricing_Table[],MATCH(DK$1,Products,0),2)="Per Server",IF(OR(AND(HostBuild[Existing Server?]="Yes - Outside this BoM", HostBuild[Use existing server config towards SW Licensing?]="a"),ISNUMBER(HostBuild[CPU])),IF(HostBuild[CPU]&gt;0,1,IF(HostBuild[CPU]&lt;0,-1,0)),0),0)))),0)</f>
        <v>0</v>
      </c>
      <c r="DL150" s="552">
        <f>IFERROR(IF(FIND(DL$1,$W150)&gt;0,IF(INDEX(Product_Pricing_Table[],MATCH(DL$1,Products,0),2)="Cores",IF(HostBuild[Use existing server config towards SW Licensing?]="a",HostBuild[Existing Cores],0)+HostBuild[Cores 
(Licensed Units)],IF(INDEX(Product_Pricing_Table[],MATCH(DL$1,Products,0),2)="CPU",IF(HostBuild[Use existing server config towards SW Licensing?]="a",HostBuild[Existing CPUs],0)+HostBuild[CPU],IF(INDEX(Product_Pricing_Table[],MATCH(DL$1,Products,0),2)="Per Server",IF(OR(AND(HostBuild[Existing Server?]="Yes - Outside this BoM", HostBuild[Use existing server config towards SW Licensing?]="a"),ISNUMBER(HostBuild[CPU])),IF(HostBuild[CPU]&gt;0,1,IF(HostBuild[CPU]&lt;0,-1,0)),0),0)))),0)</f>
        <v>0</v>
      </c>
      <c r="DM150" s="552">
        <f>IFERROR(IF(FIND(DM$1,$W150)&gt;0,IF(INDEX(Product_Pricing_Table[],MATCH(DM$1,Products,0),2)="Cores",IF(HostBuild[Use existing server config towards SW Licensing?]="a",HostBuild[Existing Cores],0)+HostBuild[Cores 
(Licensed Units)],IF(INDEX(Product_Pricing_Table[],MATCH(DM$1,Products,0),2)="CPU",IF(HostBuild[Use existing server config towards SW Licensing?]="a",HostBuild[Existing CPUs],0)+HostBuild[CPU],IF(INDEX(Product_Pricing_Table[],MATCH(DM$1,Products,0),2)="Per Server",IF(OR(AND(HostBuild[Existing Server?]="Yes - Outside this BoM", HostBuild[Use existing server config towards SW Licensing?]="a"),ISNUMBER(HostBuild[CPU])),IF(HostBuild[CPU]&gt;0,1,IF(HostBuild[CPU]&lt;0,-1,0)),0),0)))),0)</f>
        <v>0</v>
      </c>
      <c r="DN150" s="552">
        <f>IFERROR(IF(FIND(DN$1,$W150)&gt;0,IF(INDEX(Product_Pricing_Table[],MATCH(DN$1,Products,0),2)="Cores",IF(HostBuild[Use existing server config towards SW Licensing?]="a",HostBuild[Existing Cores],0)+HostBuild[Cores 
(Licensed Units)],IF(INDEX(Product_Pricing_Table[],MATCH(DN$1,Products,0),2)="CPU",IF(HostBuild[Use existing server config towards SW Licensing?]="a",HostBuild[Existing CPUs],0)+HostBuild[CPU],IF(INDEX(Product_Pricing_Table[],MATCH(DN$1,Products,0),2)="Per Server",IF(OR(AND(HostBuild[Existing Server?]="Yes - Outside this BoM", HostBuild[Use existing server config towards SW Licensing?]="a"),ISNUMBER(HostBuild[CPU])),IF(HostBuild[CPU]&gt;0,1,IF(HostBuild[CPU]&lt;0,-1,0)),0),0)))),0)</f>
        <v>0</v>
      </c>
      <c r="DO150" s="552">
        <f>IFERROR(IF(FIND(DO$1,$W150)&gt;0,IF(INDEX(Product_Pricing_Table[],MATCH(DO$1,Products,0),2)="Cores",IF(HostBuild[Use existing server config towards SW Licensing?]="a",HostBuild[Existing Cores],0)+HostBuild[Cores 
(Licensed Units)],IF(INDEX(Product_Pricing_Table[],MATCH(DO$1,Products,0),2)="CPU",IF(HostBuild[Use existing server config towards SW Licensing?]="a",HostBuild[Existing CPUs],0)+HostBuild[CPU],IF(INDEX(Product_Pricing_Table[],MATCH(DO$1,Products,0),2)="Per Server",IF(OR(AND(HostBuild[Existing Server?]="Yes - Outside this BoM", HostBuild[Use existing server config towards SW Licensing?]="a"),ISNUMBER(HostBuild[CPU])),IF(HostBuild[CPU]&gt;0,1,IF(HostBuild[CPU]&lt;0,-1,0)),0),0)))),0)</f>
        <v>0</v>
      </c>
      <c r="DP150" s="552">
        <f>IFERROR(IF(FIND(DP$1,$W150)&gt;0,IF(INDEX(Product_Pricing_Table[],MATCH(DP$1,Products,0),2)="Cores",IF(HostBuild[Use existing server config towards SW Licensing?]="a",HostBuild[Existing Cores],0)+HostBuild[Cores 
(Licensed Units)],IF(INDEX(Product_Pricing_Table[],MATCH(DP$1,Products,0),2)="CPU",IF(HostBuild[Use existing server config towards SW Licensing?]="a",HostBuild[Existing CPUs],0)+HostBuild[CPU],IF(INDEX(Product_Pricing_Table[],MATCH(DP$1,Products,0),2)="Per Server",IF(OR(AND(HostBuild[Existing Server?]="Yes - Outside this BoM", HostBuild[Use existing server config towards SW Licensing?]="a"),ISNUMBER(HostBuild[CPU])),IF(HostBuild[CPU]&gt;0,1,IF(HostBuild[CPU]&lt;0,-1,0)),0),0)))),0)</f>
        <v>0</v>
      </c>
      <c r="DQ150" s="552">
        <f>IFERROR(IF(FIND(DQ$1,$W150)&gt;0,IF(INDEX(Product_Pricing_Table[],MATCH(DQ$1,Products,0),2)="Cores",IF(HostBuild[Use existing server config towards SW Licensing?]="a",HostBuild[Existing Cores],0)+HostBuild[Cores 
(Licensed Units)],IF(INDEX(Product_Pricing_Table[],MATCH(DQ$1,Products,0),2)="CPU",IF(HostBuild[Use existing server config towards SW Licensing?]="a",HostBuild[Existing CPUs],0)+HostBuild[CPU],IF(INDEX(Product_Pricing_Table[],MATCH(DQ$1,Products,0),2)="Per Server",IF(OR(AND(HostBuild[Existing Server?]="Yes - Outside this BoM", HostBuild[Use existing server config towards SW Licensing?]="a"),ISNUMBER(HostBuild[CPU])),IF(HostBuild[CPU]&gt;0,1,IF(HostBuild[CPU]&lt;0,-1,0)),0),0)))),0)</f>
        <v>0</v>
      </c>
      <c r="DR150" s="552">
        <f>IFERROR(IF(FIND(DR$1,$W150)&gt;0,IF(INDEX(Product_Pricing_Table[],MATCH(DR$1,Products,0),2)="Cores",IF(HostBuild[Use existing server config towards SW Licensing?]="a",HostBuild[Existing Cores],0)+HostBuild[Cores 
(Licensed Units)],IF(INDEX(Product_Pricing_Table[],MATCH(DR$1,Products,0),2)="CPU",IF(HostBuild[Use existing server config towards SW Licensing?]="a",HostBuild[Existing CPUs],0)+HostBuild[CPU],IF(INDEX(Product_Pricing_Table[],MATCH(DR$1,Products,0),2)="Per Server",IF(OR(AND(HostBuild[Existing Server?]="Yes - Outside this BoM", HostBuild[Use existing server config towards SW Licensing?]="a"),ISNUMBER(HostBuild[CPU])),IF(HostBuild[CPU]&gt;0,1,IF(HostBuild[CPU]&lt;0,-1,0)),0),0)))),0)</f>
        <v>0</v>
      </c>
      <c r="DS150" s="552">
        <f>IFERROR(IF(FIND(DS$1,$W150)&gt;0,IF(INDEX(Product_Pricing_Table[],MATCH(DS$1,Products,0),2)="Cores",IF(HostBuild[Use existing server config towards SW Licensing?]="a",HostBuild[Existing Cores],0)+HostBuild[Cores 
(Licensed Units)],IF(INDEX(Product_Pricing_Table[],MATCH(DS$1,Products,0),2)="CPU",IF(HostBuild[Use existing server config towards SW Licensing?]="a",HostBuild[Existing CPUs],0)+HostBuild[CPU],IF(INDEX(Product_Pricing_Table[],MATCH(DS$1,Products,0),2)="Per Server",IF(OR(AND(HostBuild[Existing Server?]="Yes - Outside this BoM", HostBuild[Use existing server config towards SW Licensing?]="a"),ISNUMBER(HostBuild[CPU])),IF(HostBuild[CPU]&gt;0,1,IF(HostBuild[CPU]&lt;0,-1,0)),0),0)))),0)</f>
        <v>0</v>
      </c>
      <c r="DT150" s="552">
        <f>IFERROR(IF(FIND(DT$1,$W150)&gt;0,IF(INDEX(Product_Pricing_Table[],MATCH(DT$1,Products,0),2)="Cores",IF(HostBuild[Use existing server config towards SW Licensing?]="a",HostBuild[Existing Cores],0)+HostBuild[Cores 
(Licensed Units)],IF(INDEX(Product_Pricing_Table[],MATCH(DT$1,Products,0),2)="CPU",IF(HostBuild[Use existing server config towards SW Licensing?]="a",HostBuild[Existing CPUs],0)+HostBuild[CPU],IF(INDEX(Product_Pricing_Table[],MATCH(DT$1,Products,0),2)="Per Server",IF(OR(AND(HostBuild[Existing Server?]="Yes - Outside this BoM", HostBuild[Use existing server config towards SW Licensing?]="a"),ISNUMBER(HostBuild[CPU])),IF(HostBuild[CPU]&gt;0,1,IF(HostBuild[CPU]&lt;0,-1,0)),0),0)))),0)</f>
        <v>0</v>
      </c>
      <c r="DU150" s="552">
        <f>IFERROR(IF(FIND(DU$1,$W150)&gt;0,IF(INDEX(Product_Pricing_Table[],MATCH(DU$1,Products,0),2)="Cores",IF(HostBuild[Use existing server config towards SW Licensing?]="a",HostBuild[Existing Cores],0)+HostBuild[Cores 
(Licensed Units)],IF(INDEX(Product_Pricing_Table[],MATCH(DU$1,Products,0),2)="CPU",IF(HostBuild[Use existing server config towards SW Licensing?]="a",HostBuild[Existing CPUs],0)+HostBuild[CPU],IF(INDEX(Product_Pricing_Table[],MATCH(DU$1,Products,0),2)="Per Server",IF(OR(AND(HostBuild[Existing Server?]="Yes - Outside this BoM", HostBuild[Use existing server config towards SW Licensing?]="a"),ISNUMBER(HostBuild[CPU])),IF(HostBuild[CPU]&gt;0,1,IF(HostBuild[CPU]&lt;0,-1,0)),0),0)))),0)</f>
        <v>0</v>
      </c>
      <c r="DV150" s="552">
        <f>IFERROR(IF(FIND(DV$1,$W150)&gt;0,IF(INDEX(Product_Pricing_Table[],MATCH(DV$1,Products,0),2)="Cores",IF(HostBuild[Use existing server config towards SW Licensing?]="a",HostBuild[Existing Cores],0)+HostBuild[Cores 
(Licensed Units)],IF(INDEX(Product_Pricing_Table[],MATCH(DV$1,Products,0),2)="CPU",IF(HostBuild[Use existing server config towards SW Licensing?]="a",HostBuild[Existing CPUs],0)+HostBuild[CPU],IF(INDEX(Product_Pricing_Table[],MATCH(DV$1,Products,0),2)="Per Server",IF(OR(AND(HostBuild[Existing Server?]="Yes - Outside this BoM", HostBuild[Use existing server config towards SW Licensing?]="a"),ISNUMBER(HostBuild[CPU])),IF(HostBuild[CPU]&gt;0,1,IF(HostBuild[CPU]&lt;0,-1,0)),0),0)))),0)</f>
        <v>0</v>
      </c>
      <c r="DW150" s="552">
        <f>IFERROR(IF(FIND(DW$1,$W150)&gt;0,IF(INDEX(Product_Pricing_Table[],MATCH(DW$1,Products,0),2)="Cores",IF(HostBuild[Use existing server config towards SW Licensing?]="a",HostBuild[Existing Cores],0)+HostBuild[Cores 
(Licensed Units)],IF(INDEX(Product_Pricing_Table[],MATCH(DW$1,Products,0),2)="CPU",IF(HostBuild[Use existing server config towards SW Licensing?]="a",HostBuild[Existing CPUs],0)+HostBuild[CPU],IF(INDEX(Product_Pricing_Table[],MATCH(DW$1,Products,0),2)="Per Server",IF(OR(AND(HostBuild[Existing Server?]="Yes - Outside this BoM", HostBuild[Use existing server config towards SW Licensing?]="a"),ISNUMBER(HostBuild[CPU])),IF(HostBuild[CPU]&gt;0,1,IF(HostBuild[CPU]&lt;0,-1,0)),0),0)))),0)</f>
        <v>0</v>
      </c>
      <c r="DX150" s="552">
        <f>IFERROR(IF(FIND(DX$1,$W150)&gt;0,IF(INDEX(Product_Pricing_Table[],MATCH(DX$1,Products,0),2)="Cores",IF(HostBuild[Use existing server config towards SW Licensing?]="a",HostBuild[Existing Cores],0)+HostBuild[Cores 
(Licensed Units)],IF(INDEX(Product_Pricing_Table[],MATCH(DX$1,Products,0),2)="CPU",IF(HostBuild[Use existing server config towards SW Licensing?]="a",HostBuild[Existing CPUs],0)+HostBuild[CPU],IF(INDEX(Product_Pricing_Table[],MATCH(DX$1,Products,0),2)="Per Server",IF(OR(AND(HostBuild[Existing Server?]="Yes - Outside this BoM", HostBuild[Use existing server config towards SW Licensing?]="a"),ISNUMBER(HostBuild[CPU])),IF(HostBuild[CPU]&gt;0,1,IF(HostBuild[CPU]&lt;0,-1,0)),0),0)))),0)</f>
        <v>0</v>
      </c>
      <c r="DY150" s="552">
        <f>IFERROR(IF(FIND(DY$1,$W150)&gt;0,IF(INDEX(Product_Pricing_Table[],MATCH(DY$1,Products,0),2)="Cores",IF(HostBuild[Use existing server config towards SW Licensing?]="a",HostBuild[Existing Cores],0)+HostBuild[Cores 
(Licensed Units)],IF(INDEX(Product_Pricing_Table[],MATCH(DY$1,Products,0),2)="CPU",IF(HostBuild[Use existing server config towards SW Licensing?]="a",HostBuild[Existing CPUs],0)+HostBuild[CPU],IF(INDEX(Product_Pricing_Table[],MATCH(DY$1,Products,0),2)="Per Server",IF(OR(AND(HostBuild[Existing Server?]="Yes - Outside this BoM", HostBuild[Use existing server config towards SW Licensing?]="a"),ISNUMBER(HostBuild[CPU])),IF(HostBuild[CPU]&gt;0,1,IF(HostBuild[CPU]&lt;0,-1,0)),0),0)))),0)</f>
        <v>0</v>
      </c>
      <c r="DZ150" s="552">
        <f>IFERROR(IF(FIND(DZ$1,$W150)&gt;0,IF(INDEX(Product_Pricing_Table[],MATCH(DZ$1,Products,0),2)="Cores",IF(HostBuild[Use existing server config towards SW Licensing?]="a",HostBuild[Existing Cores],0)+HostBuild[Cores 
(Licensed Units)],IF(INDEX(Product_Pricing_Table[],MATCH(DZ$1,Products,0),2)="CPU",IF(HostBuild[Use existing server config towards SW Licensing?]="a",HostBuild[Existing CPUs],0)+HostBuild[CPU],IF(INDEX(Product_Pricing_Table[],MATCH(DZ$1,Products,0),2)="Per Server",IF(OR(AND(HostBuild[Existing Server?]="Yes - Outside this BoM", HostBuild[Use existing server config towards SW Licensing?]="a"),ISNUMBER(HostBuild[CPU])),IF(HostBuild[CPU]&gt;0,1,IF(HostBuild[CPU]&lt;0,-1,0)),0),0)))),0)</f>
        <v>0</v>
      </c>
      <c r="EA150" s="552">
        <f>IFERROR(IF(FIND(EA$1,$W150)&gt;0,IF(INDEX(Product_Pricing_Table[],MATCH(EA$1,Products,0),2)="Cores",IF(HostBuild[Use existing server config towards SW Licensing?]="a",HostBuild[Existing Cores],0)+HostBuild[Cores 
(Licensed Units)],IF(INDEX(Product_Pricing_Table[],MATCH(EA$1,Products,0),2)="CPU",IF(HostBuild[Use existing server config towards SW Licensing?]="a",HostBuild[Existing CPUs],0)+HostBuild[CPU],IF(INDEX(Product_Pricing_Table[],MATCH(EA$1,Products,0),2)="Per Server",IF(OR(AND(HostBuild[Existing Server?]="Yes - Outside this BoM", HostBuild[Use existing server config towards SW Licensing?]="a"),ISNUMBER(HostBuild[CPU])),IF(HostBuild[CPU]&gt;0,1,IF(HostBuild[CPU]&lt;0,-1,0)),0),0)))),0)</f>
        <v>0</v>
      </c>
      <c r="EB150" s="552">
        <f>IFERROR(IF(FIND(EB$1,$W150)&gt;0,IF(INDEX(Product_Pricing_Table[],MATCH(EB$1,Products,0),2)="Cores",IF(HostBuild[Use existing server config towards SW Licensing?]="a",HostBuild[Existing Cores],0)+HostBuild[Cores 
(Licensed Units)],IF(INDEX(Product_Pricing_Table[],MATCH(EB$1,Products,0),2)="CPU",IF(HostBuild[Use existing server config towards SW Licensing?]="a",HostBuild[Existing CPUs],0)+HostBuild[CPU],IF(INDEX(Product_Pricing_Table[],MATCH(EB$1,Products,0),2)="Per Server",IF(OR(AND(HostBuild[Existing Server?]="Yes - Outside this BoM", HostBuild[Use existing server config towards SW Licensing?]="a"),ISNUMBER(HostBuild[CPU])),IF(HostBuild[CPU]&gt;0,1,IF(HostBuild[CPU]&lt;0,-1,0)),0),0)))),0)</f>
        <v>0</v>
      </c>
      <c r="EC150" s="553">
        <f>IFERROR(IF(FIND(EC$1,$W150)&gt;0,IF(INDEX(Product_Pricing_Table[],MATCH(EC$1,Products,0),2)="Cores",IF(HostBuild[Use existing server config towards SW Licensing?]="a",HostBuild[Existing Cores],0)+HostBuild[Cores 
(Licensed Units)],IF(INDEX(Product_Pricing_Table[],MATCH(EC$1,Products,0),2)="CPU",IF(HostBuild[Use existing server config towards SW Licensing?]="a",HostBuild[Existing CPUs],0)+HostBuild[CPU],IF(INDEX(Product_Pricing_Table[],MATCH(EC$1,Products,0),2)="Per Server",IF(OR(AND(HostBuild[Existing Server?]="Yes - Outside this BoM", HostBuild[Use existing server config towards SW Licensing?]="a"),ISNUMBER(HostBuild[CPU])),IF(HostBuild[CPU]&gt;0,1,IF(HostBuild[CPU]&lt;0,-1,0)),0),0)))),0)</f>
        <v>0</v>
      </c>
      <c r="ED150" s="552">
        <f>IFERROR(IF(FIND(ED$1,$W150)&gt;0,IF(INDEX(Product_Pricing_Table[],MATCH(ED$1,Products,0),2)="Cores",IF(HostBuild[Use existing server config towards SW Licensing?]="a",HostBuild[Existing Cores],0)+HostBuild[Cores 
(Licensed Units)],IF(INDEX(Product_Pricing_Table[],MATCH(ED$1,Products,0),2)="CPU",IF(HostBuild[Use existing server config towards SW Licensing?]="a",HostBuild[Existing CPUs],0)+HostBuild[CPU],IF(INDEX(Product_Pricing_Table[],MATCH(ED$1,Products,0),2)="Per Server",IF(OR(AND(HostBuild[Existing Server?]="Yes - Outside this BoM", HostBuild[Use existing server config towards SW Licensing?]="a"),ISNUMBER(HostBuild[CPU])),IF(HostBuild[CPU]&gt;0,1,IF(HostBuild[CPU]&lt;0,-1,0)),0),0)))),0)</f>
        <v>0</v>
      </c>
      <c r="EE150" s="552">
        <f>IFERROR(IF(FIND(EE$1,$W150)&gt;0,IF(INDEX(Product_Pricing_Table[],MATCH(EE$1,Products,0),2)="Cores",IF(HostBuild[Use existing server config towards SW Licensing?]="a",HostBuild[Existing Cores],0)+HostBuild[Cores 
(Licensed Units)],IF(INDEX(Product_Pricing_Table[],MATCH(EE$1,Products,0),2)="CPU",IF(HostBuild[Use existing server config towards SW Licensing?]="a",HostBuild[Existing CPUs],0)+HostBuild[CPU],IF(INDEX(Product_Pricing_Table[],MATCH(EE$1,Products,0),2)="Per Server",IF(OR(AND(HostBuild[Existing Server?]="Yes - Outside this BoM", HostBuild[Use existing server config towards SW Licensing?]="a"),ISNUMBER(HostBuild[CPU])),IF(HostBuild[CPU]&gt;0,1,IF(HostBuild[CPU]&lt;0,-1,0)),0),0)))),0)</f>
        <v>0</v>
      </c>
      <c r="EF150" s="552">
        <f>IFERROR(IF(FIND(EF$1,$W150)&gt;0,IF(INDEX(Product_Pricing_Table[],MATCH(EF$1,Products,0),2)="Cores",IF(HostBuild[Use existing server config towards SW Licensing?]="a",HostBuild[Existing Cores],0)+HostBuild[Cores 
(Licensed Units)],IF(INDEX(Product_Pricing_Table[],MATCH(EF$1,Products,0),2)="CPU",IF(HostBuild[Use existing server config towards SW Licensing?]="a",HostBuild[Existing CPUs],0)+HostBuild[CPU],IF(INDEX(Product_Pricing_Table[],MATCH(EF$1,Products,0),2)="Per Server",IF(OR(AND(HostBuild[Existing Server?]="Yes - Outside this BoM", HostBuild[Use existing server config towards SW Licensing?]="a"),ISNUMBER(HostBuild[CPU])),IF(HostBuild[CPU]&gt;0,1,IF(HostBuild[CPU]&lt;0,-1,0)),0),0)))),0)</f>
        <v>0</v>
      </c>
      <c r="EG150" s="552">
        <f>IFERROR(IF(FIND(EG$1,$W150)&gt;0,IF(INDEX(Product_Pricing_Table[],MATCH(EG$1,Products,0),2)="Cores",IF(HostBuild[Use existing server config towards SW Licensing?]="a",HostBuild[Existing Cores],0)+HostBuild[Cores 
(Licensed Units)],IF(INDEX(Product_Pricing_Table[],MATCH(EG$1,Products,0),2)="CPU",IF(HostBuild[Use existing server config towards SW Licensing?]="a",HostBuild[Existing CPUs],0)+HostBuild[CPU],IF(INDEX(Product_Pricing_Table[],MATCH(EG$1,Products,0),2)="Per Server",IF(OR(AND(HostBuild[Existing Server?]="Yes - Outside this BoM", HostBuild[Use existing server config towards SW Licensing?]="a"),ISNUMBER(HostBuild[CPU])),IF(HostBuild[CPU]&gt;0,1,IF(HostBuild[CPU]&lt;0,-1,0)),0),0)))),0)</f>
        <v>0</v>
      </c>
      <c r="EH150" s="552">
        <f>IFERROR(IF(FIND(EH$1,$W150)&gt;0,IF(INDEX(Product_Pricing_Table[],MATCH(EH$1,Products,0),2)="Cores",IF(HostBuild[Use existing server config towards SW Licensing?]="a",HostBuild[Existing Cores],0)+HostBuild[Cores 
(Licensed Units)],IF(INDEX(Product_Pricing_Table[],MATCH(EH$1,Products,0),2)="CPU",IF(HostBuild[Use existing server config towards SW Licensing?]="a",HostBuild[Existing CPUs],0)+HostBuild[CPU],IF(INDEX(Product_Pricing_Table[],MATCH(EH$1,Products,0),2)="Per Server",IF(OR(AND(HostBuild[Existing Server?]="Yes - Outside this BoM", HostBuild[Use existing server config towards SW Licensing?]="a"),ISNUMBER(HostBuild[CPU])),IF(HostBuild[CPU]&gt;0,1,IF(HostBuild[CPU]&lt;0,-1,0)),0),0)))),0)</f>
        <v>0</v>
      </c>
      <c r="EI150" s="552">
        <f>IFERROR(IF(FIND(EI$1,$W150)&gt;0,IF(INDEX(Product_Pricing_Table[],MATCH(EI$1,Products,0),2)="Cores",IF(HostBuild[Use existing server config towards SW Licensing?]="a",HostBuild[Existing Cores],0)+HostBuild[Cores 
(Licensed Units)],IF(INDEX(Product_Pricing_Table[],MATCH(EI$1,Products,0),2)="CPU",IF(HostBuild[Use existing server config towards SW Licensing?]="a",HostBuild[Existing CPUs],0)+HostBuild[CPU],IF(INDEX(Product_Pricing_Table[],MATCH(EI$1,Products,0),2)="Per Server",IF(OR(AND(HostBuild[Existing Server?]="Yes - Outside this BoM", HostBuild[Use existing server config towards SW Licensing?]="a"),ISNUMBER(HostBuild[CPU])),IF(HostBuild[CPU]&gt;0,1,IF(HostBuild[CPU]&lt;0,-1,0)),0),0)))),0)</f>
        <v>0</v>
      </c>
      <c r="EJ150" s="552">
        <f>IFERROR(IF(FIND(EJ$1,$W150)&gt;0,IF(INDEX(Product_Pricing_Table[],MATCH(EJ$1,Products,0),2)="Cores",IF(HostBuild[Use existing server config towards SW Licensing?]="a",HostBuild[Existing Cores],0)+HostBuild[Cores 
(Licensed Units)],IF(INDEX(Product_Pricing_Table[],MATCH(EJ$1,Products,0),2)="CPU",IF(HostBuild[Use existing server config towards SW Licensing?]="a",HostBuild[Existing CPUs],0)+HostBuild[CPU],IF(INDEX(Product_Pricing_Table[],MATCH(EJ$1,Products,0),2)="Per Server",IF(OR(AND(HostBuild[Existing Server?]="Yes - Outside this BoM", HostBuild[Use existing server config towards SW Licensing?]="a"),ISNUMBER(HostBuild[CPU])),IF(HostBuild[CPU]&gt;0,1,IF(HostBuild[CPU]&lt;0,-1,0)),0),0)))),0)</f>
        <v>0</v>
      </c>
      <c r="EK150" s="553">
        <f>IFERROR(IF(FIND(EK$1,$W150)&gt;0,IF(INDEX(Product_Pricing_Table[],MATCH(EK$1,Products,0),2)="Cores",IF(HostBuild[Use existing server config towards SW Licensing?]="a",HostBuild[Existing Cores],0)+HostBuild[Cores 
(Licensed Units)],IF(INDEX(Product_Pricing_Table[],MATCH(EK$1,Products,0),2)="CPU",IF(HostBuild[Use existing server config towards SW Licensing?]="a",HostBuild[Existing CPUs],0)+HostBuild[CPU],IF(INDEX(Product_Pricing_Table[],MATCH(EK$1,Products,0),2)="Per Server",IF(OR(AND(HostBuild[Existing Server?]="Yes - Outside this BoM", HostBuild[Use existing server config towards SW Licensing?]="a"),ISNUMBER(HostBuild[CPU])),IF(HostBuild[CPU]&gt;0,1,IF(HostBuild[CPU]&lt;0,-1,0)),0),0)))),0)</f>
        <v>0</v>
      </c>
      <c r="EL150" s="554"/>
      <c r="EM150" s="555">
        <v>512.75</v>
      </c>
      <c r="EN150" s="556">
        <v>204.75</v>
      </c>
      <c r="EO150" s="557">
        <f>IF(OR(ISBLANK(HostBuild[Alias]),HostBuild[Server Tier]="",),0,IF(HostBuild[Server Tier]="SafeNet",Safenet_PSE_PL600+HostBuild[Network Cost],IF(HostBuild[Server Tier]="VMware",HostBuild[New VMware (Adjusted)]+HostBuild[Initial Server Cost],IF(HostBuild[Server Tier]="XI52",IBM_DIA_XI52,HostBuild[Initial Server Cost]))))</f>
        <v>1304.0999999999999</v>
      </c>
      <c r="EP150" s="558">
        <f>(Storage_DC_SAN_2014*HostBuild[SAN (GB)
End-State
DO NOT USE TO BUILD]+IF(HostBuild[SAN (GB) Shared]&gt;=0,CEILING(HostBuild[SAN (GB) Shared],LUN),CEILING(-HostBuild[SAN (GB) Shared],LUN)*-1))+(Storage_DC_NAS_2014*(SUM(HostBuild[[#This Row],[NAS (GB) Dedicated]]:HostBuild[[#This Row],[NAS 
(GB) Shared]])))+IF(HostBuild[Require SRDF?]="Yes",Storage_Net_HW_Replication_2014*(HostBuild[SAN (GB)
End-State
DO NOT USE TO BUILD]+CEILING(HostBuild[SAN (GB) Shared],LUN)+SUM(HostBuild[[#This Row],[NAS 
(GB) Shared]]:HostBuild[[#This Row],[NAS (GB) Dedicated]])),0)</f>
        <v>272.97000000000003</v>
      </c>
      <c r="EQ150" s="558">
        <f>(HostBuild[Archive
Full (GB)]+HostBuild[Archive
Incr (GB)])*Storage_DC_Dist_Tape_2014</f>
        <v>61.039124999999999</v>
      </c>
      <c r="ER150" s="558">
        <f>IF(ISNUMBER(HostBuild[Server HW Costs
(Monthly)]),SUM(HostBuild[[#This Row],[Server HW Costs
(Monthly)]:[Tape Costs
(Monthly)]]),0)</f>
        <v>1638.1091249999999</v>
      </c>
      <c r="ES150" s="559">
        <f>HostBuild[Software Costs
'[Year 1']
(Monthly)]+HostBuild[Total Hardware Costs
(Monthly)]</f>
        <v>2150.8591249999999</v>
      </c>
      <c r="ET150" s="559">
        <f>IFERROR(IF(FIND("Safenet",HostBuild[Server Model]),Safenet_PSE_PL600_Maint,0),0)+IFERROR(IF(FIND("XI52",HostBuild[Server Model]),IBM_DIA_XI52_Maint,0),0)+HostBuild[Software Costs
'[After Year 1']
(Monthly)]+HostBuild[Total Hardware Costs
(Monthly)]</f>
        <v>1842.8591249999999</v>
      </c>
      <c r="EU150" s="560">
        <f>SUM(HostBuild[[#This Row],[Server Cost Breakdown]:[Network Cost]])</f>
        <v>1304.0999999999999</v>
      </c>
      <c r="EV150" s="561">
        <f>IF(HostBuild[Existing Server?]="Yes - Inside this BoM",0,SUMIF(HostBuild[Alias],HostBuild[Alias],HostBuild[CPU])+SUMIF(HostBuild[Alias],HostBuild[Alias],HostBuild[Existing CPUs]))</f>
        <v>1</v>
      </c>
      <c r="EW150" s="561">
        <f>IF(HostBuild[Existing Server?]="Yes - Inside this BoM",0,SUMIF(HostBuild[Alias],HostBuild[Alias],HostBuild[Cores 
(Licensed Units)])+SUMIF(HostBuild[Alias],HostBuild[Alias],HostBuild[Existing Cores]))</f>
        <v>2</v>
      </c>
      <c r="EX150" s="561">
        <f>IF(HostBuild[Existing Server?]="Yes - Inside this BoM",0,SUMIF(HostBuild[Alias],HostBuild[Alias],HostBuild[RAM 
(GB)])+SUMIF(HostBuild[Alias],HostBuild[Alias],HostBuild[Existing RAM (GB)]))</f>
        <v>48</v>
      </c>
      <c r="EY150" s="560">
        <f>IF(AND(HostBuild[Server Type]="VMware",HostBuild[Virtual Platform Storage Type]="Full"),IF(HostBuild[Total CPUs]&gt;8, "Max CPUs Exceeded",IF(HostBuild[Total CPUs]&lt;=1,VM_Guest_Tier_1_2014,IF(AND(HostBuild[Total CPUs]&gt;1,HostBuild[Total CPUs]&lt;=2),VM_Guest_Tier_2_2014,IF(AND(HostBuild[Total CPUs]&gt;2,HostBuild[Total CPUs]&lt;=4),VM_Guest_Tier_3_2014,IF(AND(HostBuild[Total CPUs]&gt;4,HostBuild[Total CPUs]&lt;=8),VM_Guest_Tier_4_2014,0))))),0)</f>
        <v>0</v>
      </c>
      <c r="EZ150" s="562">
        <f>IF(AND(LEFT(HostBuild[Existing Server?],3)="Yes",HostBuild[Server Tier]="VMware"),IF(HostBuild[Existing CPUs]&gt;0,IF(HostBuild[Existing CPUs]&lt;=1,VM_Guest_Tier_1_2014,IF(AND(HostBuild[Existing CPUs]&gt;1,HostBuild[Existing CPUs]&lt;=2),VM_Guest_Tier_2_2014,IF(AND(HostBuild[Existing CPUs]&gt;2,HostBuild[Existing CPUs]&lt;=4),VM_Guest_Tier_3_2014,IF(AND(HostBuild[Existing CPUs]&gt;4,HostBuild[Existing CPUs]&lt;=8),VM_Guest_Tier_4_2014,0)))),0),0)</f>
        <v>0</v>
      </c>
      <c r="FA150" s="560">
        <f>IF(AND(LEFT(HostBuild[Existing Server?],3)="Yes",HostBuild[Server Type]="VMware"),IF(HostBuild[Total CPUs]-HostBuild[CPU]&lt;=1,VM_Guest_Tier_1_2014,IF(AND((HostBuild[Total CPUs]-HostBuild[CPU])&gt;1,(HostBuild[Total CPUs]-HostBuild[CPU])&lt;=2),VM_Guest_Tier_2_2014,IF(AND((HostBuild[Total CPUs]-HostBuild[CPU])&gt;2,(HostBuild[Total CPUs]-HostBuild[CPU])&lt;=4),VM_Guest_Tier_3_2014,IF(AND((HostBuild[Total CPUs]-HostBuild[CPU])&gt;4,(HostBuild[Total CPUs]-HostBuild[CPU])&lt;=8),VM_Guest_Tier_4_2014,0)))), 0)</f>
        <v>0</v>
      </c>
      <c r="FB150" s="560">
        <f>IF(AND(HostBuild[Server Tier]="VMware",HostBuild[CPU]&gt;0),IF(HostBuild[Total CPUs]&gt;8, "Max CPUs Exceeded",IF(HostBuild[Virtual Platform Storage Type]="Full-SAN",IF(LEFT(HostBuild[Existing Server?],3)="Yes",IF(COUNTIF(HostBuild[Alias],HostBuild[Alias])&lt;=2,IF(HostBuild[Outside VMware Costs]&gt;0,HostBuild[Existing VMware Costs]-HostBuild[Outside VMware Costs],(HostBuild[Total VMware Costs]-HostBuild[Existing VMware Costs])),NA()),IF(HostBuild[CPU]&lt;=1,VM_Guest_Tier_1_2014,IF(AND(HostBuild[CPU]&gt;1,HostBuild[CPU]&lt;=2),VM_Guest_Tier_2_2014,IF(AND(HostBuild[CPU]&gt;2,HostBuild[CPU]&lt;=4),VM_Guest_Tier_3_2014,IF(AND(HostBuild[CPU]&gt;4,HostBuild[CPU]&lt;=8),VM_Guest_Tier_4_2014,0))))),VM_SS_per_vCPU_Daily_2014*30*HostBuild[CPU])),0)</f>
        <v>0</v>
      </c>
      <c r="FC150" s="560">
        <f>IF(ISBLANK(HostBuild[Server Model]),0,IF(HostBuild[Server Tier]="VMware",0,VLOOKUP(HostBuild[Server Tier],ServerTierRates[#Data],2,0))*HostBuild[CPU]*IF(AND(HostBuild[Server Type]="pSeries",HostBuild[Virtual Platform Storage Type]="Cloud-SAN"),0.25,1))</f>
        <v>829</v>
      </c>
      <c r="FD150" s="560">
        <f>0</f>
        <v>0</v>
      </c>
      <c r="FE150" s="560">
        <f>IF(HostBuild[Server Type]="VMware",HostBuild[RAM 
(GB)]*IF(ISERROR(FIND("DevCloud", HostBuild[Server Model])&gt;0),vRAM_per_vCPU_2014_Monthly,vRAM_per_vCPU_2014_Daily*30),0)</f>
        <v>0</v>
      </c>
      <c r="FF150" s="560">
        <f>IF(HostBuild[RAM 
(GB)]&gt;0,IF(AND((HostBuild[Existing CPUs]+HostBuild[CPU])&gt;0, (HostBuild[Existing RAM (GB)]+HostBuild[RAM 
(GB)])&gt;0,HostBuild[Existing Server?]&lt;&gt;"Yes - Inside this BoM"),IF(HostBuild[Server Type]="x86",IF((HostBuild[Existing RAM (GB)]+HostBuild[RAM 
(GB)])&gt;(HostBuild[Existing CPUs]+HostBuild[CPU])*12,((HostBuild[Existing RAM (GB)]+HostBuild[RAM 
(GB)])-(12*(HostBuild[Existing CPUs]+HostBuild[CPU])))*x86_Memory_GT12Win_GT8Unix_2014,0),IF(HostBuild[Server Type]="pSeries",IF((HostBuild[Existing RAM (GB)]+HostBuild[RAM 
(GB)])&gt;(HostBuild[Existing CPUs]+HostBuild[CPU])*16,((HostBuild[Existing RAM (GB)]+HostBuild[RAM 
(GB)])-(16*(HostBuild[Existing CPUs]+HostBuild[CPU])))*IBM_pSeries_Memory_per_GB_gt_16GB_2014,0),IF(HostBuild[Server Type]="Sun",IF((HostBuild[Existing RAM (GB)]+HostBuild[RAM 
(GB)])&gt;(HostBuild[Existing CPUs]+HostBuild[CPU])*8,((HostBuild[Existing RAM (GB)]+HostBuild[RAM 
(GB)])-(8*(HostBuild[Existing CPUs]+HostBuild[CPU])))*IF(LOOKUP(HostBuild[Server Tier],ServerModelsTier[Server Tier],ServerModelsTier[Memory Tier])="Low",Sun_ESeries_Low_Mem_GT_8_2014,Sun_TSeries_High_Mem_GT_8_2014)),0))), 0),0)</f>
        <v>288</v>
      </c>
      <c r="FG150" s="560">
        <f>IF(AND(HostBuild[RAM 
(GB)]&gt;0,HostBuild[Existing Server?]="Yes - Inside this BoM"),IF(HostBuild[Server Type]="x86",HostBuild[Total RAM]*x86_Memory_GT12Win_GT8Unix_2014,IF(HostBuild[Server Type]="pSeries",IF(SUMIF(HostBuild[Alias],HostBuild[Alias],HostBuild[Total RAM])/SUMIF(HostBuild[Alias],HostBuild[Alias],HostBuild[Total CPUs])&gt;16,((SUMIF(HostBuild[Alias],HostBuild[Alias],HostBuild[Total RAM])/SUMIF(HostBuild[Alias],HostBuild[Alias],HostBuild[Total CPUs]))-16)*SUMIF(HostBuild[Alias],HostBuild[Alias],HostBuild[Total CPUs])*IBM_pSeries_Memory_per_GB_gt_16GB_2014,0),IF(HostBuild[Server Type]="Sun",IF(SUMIF(HostBuild[Alias],HostBuild[Alias],HostBuild[Total RAM])/SUMIF(HostBuild[Alias],HostBuild[Alias],HostBuild[Total CPUs])&gt;12,((SUMIF(HostBuild[Alias],HostBuild[Alias],HostBuild[Total RAM])/SUMIF(HostBuild[Alias],HostBuild[Alias],HostBuild[Total CPUs]))-8)*SUMIF(HostBuild[Alias],HostBuild[Alias],HostBuild[Total CPUs])*IF(VLOOKUP(HostBuild[Server Model],ServerModelsTier[],3,FALSE)="Low",Sun_ESeries_Low_Mem_GT_8_2014,Sun_TSeries_High_Mem_GT_8_2014)),0)))-SUMIF(HostBuild[Alias],HostBuild[Alias],HostBuild[New Memory Cost (Initial)]),0)</f>
        <v>0</v>
      </c>
      <c r="FH150" s="563">
        <f>IF(HostBuild[Server Tier]="VMware",0,IF(LEFT(HostBuild[Existing Server?],3)="Yes",0,IF(OR(HostBuild[Server Type]="Sun",HostBuild[Server Type]="pSeries"),Support_Direct_Server_Sun_per_OS_2014,IF(HostBuild[Server Type]="x86",Support_Direct_Server_x86_Wintel_per_OS_2014,0))))</f>
        <v>187.1</v>
      </c>
      <c r="FI150" s="562">
        <f>IF(HostBuild[Server Model]="VMware",0,IF(ISBLANK(HostBuild[Type of Network Connection I]),0,VLOOKUP(HostBuild[Type of Network Connection I],NetworkRates[#Data],2,0)*HostBuild['# of Connections I])+IF(ISBLANK(HostBuild[Type of Network Connection II]),0,VLOOKUP(HostBuild[Type of Network Connection II],NetworkRates[#Data],2,0)*HostBuild['# of Connections II]))</f>
        <v>0</v>
      </c>
    </row>
    <row r="151" spans="1:165" s="139" customFormat="1" ht="15" customHeight="1">
      <c r="A151" s="564" t="s">
        <v>506</v>
      </c>
      <c r="B151" s="564"/>
      <c r="C151" s="564"/>
      <c r="D151" s="564"/>
      <c r="E151" s="564"/>
      <c r="F151" s="564"/>
      <c r="G151" s="564"/>
      <c r="H151" s="564"/>
      <c r="I151" s="564"/>
      <c r="J151" s="564"/>
      <c r="K151" s="564"/>
      <c r="L151" s="564"/>
      <c r="M151" s="564"/>
      <c r="N151" s="565"/>
      <c r="O151" s="566"/>
      <c r="P151" s="566"/>
      <c r="Q151" s="566"/>
      <c r="R151" s="567"/>
      <c r="S151" s="565"/>
      <c r="T151" s="565"/>
      <c r="U151" s="565"/>
      <c r="V151" s="565"/>
      <c r="W151" s="565"/>
      <c r="X151" s="565"/>
      <c r="Y151" s="565"/>
      <c r="Z151" s="565"/>
      <c r="AA151" s="565"/>
      <c r="AB151" s="565"/>
      <c r="AC151" s="568"/>
      <c r="AD151" s="568"/>
      <c r="AE151" s="568"/>
      <c r="AF151" s="568"/>
      <c r="AG151" s="569"/>
      <c r="AH151" s="570"/>
      <c r="AI151" s="569">
        <f t="array" ref="AI151">SUM(IF(FREQUENCY(IF(LEN(AI2:AI150)&gt;0,MATCH(AI2:AI150,AI2:AI150,0),""),IF(LEN(AI2:AI150)&gt;0,MATCH(AI2:AI150,AI2:AI150,0),""))&gt;0,1))</f>
        <v>149</v>
      </c>
      <c r="AJ151" s="569"/>
      <c r="AK151" s="571"/>
      <c r="AL151" s="571"/>
      <c r="AM151" s="571"/>
      <c r="AN151" s="571"/>
      <c r="AO151" s="571"/>
      <c r="AP151" s="571"/>
      <c r="AQ151" s="571"/>
      <c r="AR151" s="572">
        <f>SUBTOTAL(109,HostBuild[CPU])</f>
        <v>161</v>
      </c>
      <c r="AS151" s="571"/>
      <c r="AT151" s="573">
        <f>SUBTOTAL(109,HostBuild[Cores 
(Licensed Units)])</f>
        <v>1200</v>
      </c>
      <c r="AU151" s="574"/>
      <c r="AV151" s="575">
        <f>SUBTOTAL(109,HostBuild[RAM 
(GB)])</f>
        <v>14976</v>
      </c>
      <c r="AW151" s="565"/>
      <c r="AX151" s="565"/>
      <c r="AY151" s="565"/>
      <c r="AZ151" s="576"/>
      <c r="BA151" s="571"/>
      <c r="BB151" s="571"/>
      <c r="BC151" s="568"/>
      <c r="BD151" s="577"/>
      <c r="BE151" s="577"/>
      <c r="BF151" s="577"/>
      <c r="BG151" s="577"/>
      <c r="BH151" s="577"/>
      <c r="BI151" s="577"/>
      <c r="BJ151" s="578"/>
      <c r="BK151" s="570"/>
      <c r="BL151" s="579"/>
      <c r="BM151" s="572">
        <f>SUBTOTAL(109,HostBuild[SAN (GB)
NEEDED TODAY])</f>
        <v>65175.799999999996</v>
      </c>
      <c r="BN151" s="572">
        <f>SUBTOTAL(109,HostBuild[SAN (GB)
RESERVED
DO NOT USE TO BUILD])</f>
        <v>0</v>
      </c>
      <c r="BO151" s="580">
        <f>SUBTOTAL(109,HostBuild[SAN (GB)
End-State
DO NOT USE TO BUILD])</f>
        <v>65175.799999999996</v>
      </c>
      <c r="BP151" s="580"/>
      <c r="BQ151" s="580"/>
      <c r="BR151" s="581"/>
      <c r="BS151" s="570"/>
      <c r="BT151" s="572"/>
      <c r="BU151" s="582">
        <f>SUBTOTAL(109,HostBuild[NAS (GB) Dedicated])</f>
        <v>0</v>
      </c>
      <c r="BV151" s="572">
        <f>SUBTOTAL(109,HostBuild[NAS 
(GB) Shared])</f>
        <v>0</v>
      </c>
      <c r="BW151" s="580"/>
      <c r="BX151" s="570">
        <f>SUBTOTAL(109,HostBuild[Archive
Full (GB)])</f>
        <v>21648.950000000008</v>
      </c>
      <c r="BY151" s="580">
        <f>SUBTOTAL(109,HostBuild[Archive
Incr (GB)])</f>
        <v>3247.3424999999997</v>
      </c>
      <c r="BZ151" s="570"/>
      <c r="CA151" s="572"/>
      <c r="CB151" s="572"/>
      <c r="CC151" s="580"/>
      <c r="CD151" s="572"/>
      <c r="CE151" s="572"/>
      <c r="CF151" s="567"/>
      <c r="CG151" s="583"/>
      <c r="CH151" s="584">
        <f>SUBTOTAL(109,HostBuild[Capital Costs
(One-Time)])</f>
        <v>0</v>
      </c>
      <c r="CI151" s="584">
        <f>SUBTOTAL(109,HostBuild[Capital Costs
(Annual)])</f>
        <v>0</v>
      </c>
      <c r="CJ151" s="585"/>
      <c r="CK151" s="586"/>
      <c r="CL151" s="587">
        <f>SUBTOTAL(109,CL2:CL150)</f>
        <v>0</v>
      </c>
      <c r="CM151" s="587">
        <f>SUBTOTAL(109,HostBuild[CA APM])</f>
        <v>52</v>
      </c>
      <c r="CN151" s="588">
        <f>SUBTOTAL(109,CN2:CN150)</f>
        <v>0</v>
      </c>
      <c r="CO151" s="588">
        <f>SUBTOTAL(109,CO2:CO150)</f>
        <v>0</v>
      </c>
      <c r="CP151" s="587">
        <f>SUBTOTAL(109,CP2:CP150)</f>
        <v>0</v>
      </c>
      <c r="CQ151" s="587">
        <f>SUBTOTAL(109,CQ2:CQ150)</f>
        <v>0</v>
      </c>
      <c r="CR151" s="587">
        <f>SUBTOTAL(109,CR2:CR150)</f>
        <v>0</v>
      </c>
      <c r="CS151" s="587">
        <f>SUBTOTAL(109,HostBuild[IBM DS IS Dir])</f>
        <v>0</v>
      </c>
      <c r="CT151" s="587">
        <f>SUBTOTAL(109,HostBuild[IBM HTTP pSeries])</f>
        <v>0</v>
      </c>
      <c r="CU151" s="587">
        <f>SUBTOTAL(109,HostBuild[IBM HTTP x86])</f>
        <v>384</v>
      </c>
      <c r="CV151" s="587">
        <f>SUBTOTAL(109,HostBuild[IBM Tivoli DS])</f>
        <v>0</v>
      </c>
      <c r="CW151" s="587">
        <f>SUBTOTAL(109,CW2:CW150)</f>
        <v>0</v>
      </c>
      <c r="CX151" s="589">
        <f>SUBTOTAL(109,CX2:CX150)</f>
        <v>320</v>
      </c>
      <c r="CY151" s="589">
        <f>SUBTOTAL(109,HostBuild[IBM WBM pSeries])</f>
        <v>0</v>
      </c>
      <c r="CZ151" s="587">
        <f>SUBTOTAL(109,CZ2:CZ150)</f>
        <v>0</v>
      </c>
      <c r="DA151" s="587">
        <f>SUBTOTAL(109,DA2:DA150)</f>
        <v>0</v>
      </c>
      <c r="DB151" s="587">
        <f>SUBTOTAL(109,DB2:DB150)</f>
        <v>0</v>
      </c>
      <c r="DC151" s="587">
        <f>SUBTOTAL(109,HostBuild[IBM WS Process Srvr])</f>
        <v>0</v>
      </c>
      <c r="DD151" s="587">
        <f>SUBTOTAL(109,HostBuild[IBM WS VE (Cntrlr)])</f>
        <v>0</v>
      </c>
      <c r="DE151" s="587">
        <f>SUBTOTAL(109,HostBuild[IBM WS VE (Node)])</f>
        <v>0</v>
      </c>
      <c r="DF151" s="588">
        <f>SUBTOTAL(109,DF2:DF150)</f>
        <v>0</v>
      </c>
      <c r="DG151" s="588">
        <f>SUBTOTAL(109,HostBuild[MS SQL EE (Ext)])</f>
        <v>0</v>
      </c>
      <c r="DH151" s="588">
        <f>SUBTOTAL(109,DH2:DH150)</f>
        <v>0</v>
      </c>
      <c r="DI151" s="588">
        <f>SUBTOTAL(109,HostBuild[MS SQL SE (Ext)])</f>
        <v>0</v>
      </c>
      <c r="DJ151" s="588">
        <f t="shared" ref="DJ151:DW151" si="0">SUBTOTAL(109,DJ2:DJ150)</f>
        <v>0</v>
      </c>
      <c r="DK151" s="587">
        <f t="shared" si="0"/>
        <v>0</v>
      </c>
      <c r="DL151" s="587">
        <f t="shared" si="0"/>
        <v>0</v>
      </c>
      <c r="DM151" s="587">
        <f t="shared" si="0"/>
        <v>0</v>
      </c>
      <c r="DN151" s="587">
        <f t="shared" si="0"/>
        <v>0</v>
      </c>
      <c r="DO151" s="587">
        <f t="shared" si="0"/>
        <v>0</v>
      </c>
      <c r="DP151" s="587">
        <f t="shared" si="0"/>
        <v>0</v>
      </c>
      <c r="DQ151" s="587">
        <f t="shared" si="0"/>
        <v>0</v>
      </c>
      <c r="DR151" s="587">
        <f t="shared" si="0"/>
        <v>0</v>
      </c>
      <c r="DS151" s="587">
        <f t="shared" si="0"/>
        <v>0</v>
      </c>
      <c r="DT151" s="587">
        <f t="shared" si="0"/>
        <v>0</v>
      </c>
      <c r="DU151" s="587">
        <f t="shared" si="0"/>
        <v>4</v>
      </c>
      <c r="DV151" s="587">
        <f t="shared" si="0"/>
        <v>256</v>
      </c>
      <c r="DW151" s="587">
        <f t="shared" si="0"/>
        <v>0</v>
      </c>
      <c r="DX151" s="587">
        <f>SUBTOTAL(109,HostBuild[Oracle Spatial x86])</f>
        <v>0</v>
      </c>
      <c r="DY151" s="587">
        <f>SUBTOTAL(109,HostBuild[Oracle Standalone])</f>
        <v>0</v>
      </c>
      <c r="DZ151" s="587">
        <f>SUBTOTAL(109,HostBuild[Oracle WebLogic pSeries])</f>
        <v>0</v>
      </c>
      <c r="EA151" s="587">
        <f>SUBTOTAL(109,HostBuild[Oracle WebLogic x86])</f>
        <v>0</v>
      </c>
      <c r="EB151" s="587">
        <f>SUBTOTAL(109,EB2:EB150)</f>
        <v>0</v>
      </c>
      <c r="EC151" s="587">
        <f>SUBTOTAL(109,EC2:EC150)</f>
        <v>0</v>
      </c>
      <c r="ED151" s="588">
        <f>SUBTOTAL(109,ED2:ED150)</f>
        <v>0</v>
      </c>
      <c r="EE151" s="588">
        <f>SUBTOTAL(109,HostBuild[TIBCO Adapter SDK])</f>
        <v>0</v>
      </c>
      <c r="EF151" s="587">
        <f t="shared" ref="EF151:EK151" si="1">SUBTOTAL(109,EF2:EF150)</f>
        <v>0</v>
      </c>
      <c r="EG151" s="587">
        <f t="shared" si="1"/>
        <v>0</v>
      </c>
      <c r="EH151" s="587">
        <f t="shared" si="1"/>
        <v>384</v>
      </c>
      <c r="EI151" s="587">
        <f t="shared" si="1"/>
        <v>128</v>
      </c>
      <c r="EJ151" s="587">
        <f t="shared" si="1"/>
        <v>0</v>
      </c>
      <c r="EK151" s="588">
        <f t="shared" si="1"/>
        <v>16</v>
      </c>
      <c r="EL151" s="590"/>
      <c r="EM151" s="591">
        <f>SUBTOTAL(109,HostBuild[Software Costs
'[Year 1']
(Monthly)])</f>
        <v>51569.664200000007</v>
      </c>
      <c r="EN151" s="592">
        <f>SUBTOTAL(109,HostBuild[Software Costs
'[After Year 1']
(Monthly)])</f>
        <v>10870.861866666663</v>
      </c>
      <c r="EO151" s="593">
        <f>SUBTOTAL(109,EO2:EO150)</f>
        <v>88735.499999999927</v>
      </c>
      <c r="EP151" s="584">
        <f>SUBTOTAL(109,EP2:EP150)</f>
        <v>56080.170000000027</v>
      </c>
      <c r="EQ151" s="584">
        <f>SUBTOTAL(109,HostBuild[Tape Costs
(Monthly)])</f>
        <v>8713.7023749999971</v>
      </c>
      <c r="ER151" s="584">
        <f>SUBTOTAL(109,ER2:ER150)</f>
        <v>153529.37237500004</v>
      </c>
      <c r="ES151" s="584">
        <f>SUBTOTAL(109,HostBuild[Total Server Costs
'[Year 1']
SW+HW
(Monthly)])</f>
        <v>205099.03657500012</v>
      </c>
      <c r="ET151" s="584">
        <f>SUBTOTAL(109,HostBuild[Total Server Costs
'[After Year 1']
SW+HW
(Monthly)])</f>
        <v>164400.2342416668</v>
      </c>
      <c r="EU151" s="594"/>
      <c r="EV151" s="595"/>
      <c r="EW151" s="595"/>
      <c r="EX151" s="595"/>
      <c r="EY151" s="595"/>
      <c r="EZ151" s="595"/>
      <c r="FA151" s="595"/>
      <c r="FB151" s="595"/>
      <c r="FC151" s="595"/>
      <c r="FD151" s="595"/>
      <c r="FE151" s="595"/>
      <c r="FF151" s="595"/>
      <c r="FG151" s="595"/>
      <c r="FH151" s="596"/>
      <c r="FI151" s="595"/>
    </row>
    <row r="152" spans="1:165" s="139" customFormat="1" ht="15" customHeight="1">
      <c r="A152" s="1"/>
      <c r="B152" s="1"/>
      <c r="C152" s="1"/>
      <c r="D152" s="1"/>
      <c r="E152" s="1"/>
      <c r="F152" s="1"/>
      <c r="G152" s="1"/>
      <c r="H152" s="1"/>
      <c r="I152" s="1"/>
      <c r="J152" s="1"/>
      <c r="K152" s="1"/>
      <c r="L152" s="1"/>
      <c r="M152" s="1"/>
      <c r="N152" s="1"/>
      <c r="O152" s="1"/>
      <c r="P152"/>
      <c r="Q152" s="130"/>
      <c r="R152" s="1"/>
      <c r="S152" s="1"/>
      <c r="T152" s="1"/>
      <c r="U152" s="1"/>
      <c r="V152" s="1"/>
      <c r="W152" s="1"/>
      <c r="X152" s="1"/>
      <c r="Y152" s="1"/>
      <c r="Z152" s="1"/>
      <c r="AA152" s="1"/>
      <c r="AB152" s="1"/>
      <c r="AC152" s="1"/>
      <c r="AD152" s="1"/>
      <c r="AE152" s="1"/>
      <c r="AF152" s="1"/>
      <c r="AG152" s="1"/>
      <c r="AH152" s="1"/>
      <c r="AI152" s="1"/>
      <c r="AJ152" s="1"/>
      <c r="AK152" s="1"/>
      <c r="AL152" s="1"/>
      <c r="AM152" s="1"/>
      <c r="AN152"/>
      <c r="AO152" s="228"/>
      <c r="AP152" s="189"/>
      <c r="AQ152"/>
      <c r="AR152"/>
      <c r="AS152" s="228"/>
      <c r="AU152"/>
      <c r="AV152"/>
      <c r="AW152" s="262"/>
      <c r="AX152"/>
      <c r="AY152"/>
      <c r="AZ152"/>
      <c r="BA152"/>
      <c r="BB152"/>
      <c r="BC152"/>
      <c r="BD152"/>
      <c r="BE152"/>
      <c r="BF152"/>
      <c r="BG152" s="262"/>
      <c r="BH152" s="31"/>
      <c r="BI152"/>
      <c r="BJ152" s="262"/>
      <c r="BK152"/>
      <c r="BL152"/>
      <c r="BM152" s="108"/>
      <c r="BN152"/>
      <c r="BO152"/>
      <c r="BP152"/>
      <c r="BQ152"/>
      <c r="BR152" s="262"/>
      <c r="BS152"/>
      <c r="BT152"/>
      <c r="BU152"/>
      <c r="BV152" s="31"/>
      <c r="BW152" s="31"/>
      <c r="BX152"/>
      <c r="BY152"/>
      <c r="BZ152"/>
      <c r="CA152"/>
      <c r="CB152"/>
      <c r="CC152"/>
      <c r="CD152" s="141"/>
      <c r="CE152"/>
      <c r="CF152"/>
      <c r="CG152"/>
      <c r="CH152"/>
      <c r="CI152"/>
      <c r="CJ152"/>
      <c r="CK152"/>
      <c r="CL152"/>
      <c r="CM152"/>
      <c r="CN152"/>
      <c r="CO152"/>
      <c r="CP152"/>
      <c r="CQ152" s="143"/>
      <c r="CR152" s="143"/>
      <c r="CS152"/>
      <c r="CT152" s="262"/>
      <c r="CU152"/>
      <c r="CV152"/>
      <c r="CW152"/>
      <c r="CX152" s="143"/>
      <c r="CY152" s="143"/>
      <c r="CZ152" s="143"/>
      <c r="DA152" s="143"/>
      <c r="DB152"/>
      <c r="DC152"/>
      <c r="DD152" s="143"/>
      <c r="DE152"/>
      <c r="DF152" s="143"/>
      <c r="DG152"/>
      <c r="DH152"/>
      <c r="DI152"/>
      <c r="DJ152" s="143"/>
      <c r="DK152" s="143"/>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row>
    <row r="153" spans="1:165" s="139" customFormat="1" ht="15" customHeight="1">
      <c r="A153" s="1"/>
      <c r="B153" s="1"/>
      <c r="C153" s="1"/>
      <c r="D153" s="1"/>
      <c r="E153" s="1"/>
      <c r="F153" s="1"/>
      <c r="G153" s="1"/>
      <c r="H153" s="1"/>
      <c r="I153" s="1"/>
      <c r="J153" s="1"/>
      <c r="K153" s="1"/>
      <c r="L153" s="1"/>
      <c r="M153" s="1"/>
      <c r="N153" s="1"/>
      <c r="O153" s="1"/>
      <c r="P153"/>
      <c r="Q153" s="130"/>
      <c r="R153" s="1"/>
      <c r="S153" s="1"/>
      <c r="T153" s="1"/>
      <c r="U153" s="1"/>
      <c r="V153" s="1"/>
      <c r="W153" s="1"/>
      <c r="X153" s="1"/>
      <c r="Y153" s="1"/>
      <c r="Z153" s="1"/>
      <c r="AA153" s="295"/>
      <c r="AB153" s="295"/>
      <c r="AC153" s="1"/>
      <c r="AD153" s="1"/>
      <c r="AE153" s="1"/>
      <c r="AF153" s="1"/>
      <c r="AG153" s="1"/>
      <c r="AH153" s="1"/>
      <c r="AI153" s="1"/>
      <c r="AJ153" s="1"/>
      <c r="AK153" s="1"/>
      <c r="AL153" s="1"/>
      <c r="AM153" s="1"/>
      <c r="AN153"/>
      <c r="AO153" s="228"/>
      <c r="AP153" s="189"/>
      <c r="AQ153"/>
      <c r="AR153"/>
      <c r="AS153" s="228"/>
      <c r="AV153"/>
      <c r="AW153" s="262"/>
      <c r="AX153"/>
      <c r="AY153"/>
      <c r="AZ153"/>
      <c r="BA153"/>
      <c r="BB153"/>
      <c r="BC153"/>
      <c r="BD153"/>
      <c r="BE153"/>
      <c r="BF153"/>
      <c r="BG153" s="262"/>
      <c r="BH153" s="31"/>
      <c r="BI153"/>
      <c r="BJ153" s="262"/>
      <c r="BK153"/>
      <c r="BL153"/>
      <c r="BM153" s="108"/>
      <c r="BN153"/>
      <c r="BO153"/>
      <c r="BP153"/>
      <c r="BQ153"/>
      <c r="BR153" s="262"/>
      <c r="BS153"/>
      <c r="BT153"/>
      <c r="BU153"/>
      <c r="BV153" s="31"/>
      <c r="BW153" s="31"/>
      <c r="BX153"/>
      <c r="BY153"/>
      <c r="BZ153"/>
      <c r="CA153"/>
      <c r="CB153"/>
      <c r="CC153"/>
      <c r="CD153" s="141"/>
      <c r="CE153"/>
      <c r="CF153"/>
      <c r="CG153"/>
      <c r="CH153"/>
      <c r="CI153"/>
      <c r="CJ153"/>
      <c r="CK153"/>
      <c r="CL153"/>
      <c r="CM153"/>
      <c r="CN153"/>
      <c r="CO153"/>
      <c r="CP153"/>
      <c r="CQ153" s="143"/>
      <c r="CR153" s="143"/>
      <c r="CS153"/>
      <c r="CT153" s="262"/>
      <c r="CU153"/>
      <c r="CV153"/>
      <c r="CW153"/>
      <c r="CX153" s="143"/>
      <c r="CY153" s="143"/>
      <c r="CZ153" s="143"/>
      <c r="DA153" s="143"/>
      <c r="DB153"/>
      <c r="DC153"/>
      <c r="DD153" s="143"/>
      <c r="DE153"/>
      <c r="DF153" s="143"/>
      <c r="DG153"/>
      <c r="DH153"/>
      <c r="DI153"/>
      <c r="DJ153"/>
      <c r="DK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row>
    <row r="154" spans="1:165" s="139" customFormat="1" ht="15" customHeight="1">
      <c r="A154" s="1"/>
      <c r="B154" s="1"/>
      <c r="C154" s="1"/>
      <c r="D154" s="1"/>
      <c r="E154" s="1"/>
      <c r="F154"/>
      <c r="G154" s="1"/>
      <c r="H154" s="1"/>
      <c r="I154" s="1"/>
      <c r="J154" s="1"/>
      <c r="K154" s="1"/>
      <c r="L154" s="1"/>
      <c r="M154" s="189"/>
      <c r="N154" s="1"/>
      <c r="O154" s="1"/>
      <c r="P154"/>
      <c r="Q154" s="130"/>
      <c r="R154" s="1"/>
      <c r="S154" s="1"/>
      <c r="T154" s="1"/>
      <c r="U154" s="1"/>
      <c r="V154" s="1"/>
      <c r="W154" s="370"/>
      <c r="X154" s="1"/>
      <c r="Y154" s="1"/>
      <c r="Z154" s="1"/>
      <c r="AA154" s="381"/>
      <c r="AB154" s="381"/>
      <c r="AC154" s="1"/>
      <c r="AD154" s="1"/>
      <c r="AE154" s="1"/>
      <c r="AF154" s="1"/>
      <c r="AG154" s="1"/>
      <c r="AH154" s="1"/>
      <c r="AI154" s="1"/>
      <c r="AJ154" s="1"/>
      <c r="AK154" s="1"/>
      <c r="AL154" s="1"/>
      <c r="AM154" s="1"/>
      <c r="AN154" s="260"/>
      <c r="AO154" s="228"/>
      <c r="AP154" s="189"/>
      <c r="AQ154"/>
      <c r="AR154"/>
      <c r="AS154" s="228"/>
      <c r="AV154"/>
      <c r="AW154" s="262"/>
      <c r="AX154"/>
      <c r="AY154"/>
      <c r="AZ154"/>
      <c r="BA154"/>
      <c r="BB154"/>
      <c r="BC154"/>
      <c r="BD154"/>
      <c r="BE154"/>
      <c r="BF154"/>
      <c r="BG154" s="262"/>
      <c r="BH154" s="31"/>
      <c r="BI154"/>
      <c r="BJ154" s="262"/>
      <c r="BK154"/>
      <c r="BL154"/>
      <c r="BM154" s="108"/>
      <c r="BN154"/>
      <c r="BO154"/>
      <c r="BP154"/>
      <c r="BQ154"/>
      <c r="BR154" s="262"/>
      <c r="BS154"/>
      <c r="BT154"/>
      <c r="BU154"/>
      <c r="BV154" s="31"/>
      <c r="BW154" s="31"/>
      <c r="BX154"/>
      <c r="BY154"/>
      <c r="BZ154"/>
      <c r="CA154"/>
      <c r="CB154"/>
      <c r="CC154"/>
      <c r="CD154" s="141"/>
      <c r="CE154"/>
      <c r="CF154"/>
      <c r="CG154"/>
      <c r="CH154"/>
      <c r="CI154"/>
      <c r="CJ154"/>
      <c r="CK154" s="145"/>
      <c r="CL154"/>
      <c r="CM154"/>
      <c r="CN154"/>
      <c r="CO154"/>
      <c r="CP154"/>
      <c r="CQ154" s="229"/>
      <c r="CR154" s="143"/>
      <c r="CS154"/>
      <c r="CT154" s="262"/>
      <c r="CU154" s="260"/>
      <c r="CV154"/>
      <c r="CW154"/>
      <c r="CX154" s="260"/>
      <c r="CY154" s="260"/>
      <c r="CZ154"/>
      <c r="DA154"/>
      <c r="DB154"/>
      <c r="DC154"/>
      <c r="DD154"/>
      <c r="DE154" s="4"/>
      <c r="DF154" s="260"/>
      <c r="DG154"/>
      <c r="DH154"/>
      <c r="DI154"/>
      <c r="DJ154"/>
      <c r="DK154"/>
      <c r="DM154"/>
      <c r="DN154"/>
      <c r="DO154"/>
      <c r="DP154"/>
      <c r="DQ154"/>
      <c r="DR154"/>
      <c r="DS154"/>
      <c r="DT154"/>
      <c r="DU154"/>
      <c r="DV154"/>
      <c r="DW154"/>
      <c r="DX154"/>
      <c r="DY154"/>
      <c r="DZ154"/>
      <c r="EA154"/>
      <c r="EB154"/>
      <c r="EC154" s="269"/>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row>
    <row r="155" spans="1:165" s="139" customFormat="1" ht="15" customHeight="1">
      <c r="A155" s="1"/>
      <c r="B155" s="1"/>
      <c r="C155" s="1"/>
      <c r="D155" s="1"/>
      <c r="E155" s="1"/>
      <c r="F155"/>
      <c r="G155"/>
      <c r="H155" s="1"/>
      <c r="I155" s="295"/>
      <c r="J155" s="295"/>
      <c r="K155" s="1"/>
      <c r="L155" s="1"/>
      <c r="M155" s="1"/>
      <c r="N155" s="1"/>
      <c r="O155" s="1"/>
      <c r="P155"/>
      <c r="Q155" s="130"/>
      <c r="R155" s="1"/>
      <c r="S155" s="1"/>
      <c r="T155" s="1"/>
      <c r="U155" s="1"/>
      <c r="V155" s="1"/>
      <c r="W155" s="370"/>
      <c r="X155" s="1"/>
      <c r="Y155" s="1"/>
      <c r="Z155" s="1"/>
      <c r="AA155" s="381"/>
      <c r="AB155" s="381"/>
      <c r="AC155" s="1"/>
      <c r="AD155" s="1"/>
      <c r="AE155" s="1"/>
      <c r="AF155" s="1"/>
      <c r="AG155" s="1"/>
      <c r="AH155" s="1"/>
      <c r="AI155" s="1"/>
      <c r="AJ155" s="1"/>
      <c r="AK155" s="1"/>
      <c r="AL155" s="1"/>
      <c r="AM155"/>
      <c r="AN155"/>
      <c r="AO155" s="228"/>
      <c r="AP155" s="189"/>
      <c r="AQ155"/>
      <c r="AR155"/>
      <c r="AS155" s="228"/>
      <c r="AV155"/>
      <c r="AW155" s="262"/>
      <c r="AX155"/>
      <c r="AY155"/>
      <c r="AZ155"/>
      <c r="BA155"/>
      <c r="BB155"/>
      <c r="BC155"/>
      <c r="BD155"/>
      <c r="BE155"/>
      <c r="BF155"/>
      <c r="BG155" s="262"/>
      <c r="BH155" s="31"/>
      <c r="BI155"/>
      <c r="BJ155" s="262"/>
      <c r="BK155"/>
      <c r="BL155"/>
      <c r="BM155" s="108"/>
      <c r="BN155"/>
      <c r="BO155"/>
      <c r="BP155"/>
      <c r="BQ155"/>
      <c r="BR155" s="262"/>
      <c r="BS155"/>
      <c r="BT155"/>
      <c r="BU155"/>
      <c r="BV155" s="31"/>
      <c r="BW155" s="31"/>
      <c r="BX155"/>
      <c r="BY155"/>
      <c r="BZ155"/>
      <c r="CA155"/>
      <c r="CB155"/>
      <c r="CC155"/>
      <c r="CD155" s="141"/>
      <c r="CE155"/>
      <c r="CF155"/>
      <c r="CG155"/>
      <c r="CH155"/>
      <c r="CI155"/>
      <c r="CJ155"/>
      <c r="CK155"/>
      <c r="CL155"/>
      <c r="CM155"/>
      <c r="CN155"/>
      <c r="CO155" s="229"/>
      <c r="CP155"/>
      <c r="CQ155" s="229"/>
      <c r="CR155" s="143"/>
      <c r="CS155" s="229"/>
      <c r="CT155" s="264"/>
      <c r="CU155" s="300"/>
      <c r="CV155"/>
      <c r="CW155" s="268"/>
      <c r="CX155" s="143"/>
      <c r="CY155"/>
      <c r="CZ155"/>
      <c r="DA155"/>
      <c r="DB155"/>
      <c r="DC155"/>
      <c r="DD155"/>
      <c r="DE155" s="4"/>
      <c r="DF155" s="260"/>
      <c r="DG155"/>
      <c r="DH155"/>
      <c r="DI155"/>
      <c r="DJ155"/>
      <c r="DK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row>
    <row r="156" spans="1:165" s="139" customFormat="1" ht="15" customHeight="1">
      <c r="A156" s="1"/>
      <c r="B156" s="1"/>
      <c r="C156" s="1"/>
      <c r="D156" s="1"/>
      <c r="E156" s="1"/>
      <c r="F156"/>
      <c r="G156"/>
      <c r="H156" s="1"/>
      <c r="I156" s="295"/>
      <c r="J156" s="295"/>
      <c r="K156" s="1"/>
      <c r="L156" s="1"/>
      <c r="M156" s="293"/>
      <c r="N156" s="1"/>
      <c r="O156" s="1"/>
      <c r="P156"/>
      <c r="Q156" s="130"/>
      <c r="R156" s="1"/>
      <c r="S156" s="1"/>
      <c r="T156" s="1"/>
      <c r="U156" s="441"/>
      <c r="V156" s="1"/>
      <c r="W156" s="370"/>
      <c r="X156" s="1"/>
      <c r="Y156" s="1"/>
      <c r="Z156" s="1"/>
      <c r="AA156" s="1"/>
      <c r="AB156" s="1"/>
      <c r="AC156" s="1"/>
      <c r="AD156" s="1"/>
      <c r="AE156" s="1"/>
      <c r="AF156" s="1"/>
      <c r="AG156" s="1"/>
      <c r="AH156" s="1"/>
      <c r="AI156" s="1"/>
      <c r="AJ156" s="1"/>
      <c r="AK156" s="1"/>
      <c r="AL156" s="1"/>
      <c r="AM156"/>
      <c r="AN156"/>
      <c r="AO156" s="228"/>
      <c r="AP156" s="31"/>
      <c r="AQ156"/>
      <c r="AR156"/>
      <c r="AS156" s="228"/>
      <c r="AV156"/>
      <c r="AW156" s="262"/>
      <c r="AX156"/>
      <c r="AY156"/>
      <c r="AZ156"/>
      <c r="BA156"/>
      <c r="BB156"/>
      <c r="BC156"/>
      <c r="BD156"/>
      <c r="BE156" s="299"/>
      <c r="BF156"/>
      <c r="BG156" s="262"/>
      <c r="BH156" s="31"/>
      <c r="BI156" s="31"/>
      <c r="BJ156" s="262"/>
      <c r="BK156"/>
      <c r="BL156"/>
      <c r="BM156" s="108"/>
      <c r="BN156"/>
      <c r="BO156"/>
      <c r="BP156"/>
      <c r="BQ156"/>
      <c r="BR156" s="262"/>
      <c r="BS156"/>
      <c r="BT156"/>
      <c r="BU156"/>
      <c r="BV156" s="31"/>
      <c r="BW156" s="31"/>
      <c r="BX156"/>
      <c r="BY156"/>
      <c r="BZ156"/>
      <c r="CA156"/>
      <c r="CB156"/>
      <c r="CC156"/>
      <c r="CD156" s="141"/>
      <c r="CE156"/>
      <c r="CF156" s="130"/>
      <c r="CG156"/>
      <c r="CH156"/>
      <c r="CI156"/>
      <c r="CJ156"/>
      <c r="CK156"/>
      <c r="CL156"/>
      <c r="CM156"/>
      <c r="CN156"/>
      <c r="CO156"/>
      <c r="CP156"/>
      <c r="CQ156" s="247"/>
      <c r="CR156" s="143"/>
      <c r="CS156"/>
      <c r="CT156" s="262"/>
      <c r="CU156"/>
      <c r="CV156"/>
      <c r="CW156"/>
      <c r="CX156" s="143"/>
      <c r="CY156" s="228"/>
      <c r="CZ156"/>
      <c r="DA156"/>
      <c r="DB156"/>
      <c r="DC156"/>
      <c r="DD156"/>
      <c r="DE156" s="4"/>
      <c r="DF156" s="354"/>
      <c r="DG156"/>
      <c r="DH156"/>
      <c r="DI156"/>
      <c r="DJ156"/>
      <c r="DK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row>
    <row r="157" spans="1:165" s="139" customFormat="1" ht="15" customHeight="1">
      <c r="A157" s="1"/>
      <c r="B157" s="1"/>
      <c r="C157" s="1"/>
      <c r="D157" s="1"/>
      <c r="E157" s="1"/>
      <c r="F157"/>
      <c r="G157"/>
      <c r="H157" s="1"/>
      <c r="I157" s="295"/>
      <c r="J157" s="295"/>
      <c r="K157" s="1"/>
      <c r="L157" s="1"/>
      <c r="M157" s="293"/>
      <c r="N157" s="1"/>
      <c r="O157" s="1"/>
      <c r="P157"/>
      <c r="Q157" s="130"/>
      <c r="R157" s="1"/>
      <c r="S157" s="1"/>
      <c r="T157" s="1"/>
      <c r="U157" s="1"/>
      <c r="V157" s="1"/>
      <c r="W157" s="1"/>
      <c r="X157" s="1"/>
      <c r="Y157" s="1"/>
      <c r="Z157" s="1"/>
      <c r="AA157" s="1"/>
      <c r="AB157" s="1"/>
      <c r="AC157" s="1"/>
      <c r="AD157" s="1"/>
      <c r="AE157" s="1"/>
      <c r="AF157" s="1"/>
      <c r="AG157" s="1"/>
      <c r="AH157" s="1"/>
      <c r="AI157" s="1"/>
      <c r="AJ157" s="1"/>
      <c r="AK157" s="1"/>
      <c r="AL157" s="1"/>
      <c r="AM157"/>
      <c r="AN157"/>
      <c r="AO157" s="228"/>
      <c r="AP157" s="189"/>
      <c r="AQ157"/>
      <c r="AR157"/>
      <c r="AS157" s="228"/>
      <c r="AV157"/>
      <c r="AW157" s="262"/>
      <c r="AX157"/>
      <c r="AY157"/>
      <c r="AZ157"/>
      <c r="BA157"/>
      <c r="BB157"/>
      <c r="BC157"/>
      <c r="BD157"/>
      <c r="BE157"/>
      <c r="BF157"/>
      <c r="BG157" s="262"/>
      <c r="BH157" s="31"/>
      <c r="BI157"/>
      <c r="BJ157" s="262"/>
      <c r="BK157"/>
      <c r="BL157"/>
      <c r="BM157" s="108"/>
      <c r="BN157"/>
      <c r="BO157"/>
      <c r="BP157"/>
      <c r="BQ157"/>
      <c r="BR157" s="262"/>
      <c r="BS157"/>
      <c r="BT157"/>
      <c r="BU157"/>
      <c r="BV157" s="31"/>
      <c r="BW157" s="31"/>
      <c r="BX157"/>
      <c r="BY157"/>
      <c r="BZ157"/>
      <c r="CA157"/>
      <c r="CB157"/>
      <c r="CC157"/>
      <c r="CD157" s="141"/>
      <c r="CE157"/>
      <c r="CF157"/>
      <c r="CG157" s="197"/>
      <c r="CH157"/>
      <c r="CI157"/>
      <c r="CJ157"/>
      <c r="CK157"/>
      <c r="CL157"/>
      <c r="CM157"/>
      <c r="CN157"/>
      <c r="CO157"/>
      <c r="CP157"/>
      <c r="CQ157" s="143"/>
      <c r="CR157" s="143"/>
      <c r="CS157"/>
      <c r="CT157" s="262"/>
      <c r="CU157" s="269"/>
      <c r="CV157"/>
      <c r="CW157"/>
      <c r="CX157" s="143"/>
      <c r="CY157" s="15"/>
      <c r="CZ157" s="250"/>
      <c r="DA157"/>
      <c r="DB157"/>
      <c r="DC157"/>
      <c r="DD157"/>
      <c r="DE157" s="262"/>
      <c r="DF157" s="262"/>
      <c r="DG157"/>
      <c r="DH157"/>
      <c r="DI157" s="354"/>
      <c r="DJ157"/>
      <c r="DK157" s="262"/>
      <c r="DL157" s="262"/>
      <c r="DM157" s="262"/>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row>
    <row r="158" spans="1:165" s="139" customFormat="1" ht="15" customHeight="1">
      <c r="A158" s="1"/>
      <c r="B158" s="1"/>
      <c r="C158" s="1"/>
      <c r="D158" s="1"/>
      <c r="E158" s="1"/>
      <c r="F158"/>
      <c r="G158"/>
      <c r="H158" s="1"/>
      <c r="I158" s="295"/>
      <c r="J158" s="295"/>
      <c r="K158" s="1"/>
      <c r="L158" s="1"/>
      <c r="M158" s="293"/>
      <c r="N158" s="1"/>
      <c r="O158" s="1"/>
      <c r="P158"/>
      <c r="Q158" s="130"/>
      <c r="R158" s="1"/>
      <c r="S158" s="1"/>
      <c r="T158" s="1"/>
      <c r="U158" s="1"/>
      <c r="V158" s="1"/>
      <c r="W158" s="1"/>
      <c r="X158" s="1"/>
      <c r="Y158" s="1"/>
      <c r="Z158" s="1"/>
      <c r="AA158" s="1"/>
      <c r="AB158" s="1"/>
      <c r="AC158" s="1"/>
      <c r="AD158" s="1"/>
      <c r="AE158" s="1"/>
      <c r="AF158" s="1"/>
      <c r="AG158" s="1"/>
      <c r="AH158" s="1"/>
      <c r="AI158" s="1"/>
      <c r="AJ158" s="1"/>
      <c r="AK158" s="1"/>
      <c r="AL158" s="1"/>
      <c r="AM158"/>
      <c r="AN158"/>
      <c r="AO158" s="228"/>
      <c r="AP158" s="189"/>
      <c r="AQ158"/>
      <c r="AR158"/>
      <c r="AS158" s="228"/>
      <c r="AV158"/>
      <c r="AW158" s="262"/>
      <c r="AX158"/>
      <c r="AY158"/>
      <c r="AZ158"/>
      <c r="BA158"/>
      <c r="BB158"/>
      <c r="BC158"/>
      <c r="BD158"/>
      <c r="BE158"/>
      <c r="BF158"/>
      <c r="BG158" s="262"/>
      <c r="BH158" s="31"/>
      <c r="BI158"/>
      <c r="BJ158" s="262"/>
      <c r="BK158"/>
      <c r="BL158"/>
      <c r="BM158" s="108"/>
      <c r="BN158"/>
      <c r="BO158"/>
      <c r="BP158"/>
      <c r="BR158" s="262"/>
      <c r="BS158" s="262"/>
      <c r="BT158" s="262"/>
      <c r="BU158" s="262"/>
      <c r="BV158" s="262"/>
      <c r="BW158" s="262"/>
      <c r="BX158" s="262"/>
      <c r="BY158" s="262"/>
      <c r="BZ158" s="262"/>
      <c r="CA158" s="262"/>
      <c r="CB158" s="262"/>
      <c r="CC158" s="262"/>
      <c r="CD158" s="262"/>
      <c r="CE158" s="262"/>
      <c r="CF158" s="262"/>
      <c r="CG158" s="262"/>
      <c r="CH158" s="262"/>
      <c r="CI158" s="262"/>
      <c r="CJ158" s="262"/>
      <c r="CK158" s="262"/>
      <c r="CL158" s="262"/>
      <c r="CM158" s="262"/>
      <c r="CN158" s="262"/>
      <c r="CO158" s="262"/>
      <c r="CP158" s="262"/>
      <c r="CQ158" s="262"/>
      <c r="CR158" s="262"/>
      <c r="CS158" s="262"/>
      <c r="CT158" s="262"/>
      <c r="CU158" s="262"/>
      <c r="CV158" s="262"/>
      <c r="CW158" s="262"/>
      <c r="CX158" s="262"/>
      <c r="CY158" s="262"/>
      <c r="CZ158" s="262"/>
      <c r="DA158" s="262"/>
      <c r="DB158" s="262"/>
      <c r="DC158"/>
      <c r="DD158"/>
      <c r="DE158" s="262"/>
      <c r="DF158" s="262"/>
      <c r="DG158" s="262"/>
      <c r="DH158" s="262"/>
      <c r="DI158" s="262"/>
      <c r="DJ158"/>
      <c r="DK158" s="262"/>
      <c r="DL158" s="262"/>
      <c r="DM158" s="262"/>
      <c r="DN158"/>
      <c r="DO158"/>
      <c r="DP158"/>
      <c r="DQ158"/>
      <c r="DR158"/>
      <c r="DS158"/>
      <c r="DT158"/>
      <c r="DU158"/>
      <c r="DV158"/>
      <c r="DW158"/>
      <c r="DX158"/>
      <c r="DY158"/>
      <c r="DZ158"/>
      <c r="EA158"/>
      <c r="EB158"/>
      <c r="EC158" s="262"/>
      <c r="ED158" s="262"/>
      <c r="EE158" s="262"/>
      <c r="EF158" s="262"/>
      <c r="EG158" s="262"/>
      <c r="EH158" s="262"/>
      <c r="EI158" s="262"/>
      <c r="EJ158" s="262"/>
      <c r="EK158" s="262"/>
      <c r="EL158" s="262"/>
      <c r="EM158" s="262"/>
    </row>
    <row r="159" spans="1:165" s="139" customFormat="1" ht="15" customHeight="1">
      <c r="A159" s="1"/>
      <c r="B159" s="1"/>
      <c r="C159" s="1"/>
      <c r="D159" s="1"/>
      <c r="E159" s="1"/>
      <c r="F159"/>
      <c r="G159"/>
      <c r="H159" s="1"/>
      <c r="I159" s="295"/>
      <c r="J159" s="295"/>
      <c r="K159" s="1"/>
      <c r="L159"/>
      <c r="M159" s="293"/>
      <c r="N159" s="1"/>
      <c r="O159" s="1"/>
      <c r="P159"/>
      <c r="Q159" s="130"/>
      <c r="R159" s="1"/>
      <c r="S159" s="1"/>
      <c r="T159" s="1"/>
      <c r="U159" s="1"/>
      <c r="V159" s="1"/>
      <c r="W159" s="1"/>
      <c r="X159" s="1"/>
      <c r="Y159" s="1"/>
      <c r="Z159" s="1"/>
      <c r="AA159" s="1"/>
      <c r="AB159" s="1"/>
      <c r="AC159" s="1"/>
      <c r="AD159" s="1"/>
      <c r="AE159" s="1"/>
      <c r="AF159" s="1"/>
      <c r="AG159" s="1"/>
      <c r="AH159" s="1"/>
      <c r="AI159" s="1"/>
      <c r="AJ159" s="1"/>
      <c r="AK159" s="1"/>
      <c r="AL159" s="1"/>
      <c r="AM159"/>
      <c r="AN159"/>
      <c r="AO159" s="228"/>
      <c r="AP159" s="189"/>
      <c r="AQ159"/>
      <c r="AR159"/>
      <c r="AS159" s="228"/>
      <c r="AV159"/>
      <c r="AW159" s="262"/>
      <c r="AX159"/>
      <c r="AY159"/>
      <c r="AZ159"/>
      <c r="BA159"/>
      <c r="BB159"/>
      <c r="BC159"/>
      <c r="BD159"/>
      <c r="BE159"/>
      <c r="BF159"/>
      <c r="BG159" s="262"/>
      <c r="BH159" s="31"/>
      <c r="BI159"/>
      <c r="BJ159" s="262"/>
      <c r="BK159"/>
      <c r="BL159"/>
      <c r="BM159" s="108"/>
      <c r="BN159"/>
      <c r="BO159"/>
      <c r="BP159"/>
      <c r="BQ159"/>
      <c r="BR159" s="262"/>
      <c r="BS159"/>
      <c r="BT159"/>
      <c r="BU159"/>
      <c r="BV159" s="31"/>
      <c r="BW159" s="31"/>
      <c r="BX159"/>
      <c r="BY159"/>
      <c r="BZ159"/>
      <c r="CA159"/>
      <c r="CB159"/>
      <c r="CC159"/>
      <c r="CD159" s="141"/>
      <c r="CE159"/>
      <c r="CF159" s="197"/>
      <c r="CG159" s="197"/>
      <c r="CH159"/>
      <c r="CI159"/>
      <c r="CJ159"/>
      <c r="CK159"/>
      <c r="CL159"/>
      <c r="CM159"/>
      <c r="CN159"/>
      <c r="CO159"/>
      <c r="CP159"/>
      <c r="CQ159" s="143"/>
      <c r="CR159" s="143"/>
      <c r="CS159"/>
      <c r="CT159" s="262"/>
      <c r="CU159" s="262"/>
      <c r="CV159"/>
      <c r="CW159" s="260"/>
      <c r="CX159" s="143"/>
      <c r="CY159"/>
      <c r="CZ159" s="250"/>
      <c r="DA159"/>
      <c r="DB159"/>
      <c r="DC159"/>
      <c r="DD159"/>
      <c r="DF159" s="262"/>
      <c r="DG159" s="262"/>
      <c r="DH159" s="262"/>
      <c r="DI159" s="262"/>
      <c r="DJ159"/>
      <c r="DK159"/>
      <c r="DL159"/>
      <c r="DM159"/>
      <c r="DN159"/>
      <c r="DO159"/>
      <c r="DP159"/>
      <c r="DQ159"/>
      <c r="DR159"/>
      <c r="DS159"/>
      <c r="DT159"/>
      <c r="DU159"/>
      <c r="DV159"/>
      <c r="DW159"/>
      <c r="DX159"/>
      <c r="DY159"/>
      <c r="DZ159"/>
      <c r="EA159"/>
      <c r="EB159"/>
    </row>
    <row r="160" spans="1:165" s="139" customFormat="1" ht="15" customHeight="1">
      <c r="A160" s="1"/>
      <c r="B160" s="1"/>
      <c r="C160" s="1"/>
      <c r="D160" s="1"/>
      <c r="E160" s="1"/>
      <c r="F160"/>
      <c r="G160"/>
      <c r="H160" s="1"/>
      <c r="I160" s="295"/>
      <c r="J160" s="295"/>
      <c r="K160" s="1"/>
      <c r="L160"/>
      <c r="M160" s="293"/>
      <c r="N160" s="1"/>
      <c r="O160" s="1"/>
      <c r="P160"/>
      <c r="Q160" s="130"/>
      <c r="R160" s="1"/>
      <c r="S160" s="1"/>
      <c r="T160" s="1"/>
      <c r="U160" s="1"/>
      <c r="V160" s="1"/>
      <c r="W160" s="1"/>
      <c r="X160" s="1"/>
      <c r="Y160" s="1"/>
      <c r="Z160" s="1"/>
      <c r="AA160" s="1"/>
      <c r="AB160" s="1"/>
      <c r="AC160" s="1"/>
      <c r="AD160" s="1"/>
      <c r="AE160" s="1"/>
      <c r="AF160" s="1"/>
      <c r="AG160" s="1"/>
      <c r="AH160" s="1"/>
      <c r="AI160" s="1"/>
      <c r="AJ160" s="1"/>
      <c r="AK160" s="1"/>
      <c r="AL160" s="1"/>
      <c r="AM160"/>
      <c r="AN160"/>
      <c r="AO160" s="228"/>
      <c r="AP160" s="189"/>
      <c r="AQ160"/>
      <c r="AR160"/>
      <c r="AS160" s="228"/>
      <c r="AV160"/>
      <c r="AW160" s="262"/>
      <c r="AX160"/>
      <c r="AY160"/>
      <c r="AZ160"/>
      <c r="BA160"/>
      <c r="BB160"/>
      <c r="BC160"/>
      <c r="BD160"/>
      <c r="BE160"/>
      <c r="BF160"/>
      <c r="BG160" s="262"/>
      <c r="BH160" s="31"/>
      <c r="BI160"/>
      <c r="BJ160" s="262"/>
      <c r="BK160"/>
      <c r="BL160"/>
      <c r="BM160" s="108"/>
      <c r="BN160"/>
      <c r="BO160"/>
      <c r="BP160"/>
      <c r="BQ160"/>
      <c r="BR160" s="262"/>
      <c r="BS160"/>
      <c r="BT160"/>
      <c r="BU160"/>
      <c r="BV160" s="31"/>
      <c r="BW160" s="31"/>
      <c r="BX160"/>
      <c r="BY160"/>
      <c r="BZ160"/>
      <c r="CA160"/>
      <c r="CB160"/>
      <c r="CC160"/>
      <c r="CD160" s="141"/>
      <c r="CE160"/>
      <c r="CF160" s="197"/>
      <c r="CG160" s="197"/>
      <c r="CH160"/>
      <c r="CI160"/>
      <c r="CJ160"/>
      <c r="CK160"/>
      <c r="CL160"/>
      <c r="CM160"/>
      <c r="CN160"/>
      <c r="CO160"/>
      <c r="CP160"/>
      <c r="CQ160" s="143"/>
      <c r="CR160" s="143"/>
      <c r="CS160"/>
      <c r="CT160" s="262"/>
      <c r="CU160" s="262"/>
      <c r="CV160"/>
      <c r="CW160"/>
      <c r="CX160" s="143"/>
      <c r="CY160"/>
      <c r="CZ160" s="250"/>
      <c r="DA160"/>
      <c r="DB160"/>
      <c r="DC160"/>
      <c r="DD160"/>
      <c r="DE160" s="262"/>
      <c r="DF160" s="262"/>
      <c r="DG160" s="262"/>
      <c r="DJ160"/>
      <c r="DK160"/>
      <c r="DL160"/>
      <c r="DM160"/>
      <c r="DN160"/>
      <c r="DO160"/>
      <c r="DP160"/>
      <c r="DQ160"/>
      <c r="DR160"/>
      <c r="DS160"/>
      <c r="DT160"/>
      <c r="DU160"/>
      <c r="DV160"/>
      <c r="DW160"/>
      <c r="DX160"/>
      <c r="DY160"/>
      <c r="DZ160"/>
      <c r="EA160"/>
      <c r="EB160"/>
    </row>
    <row r="161" spans="1:132" s="139" customFormat="1" ht="15" customHeight="1">
      <c r="A161" s="1"/>
      <c r="B161" s="1"/>
      <c r="C161" s="1"/>
      <c r="D161" s="1"/>
      <c r="E161" s="1"/>
      <c r="F161"/>
      <c r="G161"/>
      <c r="H161" s="1"/>
      <c r="I161" s="295"/>
      <c r="J161" s="295"/>
      <c r="K161" s="1"/>
      <c r="L161"/>
      <c r="M161" s="293"/>
      <c r="N161" s="1"/>
      <c r="O161" s="1"/>
      <c r="P161"/>
      <c r="Q161" s="130"/>
      <c r="R161" s="1"/>
      <c r="S161" s="1"/>
      <c r="T161" s="1"/>
      <c r="U161" s="1"/>
      <c r="V161" s="1"/>
      <c r="W161" s="1"/>
      <c r="X161" s="1"/>
      <c r="Y161" s="1"/>
      <c r="Z161" s="1"/>
      <c r="AA161" s="1"/>
      <c r="AB161" s="1"/>
      <c r="AC161" s="1"/>
      <c r="AD161" s="1"/>
      <c r="AE161" s="1"/>
      <c r="AF161" s="1"/>
      <c r="AG161" s="1"/>
      <c r="AH161" s="1"/>
      <c r="AI161" s="1"/>
      <c r="AJ161" s="1"/>
      <c r="AK161" s="1"/>
      <c r="AL161" s="1"/>
      <c r="AM161"/>
      <c r="AN161"/>
      <c r="AO161" s="228"/>
      <c r="AP161" s="189"/>
      <c r="AQ161"/>
      <c r="AR161"/>
      <c r="AS161" s="228"/>
      <c r="AV161"/>
      <c r="AW161" s="262"/>
      <c r="AX161"/>
      <c r="AY161"/>
      <c r="AZ161"/>
      <c r="BA161"/>
      <c r="BB161"/>
      <c r="BC161"/>
      <c r="BD161"/>
      <c r="BE161"/>
      <c r="BF161"/>
      <c r="BG161" s="262"/>
      <c r="BH161" s="31"/>
      <c r="BI161"/>
      <c r="BJ161" s="262"/>
      <c r="BK161"/>
      <c r="BL161"/>
      <c r="BM161" s="108"/>
      <c r="BN161"/>
      <c r="BO161"/>
      <c r="BP161"/>
      <c r="BQ161"/>
      <c r="BR161" s="262"/>
      <c r="BS161"/>
      <c r="BT161"/>
      <c r="BU161"/>
      <c r="BV161" s="31"/>
      <c r="BW161" s="31"/>
      <c r="BX161"/>
      <c r="BY161"/>
      <c r="BZ161"/>
      <c r="CA161"/>
      <c r="CB161"/>
      <c r="CC161"/>
      <c r="CD161" s="141"/>
      <c r="CE161"/>
      <c r="CF161" s="197"/>
      <c r="CG161" s="197"/>
      <c r="CH161"/>
      <c r="CI161"/>
      <c r="CJ161"/>
      <c r="CK161"/>
      <c r="CL161"/>
      <c r="CM161"/>
      <c r="CN161"/>
      <c r="CO161"/>
      <c r="CP161"/>
      <c r="CQ161" s="143"/>
      <c r="CR161" s="143"/>
      <c r="CS161"/>
      <c r="CT161" s="262"/>
      <c r="CU161"/>
      <c r="CV161"/>
      <c r="CW161"/>
      <c r="CX161" s="143"/>
      <c r="CY161"/>
      <c r="CZ161"/>
      <c r="DA161"/>
      <c r="DB161"/>
      <c r="DC161"/>
      <c r="DD161"/>
      <c r="DE161" s="215"/>
      <c r="DF161" s="14"/>
      <c r="DG161" s="262"/>
      <c r="DH161"/>
      <c r="DI161"/>
      <c r="DJ161"/>
      <c r="DK161" s="262"/>
      <c r="DN161"/>
      <c r="DO161"/>
      <c r="DP161"/>
      <c r="DQ161"/>
      <c r="DR161"/>
      <c r="DS161"/>
      <c r="DT161"/>
      <c r="DU161"/>
      <c r="DV161"/>
      <c r="DW161"/>
      <c r="DX161"/>
      <c r="DY161"/>
      <c r="DZ161"/>
      <c r="EA161"/>
      <c r="EB161"/>
    </row>
    <row r="162" spans="1:132" s="139" customFormat="1" ht="15" customHeight="1">
      <c r="A162" s="1"/>
      <c r="B162" s="1"/>
      <c r="C162" s="1"/>
      <c r="D162" s="1"/>
      <c r="E162" s="1"/>
      <c r="F162" s="1"/>
      <c r="G162"/>
      <c r="H162" s="1"/>
      <c r="I162" s="295"/>
      <c r="J162" s="295"/>
      <c r="K162" s="1"/>
      <c r="L162"/>
      <c r="M162" s="293"/>
      <c r="N162" s="1"/>
      <c r="O162" s="1"/>
      <c r="P162"/>
      <c r="Q162" s="130"/>
      <c r="R162" s="1"/>
      <c r="S162" s="1"/>
      <c r="T162" s="1"/>
      <c r="U162" s="1"/>
      <c r="V162" s="1"/>
      <c r="W162" s="1"/>
      <c r="X162" s="1"/>
      <c r="Y162" s="1"/>
      <c r="Z162" s="1"/>
      <c r="AA162" s="1"/>
      <c r="AB162" s="1"/>
      <c r="AC162" s="1"/>
      <c r="AD162" s="1"/>
      <c r="AE162" s="1"/>
      <c r="AF162" s="1"/>
      <c r="AG162" s="1"/>
      <c r="AH162" s="1"/>
      <c r="AI162" s="1"/>
      <c r="AJ162" s="1"/>
      <c r="AK162" s="1"/>
      <c r="AL162" s="1"/>
      <c r="AM162"/>
      <c r="AN162"/>
      <c r="AO162" s="228"/>
      <c r="AP162" s="189"/>
      <c r="AQ162"/>
      <c r="AR162"/>
      <c r="AS162" s="228"/>
      <c r="AV162"/>
      <c r="AW162" s="262"/>
      <c r="AX162"/>
      <c r="AY162"/>
      <c r="AZ162"/>
      <c r="BA162"/>
      <c r="BB162"/>
      <c r="BC162"/>
      <c r="BD162"/>
      <c r="BE162"/>
      <c r="BF162"/>
      <c r="BG162" s="262"/>
      <c r="BH162" s="31"/>
      <c r="BI162"/>
      <c r="BJ162" s="262"/>
      <c r="BK162"/>
      <c r="BL162"/>
      <c r="BM162" s="108"/>
      <c r="BN162"/>
      <c r="BO162"/>
      <c r="BP162"/>
      <c r="BQ162"/>
      <c r="BR162" s="262"/>
      <c r="BS162"/>
      <c r="BT162"/>
      <c r="BU162"/>
      <c r="BV162" s="31"/>
      <c r="BW162" s="31"/>
      <c r="BX162"/>
      <c r="BY162"/>
      <c r="BZ162"/>
      <c r="CA162"/>
      <c r="CB162"/>
      <c r="CC162"/>
      <c r="CD162" s="141"/>
      <c r="CE162"/>
      <c r="CF162" s="197"/>
      <c r="CG162" s="197"/>
      <c r="CH162"/>
      <c r="CI162"/>
      <c r="CJ162"/>
      <c r="CK162"/>
      <c r="CL162"/>
      <c r="CM162"/>
      <c r="CN162"/>
      <c r="CO162"/>
      <c r="CP162"/>
      <c r="CQ162" s="143"/>
      <c r="CR162" s="143"/>
      <c r="CS162"/>
      <c r="CT162" s="262"/>
      <c r="CU162"/>
      <c r="CV162"/>
      <c r="CW162"/>
      <c r="CX162" s="143"/>
      <c r="CY162"/>
      <c r="CZ162"/>
      <c r="DA162"/>
      <c r="DB162"/>
      <c r="DC162"/>
      <c r="DD162"/>
      <c r="DE162" s="262"/>
      <c r="DF162" s="262"/>
      <c r="DG162" s="262"/>
      <c r="DH162"/>
      <c r="DI162"/>
      <c r="DJ162"/>
      <c r="DK162" s="262"/>
      <c r="DN162"/>
      <c r="DO162"/>
      <c r="DP162"/>
      <c r="DQ162"/>
      <c r="DR162"/>
      <c r="DS162"/>
      <c r="DT162"/>
      <c r="DU162"/>
      <c r="DV162"/>
      <c r="DW162"/>
      <c r="DX162"/>
      <c r="DY162"/>
      <c r="DZ162"/>
      <c r="EA162"/>
      <c r="EB162"/>
    </row>
    <row r="163" spans="1:132" s="139" customFormat="1" ht="15" customHeight="1">
      <c r="A163" s="1"/>
      <c r="B163" s="1"/>
      <c r="C163" s="1"/>
      <c r="D163" s="1"/>
      <c r="E163" s="1"/>
      <c r="F163" s="1"/>
      <c r="G163"/>
      <c r="H163" s="1"/>
      <c r="I163" s="295"/>
      <c r="J163" s="295"/>
      <c r="K163" s="1"/>
      <c r="L163"/>
      <c r="M163" s="293"/>
      <c r="N163" s="1"/>
      <c r="O163" s="1"/>
      <c r="P163"/>
      <c r="Q163" s="130"/>
      <c r="R163" s="1"/>
      <c r="S163" s="1"/>
      <c r="T163" s="1"/>
      <c r="U163" s="1"/>
      <c r="V163" s="1"/>
      <c r="W163" s="1"/>
      <c r="X163" s="1"/>
      <c r="Y163" s="1"/>
      <c r="Z163" s="1"/>
      <c r="AA163" s="1"/>
      <c r="AB163" s="1"/>
      <c r="AC163" s="1"/>
      <c r="AD163" s="1"/>
      <c r="AE163" s="1"/>
      <c r="AF163" s="1"/>
      <c r="AG163" s="1"/>
      <c r="AH163" s="1"/>
      <c r="AI163" s="1"/>
      <c r="AJ163" s="1"/>
      <c r="AK163" s="1"/>
      <c r="AL163" s="1"/>
      <c r="AM163"/>
      <c r="AN163"/>
      <c r="AO163" s="228"/>
      <c r="AP163" s="189"/>
      <c r="AQ163"/>
      <c r="AR163"/>
      <c r="AS163" s="228"/>
      <c r="AV163"/>
      <c r="AW163" s="262"/>
      <c r="AX163"/>
      <c r="AY163"/>
      <c r="AZ163"/>
      <c r="BA163"/>
      <c r="BB163"/>
      <c r="BC163"/>
      <c r="BD163"/>
      <c r="BE163"/>
      <c r="BF163"/>
      <c r="BG163" s="262"/>
      <c r="BH163" s="31"/>
      <c r="BI163"/>
      <c r="BJ163" s="262"/>
      <c r="BK163"/>
      <c r="BL163"/>
      <c r="BM163" s="108"/>
      <c r="BN163"/>
      <c r="BO163"/>
      <c r="BP163"/>
      <c r="BQ163"/>
      <c r="BR163" s="262"/>
      <c r="BS163"/>
      <c r="BT163"/>
      <c r="BU163"/>
      <c r="BV163" s="31"/>
      <c r="BW163" s="31"/>
      <c r="BX163"/>
      <c r="BY163"/>
      <c r="BZ163"/>
      <c r="CA163"/>
      <c r="CB163"/>
      <c r="CC163"/>
      <c r="CD163" s="141"/>
      <c r="CE163"/>
      <c r="CF163" s="197"/>
      <c r="CG163" s="197"/>
      <c r="CH163"/>
      <c r="CI163"/>
      <c r="CJ163"/>
      <c r="CK163"/>
      <c r="CL163"/>
      <c r="CM163"/>
      <c r="CN163"/>
      <c r="CO163"/>
      <c r="CP163"/>
      <c r="CQ163" s="143"/>
      <c r="CR163" s="143"/>
      <c r="CS163"/>
      <c r="CT163" s="262"/>
      <c r="CU163"/>
      <c r="CV163"/>
      <c r="CW163"/>
      <c r="CX163" s="143"/>
      <c r="CY163"/>
      <c r="CZ163"/>
      <c r="DA163"/>
      <c r="DB163"/>
      <c r="DC163"/>
      <c r="DD163" s="262"/>
      <c r="DE163" s="14"/>
      <c r="DF163" s="262"/>
      <c r="DG163" s="262"/>
      <c r="DH163"/>
      <c r="DI163"/>
      <c r="DJ163"/>
      <c r="DK163" s="262"/>
      <c r="DN163"/>
      <c r="DO163"/>
      <c r="DP163"/>
      <c r="DQ163"/>
      <c r="DR163"/>
      <c r="DS163"/>
      <c r="DT163"/>
      <c r="DU163"/>
      <c r="DV163"/>
      <c r="DW163"/>
      <c r="DX163"/>
      <c r="DY163"/>
      <c r="DZ163"/>
      <c r="EA163"/>
      <c r="EB163"/>
    </row>
    <row r="164" spans="1:132" s="139" customFormat="1" ht="15" customHeight="1">
      <c r="A164" s="1"/>
      <c r="B164" s="1"/>
      <c r="C164" s="1"/>
      <c r="D164" s="1"/>
      <c r="E164" s="1"/>
      <c r="F164" s="1"/>
      <c r="G164"/>
      <c r="H164" s="1"/>
      <c r="I164" s="295"/>
      <c r="J164" s="295"/>
      <c r="K164" s="1"/>
      <c r="L164"/>
      <c r="M164" s="293"/>
      <c r="N164" s="1"/>
      <c r="O164" s="1"/>
      <c r="P164"/>
      <c r="Q164" s="130"/>
      <c r="R164" s="1"/>
      <c r="S164" s="1"/>
      <c r="T164" s="1"/>
      <c r="U164" s="1"/>
      <c r="V164" s="1"/>
      <c r="W164" s="1"/>
      <c r="X164" s="1"/>
      <c r="Y164" s="1"/>
      <c r="Z164" s="1"/>
      <c r="AA164" s="1"/>
      <c r="AB164" s="1"/>
      <c r="AC164" s="1"/>
      <c r="AD164" s="1"/>
      <c r="AE164" s="1"/>
      <c r="AF164" s="1"/>
      <c r="AG164" s="1"/>
      <c r="AH164" s="1"/>
      <c r="AI164" s="1"/>
      <c r="AJ164" s="1"/>
      <c r="AK164" s="1"/>
      <c r="AL164" s="1"/>
      <c r="AM164"/>
      <c r="AN164"/>
      <c r="AO164" s="228"/>
      <c r="AP164" s="189"/>
      <c r="AQ164"/>
      <c r="AR164"/>
      <c r="AS164" s="228"/>
      <c r="AV164"/>
      <c r="AW164" s="262"/>
      <c r="AX164"/>
      <c r="AY164"/>
      <c r="AZ164"/>
      <c r="BA164"/>
      <c r="BF164"/>
      <c r="BG164" s="262"/>
      <c r="BH164" s="31"/>
      <c r="BJ164" s="262"/>
      <c r="BK164"/>
      <c r="BM164" s="108"/>
      <c r="BQ164"/>
      <c r="BR164" s="262"/>
      <c r="BS164"/>
      <c r="BU164"/>
      <c r="BV164" s="31"/>
      <c r="BW164" s="31"/>
      <c r="BX164"/>
      <c r="CD164" s="141"/>
      <c r="CF164" s="197"/>
      <c r="CG164" s="197"/>
      <c r="CK164"/>
      <c r="CM164"/>
      <c r="CO164"/>
      <c r="CP164"/>
      <c r="CQ164" s="143"/>
      <c r="CR164" s="143"/>
      <c r="CS164"/>
      <c r="CT164" s="262"/>
      <c r="CU164"/>
      <c r="CV164"/>
      <c r="CW164"/>
      <c r="CX164" s="143"/>
      <c r="CY164"/>
      <c r="CZ164"/>
      <c r="DA164"/>
      <c r="DB164"/>
      <c r="DC164"/>
      <c r="DD164" s="262"/>
      <c r="DE164" s="14"/>
      <c r="DF164"/>
      <c r="DG164" s="263"/>
      <c r="DJ164"/>
      <c r="DK164"/>
      <c r="DL164" s="263"/>
      <c r="DM164" s="263"/>
      <c r="DN164"/>
      <c r="DO164"/>
      <c r="DP164"/>
      <c r="DQ164"/>
      <c r="DR164"/>
      <c r="DS164"/>
      <c r="DT164"/>
      <c r="DU164"/>
      <c r="DV164"/>
      <c r="DW164"/>
      <c r="DX164"/>
      <c r="DY164"/>
      <c r="DZ164"/>
      <c r="EA164"/>
      <c r="EB164"/>
    </row>
    <row r="165" spans="1:132" s="139" customFormat="1" ht="15" customHeight="1">
      <c r="A165" s="1"/>
      <c r="B165" s="1"/>
      <c r="C165" s="1"/>
      <c r="D165" s="1"/>
      <c r="E165" s="1"/>
      <c r="F165" s="1"/>
      <c r="G165"/>
      <c r="H165" s="1"/>
      <c r="I165" s="295"/>
      <c r="J165" s="295"/>
      <c r="K165" s="1"/>
      <c r="L165"/>
      <c r="M165" s="293"/>
      <c r="N165" s="1"/>
      <c r="O165" s="1"/>
      <c r="P165"/>
      <c r="Q165" s="130"/>
      <c r="R165" s="1"/>
      <c r="S165" s="1"/>
      <c r="T165" s="1"/>
      <c r="U165" s="1"/>
      <c r="V165" s="1"/>
      <c r="W165" s="1"/>
      <c r="X165" s="1"/>
      <c r="Y165" s="1"/>
      <c r="Z165" s="1"/>
      <c r="AA165" s="1"/>
      <c r="AB165" s="1"/>
      <c r="AC165" s="1"/>
      <c r="AD165" s="1"/>
      <c r="AE165" s="1"/>
      <c r="AF165" s="1"/>
      <c r="AG165" s="1"/>
      <c r="AH165" s="1"/>
      <c r="AI165" s="1"/>
      <c r="AJ165" s="1"/>
      <c r="AK165" s="1"/>
      <c r="AL165" s="1"/>
      <c r="AM165"/>
      <c r="AN165"/>
      <c r="AO165" s="228"/>
      <c r="AP165" s="189"/>
      <c r="AQ165"/>
      <c r="AR165"/>
      <c r="AS165" s="228"/>
      <c r="AV165"/>
      <c r="AW165" s="262"/>
      <c r="AX165"/>
      <c r="AY165"/>
      <c r="AZ165"/>
      <c r="BA165"/>
      <c r="BF165"/>
      <c r="BG165" s="262"/>
      <c r="BH165" s="31"/>
      <c r="BJ165" s="262"/>
      <c r="BK165"/>
      <c r="BM165" s="108"/>
      <c r="BQ165"/>
      <c r="BR165" s="262"/>
      <c r="BS165"/>
      <c r="BU165"/>
      <c r="BV165" s="31"/>
      <c r="BW165" s="31"/>
      <c r="BX165"/>
      <c r="CD165" s="141"/>
      <c r="CK165"/>
      <c r="CM165"/>
      <c r="CO165"/>
      <c r="CP165"/>
      <c r="CQ165" s="143"/>
      <c r="CR165" s="143"/>
      <c r="CS165"/>
      <c r="CT165" s="262"/>
      <c r="CU165"/>
      <c r="CV165"/>
      <c r="CW165"/>
      <c r="CX165" s="143"/>
      <c r="CY165"/>
      <c r="CZ165"/>
      <c r="DA165"/>
      <c r="DB165"/>
      <c r="DC165"/>
      <c r="DD165"/>
      <c r="DE165" s="14"/>
      <c r="DF165"/>
      <c r="DG165" s="14"/>
      <c r="DJ165"/>
      <c r="DL165" s="262"/>
      <c r="DM165"/>
      <c r="DN165"/>
      <c r="DO165"/>
      <c r="DP165"/>
      <c r="DQ165"/>
      <c r="DR165"/>
      <c r="DS165"/>
      <c r="DT165"/>
      <c r="DU165"/>
      <c r="DV165"/>
      <c r="DW165"/>
      <c r="DX165"/>
      <c r="DY165"/>
      <c r="DZ165"/>
      <c r="EA165"/>
      <c r="EB165"/>
    </row>
    <row r="166" spans="1:132" s="139" customFormat="1" ht="15" customHeight="1">
      <c r="A166" s="1"/>
      <c r="B166" s="1"/>
      <c r="C166" s="1"/>
      <c r="D166" s="1"/>
      <c r="E166" s="1"/>
      <c r="F166" s="1"/>
      <c r="G166"/>
      <c r="H166" s="1"/>
      <c r="I166" s="295"/>
      <c r="J166" s="295"/>
      <c r="K166" s="1"/>
      <c r="L166"/>
      <c r="M166" s="293"/>
      <c r="N166" s="1"/>
      <c r="O166" s="1"/>
      <c r="P166"/>
      <c r="Q166" s="130"/>
      <c r="R166" s="1"/>
      <c r="S166" s="1"/>
      <c r="T166" s="1"/>
      <c r="U166" s="1"/>
      <c r="V166" s="1"/>
      <c r="W166" s="1"/>
      <c r="X166" s="1"/>
      <c r="Y166" s="1"/>
      <c r="Z166" s="1"/>
      <c r="AA166" s="1"/>
      <c r="AB166" s="1"/>
      <c r="AC166" s="1"/>
      <c r="AD166" s="1"/>
      <c r="AE166" s="1"/>
      <c r="AF166" s="1"/>
      <c r="AG166" s="1"/>
      <c r="AH166" s="1"/>
      <c r="AI166" s="1"/>
      <c r="AJ166" s="1"/>
      <c r="AK166" s="1"/>
      <c r="AL166" s="1"/>
      <c r="AM166"/>
      <c r="AN166"/>
      <c r="AO166" s="228"/>
      <c r="AP166" s="189"/>
      <c r="AQ166"/>
      <c r="AR166"/>
      <c r="AS166" s="228"/>
      <c r="AV166"/>
      <c r="AW166" s="262"/>
      <c r="AX166"/>
      <c r="AY166"/>
      <c r="AZ166"/>
      <c r="BA166"/>
      <c r="BF166"/>
      <c r="BG166" s="262"/>
      <c r="BH166" s="31"/>
      <c r="BJ166" s="262"/>
      <c r="BK166"/>
      <c r="BM166" s="108"/>
      <c r="BQ166"/>
      <c r="BR166" s="262"/>
      <c r="BS166"/>
      <c r="BU166"/>
      <c r="BV166" s="31"/>
      <c r="BW166" s="31"/>
      <c r="BX166"/>
      <c r="CD166" s="141"/>
      <c r="CK166"/>
      <c r="CM166"/>
      <c r="CO166"/>
      <c r="CP166"/>
      <c r="CQ166" s="143"/>
      <c r="CR166" s="143"/>
      <c r="CS166"/>
      <c r="CT166" s="262"/>
      <c r="CU166"/>
      <c r="CV166"/>
      <c r="CW166"/>
      <c r="CX166" s="143"/>
      <c r="CY166"/>
      <c r="CZ166"/>
      <c r="DA166"/>
      <c r="DB166"/>
      <c r="DC166"/>
      <c r="DD166" s="262"/>
      <c r="DE166" s="14"/>
      <c r="DF166" s="262"/>
      <c r="DG166" s="14"/>
      <c r="DJ166"/>
      <c r="DL166" s="262"/>
      <c r="DM166"/>
      <c r="DN166"/>
      <c r="DO166"/>
      <c r="DP166"/>
      <c r="DQ166"/>
      <c r="DR166"/>
      <c r="DS166"/>
      <c r="DT166"/>
      <c r="DU166"/>
      <c r="DV166"/>
      <c r="DW166"/>
      <c r="DX166"/>
      <c r="DY166"/>
      <c r="DZ166"/>
      <c r="EA166"/>
      <c r="EB166"/>
    </row>
    <row r="167" spans="1:132" s="139" customFormat="1" ht="15" customHeight="1">
      <c r="A167" s="1"/>
      <c r="B167" s="1"/>
      <c r="C167" s="1"/>
      <c r="D167" s="1"/>
      <c r="E167" s="1"/>
      <c r="F167" s="1"/>
      <c r="G167"/>
      <c r="H167" s="1"/>
      <c r="I167" s="295"/>
      <c r="J167" s="295"/>
      <c r="K167" s="1"/>
      <c r="L167"/>
      <c r="M167" s="293"/>
      <c r="N167" s="1"/>
      <c r="O167" s="1"/>
      <c r="P167"/>
      <c r="Q167" s="130"/>
      <c r="R167" s="1"/>
      <c r="S167" s="1"/>
      <c r="T167" s="1"/>
      <c r="U167" s="1"/>
      <c r="V167" s="1"/>
      <c r="W167" s="1"/>
      <c r="X167" s="1"/>
      <c r="Y167" s="1"/>
      <c r="Z167" s="1"/>
      <c r="AA167" s="1"/>
      <c r="AB167" s="1"/>
      <c r="AC167" s="1"/>
      <c r="AD167" s="1"/>
      <c r="AE167" s="1"/>
      <c r="AF167" s="1"/>
      <c r="AG167" s="1"/>
      <c r="AH167" s="1"/>
      <c r="AI167" s="1"/>
      <c r="AJ167" s="1"/>
      <c r="AK167" s="1"/>
      <c r="AL167" s="1"/>
      <c r="AM167"/>
      <c r="AN167"/>
      <c r="AO167" s="228"/>
      <c r="AP167" s="189"/>
      <c r="AQ167"/>
      <c r="AR167"/>
      <c r="AS167" s="228"/>
      <c r="AV167"/>
      <c r="AW167" s="262"/>
      <c r="AX167"/>
      <c r="AY167"/>
      <c r="AZ167"/>
      <c r="BA167"/>
      <c r="BF167"/>
      <c r="BG167" s="262"/>
      <c r="BH167" s="31"/>
      <c r="BJ167" s="262"/>
      <c r="BK167"/>
      <c r="BM167" s="108"/>
      <c r="BQ167"/>
      <c r="BR167" s="262"/>
      <c r="BS167"/>
      <c r="BU167"/>
      <c r="BV167" s="31"/>
      <c r="BW167" s="31"/>
      <c r="BX167"/>
      <c r="CD167" s="141"/>
      <c r="CK167"/>
      <c r="CM167"/>
      <c r="CO167"/>
      <c r="CP167"/>
      <c r="CQ167" s="143"/>
      <c r="CR167" s="143"/>
      <c r="CS167"/>
      <c r="CT167" s="262"/>
      <c r="CU167"/>
      <c r="CV167"/>
      <c r="CW167"/>
      <c r="CX167" s="143"/>
      <c r="CY167" s="143"/>
      <c r="CZ167" s="143"/>
      <c r="DA167" s="143"/>
      <c r="DB167"/>
      <c r="DC167"/>
      <c r="DD167" s="262"/>
      <c r="DE167" s="14"/>
      <c r="DF167" s="262"/>
      <c r="DG167" s="266"/>
      <c r="DH167"/>
      <c r="DI167"/>
      <c r="DJ167"/>
      <c r="DN167"/>
      <c r="DO167"/>
      <c r="DP167"/>
      <c r="DQ167"/>
      <c r="DR167"/>
      <c r="DS167"/>
      <c r="DT167"/>
      <c r="DU167"/>
      <c r="DV167"/>
      <c r="DW167"/>
      <c r="DX167"/>
      <c r="DY167"/>
      <c r="DZ167"/>
      <c r="EA167"/>
      <c r="EB167"/>
    </row>
    <row r="168" spans="1:132" s="139" customFormat="1" ht="15" customHeight="1">
      <c r="A168" s="1"/>
      <c r="B168" s="1"/>
      <c r="C168" s="1"/>
      <c r="D168" s="1"/>
      <c r="E168" s="1"/>
      <c r="F168" s="1"/>
      <c r="G168" s="1"/>
      <c r="H168" s="1"/>
      <c r="I168" s="295"/>
      <c r="J168" s="295"/>
      <c r="K168" s="1"/>
      <c r="L168"/>
      <c r="M168" s="293"/>
      <c r="N168" s="1"/>
      <c r="O168" s="1"/>
      <c r="P168"/>
      <c r="Q168" s="130"/>
      <c r="R168" s="1"/>
      <c r="S168" s="1"/>
      <c r="T168" s="1"/>
      <c r="U168" s="1"/>
      <c r="V168" s="1"/>
      <c r="W168" s="1"/>
      <c r="X168" s="1"/>
      <c r="Y168" s="1"/>
      <c r="Z168" s="1"/>
      <c r="AA168" s="1"/>
      <c r="AB168" s="1"/>
      <c r="AC168" s="1"/>
      <c r="AD168" s="1"/>
      <c r="AE168" s="1"/>
      <c r="AF168" s="1"/>
      <c r="AG168" s="1"/>
      <c r="AH168" s="1"/>
      <c r="AI168" s="1"/>
      <c r="AJ168" s="1"/>
      <c r="AK168" s="1"/>
      <c r="AL168" s="1"/>
      <c r="AM168"/>
      <c r="AN168"/>
      <c r="AO168" s="228"/>
      <c r="AP168" s="189"/>
      <c r="AQ168"/>
      <c r="AR168"/>
      <c r="AS168" s="228"/>
      <c r="AV168"/>
      <c r="AW168" s="262"/>
      <c r="AX168"/>
      <c r="AY168"/>
      <c r="AZ168"/>
      <c r="BA168"/>
      <c r="BF168"/>
      <c r="BG168" s="262"/>
      <c r="BH168" s="31"/>
      <c r="BJ168" s="262"/>
      <c r="BK168"/>
      <c r="BM168" s="108"/>
      <c r="BQ168"/>
      <c r="BR168" s="262"/>
      <c r="BS168"/>
      <c r="BU168"/>
      <c r="BV168" s="31"/>
      <c r="BW168" s="31"/>
      <c r="BX168"/>
      <c r="CD168" s="141"/>
      <c r="CK168"/>
      <c r="CM168"/>
      <c r="CO168"/>
      <c r="CP168"/>
      <c r="CQ168" s="143"/>
      <c r="CR168" s="143"/>
      <c r="CS168"/>
      <c r="CT168" s="262"/>
      <c r="CU168"/>
      <c r="CV168"/>
      <c r="CW168"/>
      <c r="CX168" s="143"/>
      <c r="CY168" s="143"/>
      <c r="CZ168" s="143"/>
      <c r="DA168" s="143"/>
      <c r="DB168"/>
      <c r="DC168"/>
      <c r="DD168" s="262"/>
      <c r="DE168" s="14"/>
      <c r="DF168" s="262"/>
      <c r="DG168" s="266"/>
      <c r="DH168"/>
      <c r="DI168"/>
      <c r="DJ168"/>
      <c r="DN168"/>
      <c r="DO168"/>
      <c r="DP168"/>
      <c r="DQ168"/>
      <c r="DR168"/>
      <c r="DS168"/>
      <c r="DT168"/>
      <c r="DU168"/>
      <c r="DV168"/>
      <c r="DW168"/>
      <c r="DX168"/>
      <c r="DY168"/>
      <c r="DZ168"/>
      <c r="EA168"/>
      <c r="EB168"/>
    </row>
    <row r="169" spans="1:132" s="139" customFormat="1" ht="15" customHeight="1">
      <c r="A169" s="1"/>
      <c r="B169" s="1"/>
      <c r="C169" s="1"/>
      <c r="D169" s="1"/>
      <c r="E169" s="1"/>
      <c r="F169" s="1"/>
      <c r="G169" s="1"/>
      <c r="H169" s="1"/>
      <c r="I169" s="1"/>
      <c r="J169" s="1"/>
      <c r="K169" s="1"/>
      <c r="L169"/>
      <c r="M169" s="293"/>
      <c r="N169" s="1"/>
      <c r="O169" s="1"/>
      <c r="P169"/>
      <c r="Q169" s="130"/>
      <c r="R169" s="1"/>
      <c r="S169" s="1"/>
      <c r="T169" s="1"/>
      <c r="U169" s="1"/>
      <c r="V169" s="1"/>
      <c r="W169" s="1"/>
      <c r="X169" s="1"/>
      <c r="Y169" s="1"/>
      <c r="Z169" s="1"/>
      <c r="AA169" s="1"/>
      <c r="AB169" s="1"/>
      <c r="AC169" s="1"/>
      <c r="AD169" s="1"/>
      <c r="AE169" s="1"/>
      <c r="AF169" s="1"/>
      <c r="AG169" s="1"/>
      <c r="AH169" s="1"/>
      <c r="AI169" s="1"/>
      <c r="AJ169" s="1"/>
      <c r="AK169" s="1"/>
      <c r="AL169" s="1"/>
      <c r="AM169"/>
      <c r="AN169"/>
      <c r="AO169" s="228"/>
      <c r="AP169" s="189"/>
      <c r="AQ169"/>
      <c r="AR169"/>
      <c r="AS169" s="228"/>
      <c r="AV169"/>
      <c r="AW169" s="262"/>
      <c r="AX169"/>
      <c r="AY169"/>
      <c r="AZ169"/>
      <c r="BA169"/>
      <c r="BF169"/>
      <c r="BG169" s="262"/>
      <c r="BH169" s="31"/>
      <c r="BJ169" s="262"/>
      <c r="BK169"/>
      <c r="BM169" s="108"/>
      <c r="BQ169"/>
      <c r="BR169" s="262"/>
      <c r="BS169"/>
      <c r="BU169"/>
      <c r="BV169" s="31"/>
      <c r="BW169" s="31"/>
      <c r="BX169"/>
      <c r="CD169" s="141"/>
      <c r="CK169"/>
      <c r="CM169"/>
      <c r="CO169"/>
      <c r="CP169"/>
      <c r="CQ169" s="143"/>
      <c r="CR169" s="143"/>
      <c r="CS169"/>
      <c r="CT169" s="262"/>
      <c r="CU169"/>
      <c r="CV169"/>
      <c r="CW169"/>
      <c r="CX169" s="143"/>
      <c r="CY169" s="143"/>
      <c r="CZ169" s="143"/>
      <c r="DA169" s="143"/>
      <c r="DB169"/>
      <c r="DC169"/>
      <c r="DD169" s="262"/>
      <c r="DE169"/>
      <c r="DF169" s="143"/>
      <c r="DG169"/>
      <c r="DJ169"/>
      <c r="DK169"/>
      <c r="DL169"/>
      <c r="DM169"/>
      <c r="DN169"/>
      <c r="DO169"/>
      <c r="DP169"/>
      <c r="DQ169"/>
      <c r="DR169"/>
      <c r="DS169"/>
      <c r="DT169"/>
      <c r="DU169"/>
      <c r="DV169"/>
      <c r="DW169"/>
      <c r="DX169"/>
      <c r="DY169"/>
      <c r="DZ169"/>
      <c r="EA169"/>
      <c r="EB169"/>
    </row>
    <row r="170" spans="1:132" s="139" customFormat="1" ht="15" customHeight="1">
      <c r="A170" s="1"/>
      <c r="B170" s="1"/>
      <c r="C170" s="1"/>
      <c r="D170" s="1"/>
      <c r="E170" s="1"/>
      <c r="F170" s="1"/>
      <c r="G170" s="1"/>
      <c r="H170" s="1"/>
      <c r="I170" s="1"/>
      <c r="J170" s="1"/>
      <c r="K170" s="1"/>
      <c r="L170" s="1"/>
      <c r="M170" s="1"/>
      <c r="N170" s="1"/>
      <c r="O170" s="1"/>
      <c r="P170"/>
      <c r="Q170" s="130"/>
      <c r="R170" s="1"/>
      <c r="S170" s="1"/>
      <c r="T170" s="1"/>
      <c r="U170" s="1"/>
      <c r="V170" s="1"/>
      <c r="W170" s="1"/>
      <c r="X170" s="1"/>
      <c r="Y170" s="1"/>
      <c r="Z170" s="1"/>
      <c r="AA170" s="1"/>
      <c r="AB170" s="1"/>
      <c r="AC170" s="1"/>
      <c r="AD170" s="1"/>
      <c r="AE170" s="1"/>
      <c r="AF170" s="1"/>
      <c r="AG170" s="1"/>
      <c r="AH170" s="1"/>
      <c r="AI170" s="1"/>
      <c r="AJ170" s="1"/>
      <c r="AK170" s="1"/>
      <c r="AL170" s="1"/>
      <c r="AM170"/>
      <c r="AN170"/>
      <c r="AO170" s="228"/>
      <c r="AP170" s="189"/>
      <c r="AQ170"/>
      <c r="AR170"/>
      <c r="AS170" s="228"/>
      <c r="AV170"/>
      <c r="AW170" s="262"/>
      <c r="AX170"/>
      <c r="AY170"/>
      <c r="AZ170"/>
      <c r="BA170"/>
      <c r="BF170"/>
      <c r="BG170" s="262"/>
      <c r="BH170" s="31"/>
      <c r="BJ170" s="262"/>
      <c r="BK170"/>
      <c r="BM170" s="108"/>
      <c r="BQ170"/>
      <c r="BR170" s="262"/>
      <c r="BS170"/>
      <c r="BU170"/>
      <c r="BV170" s="31"/>
      <c r="BW170" s="31"/>
      <c r="BX170"/>
      <c r="CD170" s="141"/>
      <c r="CK170"/>
      <c r="CM170"/>
      <c r="CO170"/>
      <c r="CP170"/>
      <c r="CQ170" s="143"/>
      <c r="CR170" s="143"/>
      <c r="CS170"/>
      <c r="CT170" s="262"/>
      <c r="CU170"/>
      <c r="CV170"/>
      <c r="CW170"/>
      <c r="CX170" s="143"/>
      <c r="CY170" s="143"/>
      <c r="CZ170" s="143"/>
      <c r="DA170" s="143"/>
      <c r="DB170"/>
      <c r="DC170"/>
      <c r="DD170" s="262"/>
      <c r="DE170"/>
      <c r="DF170" s="143"/>
      <c r="DG170"/>
      <c r="DH170"/>
      <c r="DI170" s="262"/>
      <c r="DJ170"/>
      <c r="DK170"/>
      <c r="DL170"/>
      <c r="DM170"/>
      <c r="DN170"/>
      <c r="DO170"/>
      <c r="DP170"/>
      <c r="DQ170"/>
      <c r="DR170"/>
      <c r="DS170"/>
      <c r="DT170"/>
      <c r="DU170"/>
      <c r="DV170"/>
      <c r="DW170"/>
      <c r="DX170"/>
      <c r="DY170"/>
      <c r="DZ170"/>
      <c r="EA170"/>
      <c r="EB170"/>
    </row>
    <row r="171" spans="1:132" s="139" customFormat="1" ht="15" customHeight="1">
      <c r="A171" s="1"/>
      <c r="B171" s="1"/>
      <c r="C171" s="1"/>
      <c r="D171" s="1"/>
      <c r="E171" s="1"/>
      <c r="F171" s="1"/>
      <c r="G171" s="1"/>
      <c r="H171" s="1"/>
      <c r="I171" s="1"/>
      <c r="J171" s="1"/>
      <c r="K171" s="1"/>
      <c r="L171" s="1"/>
      <c r="M171" s="1"/>
      <c r="N171" s="1"/>
      <c r="O171" s="1"/>
      <c r="P171"/>
      <c r="Q171" s="130"/>
      <c r="R171" s="1"/>
      <c r="S171" s="1"/>
      <c r="T171" s="1"/>
      <c r="U171" s="1"/>
      <c r="V171" s="1"/>
      <c r="W171" s="1"/>
      <c r="X171" s="1"/>
      <c r="Y171" s="1"/>
      <c r="Z171" s="1"/>
      <c r="AA171" s="1"/>
      <c r="AB171" s="1"/>
      <c r="AC171" s="1"/>
      <c r="AD171" s="1"/>
      <c r="AE171" s="1"/>
      <c r="AF171" s="1"/>
      <c r="AG171" s="1"/>
      <c r="AH171" s="1"/>
      <c r="AI171" s="1"/>
      <c r="AJ171" s="1"/>
      <c r="AK171" s="1"/>
      <c r="AL171" s="1"/>
      <c r="AM171"/>
      <c r="AN171"/>
      <c r="AO171" s="228"/>
      <c r="AP171" s="189"/>
      <c r="AQ171"/>
      <c r="AR171"/>
      <c r="AS171" s="228"/>
      <c r="AV171"/>
      <c r="AW171" s="262"/>
      <c r="AX171"/>
      <c r="AY171"/>
      <c r="AZ171"/>
      <c r="BA171"/>
      <c r="BF171"/>
      <c r="BG171" s="262"/>
      <c r="BH171" s="31"/>
      <c r="BJ171" s="262"/>
      <c r="BK171"/>
      <c r="BM171" s="108"/>
      <c r="BQ171"/>
      <c r="BR171" s="262"/>
      <c r="BS171"/>
      <c r="BU171"/>
      <c r="BV171" s="31"/>
      <c r="BW171" s="31"/>
      <c r="BX171"/>
      <c r="CD171" s="141"/>
      <c r="CK171"/>
      <c r="CM171"/>
      <c r="CO171"/>
      <c r="CP171"/>
      <c r="CQ171" s="143"/>
      <c r="CR171" s="143"/>
      <c r="CS171"/>
      <c r="CT171" s="262"/>
      <c r="CU171"/>
      <c r="CV171"/>
      <c r="CW171"/>
      <c r="CX171" s="143"/>
      <c r="CY171" s="143"/>
      <c r="CZ171" s="143"/>
      <c r="DA171" s="143"/>
      <c r="DB171"/>
      <c r="DC171"/>
      <c r="DD171" s="262"/>
      <c r="DE171"/>
      <c r="DF171" s="143"/>
      <c r="DG171"/>
      <c r="DH171"/>
      <c r="DI171"/>
      <c r="DJ171"/>
      <c r="DK171"/>
      <c r="DM171"/>
      <c r="DN171"/>
      <c r="DO171"/>
      <c r="DP171"/>
      <c r="DQ171"/>
      <c r="DR171"/>
      <c r="DS171"/>
      <c r="DT171"/>
      <c r="DU171"/>
      <c r="DV171"/>
      <c r="DW171"/>
      <c r="DX171"/>
      <c r="DY171"/>
      <c r="DZ171"/>
      <c r="EA171"/>
      <c r="EB171"/>
    </row>
    <row r="172" spans="1:132" s="139" customFormat="1" ht="15" customHeight="1">
      <c r="A172" s="1"/>
      <c r="B172" s="1"/>
      <c r="C172" s="1"/>
      <c r="D172" s="1"/>
      <c r="E172" s="1"/>
      <c r="F172" s="1"/>
      <c r="G172" s="1"/>
      <c r="H172" s="1"/>
      <c r="I172" s="1"/>
      <c r="J172" s="1"/>
      <c r="K172" s="1"/>
      <c r="L172" s="1"/>
      <c r="M172" s="1"/>
      <c r="N172" s="1"/>
      <c r="O172" s="1"/>
      <c r="P172"/>
      <c r="Q172" s="130"/>
      <c r="R172" s="1"/>
      <c r="S172" s="1"/>
      <c r="T172" s="1"/>
      <c r="U172" s="1"/>
      <c r="V172" s="1"/>
      <c r="W172" s="1"/>
      <c r="X172" s="1"/>
      <c r="Y172" s="1"/>
      <c r="Z172" s="1"/>
      <c r="AA172" s="1"/>
      <c r="AB172" s="1"/>
      <c r="AC172" s="1"/>
      <c r="AD172" s="1"/>
      <c r="AE172" s="1"/>
      <c r="AF172" s="1"/>
      <c r="AG172" s="1"/>
      <c r="AH172" s="1"/>
      <c r="AI172" s="1"/>
      <c r="AJ172" s="1"/>
      <c r="AK172" s="1"/>
      <c r="AL172" s="1"/>
      <c r="AM172" s="1"/>
      <c r="AN172"/>
      <c r="AO172" s="228"/>
      <c r="AP172" s="189"/>
      <c r="AQ172"/>
      <c r="AR172"/>
      <c r="AS172" s="228"/>
      <c r="AV172"/>
      <c r="AW172" s="262"/>
      <c r="AX172"/>
      <c r="AY172"/>
      <c r="AZ172"/>
      <c r="BA172"/>
      <c r="BF172"/>
      <c r="BG172" s="262"/>
      <c r="BH172" s="31"/>
      <c r="BJ172" s="262"/>
      <c r="BK172"/>
      <c r="BM172" s="108"/>
      <c r="BQ172"/>
      <c r="BR172" s="262"/>
      <c r="BS172"/>
      <c r="BU172"/>
      <c r="BV172" s="31"/>
      <c r="BW172" s="31"/>
      <c r="BX172"/>
      <c r="CD172" s="141"/>
      <c r="CK172"/>
      <c r="CM172"/>
      <c r="CO172"/>
      <c r="CP172"/>
      <c r="CQ172" s="143"/>
      <c r="CR172" s="143"/>
      <c r="CS172"/>
      <c r="CT172" s="262"/>
      <c r="CU172"/>
      <c r="CV172"/>
      <c r="CW172"/>
      <c r="CX172" s="143"/>
      <c r="CY172" s="143"/>
      <c r="CZ172" s="143"/>
      <c r="DA172" s="143"/>
      <c r="DB172"/>
      <c r="DC172"/>
      <c r="DD172" s="262"/>
      <c r="DE172"/>
      <c r="DF172" s="143"/>
      <c r="DG172"/>
      <c r="DH172"/>
      <c r="DI172"/>
      <c r="DJ172"/>
      <c r="DK172"/>
      <c r="DM172"/>
      <c r="DN172"/>
      <c r="DO172"/>
      <c r="DP172"/>
      <c r="DQ172"/>
      <c r="DR172"/>
      <c r="DS172"/>
      <c r="DT172"/>
      <c r="DU172"/>
      <c r="DV172"/>
      <c r="DW172"/>
      <c r="DX172"/>
      <c r="DY172"/>
      <c r="DZ172"/>
      <c r="EA172"/>
      <c r="EB172"/>
    </row>
    <row r="173" spans="1:132" s="139" customFormat="1" ht="15" customHeight="1">
      <c r="A173" s="1"/>
      <c r="B173" s="1"/>
      <c r="C173" s="1"/>
      <c r="D173" s="1"/>
      <c r="E173" s="1"/>
      <c r="F173" s="1"/>
      <c r="G173" s="1"/>
      <c r="H173" s="1"/>
      <c r="I173" s="1"/>
      <c r="J173" s="1"/>
      <c r="K173" s="1"/>
      <c r="L173" s="1"/>
      <c r="M173" s="1"/>
      <c r="N173" s="1"/>
      <c r="O173" s="1"/>
      <c r="P173"/>
      <c r="Q173" s="130"/>
      <c r="R173" s="1"/>
      <c r="S173" s="1"/>
      <c r="T173" s="1"/>
      <c r="U173" s="1"/>
      <c r="V173" s="1"/>
      <c r="W173" s="1"/>
      <c r="X173" s="1"/>
      <c r="Y173" s="1"/>
      <c r="Z173" s="1"/>
      <c r="AA173" s="1"/>
      <c r="AB173" s="1"/>
      <c r="AC173" s="1"/>
      <c r="AD173" s="1"/>
      <c r="AE173" s="1"/>
      <c r="AF173" s="1"/>
      <c r="AG173" s="1"/>
      <c r="AH173" s="1"/>
      <c r="AI173" s="1"/>
      <c r="AJ173" s="1"/>
      <c r="AK173" s="1"/>
      <c r="AL173" s="1"/>
      <c r="AM173" s="1"/>
      <c r="AN173"/>
      <c r="AO173" s="228"/>
      <c r="AP173" s="189"/>
      <c r="AQ173"/>
      <c r="AR173"/>
      <c r="AS173" s="228"/>
      <c r="AV173"/>
      <c r="AW173" s="262"/>
      <c r="AX173"/>
      <c r="AY173"/>
      <c r="AZ173"/>
      <c r="BA173"/>
      <c r="BF173"/>
      <c r="BG173" s="262"/>
      <c r="BH173" s="31"/>
      <c r="BJ173" s="262"/>
      <c r="BK173"/>
      <c r="BM173" s="108"/>
      <c r="BQ173"/>
      <c r="BR173" s="262"/>
      <c r="BS173"/>
      <c r="BU173"/>
      <c r="BV173" s="31"/>
      <c r="BW173" s="31"/>
      <c r="BX173"/>
      <c r="CD173" s="141"/>
      <c r="CK173"/>
      <c r="CM173"/>
      <c r="CO173"/>
      <c r="CP173"/>
      <c r="CQ173" s="143"/>
      <c r="CR173" s="143"/>
      <c r="CS173"/>
      <c r="CT173" s="262"/>
      <c r="CU173"/>
      <c r="CV173"/>
      <c r="CW173"/>
      <c r="CX173" s="143"/>
      <c r="CY173" s="143"/>
      <c r="CZ173" s="143"/>
      <c r="DA173" s="143"/>
      <c r="DB173"/>
      <c r="DC173"/>
      <c r="DD173" s="262"/>
      <c r="DE173"/>
      <c r="DF173" s="143"/>
      <c r="DG173"/>
      <c r="DH173"/>
      <c r="DI173"/>
      <c r="DJ173"/>
      <c r="DK173"/>
      <c r="DM173"/>
      <c r="DN173"/>
      <c r="DO173"/>
      <c r="DP173"/>
      <c r="DQ173"/>
      <c r="DR173"/>
      <c r="DS173"/>
      <c r="DT173"/>
      <c r="DU173"/>
      <c r="DV173"/>
      <c r="DW173"/>
      <c r="DX173"/>
      <c r="DY173"/>
      <c r="DZ173"/>
      <c r="EA173"/>
      <c r="EB173"/>
    </row>
    <row r="174" spans="1:132" s="139" customFormat="1" ht="15" customHeight="1">
      <c r="A174" s="1"/>
      <c r="B174" s="1"/>
      <c r="C174" s="1"/>
      <c r="D174" s="1"/>
      <c r="E174" s="1"/>
      <c r="F174" s="1"/>
      <c r="G174" s="1"/>
      <c r="H174" s="1"/>
      <c r="I174" s="1"/>
      <c r="J174" s="1"/>
      <c r="K174" s="1"/>
      <c r="L174" s="1"/>
      <c r="M174" s="1"/>
      <c r="N174" s="1"/>
      <c r="O174" s="1"/>
      <c r="P174"/>
      <c r="Q174" s="130"/>
      <c r="R174" s="1"/>
      <c r="S174" s="1"/>
      <c r="T174" s="1"/>
      <c r="U174" s="1"/>
      <c r="V174" s="1"/>
      <c r="W174" s="1"/>
      <c r="X174" s="1"/>
      <c r="Y174" s="1"/>
      <c r="Z174" s="1"/>
      <c r="AA174" s="1"/>
      <c r="AB174" s="1"/>
      <c r="AC174" s="1"/>
      <c r="AD174" s="1"/>
      <c r="AE174" s="1"/>
      <c r="AF174" s="1"/>
      <c r="AG174" s="1"/>
      <c r="AH174" s="1"/>
      <c r="AI174" s="1"/>
      <c r="AJ174" s="1"/>
      <c r="AK174" s="1"/>
      <c r="AL174" s="1"/>
      <c r="AM174" s="1"/>
      <c r="AN174"/>
      <c r="AO174" s="228"/>
      <c r="AP174" s="189"/>
      <c r="AQ174"/>
      <c r="AR174"/>
      <c r="AS174" s="228"/>
      <c r="AV174"/>
      <c r="AW174" s="262"/>
      <c r="AX174"/>
      <c r="AY174"/>
      <c r="AZ174"/>
      <c r="BA174"/>
      <c r="BF174"/>
      <c r="BG174" s="262"/>
      <c r="BH174" s="31"/>
      <c r="BJ174" s="262"/>
      <c r="BK174"/>
      <c r="BM174" s="108"/>
      <c r="BQ174"/>
      <c r="BR174" s="262"/>
      <c r="BS174"/>
      <c r="BU174"/>
      <c r="BV174" s="31"/>
      <c r="BW174" s="31"/>
      <c r="BX174"/>
      <c r="CD174" s="141"/>
      <c r="CK174"/>
      <c r="CM174"/>
      <c r="CO174"/>
      <c r="CP174"/>
      <c r="CQ174" s="143"/>
      <c r="CR174" s="143"/>
      <c r="CS174"/>
      <c r="CT174" s="262"/>
      <c r="CU174"/>
      <c r="CV174"/>
      <c r="CW174"/>
      <c r="CX174" s="143"/>
      <c r="CY174" s="143"/>
      <c r="CZ174" s="143"/>
      <c r="DA174" s="143"/>
      <c r="DB174"/>
      <c r="DC174"/>
      <c r="DD174" s="262"/>
      <c r="DE174"/>
      <c r="DF174" s="143"/>
      <c r="DG174"/>
      <c r="DH174"/>
      <c r="DI174"/>
      <c r="DJ174"/>
      <c r="DK174"/>
      <c r="DM174"/>
      <c r="DN174"/>
      <c r="DO174"/>
      <c r="DP174"/>
      <c r="DQ174"/>
      <c r="DR174"/>
      <c r="DS174"/>
      <c r="DT174"/>
      <c r="DU174"/>
      <c r="DV174"/>
      <c r="DW174"/>
      <c r="DX174"/>
      <c r="DY174"/>
      <c r="DZ174"/>
      <c r="EA174"/>
      <c r="EB174"/>
    </row>
    <row r="175" spans="1:132" s="139" customFormat="1" ht="15" customHeight="1">
      <c r="A175" s="1"/>
      <c r="B175" s="1"/>
      <c r="C175" s="1"/>
      <c r="D175" s="1"/>
      <c r="E175" s="1"/>
      <c r="F175" s="1"/>
      <c r="G175" s="1"/>
      <c r="H175" s="1"/>
      <c r="I175" s="1"/>
      <c r="J175" s="1"/>
      <c r="K175" s="1"/>
      <c r="L175" s="1"/>
      <c r="M175" s="1"/>
      <c r="N175" s="1"/>
      <c r="O175" s="1"/>
      <c r="P175"/>
      <c r="Q175" s="130"/>
      <c r="R175" s="1"/>
      <c r="S175" s="1"/>
      <c r="T175" s="1"/>
      <c r="U175" s="1"/>
      <c r="V175" s="1"/>
      <c r="W175" s="1"/>
      <c r="X175" s="1"/>
      <c r="Y175" s="1"/>
      <c r="Z175" s="1"/>
      <c r="AA175" s="1"/>
      <c r="AB175" s="1"/>
      <c r="AC175" s="1"/>
      <c r="AD175" s="1"/>
      <c r="AE175" s="1"/>
      <c r="AF175" s="1"/>
      <c r="AG175" s="1"/>
      <c r="AH175" s="1"/>
      <c r="AI175" s="1"/>
      <c r="AJ175" s="1"/>
      <c r="AK175" s="1"/>
      <c r="AL175" s="1"/>
      <c r="AM175" s="1"/>
      <c r="AN175"/>
      <c r="AO175" s="228"/>
      <c r="AP175" s="189"/>
      <c r="AQ175"/>
      <c r="AR175"/>
      <c r="AS175" s="228"/>
      <c r="AV175"/>
      <c r="AW175" s="262"/>
      <c r="AX175"/>
      <c r="AY175"/>
      <c r="AZ175"/>
      <c r="BA175"/>
      <c r="BF175"/>
      <c r="BG175" s="262"/>
      <c r="BH175" s="31"/>
      <c r="BJ175" s="262"/>
      <c r="BK175"/>
      <c r="BM175" s="108"/>
      <c r="BQ175"/>
      <c r="BR175" s="262"/>
      <c r="BS175"/>
      <c r="BU175"/>
      <c r="BV175" s="31"/>
      <c r="BW175" s="31"/>
      <c r="BX175"/>
      <c r="CD175" s="141"/>
      <c r="CK175"/>
      <c r="CM175"/>
      <c r="CO175"/>
      <c r="CP175"/>
      <c r="CQ175" s="143"/>
      <c r="CR175" s="143"/>
      <c r="CS175"/>
      <c r="CT175" s="262"/>
      <c r="CU175"/>
      <c r="CV175"/>
      <c r="CW175"/>
      <c r="CX175" s="143"/>
      <c r="CY175" s="143"/>
      <c r="CZ175" s="143"/>
      <c r="DA175" s="143"/>
      <c r="DB175"/>
      <c r="DC175"/>
      <c r="DD175" s="143"/>
      <c r="DE175"/>
      <c r="DF175" s="143"/>
      <c r="DG175"/>
      <c r="DH175"/>
      <c r="DI175"/>
      <c r="DJ175"/>
      <c r="DK175"/>
      <c r="DM175"/>
      <c r="DN175"/>
      <c r="DO175"/>
      <c r="DP175"/>
      <c r="DQ175"/>
      <c r="DR175"/>
      <c r="DS175"/>
      <c r="DT175"/>
      <c r="DU175"/>
      <c r="DV175"/>
      <c r="DW175"/>
      <c r="DX175"/>
      <c r="DY175"/>
      <c r="DZ175"/>
      <c r="EA175"/>
      <c r="EB175"/>
    </row>
    <row r="176" spans="1:132" s="139" customFormat="1" ht="15" customHeight="1">
      <c r="A176" s="1"/>
      <c r="B176" s="1"/>
      <c r="C176" s="1"/>
      <c r="D176" s="1"/>
      <c r="E176" s="1"/>
      <c r="F176" s="1"/>
      <c r="G176" s="1"/>
      <c r="H176" s="1"/>
      <c r="I176" s="1"/>
      <c r="J176" s="1"/>
      <c r="K176" s="1"/>
      <c r="L176" s="1"/>
      <c r="M176" s="1"/>
      <c r="N176" s="1"/>
      <c r="O176" s="1"/>
      <c r="P176"/>
      <c r="Q176" s="130"/>
      <c r="R176" s="1"/>
      <c r="S176" s="1"/>
      <c r="T176" s="1"/>
      <c r="U176" s="1"/>
      <c r="V176" s="1"/>
      <c r="W176" s="1"/>
      <c r="X176" s="1"/>
      <c r="Y176" s="1"/>
      <c r="Z176" s="1"/>
      <c r="AA176" s="1"/>
      <c r="AB176" s="1"/>
      <c r="AC176" s="1"/>
      <c r="AD176" s="1"/>
      <c r="AE176" s="1"/>
      <c r="AF176" s="1"/>
      <c r="AG176" s="1"/>
      <c r="AH176" s="1"/>
      <c r="AI176" s="1"/>
      <c r="AJ176" s="1"/>
      <c r="AK176" s="1"/>
      <c r="AL176" s="1"/>
      <c r="AM176" s="1"/>
      <c r="AN176"/>
      <c r="AO176" s="228"/>
      <c r="AP176" s="189"/>
      <c r="AQ176"/>
      <c r="AR176"/>
      <c r="AS176" s="228"/>
      <c r="AV176"/>
      <c r="AW176" s="262"/>
      <c r="AX176"/>
      <c r="AY176"/>
      <c r="AZ176"/>
      <c r="BA176"/>
      <c r="BF176"/>
      <c r="BG176" s="262"/>
      <c r="BH176" s="31"/>
      <c r="BJ176" s="262"/>
      <c r="BK176"/>
      <c r="BM176" s="108"/>
      <c r="BQ176"/>
      <c r="BR176" s="262"/>
      <c r="BS176"/>
      <c r="BU176"/>
      <c r="BV176" s="31"/>
      <c r="BW176" s="31"/>
      <c r="BX176"/>
      <c r="CD176" s="141"/>
      <c r="CK176"/>
      <c r="CM176"/>
      <c r="CO176"/>
      <c r="CP176"/>
      <c r="CQ176" s="143"/>
      <c r="CR176" s="143"/>
      <c r="CS176"/>
      <c r="CT176" s="262"/>
      <c r="CU176"/>
      <c r="CV176"/>
      <c r="CW176"/>
      <c r="CX176" s="143"/>
      <c r="CY176" s="143"/>
      <c r="CZ176" s="143"/>
      <c r="DA176" s="143"/>
      <c r="DB176"/>
      <c r="DC176"/>
      <c r="DD176" s="143"/>
      <c r="DE176"/>
      <c r="DF176" s="143"/>
      <c r="DG176"/>
      <c r="DH176"/>
      <c r="DI176"/>
      <c r="DJ176"/>
      <c r="DK176"/>
      <c r="DM176"/>
      <c r="DN176"/>
      <c r="DO176"/>
      <c r="DP176"/>
      <c r="DQ176"/>
      <c r="DR176"/>
      <c r="DS176"/>
      <c r="DT176"/>
      <c r="DU176"/>
      <c r="DV176"/>
      <c r="DW176"/>
      <c r="DX176"/>
      <c r="DY176"/>
      <c r="DZ176"/>
      <c r="EA176"/>
      <c r="EB176"/>
    </row>
    <row r="177" spans="1:132" s="139" customFormat="1" ht="15" customHeight="1">
      <c r="A177" s="1"/>
      <c r="B177" s="1"/>
      <c r="C177" s="1"/>
      <c r="D177" s="1"/>
      <c r="E177" s="1"/>
      <c r="F177" s="1"/>
      <c r="G177" s="1"/>
      <c r="H177" s="1"/>
      <c r="I177" s="1"/>
      <c r="J177" s="1"/>
      <c r="K177" s="1"/>
      <c r="L177" s="1"/>
      <c r="M177" s="1"/>
      <c r="N177" s="1"/>
      <c r="O177" s="1"/>
      <c r="P177"/>
      <c r="Q177" s="130"/>
      <c r="R177" s="1"/>
      <c r="S177" s="1"/>
      <c r="T177" s="1"/>
      <c r="U177" s="1"/>
      <c r="V177" s="1"/>
      <c r="W177" s="1"/>
      <c r="X177" s="1"/>
      <c r="Y177" s="1"/>
      <c r="Z177" s="1"/>
      <c r="AA177" s="1"/>
      <c r="AB177" s="1"/>
      <c r="AC177" s="1"/>
      <c r="AD177" s="1"/>
      <c r="AE177" s="1"/>
      <c r="AF177" s="1"/>
      <c r="AG177" s="1"/>
      <c r="AH177" s="1"/>
      <c r="AI177" s="1"/>
      <c r="AJ177" s="1"/>
      <c r="AK177" s="1"/>
      <c r="AL177" s="1"/>
      <c r="AM177" s="1"/>
      <c r="AN177"/>
      <c r="AO177" s="228"/>
      <c r="AP177" s="189"/>
      <c r="AQ177"/>
      <c r="AR177"/>
      <c r="AS177" s="228"/>
      <c r="AV177"/>
      <c r="AW177" s="262"/>
      <c r="AX177"/>
      <c r="AY177"/>
      <c r="AZ177"/>
      <c r="BA177"/>
      <c r="BF177"/>
      <c r="BG177" s="262"/>
      <c r="BH177" s="31"/>
      <c r="BJ177" s="262"/>
      <c r="BK177"/>
      <c r="BM177" s="108"/>
      <c r="BQ177"/>
      <c r="BR177" s="262"/>
      <c r="BS177"/>
      <c r="BU177"/>
      <c r="BV177" s="31"/>
      <c r="BW177" s="31"/>
      <c r="BX177"/>
      <c r="CD177" s="141"/>
      <c r="CK177"/>
      <c r="CM177"/>
      <c r="CO177"/>
      <c r="CP177"/>
      <c r="CQ177" s="143"/>
      <c r="CR177" s="143"/>
      <c r="CS177"/>
      <c r="CT177" s="262"/>
      <c r="CU177"/>
      <c r="CV177"/>
      <c r="CW177"/>
      <c r="CX177" s="143"/>
      <c r="CY177" s="143"/>
      <c r="CZ177" s="143"/>
      <c r="DA177" s="143"/>
      <c r="DB177"/>
      <c r="DC177"/>
      <c r="DD177" s="143"/>
      <c r="DE177"/>
      <c r="DF177" s="143"/>
      <c r="DG177"/>
      <c r="DH177"/>
      <c r="DI177"/>
      <c r="DJ177"/>
      <c r="DK177"/>
      <c r="DM177"/>
      <c r="DN177"/>
      <c r="DO177"/>
      <c r="DP177"/>
      <c r="DQ177"/>
      <c r="DR177"/>
      <c r="DS177"/>
      <c r="DT177"/>
      <c r="DU177"/>
      <c r="DV177"/>
      <c r="DW177"/>
      <c r="DX177"/>
      <c r="DY177"/>
      <c r="DZ177"/>
      <c r="EA177"/>
      <c r="EB177"/>
    </row>
    <row r="178" spans="1:132" s="139" customFormat="1" ht="15" customHeight="1">
      <c r="A178" s="1"/>
      <c r="B178" s="1"/>
      <c r="C178" s="1"/>
      <c r="D178" s="1"/>
      <c r="E178" s="1"/>
      <c r="F178" s="1"/>
      <c r="G178" s="1"/>
      <c r="H178" s="1"/>
      <c r="I178" s="1"/>
      <c r="J178" s="1"/>
      <c r="K178" s="1"/>
      <c r="L178" s="1"/>
      <c r="M178" s="1"/>
      <c r="N178" s="1"/>
      <c r="O178" s="1"/>
      <c r="P178"/>
      <c r="Q178" s="130"/>
      <c r="R178" s="1"/>
      <c r="S178" s="1"/>
      <c r="T178" s="1"/>
      <c r="U178" s="1"/>
      <c r="V178" s="1"/>
      <c r="W178" s="1"/>
      <c r="X178" s="1"/>
      <c r="Y178" s="1"/>
      <c r="Z178" s="1"/>
      <c r="AA178" s="1"/>
      <c r="AB178" s="1"/>
      <c r="AC178" s="1"/>
      <c r="AD178" s="1"/>
      <c r="AE178" s="1"/>
      <c r="AF178" s="1"/>
      <c r="AG178" s="1"/>
      <c r="AH178" s="1"/>
      <c r="AI178" s="1"/>
      <c r="AJ178" s="1"/>
      <c r="AK178" s="1"/>
      <c r="AL178" s="1"/>
      <c r="AM178" s="1"/>
      <c r="AN178"/>
      <c r="AO178" s="228"/>
      <c r="AP178" s="189"/>
      <c r="AQ178"/>
      <c r="AR178"/>
      <c r="AS178" s="228"/>
      <c r="AV178"/>
      <c r="AW178" s="262"/>
      <c r="AX178"/>
      <c r="AY178"/>
      <c r="AZ178"/>
      <c r="BA178"/>
      <c r="BF178"/>
      <c r="BG178" s="262"/>
      <c r="BH178" s="31"/>
      <c r="BJ178" s="262"/>
      <c r="BK178"/>
      <c r="BM178" s="108"/>
      <c r="BQ178"/>
      <c r="BR178" s="262"/>
      <c r="BS178"/>
      <c r="BU178"/>
      <c r="BV178" s="31"/>
      <c r="BW178" s="31"/>
      <c r="BX178"/>
      <c r="CD178" s="141"/>
      <c r="CK178"/>
      <c r="CM178"/>
      <c r="CO178"/>
      <c r="CP178"/>
      <c r="CQ178" s="143"/>
      <c r="CR178" s="143"/>
      <c r="CS178"/>
      <c r="CT178" s="262"/>
      <c r="CU178"/>
      <c r="CV178"/>
      <c r="CW178"/>
      <c r="CX178" s="143"/>
      <c r="CY178" s="143"/>
      <c r="CZ178" s="143"/>
      <c r="DA178" s="143"/>
      <c r="DB178"/>
      <c r="DC178"/>
      <c r="DD178" s="143"/>
      <c r="DE178"/>
      <c r="DF178" s="143"/>
      <c r="DG178"/>
      <c r="DH178"/>
      <c r="DI178"/>
      <c r="DJ178"/>
      <c r="DK178"/>
      <c r="DM178"/>
      <c r="DN178"/>
      <c r="DO178"/>
      <c r="DP178"/>
      <c r="DQ178"/>
      <c r="DR178"/>
      <c r="DS178"/>
      <c r="DT178"/>
      <c r="DU178"/>
      <c r="DV178"/>
      <c r="DW178"/>
      <c r="DX178"/>
      <c r="DY178"/>
      <c r="DZ178"/>
      <c r="EA178"/>
      <c r="EB178"/>
    </row>
    <row r="179" spans="1:132" s="139" customFormat="1" ht="15" customHeight="1">
      <c r="A179" s="1"/>
      <c r="B179" s="1"/>
      <c r="C179" s="1"/>
      <c r="D179" s="1"/>
      <c r="E179" s="1"/>
      <c r="F179" s="1"/>
      <c r="G179" s="1"/>
      <c r="H179" s="1"/>
      <c r="I179" s="1"/>
      <c r="J179" s="1"/>
      <c r="K179" s="1"/>
      <c r="L179" s="1"/>
      <c r="M179" s="1"/>
      <c r="N179" s="1"/>
      <c r="O179" s="1"/>
      <c r="P179"/>
      <c r="Q179" s="130"/>
      <c r="R179" s="1"/>
      <c r="S179" s="1"/>
      <c r="T179" s="1"/>
      <c r="U179" s="1"/>
      <c r="V179" s="1"/>
      <c r="W179" s="1"/>
      <c r="X179" s="1"/>
      <c r="Y179" s="1"/>
      <c r="Z179" s="1"/>
      <c r="AA179" s="1"/>
      <c r="AB179" s="1"/>
      <c r="AC179" s="1"/>
      <c r="AD179" s="1"/>
      <c r="AE179" s="1"/>
      <c r="AF179" s="1"/>
      <c r="AG179" s="1"/>
      <c r="AH179" s="1"/>
      <c r="AI179" s="1"/>
      <c r="AJ179" s="1"/>
      <c r="AK179" s="1"/>
      <c r="AL179" s="1"/>
      <c r="AM179" s="1"/>
      <c r="AN179"/>
      <c r="AO179" s="228"/>
      <c r="AP179" s="189"/>
      <c r="AQ179"/>
      <c r="AR179"/>
      <c r="AS179" s="228"/>
      <c r="AV179"/>
      <c r="AW179" s="262"/>
      <c r="AX179"/>
      <c r="AY179"/>
      <c r="AZ179"/>
      <c r="BA179"/>
      <c r="BF179"/>
      <c r="BG179" s="262"/>
      <c r="BH179" s="31"/>
      <c r="BJ179" s="262"/>
      <c r="BK179"/>
      <c r="BM179" s="108"/>
      <c r="BQ179"/>
      <c r="BR179" s="262"/>
      <c r="BS179"/>
      <c r="BU179"/>
      <c r="BV179" s="31"/>
      <c r="BW179" s="31"/>
      <c r="BX179"/>
      <c r="CD179" s="141"/>
      <c r="CK179"/>
      <c r="CM179"/>
      <c r="CO179"/>
      <c r="CP179"/>
      <c r="CQ179" s="143"/>
      <c r="CR179" s="143"/>
      <c r="CS179"/>
      <c r="CT179" s="262"/>
      <c r="CU179"/>
      <c r="CV179"/>
      <c r="CW179"/>
      <c r="CX179" s="143"/>
      <c r="CY179" s="143"/>
      <c r="CZ179" s="143"/>
      <c r="DA179" s="143"/>
      <c r="DB179"/>
      <c r="DC179"/>
      <c r="DD179" s="143"/>
      <c r="DE179"/>
      <c r="DF179" s="143"/>
      <c r="DG179"/>
      <c r="DH179"/>
      <c r="DI179"/>
      <c r="DJ179"/>
      <c r="DK179"/>
      <c r="DM179"/>
      <c r="DN179"/>
      <c r="DO179"/>
      <c r="DP179"/>
      <c r="DQ179"/>
      <c r="DR179"/>
      <c r="DS179"/>
      <c r="DT179"/>
      <c r="DU179"/>
      <c r="DV179"/>
      <c r="DW179"/>
      <c r="DX179"/>
      <c r="DY179"/>
      <c r="DZ179"/>
      <c r="EA179"/>
      <c r="EB179"/>
    </row>
    <row r="180" spans="1:132" s="139" customFormat="1" ht="15" customHeight="1">
      <c r="A180" s="1"/>
      <c r="B180" s="1"/>
      <c r="C180" s="1"/>
      <c r="D180" s="1"/>
      <c r="E180" s="1"/>
      <c r="F180" s="1"/>
      <c r="G180" s="1"/>
      <c r="H180" s="1"/>
      <c r="I180" s="1"/>
      <c r="J180" s="1"/>
      <c r="K180" s="1"/>
      <c r="L180" s="1"/>
      <c r="M180" s="1"/>
      <c r="N180" s="1"/>
      <c r="O180" s="1"/>
      <c r="P180"/>
      <c r="Q180" s="130"/>
      <c r="R180" s="1"/>
      <c r="S180" s="1"/>
      <c r="T180" s="1"/>
      <c r="U180" s="1"/>
      <c r="V180" s="1"/>
      <c r="W180" s="1"/>
      <c r="X180" s="1"/>
      <c r="Y180" s="1"/>
      <c r="Z180" s="1"/>
      <c r="AA180" s="1"/>
      <c r="AB180" s="1"/>
      <c r="AC180" s="1"/>
      <c r="AD180" s="1"/>
      <c r="AE180" s="1"/>
      <c r="AF180" s="1"/>
      <c r="AG180" s="1"/>
      <c r="AH180" s="1"/>
      <c r="AI180" s="1"/>
      <c r="AJ180" s="1"/>
      <c r="AK180" s="1"/>
      <c r="AL180" s="1"/>
      <c r="AM180" s="1"/>
      <c r="AN180"/>
      <c r="AO180" s="228"/>
      <c r="AP180" s="189"/>
      <c r="AQ180"/>
      <c r="AR180"/>
      <c r="AS180" s="228"/>
      <c r="AV180"/>
      <c r="AW180" s="262"/>
      <c r="AX180"/>
      <c r="AY180"/>
      <c r="AZ180"/>
      <c r="BA180"/>
      <c r="BF180"/>
      <c r="BG180" s="262"/>
      <c r="BH180" s="31"/>
      <c r="BJ180" s="262"/>
      <c r="BK180"/>
      <c r="BM180" s="108"/>
      <c r="BQ180"/>
      <c r="BR180" s="262"/>
      <c r="BS180"/>
      <c r="BU180"/>
      <c r="BV180" s="31"/>
      <c r="BW180" s="31"/>
      <c r="BX180"/>
      <c r="CD180" s="141"/>
      <c r="CK180"/>
      <c r="CM180"/>
      <c r="CO180"/>
      <c r="CP180"/>
      <c r="CQ180" s="143"/>
      <c r="CR180" s="143"/>
      <c r="CS180"/>
      <c r="CT180" s="262"/>
      <c r="CU180"/>
      <c r="CV180"/>
      <c r="CW180"/>
      <c r="CX180" s="143"/>
      <c r="CY180" s="143"/>
      <c r="CZ180" s="143"/>
      <c r="DA180" s="143"/>
      <c r="DB180"/>
      <c r="DC180"/>
      <c r="DD180" s="143"/>
      <c r="DE180"/>
      <c r="DF180" s="143"/>
      <c r="DG180"/>
      <c r="DH180"/>
      <c r="DI180"/>
      <c r="DJ180"/>
      <c r="DK180"/>
      <c r="DM180"/>
      <c r="DN180"/>
      <c r="DO180"/>
      <c r="DP180"/>
      <c r="DQ180"/>
      <c r="DR180"/>
      <c r="DS180"/>
      <c r="DT180"/>
      <c r="DU180"/>
      <c r="DV180"/>
      <c r="DW180"/>
      <c r="DX180"/>
      <c r="DY180"/>
      <c r="DZ180"/>
      <c r="EA180"/>
      <c r="EB180"/>
    </row>
    <row r="181" spans="1:132" s="139" customFormat="1" ht="15" customHeight="1">
      <c r="A181" s="1"/>
      <c r="B181" s="1"/>
      <c r="C181" s="1"/>
      <c r="D181" s="1"/>
      <c r="E181" s="1"/>
      <c r="F181" s="1"/>
      <c r="G181" s="1"/>
      <c r="H181" s="1"/>
      <c r="I181" s="1"/>
      <c r="J181" s="1"/>
      <c r="K181" s="1"/>
      <c r="L181" s="1"/>
      <c r="M181" s="1"/>
      <c r="N181" s="1"/>
      <c r="O181" s="1"/>
      <c r="P181"/>
      <c r="Q181" s="130"/>
      <c r="R181" s="1"/>
      <c r="S181" s="1"/>
      <c r="T181" s="1"/>
      <c r="U181" s="1"/>
      <c r="V181" s="1"/>
      <c r="W181" s="1"/>
      <c r="X181" s="1"/>
      <c r="Y181" s="1"/>
      <c r="Z181" s="1"/>
      <c r="AA181" s="1"/>
      <c r="AB181" s="1"/>
      <c r="AC181" s="1"/>
      <c r="AD181" s="1"/>
      <c r="AE181" s="1"/>
      <c r="AF181" s="1"/>
      <c r="AG181" s="1"/>
      <c r="AH181" s="1"/>
      <c r="AI181" s="1"/>
      <c r="AJ181" s="1"/>
      <c r="AK181" s="1"/>
      <c r="AL181" s="1"/>
      <c r="AM181" s="1"/>
      <c r="AN181"/>
      <c r="AO181" s="228"/>
      <c r="AP181" s="189"/>
      <c r="AQ181"/>
      <c r="AR181"/>
      <c r="AS181" s="228"/>
      <c r="AV181"/>
      <c r="AW181" s="262"/>
      <c r="AX181"/>
      <c r="AY181"/>
      <c r="AZ181"/>
      <c r="BA181"/>
      <c r="BF181"/>
      <c r="BG181" s="262"/>
      <c r="BH181" s="31"/>
      <c r="BJ181" s="262"/>
      <c r="BK181"/>
      <c r="BM181" s="108"/>
      <c r="BQ181"/>
      <c r="BR181" s="262"/>
      <c r="BS181"/>
      <c r="BU181"/>
      <c r="BV181" s="31"/>
      <c r="BW181" s="31"/>
      <c r="BX181"/>
      <c r="CD181" s="141"/>
      <c r="CK181"/>
      <c r="CM181"/>
      <c r="CO181"/>
      <c r="CP181"/>
      <c r="CQ181" s="143"/>
      <c r="CR181" s="143"/>
      <c r="CS181"/>
      <c r="CT181" s="262"/>
      <c r="CU181"/>
      <c r="CV181"/>
      <c r="CW181"/>
      <c r="CX181" s="143"/>
      <c r="CY181" s="143"/>
      <c r="CZ181" s="143"/>
      <c r="DA181" s="143"/>
      <c r="DB181"/>
      <c r="DC181"/>
      <c r="DD181" s="143"/>
      <c r="DE181"/>
      <c r="DF181" s="143"/>
      <c r="DG181"/>
      <c r="DH181"/>
      <c r="DI181"/>
      <c r="DJ181"/>
      <c r="DK181"/>
      <c r="DM181"/>
      <c r="DN181"/>
      <c r="DO181"/>
      <c r="DP181"/>
      <c r="DQ181"/>
      <c r="DR181"/>
      <c r="DS181"/>
      <c r="DT181"/>
      <c r="DU181"/>
      <c r="DV181"/>
      <c r="DW181"/>
      <c r="DX181"/>
      <c r="DY181"/>
      <c r="DZ181"/>
      <c r="EA181"/>
      <c r="EB181"/>
    </row>
    <row r="182" spans="1:132" s="139" customFormat="1" ht="15" customHeight="1">
      <c r="A182" s="1"/>
      <c r="B182" s="1"/>
      <c r="C182" s="1"/>
      <c r="D182" s="1"/>
      <c r="E182" s="1"/>
      <c r="F182" s="1"/>
      <c r="G182" s="1"/>
      <c r="H182" s="1"/>
      <c r="I182" s="1"/>
      <c r="J182" s="1"/>
      <c r="K182" s="1"/>
      <c r="L182" s="1"/>
      <c r="M182" s="1"/>
      <c r="N182" s="1"/>
      <c r="O182" s="1"/>
      <c r="P182"/>
      <c r="Q182" s="130"/>
      <c r="R182" s="1"/>
      <c r="S182" s="1"/>
      <c r="T182" s="1"/>
      <c r="U182" s="1"/>
      <c r="V182" s="1"/>
      <c r="W182" s="1"/>
      <c r="X182" s="1"/>
      <c r="Y182" s="1"/>
      <c r="Z182" s="1"/>
      <c r="AA182" s="1"/>
      <c r="AB182" s="1"/>
      <c r="AC182" s="1"/>
      <c r="AD182" s="1"/>
      <c r="AE182" s="1"/>
      <c r="AF182" s="1"/>
      <c r="AG182" s="1"/>
      <c r="AH182" s="1"/>
      <c r="AI182" s="1"/>
      <c r="AJ182" s="1"/>
      <c r="AK182" s="1"/>
      <c r="AL182" s="1"/>
      <c r="AM182" s="1"/>
      <c r="AN182"/>
      <c r="AO182" s="228"/>
      <c r="AP182" s="189"/>
      <c r="AQ182"/>
      <c r="AR182"/>
      <c r="AS182" s="228"/>
      <c r="AV182"/>
      <c r="AW182" s="262"/>
      <c r="AX182"/>
      <c r="AY182"/>
      <c r="AZ182"/>
      <c r="BA182"/>
      <c r="BF182"/>
      <c r="BG182" s="262"/>
      <c r="BH182" s="31"/>
      <c r="BJ182" s="262"/>
      <c r="BK182"/>
      <c r="BM182" s="108"/>
      <c r="BQ182"/>
      <c r="BR182" s="262"/>
      <c r="BS182"/>
      <c r="BU182"/>
      <c r="BV182" s="31"/>
      <c r="BW182" s="31"/>
      <c r="BX182"/>
      <c r="CD182" s="141"/>
      <c r="CK182"/>
      <c r="CM182"/>
      <c r="CO182"/>
      <c r="CP182"/>
      <c r="CQ182" s="143"/>
      <c r="CR182" s="143"/>
      <c r="CS182"/>
      <c r="CT182" s="262"/>
      <c r="CU182"/>
      <c r="CV182"/>
      <c r="CW182"/>
      <c r="CX182" s="143"/>
      <c r="CY182" s="143"/>
      <c r="CZ182" s="143"/>
      <c r="DA182" s="143"/>
      <c r="DB182"/>
      <c r="DC182"/>
      <c r="DD182" s="143"/>
      <c r="DE182"/>
      <c r="DF182" s="143"/>
      <c r="DG182"/>
      <c r="DH182"/>
      <c r="DI182"/>
      <c r="DJ182"/>
      <c r="DK182"/>
      <c r="DM182"/>
      <c r="DN182"/>
      <c r="DO182"/>
      <c r="DP182"/>
      <c r="DQ182"/>
      <c r="DR182"/>
      <c r="DS182"/>
      <c r="DT182"/>
      <c r="DU182"/>
      <c r="DV182"/>
      <c r="DW182"/>
      <c r="DX182"/>
      <c r="DY182"/>
      <c r="DZ182"/>
      <c r="EA182"/>
      <c r="EB182"/>
    </row>
    <row r="183" spans="1:132" s="139" customFormat="1" ht="15" customHeight="1">
      <c r="A183" s="1"/>
      <c r="B183" s="1"/>
      <c r="C183" s="1"/>
      <c r="D183" s="1"/>
      <c r="E183" s="1"/>
      <c r="F183" s="1"/>
      <c r="G183" s="1"/>
      <c r="H183" s="1"/>
      <c r="I183" s="1"/>
      <c r="J183" s="1"/>
      <c r="K183" s="1"/>
      <c r="L183" s="1"/>
      <c r="M183" s="1"/>
      <c r="N183" s="1"/>
      <c r="O183" s="1"/>
      <c r="P183"/>
      <c r="Q183" s="130"/>
      <c r="R183" s="1"/>
      <c r="S183" s="1"/>
      <c r="T183" s="1"/>
      <c r="U183" s="1"/>
      <c r="V183" s="1"/>
      <c r="W183" s="1"/>
      <c r="X183" s="1"/>
      <c r="Y183" s="1"/>
      <c r="Z183" s="1"/>
      <c r="AA183" s="1"/>
      <c r="AB183" s="1"/>
      <c r="AC183" s="1"/>
      <c r="AD183" s="1"/>
      <c r="AE183" s="1"/>
      <c r="AF183" s="1"/>
      <c r="AG183" s="1"/>
      <c r="AH183" s="1"/>
      <c r="AI183" s="1"/>
      <c r="AJ183" s="1"/>
      <c r="AK183" s="1"/>
      <c r="AL183" s="1"/>
      <c r="AM183" s="1"/>
      <c r="AN183"/>
      <c r="AO183" s="228"/>
      <c r="AP183" s="189"/>
      <c r="AQ183"/>
      <c r="AR183"/>
      <c r="AS183" s="228"/>
      <c r="AV183"/>
      <c r="AW183" s="262"/>
      <c r="AX183"/>
      <c r="AY183"/>
      <c r="AZ183"/>
      <c r="BA183"/>
      <c r="BF183"/>
      <c r="BG183" s="262"/>
      <c r="BH183" s="31"/>
      <c r="BJ183" s="262"/>
      <c r="BK183"/>
      <c r="BM183" s="108"/>
      <c r="BQ183"/>
      <c r="BR183" s="262"/>
      <c r="BS183"/>
      <c r="BU183"/>
      <c r="BV183" s="31"/>
      <c r="BW183" s="31"/>
      <c r="BX183"/>
      <c r="CD183" s="141"/>
      <c r="CK183"/>
      <c r="CM183"/>
      <c r="CO183"/>
      <c r="CP183"/>
      <c r="CQ183" s="143"/>
      <c r="CR183" s="143"/>
      <c r="CS183"/>
      <c r="CT183" s="262"/>
      <c r="CU183"/>
      <c r="CV183"/>
      <c r="CW183"/>
      <c r="CX183" s="143"/>
      <c r="CY183" s="143"/>
      <c r="CZ183" s="143"/>
      <c r="DA183" s="143"/>
      <c r="DB183"/>
      <c r="DC183"/>
      <c r="DD183" s="143"/>
      <c r="DE183"/>
      <c r="DF183" s="143"/>
      <c r="DG183"/>
      <c r="DH183"/>
      <c r="DI183"/>
      <c r="DJ183"/>
      <c r="DK183"/>
      <c r="DM183"/>
      <c r="DN183"/>
      <c r="DO183"/>
      <c r="DP183"/>
      <c r="DQ183"/>
      <c r="DR183"/>
      <c r="DS183"/>
      <c r="DT183"/>
      <c r="DU183"/>
      <c r="DV183"/>
      <c r="DW183"/>
      <c r="DX183"/>
      <c r="DY183"/>
      <c r="DZ183"/>
      <c r="EA183"/>
      <c r="EB183"/>
    </row>
    <row r="184" spans="1:132" s="139" customFormat="1" ht="15" customHeight="1">
      <c r="A184" s="1"/>
      <c r="B184" s="1"/>
      <c r="C184" s="1"/>
      <c r="D184" s="1"/>
      <c r="E184" s="1"/>
      <c r="F184" s="1"/>
      <c r="G184" s="1"/>
      <c r="H184" s="1"/>
      <c r="I184" s="1"/>
      <c r="J184" s="1"/>
      <c r="K184" s="1"/>
      <c r="L184" s="1"/>
      <c r="M184" s="1"/>
      <c r="N184" s="1"/>
      <c r="O184" s="1"/>
      <c r="P184"/>
      <c r="Q184" s="130"/>
      <c r="R184" s="1"/>
      <c r="S184" s="1"/>
      <c r="T184" s="1"/>
      <c r="U184" s="1"/>
      <c r="V184" s="1"/>
      <c r="W184" s="1"/>
      <c r="X184" s="1"/>
      <c r="Y184" s="1"/>
      <c r="Z184" s="1"/>
      <c r="AA184" s="1"/>
      <c r="AB184" s="1"/>
      <c r="AC184" s="1"/>
      <c r="AD184" s="1"/>
      <c r="AE184" s="1"/>
      <c r="AF184" s="1"/>
      <c r="AG184" s="1"/>
      <c r="AH184" s="1"/>
      <c r="AI184" s="1"/>
      <c r="AJ184" s="1"/>
      <c r="AK184" s="1"/>
      <c r="AL184" s="1"/>
      <c r="AM184" s="1"/>
      <c r="AN184"/>
      <c r="AO184" s="228"/>
      <c r="AP184" s="189"/>
      <c r="AQ184"/>
      <c r="AR184"/>
      <c r="AS184" s="228"/>
      <c r="AV184"/>
      <c r="AW184" s="262"/>
      <c r="AX184"/>
      <c r="AY184"/>
      <c r="AZ184"/>
      <c r="BA184"/>
      <c r="BF184"/>
      <c r="BG184" s="262"/>
      <c r="BH184" s="31"/>
      <c r="BJ184" s="262"/>
      <c r="BK184"/>
      <c r="BM184" s="108"/>
      <c r="BQ184"/>
      <c r="BR184" s="262"/>
      <c r="BS184"/>
      <c r="BU184"/>
      <c r="BV184" s="31"/>
      <c r="BW184" s="31"/>
      <c r="BX184"/>
      <c r="CD184" s="141"/>
      <c r="CK184"/>
      <c r="CM184"/>
      <c r="CO184"/>
      <c r="CP184"/>
      <c r="CQ184" s="143"/>
      <c r="CR184" s="143"/>
      <c r="CS184"/>
      <c r="CT184" s="262"/>
      <c r="CU184"/>
      <c r="CV184"/>
      <c r="CW184"/>
      <c r="CX184" s="143"/>
      <c r="CY184" s="143"/>
      <c r="CZ184" s="143"/>
      <c r="DA184" s="143"/>
      <c r="DB184"/>
      <c r="DC184"/>
      <c r="DD184" s="143"/>
      <c r="DE184"/>
      <c r="DF184" s="143"/>
      <c r="DG184"/>
      <c r="DH184"/>
      <c r="DI184"/>
      <c r="DJ184"/>
      <c r="DK184"/>
      <c r="DM184"/>
      <c r="DN184"/>
      <c r="DO184"/>
      <c r="DP184"/>
      <c r="DQ184"/>
      <c r="DR184"/>
      <c r="DS184"/>
      <c r="DT184"/>
      <c r="DU184"/>
      <c r="DV184"/>
      <c r="DW184"/>
      <c r="DX184"/>
      <c r="DY184"/>
      <c r="DZ184"/>
      <c r="EA184"/>
      <c r="EB184"/>
    </row>
    <row r="185" spans="1:132" s="139" customFormat="1" ht="15" customHeight="1">
      <c r="A185" s="1"/>
      <c r="B185" s="1"/>
      <c r="C185" s="1"/>
      <c r="D185" s="1"/>
      <c r="E185" s="1"/>
      <c r="F185" s="1"/>
      <c r="G185" s="1"/>
      <c r="H185" s="1"/>
      <c r="I185" s="1"/>
      <c r="J185" s="1"/>
      <c r="K185" s="1"/>
      <c r="L185" s="1"/>
      <c r="M185" s="1"/>
      <c r="N185" s="1"/>
      <c r="O185" s="1"/>
      <c r="P185"/>
      <c r="Q185" s="130"/>
      <c r="R185" s="1"/>
      <c r="S185" s="1"/>
      <c r="T185" s="1"/>
      <c r="U185" s="1"/>
      <c r="V185" s="1"/>
      <c r="W185" s="1"/>
      <c r="X185" s="1"/>
      <c r="Y185" s="1"/>
      <c r="Z185" s="1"/>
      <c r="AA185" s="1"/>
      <c r="AB185" s="1"/>
      <c r="AC185" s="1"/>
      <c r="AD185" s="1"/>
      <c r="AE185" s="1"/>
      <c r="AF185" s="1"/>
      <c r="AG185" s="1"/>
      <c r="AH185" s="1"/>
      <c r="AI185" s="1"/>
      <c r="AJ185" s="1"/>
      <c r="AK185" s="1"/>
      <c r="AL185" s="1"/>
      <c r="AM185" s="1"/>
      <c r="AN185"/>
      <c r="AO185" s="228"/>
      <c r="AP185" s="189"/>
      <c r="AQ185"/>
      <c r="AR185"/>
      <c r="AS185" s="228"/>
      <c r="AV185"/>
      <c r="AW185" s="262"/>
      <c r="AX185"/>
      <c r="AY185"/>
      <c r="AZ185"/>
      <c r="BA185"/>
      <c r="BF185"/>
      <c r="BG185" s="262"/>
      <c r="BH185" s="31"/>
      <c r="BJ185" s="262"/>
      <c r="BK185"/>
      <c r="BM185" s="108"/>
      <c r="BQ185"/>
      <c r="BR185" s="262"/>
      <c r="BS185"/>
      <c r="BU185"/>
      <c r="BV185" s="31"/>
      <c r="BW185" s="31"/>
      <c r="BX185"/>
      <c r="CD185" s="141"/>
      <c r="CK185"/>
      <c r="CM185"/>
      <c r="CO185"/>
      <c r="CP185"/>
      <c r="CQ185" s="143"/>
      <c r="CR185" s="143"/>
      <c r="CS185"/>
      <c r="CT185" s="262"/>
      <c r="CU185"/>
      <c r="CV185"/>
      <c r="CW185"/>
      <c r="CX185" s="143"/>
      <c r="CY185" s="143"/>
      <c r="CZ185" s="143"/>
      <c r="DA185" s="143"/>
      <c r="DB185"/>
      <c r="DC185"/>
      <c r="DD185" s="143"/>
      <c r="DE185"/>
      <c r="DF185" s="143"/>
      <c r="DG185"/>
      <c r="DH185"/>
      <c r="DI185"/>
      <c r="DJ185"/>
      <c r="DK185"/>
      <c r="DM185"/>
      <c r="DN185"/>
      <c r="DO185"/>
      <c r="DP185"/>
      <c r="DQ185"/>
      <c r="DR185"/>
      <c r="DS185"/>
      <c r="DT185"/>
      <c r="DU185"/>
      <c r="DV185"/>
      <c r="DW185"/>
      <c r="DX185"/>
      <c r="DY185"/>
      <c r="DZ185"/>
      <c r="EA185"/>
      <c r="EB185"/>
    </row>
    <row r="186" spans="1:132" s="139" customFormat="1" ht="15" customHeight="1">
      <c r="A186" s="1"/>
      <c r="B186" s="1"/>
      <c r="C186" s="1"/>
      <c r="D186" s="1"/>
      <c r="E186" s="1"/>
      <c r="F186" s="1"/>
      <c r="G186" s="1"/>
      <c r="H186" s="1"/>
      <c r="I186" s="1"/>
      <c r="J186" s="1"/>
      <c r="K186" s="1"/>
      <c r="L186" s="1"/>
      <c r="M186" s="1"/>
      <c r="N186" s="1"/>
      <c r="O186" s="1"/>
      <c r="P186"/>
      <c r="Q186" s="130"/>
      <c r="R186" s="1"/>
      <c r="S186" s="1"/>
      <c r="T186" s="1"/>
      <c r="U186" s="1"/>
      <c r="V186" s="1"/>
      <c r="W186" s="1"/>
      <c r="X186" s="1"/>
      <c r="Y186" s="1"/>
      <c r="Z186" s="1"/>
      <c r="AA186" s="1"/>
      <c r="AB186" s="1"/>
      <c r="AC186" s="1"/>
      <c r="AD186" s="1"/>
      <c r="AE186" s="1"/>
      <c r="AF186" s="1"/>
      <c r="AG186" s="1"/>
      <c r="AH186" s="1"/>
      <c r="AI186" s="1"/>
      <c r="AJ186" s="1"/>
      <c r="AK186" s="1"/>
      <c r="AL186" s="1"/>
      <c r="AM186" s="1"/>
      <c r="AN186"/>
      <c r="AO186" s="228"/>
      <c r="AP186" s="189"/>
      <c r="AQ186"/>
      <c r="AR186"/>
      <c r="AS186" s="228"/>
      <c r="AV186"/>
      <c r="AW186" s="262"/>
      <c r="AX186"/>
      <c r="AY186"/>
      <c r="AZ186"/>
      <c r="BA186"/>
      <c r="BF186"/>
      <c r="BG186" s="262"/>
      <c r="BH186" s="31"/>
      <c r="BJ186" s="262"/>
      <c r="BK186"/>
      <c r="BM186" s="108"/>
      <c r="BQ186"/>
      <c r="BR186" s="262"/>
      <c r="BS186"/>
      <c r="BU186"/>
      <c r="BV186" s="31"/>
      <c r="BW186" s="31"/>
      <c r="BX186"/>
      <c r="CD186" s="141"/>
      <c r="CK186"/>
      <c r="CM186"/>
      <c r="CO186"/>
      <c r="CP186"/>
      <c r="CQ186" s="143"/>
      <c r="CR186" s="143"/>
      <c r="CS186"/>
      <c r="CT186" s="262"/>
      <c r="CU186"/>
      <c r="CV186"/>
      <c r="CW186"/>
      <c r="CX186" s="143"/>
      <c r="CY186" s="143"/>
      <c r="CZ186" s="143"/>
      <c r="DA186" s="143"/>
      <c r="DB186"/>
      <c r="DC186"/>
      <c r="DD186" s="143"/>
      <c r="DE186"/>
      <c r="DF186" s="143"/>
      <c r="DG186"/>
      <c r="DH186"/>
      <c r="DI186"/>
      <c r="DJ186"/>
      <c r="DK186"/>
      <c r="DM186"/>
      <c r="DN186"/>
      <c r="DO186"/>
      <c r="DP186"/>
      <c r="DQ186"/>
      <c r="DR186"/>
      <c r="DS186"/>
      <c r="DT186"/>
      <c r="DU186"/>
      <c r="DV186"/>
      <c r="DW186"/>
      <c r="DX186"/>
      <c r="DY186"/>
      <c r="DZ186"/>
      <c r="EA186"/>
      <c r="EB186"/>
    </row>
    <row r="187" spans="1:132" s="139" customFormat="1" ht="15" customHeight="1">
      <c r="A187" s="1"/>
      <c r="B187" s="1"/>
      <c r="C187" s="1"/>
      <c r="D187" s="1"/>
      <c r="E187" s="1"/>
      <c r="F187" s="1"/>
      <c r="G187" s="1"/>
      <c r="H187" s="1"/>
      <c r="I187" s="1"/>
      <c r="J187" s="1"/>
      <c r="K187" s="1"/>
      <c r="L187" s="1"/>
      <c r="M187" s="1"/>
      <c r="N187" s="1"/>
      <c r="O187" s="1"/>
      <c r="P187"/>
      <c r="Q187" s="130"/>
      <c r="R187" s="1"/>
      <c r="S187" s="1"/>
      <c r="T187" s="1"/>
      <c r="U187" s="1"/>
      <c r="V187" s="1"/>
      <c r="W187" s="1"/>
      <c r="X187" s="1"/>
      <c r="Y187" s="1"/>
      <c r="Z187" s="1"/>
      <c r="AA187" s="1"/>
      <c r="AB187" s="1"/>
      <c r="AC187" s="1"/>
      <c r="AD187" s="1"/>
      <c r="AE187" s="1"/>
      <c r="AF187" s="1"/>
      <c r="AG187" s="1"/>
      <c r="AH187" s="1"/>
      <c r="AI187" s="1"/>
      <c r="AJ187" s="1"/>
      <c r="AK187" s="1"/>
      <c r="AL187" s="1"/>
      <c r="AM187" s="1"/>
      <c r="AN187"/>
      <c r="AO187" s="228"/>
      <c r="AP187" s="189"/>
      <c r="AQ187"/>
      <c r="AR187"/>
      <c r="AS187" s="228"/>
      <c r="AV187"/>
      <c r="AW187" s="262"/>
      <c r="AX187"/>
      <c r="AY187"/>
      <c r="AZ187"/>
      <c r="BA187"/>
      <c r="BF187"/>
      <c r="BG187" s="262"/>
      <c r="BH187" s="31"/>
      <c r="BJ187" s="262"/>
      <c r="BK187"/>
      <c r="BM187" s="108"/>
      <c r="BQ187"/>
      <c r="BR187" s="262"/>
      <c r="BS187"/>
      <c r="BU187"/>
      <c r="BV187" s="31"/>
      <c r="BW187" s="31"/>
      <c r="BX187"/>
      <c r="CD187" s="141"/>
      <c r="CK187"/>
      <c r="CM187"/>
      <c r="CO187"/>
      <c r="CP187"/>
      <c r="CQ187" s="143"/>
      <c r="CR187" s="143"/>
      <c r="CS187"/>
      <c r="CT187" s="262"/>
      <c r="CU187"/>
      <c r="CV187"/>
      <c r="CW187"/>
      <c r="CX187" s="143"/>
      <c r="CY187" s="143"/>
      <c r="CZ187" s="143"/>
      <c r="DA187" s="143"/>
      <c r="DB187"/>
      <c r="DC187"/>
      <c r="DD187" s="143"/>
      <c r="DE187"/>
      <c r="DF187" s="143"/>
      <c r="DG187"/>
      <c r="DH187"/>
      <c r="DI187"/>
      <c r="DJ187"/>
      <c r="DK187"/>
      <c r="DM187"/>
      <c r="DN187"/>
      <c r="DO187"/>
      <c r="DP187"/>
      <c r="DQ187"/>
      <c r="DR187"/>
      <c r="DS187"/>
      <c r="DT187"/>
      <c r="DU187"/>
      <c r="DV187"/>
      <c r="DW187"/>
      <c r="DX187"/>
      <c r="DY187"/>
      <c r="DZ187"/>
      <c r="EA187"/>
      <c r="EB187"/>
    </row>
    <row r="188" spans="1:132" s="139" customFormat="1" ht="15" customHeight="1">
      <c r="A188" s="1"/>
      <c r="B188" s="1"/>
      <c r="C188" s="1"/>
      <c r="D188" s="1"/>
      <c r="E188" s="1"/>
      <c r="F188" s="1"/>
      <c r="G188" s="1"/>
      <c r="H188" s="1"/>
      <c r="I188" s="1"/>
      <c r="J188" s="1"/>
      <c r="K188" s="1"/>
      <c r="L188" s="1"/>
      <c r="M188" s="1"/>
      <c r="N188" s="1"/>
      <c r="O188" s="1"/>
      <c r="P188"/>
      <c r="Q188" s="130"/>
      <c r="R188" s="1"/>
      <c r="S188" s="1"/>
      <c r="T188" s="1"/>
      <c r="U188" s="1"/>
      <c r="V188" s="1"/>
      <c r="W188" s="1"/>
      <c r="X188" s="1"/>
      <c r="Y188" s="1"/>
      <c r="Z188" s="1"/>
      <c r="AA188" s="1"/>
      <c r="AB188" s="1"/>
      <c r="AC188" s="1"/>
      <c r="AD188" s="1"/>
      <c r="AE188" s="1"/>
      <c r="AF188" s="1"/>
      <c r="AG188" s="1"/>
      <c r="AH188" s="1"/>
      <c r="AI188" s="1"/>
      <c r="AJ188" s="1"/>
      <c r="AK188" s="1"/>
      <c r="AL188" s="1"/>
      <c r="AM188" s="1"/>
      <c r="AN188"/>
      <c r="AO188" s="228"/>
      <c r="AP188" s="189"/>
      <c r="AQ188"/>
      <c r="AR188"/>
      <c r="AS188" s="228"/>
      <c r="AV188"/>
      <c r="AW188" s="262"/>
      <c r="AX188"/>
      <c r="AY188"/>
      <c r="AZ188"/>
      <c r="BA188"/>
      <c r="BF188"/>
      <c r="BG188" s="262"/>
      <c r="BH188" s="31"/>
      <c r="BJ188" s="262"/>
      <c r="BK188"/>
      <c r="BM188" s="108"/>
      <c r="BQ188"/>
      <c r="BR188" s="262"/>
      <c r="BS188"/>
      <c r="BU188"/>
      <c r="BV188" s="31"/>
      <c r="BW188" s="31"/>
      <c r="BX188"/>
      <c r="CD188" s="141"/>
      <c r="CK188"/>
      <c r="CM188"/>
      <c r="CO188"/>
      <c r="CP188"/>
      <c r="CQ188" s="143"/>
      <c r="CR188" s="143"/>
      <c r="CS188"/>
      <c r="CT188" s="262"/>
      <c r="CU188"/>
      <c r="CV188"/>
      <c r="CW188"/>
      <c r="CX188" s="143"/>
      <c r="CY188" s="143"/>
      <c r="CZ188" s="143"/>
      <c r="DA188" s="143"/>
      <c r="DB188"/>
      <c r="DC188"/>
      <c r="DD188" s="143"/>
      <c r="DE188"/>
      <c r="DF188" s="143"/>
      <c r="DG188"/>
      <c r="DH188"/>
      <c r="DI188"/>
      <c r="DJ188"/>
      <c r="DK188"/>
      <c r="DM188"/>
      <c r="DN188"/>
      <c r="DO188"/>
      <c r="DP188"/>
      <c r="DQ188"/>
      <c r="DR188"/>
      <c r="DS188"/>
      <c r="DT188"/>
      <c r="DU188"/>
      <c r="DV188"/>
      <c r="DW188"/>
      <c r="DX188"/>
      <c r="DY188"/>
      <c r="DZ188"/>
      <c r="EA188"/>
      <c r="EB188"/>
    </row>
    <row r="189" spans="1:132" s="139" customFormat="1" ht="15" customHeight="1">
      <c r="A189" s="1"/>
      <c r="B189" s="1"/>
      <c r="C189" s="1"/>
      <c r="D189" s="1"/>
      <c r="E189" s="1"/>
      <c r="F189" s="1"/>
      <c r="G189" s="1"/>
      <c r="H189" s="1"/>
      <c r="I189" s="1"/>
      <c r="J189" s="1"/>
      <c r="K189" s="1"/>
      <c r="L189" s="1"/>
      <c r="M189" s="1"/>
      <c r="N189" s="1"/>
      <c r="O189" s="1"/>
      <c r="P189"/>
      <c r="Q189" s="130"/>
      <c r="R189" s="1"/>
      <c r="S189" s="1"/>
      <c r="T189" s="1"/>
      <c r="U189" s="1"/>
      <c r="V189" s="1"/>
      <c r="W189" s="1"/>
      <c r="X189" s="1"/>
      <c r="Y189" s="1"/>
      <c r="Z189" s="1"/>
      <c r="AA189" s="1"/>
      <c r="AB189" s="1"/>
      <c r="AC189" s="1"/>
      <c r="AD189" s="1"/>
      <c r="AE189" s="1"/>
      <c r="AF189" s="1"/>
      <c r="AG189" s="1"/>
      <c r="AH189" s="1"/>
      <c r="AI189" s="1"/>
      <c r="AJ189" s="1"/>
      <c r="AK189" s="1"/>
      <c r="AL189" s="1"/>
      <c r="AM189" s="1"/>
      <c r="AN189"/>
      <c r="AO189" s="228"/>
      <c r="AP189" s="189"/>
      <c r="AQ189"/>
      <c r="AR189"/>
      <c r="AS189" s="228"/>
      <c r="AV189"/>
      <c r="AW189" s="262"/>
      <c r="AX189"/>
      <c r="AY189"/>
      <c r="AZ189"/>
      <c r="BA189"/>
      <c r="BF189"/>
      <c r="BG189" s="262"/>
      <c r="BH189" s="31"/>
      <c r="BJ189" s="262"/>
      <c r="BK189"/>
      <c r="BM189" s="108"/>
      <c r="BQ189"/>
      <c r="BR189" s="262"/>
      <c r="BS189"/>
      <c r="BU189"/>
      <c r="BV189" s="31"/>
      <c r="BW189" s="31"/>
      <c r="BX189"/>
      <c r="CD189" s="141"/>
      <c r="CK189"/>
      <c r="CM189"/>
      <c r="CO189"/>
      <c r="CP189"/>
      <c r="CQ189" s="143"/>
      <c r="CR189" s="143"/>
      <c r="CS189"/>
      <c r="CT189" s="262"/>
      <c r="CU189"/>
      <c r="CV189"/>
      <c r="CW189"/>
      <c r="CX189" s="143"/>
      <c r="CY189" s="143"/>
      <c r="CZ189" s="143"/>
      <c r="DA189" s="143"/>
      <c r="DB189"/>
      <c r="DC189"/>
      <c r="DD189" s="143"/>
      <c r="DE189"/>
      <c r="DF189" s="143"/>
      <c r="DG189"/>
      <c r="DH189"/>
      <c r="DI189"/>
      <c r="DJ189"/>
      <c r="DK189"/>
      <c r="DM189"/>
      <c r="DN189"/>
      <c r="DO189"/>
      <c r="DP189"/>
      <c r="DQ189"/>
      <c r="DR189"/>
      <c r="DS189"/>
      <c r="DT189"/>
      <c r="DU189"/>
      <c r="DV189"/>
      <c r="DW189"/>
      <c r="DX189"/>
      <c r="DY189"/>
      <c r="DZ189"/>
      <c r="EA189"/>
      <c r="EB189"/>
    </row>
    <row r="190" spans="1:132" s="139" customFormat="1" ht="15" customHeight="1">
      <c r="A190" s="1"/>
      <c r="B190" s="1"/>
      <c r="C190" s="1"/>
      <c r="D190" s="1"/>
      <c r="E190" s="1"/>
      <c r="F190" s="1"/>
      <c r="G190" s="1"/>
      <c r="H190" s="1"/>
      <c r="I190" s="1"/>
      <c r="J190" s="1"/>
      <c r="K190" s="1"/>
      <c r="L190" s="1"/>
      <c r="M190" s="1"/>
      <c r="N190" s="1"/>
      <c r="O190" s="1"/>
      <c r="P190"/>
      <c r="Q190" s="130"/>
      <c r="R190" s="1"/>
      <c r="S190" s="1"/>
      <c r="T190" s="1"/>
      <c r="U190" s="1"/>
      <c r="V190" s="1"/>
      <c r="W190" s="1"/>
      <c r="X190" s="1"/>
      <c r="Y190" s="1"/>
      <c r="Z190" s="1"/>
      <c r="AA190" s="1"/>
      <c r="AB190" s="1"/>
      <c r="AC190" s="1"/>
      <c r="AD190" s="1"/>
      <c r="AE190" s="1"/>
      <c r="AF190" s="1"/>
      <c r="AG190" s="1"/>
      <c r="AH190" s="1"/>
      <c r="AI190" s="1"/>
      <c r="AJ190" s="1"/>
      <c r="AK190" s="1"/>
      <c r="AL190" s="1"/>
      <c r="AM190" s="1"/>
      <c r="AN190"/>
      <c r="AO190" s="228"/>
      <c r="AP190" s="189"/>
      <c r="AQ190"/>
      <c r="AR190"/>
      <c r="AS190" s="228"/>
      <c r="AV190"/>
      <c r="AW190" s="262"/>
      <c r="AX190"/>
      <c r="AY190"/>
      <c r="AZ190"/>
      <c r="BA190"/>
      <c r="BF190"/>
      <c r="BG190" s="262"/>
      <c r="BH190" s="31"/>
      <c r="BJ190" s="262"/>
      <c r="BK190"/>
      <c r="BM190" s="108"/>
      <c r="BQ190"/>
      <c r="BR190" s="262"/>
      <c r="BS190"/>
      <c r="BU190"/>
      <c r="BV190" s="31"/>
      <c r="BW190" s="31"/>
      <c r="BX190"/>
      <c r="CD190" s="141"/>
      <c r="CK190"/>
      <c r="CM190"/>
      <c r="CO190"/>
      <c r="CP190"/>
      <c r="CQ190" s="143"/>
      <c r="CR190" s="143"/>
      <c r="CS190"/>
      <c r="CT190" s="262"/>
      <c r="CU190"/>
      <c r="CV190"/>
      <c r="CW190"/>
      <c r="CX190" s="143"/>
      <c r="CY190" s="143"/>
      <c r="CZ190" s="143"/>
      <c r="DA190" s="143"/>
      <c r="DB190"/>
      <c r="DC190"/>
      <c r="DD190" s="143"/>
      <c r="DE190"/>
      <c r="DF190" s="143"/>
      <c r="DG190"/>
      <c r="DH190"/>
      <c r="DI190"/>
      <c r="DJ190"/>
      <c r="DK190"/>
      <c r="DM190"/>
      <c r="DN190"/>
      <c r="DO190"/>
      <c r="DP190"/>
      <c r="DQ190"/>
      <c r="DR190"/>
      <c r="DS190"/>
      <c r="DT190"/>
      <c r="DU190"/>
      <c r="DV190"/>
      <c r="DW190"/>
      <c r="DX190"/>
      <c r="DY190"/>
      <c r="DZ190"/>
      <c r="EA190"/>
      <c r="EB190"/>
    </row>
    <row r="191" spans="1:132" s="139" customFormat="1" ht="15" customHeight="1">
      <c r="A191" s="1"/>
      <c r="B191" s="1"/>
      <c r="C191" s="1"/>
      <c r="D191" s="1"/>
      <c r="E191" s="1"/>
      <c r="F191" s="1"/>
      <c r="G191" s="1"/>
      <c r="H191" s="1"/>
      <c r="I191" s="1"/>
      <c r="J191" s="1"/>
      <c r="K191" s="1"/>
      <c r="L191" s="1"/>
      <c r="M191" s="1"/>
      <c r="N191" s="1"/>
      <c r="O191" s="1"/>
      <c r="P191"/>
      <c r="Q191" s="130"/>
      <c r="R191" s="1"/>
      <c r="S191" s="1"/>
      <c r="T191" s="1"/>
      <c r="U191" s="1"/>
      <c r="V191" s="1"/>
      <c r="W191" s="1"/>
      <c r="X191" s="1"/>
      <c r="Y191" s="1"/>
      <c r="Z191" s="1"/>
      <c r="AA191" s="1"/>
      <c r="AB191" s="1"/>
      <c r="AC191" s="1"/>
      <c r="AD191" s="1"/>
      <c r="AE191" s="1"/>
      <c r="AF191" s="1"/>
      <c r="AG191" s="1"/>
      <c r="AH191" s="1"/>
      <c r="AI191" s="1"/>
      <c r="AJ191" s="1"/>
      <c r="AK191" s="1"/>
      <c r="AL191" s="1"/>
      <c r="AM191" s="1"/>
      <c r="AN191"/>
      <c r="AO191" s="228"/>
      <c r="AP191" s="189"/>
      <c r="AQ191"/>
      <c r="AR191"/>
      <c r="AS191" s="228"/>
      <c r="AV191"/>
      <c r="AW191" s="262"/>
      <c r="AX191"/>
      <c r="AY191"/>
      <c r="AZ191"/>
      <c r="BA191"/>
      <c r="BF191"/>
      <c r="BG191" s="262"/>
      <c r="BH191" s="31"/>
      <c r="BJ191" s="262"/>
      <c r="BK191"/>
      <c r="BM191" s="108"/>
      <c r="BQ191"/>
      <c r="BR191" s="262"/>
      <c r="BS191"/>
      <c r="BU191"/>
      <c r="BV191" s="31"/>
      <c r="BW191" s="31"/>
      <c r="BX191"/>
      <c r="CD191" s="141"/>
      <c r="CK191"/>
      <c r="CM191"/>
      <c r="CO191"/>
      <c r="CP191"/>
      <c r="CQ191" s="143"/>
      <c r="CR191" s="143"/>
      <c r="CS191"/>
      <c r="CT191" s="262"/>
      <c r="CU191"/>
      <c r="CV191"/>
      <c r="CW191"/>
      <c r="CX191" s="143"/>
      <c r="CY191" s="143"/>
      <c r="CZ191" s="143"/>
      <c r="DA191" s="143"/>
      <c r="DB191"/>
      <c r="DC191"/>
      <c r="DD191" s="143"/>
      <c r="DE191"/>
      <c r="DF191" s="143"/>
      <c r="DG191"/>
      <c r="DH191"/>
      <c r="DI191"/>
      <c r="DJ191"/>
      <c r="DK191"/>
      <c r="DM191"/>
      <c r="DN191"/>
      <c r="DO191"/>
      <c r="DP191"/>
      <c r="DQ191"/>
      <c r="DR191"/>
      <c r="DS191"/>
      <c r="DT191"/>
      <c r="DU191"/>
      <c r="DV191"/>
      <c r="DW191"/>
      <c r="DX191"/>
      <c r="DY191"/>
      <c r="DZ191"/>
      <c r="EA191"/>
      <c r="EB191"/>
    </row>
    <row r="192" spans="1:132" s="139" customFormat="1" ht="15" customHeight="1">
      <c r="A192" s="1"/>
      <c r="B192" s="1"/>
      <c r="C192" s="1"/>
      <c r="D192" s="1"/>
      <c r="E192" s="1"/>
      <c r="F192" s="1"/>
      <c r="G192" s="1"/>
      <c r="H192" s="1"/>
      <c r="I192" s="1"/>
      <c r="J192" s="1"/>
      <c r="K192" s="1"/>
      <c r="L192" s="1"/>
      <c r="M192" s="1"/>
      <c r="N192" s="1"/>
      <c r="O192" s="1"/>
      <c r="P192"/>
      <c r="Q192" s="130"/>
      <c r="R192" s="1"/>
      <c r="S192" s="1"/>
      <c r="T192" s="1"/>
      <c r="U192" s="1"/>
      <c r="V192" s="1"/>
      <c r="W192" s="1"/>
      <c r="X192" s="1"/>
      <c r="Y192" s="1"/>
      <c r="Z192" s="1"/>
      <c r="AA192" s="1"/>
      <c r="AB192" s="1"/>
      <c r="AC192" s="1"/>
      <c r="AD192" s="1"/>
      <c r="AE192" s="1"/>
      <c r="AF192" s="1"/>
      <c r="AG192" s="1"/>
      <c r="AH192" s="1"/>
      <c r="AI192" s="1"/>
      <c r="AJ192" s="1"/>
      <c r="AK192" s="1"/>
      <c r="AL192" s="1"/>
      <c r="AM192" s="1"/>
      <c r="AN192"/>
      <c r="AO192" s="228"/>
      <c r="AP192" s="189"/>
      <c r="AQ192"/>
      <c r="AR192"/>
      <c r="AS192" s="228"/>
      <c r="AV192"/>
      <c r="AW192" s="262"/>
      <c r="AX192"/>
      <c r="AY192"/>
      <c r="AZ192"/>
      <c r="BA192"/>
      <c r="BF192"/>
      <c r="BG192" s="262"/>
      <c r="BH192" s="31"/>
      <c r="BJ192" s="262"/>
      <c r="BK192"/>
      <c r="BM192" s="108"/>
      <c r="BQ192"/>
      <c r="BR192" s="262"/>
      <c r="BS192"/>
      <c r="BU192"/>
      <c r="BV192" s="31"/>
      <c r="BW192" s="31"/>
      <c r="BX192"/>
      <c r="CD192" s="141"/>
      <c r="CK192"/>
      <c r="CM192"/>
      <c r="CO192"/>
      <c r="CP192"/>
      <c r="CQ192" s="143"/>
      <c r="CR192" s="143"/>
      <c r="CS192"/>
      <c r="CT192" s="262"/>
      <c r="CU192"/>
      <c r="CV192"/>
      <c r="CW192"/>
      <c r="CX192" s="143"/>
      <c r="CY192" s="143"/>
      <c r="CZ192" s="143"/>
      <c r="DA192" s="143"/>
      <c r="DB192"/>
      <c r="DC192"/>
      <c r="DD192" s="143"/>
      <c r="DE192"/>
      <c r="DF192" s="143"/>
      <c r="DG192"/>
      <c r="DH192"/>
      <c r="DI192"/>
      <c r="DJ192"/>
      <c r="DK192"/>
      <c r="DM192"/>
      <c r="DN192"/>
      <c r="DO192"/>
      <c r="DP192"/>
      <c r="DQ192"/>
      <c r="DR192"/>
      <c r="DS192"/>
      <c r="DT192"/>
      <c r="DU192"/>
      <c r="DV192"/>
      <c r="DW192"/>
      <c r="DX192"/>
      <c r="DY192"/>
      <c r="DZ192"/>
      <c r="EA192"/>
      <c r="EB192"/>
    </row>
    <row r="193" spans="1:165" ht="15" customHeight="1">
      <c r="BB193" s="139"/>
      <c r="BC193" s="139"/>
      <c r="BD193" s="139"/>
      <c r="BE193" s="139"/>
      <c r="BI193" s="139"/>
      <c r="BL193" s="139"/>
      <c r="BN193" s="139"/>
      <c r="BO193" s="139"/>
      <c r="BP193" s="139"/>
      <c r="BT193" s="139"/>
      <c r="BY193" s="139"/>
      <c r="BZ193" s="139"/>
      <c r="CA193" s="139"/>
      <c r="CB193" s="139"/>
      <c r="CC193" s="139"/>
      <c r="CE193" s="139"/>
      <c r="CF193" s="139"/>
      <c r="CG193" s="139"/>
      <c r="CH193" s="139"/>
      <c r="CI193" s="139"/>
      <c r="CJ193" s="139"/>
      <c r="CL193" s="139"/>
      <c r="CN193" s="139"/>
      <c r="DN193"/>
      <c r="DO193"/>
      <c r="DQ193"/>
      <c r="EC193" s="139"/>
      <c r="ED193" s="139"/>
      <c r="EE193" s="139"/>
      <c r="EF193" s="139"/>
      <c r="EG193" s="139"/>
      <c r="EH193" s="139"/>
      <c r="EI193" s="139"/>
      <c r="EJ193" s="139"/>
      <c r="EK193" s="139"/>
      <c r="EL193" s="139"/>
      <c r="EM193" s="139"/>
      <c r="EN193" s="139"/>
      <c r="EO193" s="139"/>
      <c r="EP193" s="139"/>
      <c r="EQ193" s="139"/>
      <c r="ER193" s="139"/>
      <c r="ES193" s="139"/>
      <c r="ET193" s="139"/>
      <c r="EU193" s="139"/>
      <c r="EV193" s="139"/>
      <c r="EW193" s="139"/>
      <c r="EX193" s="139"/>
      <c r="EY193" s="139"/>
      <c r="EZ193" s="139"/>
      <c r="FA193" s="139"/>
      <c r="FB193" s="139"/>
      <c r="FC193" s="139"/>
      <c r="FD193" s="139"/>
      <c r="FE193" s="139"/>
      <c r="FF193" s="139"/>
      <c r="FG193" s="139"/>
      <c r="FH193" s="139"/>
      <c r="FI193" s="139"/>
    </row>
    <row r="194" spans="1:165" s="31" customFormat="1" ht="15" customHeight="1">
      <c r="A194" s="1"/>
      <c r="B194" s="1"/>
      <c r="C194" s="1"/>
      <c r="D194" s="1"/>
      <c r="E194" s="1"/>
      <c r="F194" s="1"/>
      <c r="G194" s="1"/>
      <c r="H194" s="1"/>
      <c r="I194" s="1"/>
      <c r="J194" s="1"/>
      <c r="K194" s="1"/>
      <c r="L194" s="1"/>
      <c r="M194" s="1"/>
      <c r="N194" s="1"/>
      <c r="O194" s="1"/>
      <c r="P194"/>
      <c r="Q194" s="130"/>
      <c r="R194" s="1"/>
      <c r="S194" s="1"/>
      <c r="T194" s="1"/>
      <c r="U194" s="1"/>
      <c r="V194" s="1"/>
      <c r="W194" s="1"/>
      <c r="X194" s="1"/>
      <c r="Y194" s="1"/>
      <c r="Z194" s="1"/>
      <c r="AA194" s="1"/>
      <c r="AB194" s="1"/>
      <c r="AC194" s="1"/>
      <c r="AD194" s="1"/>
      <c r="AE194" s="1"/>
      <c r="AF194" s="1"/>
      <c r="AG194" s="1"/>
      <c r="AH194" s="1"/>
      <c r="AI194" s="1"/>
      <c r="AJ194" s="1"/>
      <c r="AK194" s="1"/>
      <c r="AL194" s="1"/>
      <c r="AM194" s="1"/>
      <c r="AN194"/>
      <c r="AO194" s="228"/>
      <c r="AP194" s="189"/>
      <c r="AQ194"/>
      <c r="AR194"/>
      <c r="AS194" s="228"/>
      <c r="AT194" s="139"/>
      <c r="AU194" s="139"/>
      <c r="AV194"/>
      <c r="AW194" s="262"/>
      <c r="AX194"/>
      <c r="AY194"/>
      <c r="AZ194"/>
      <c r="BA194"/>
      <c r="BB194" s="139"/>
      <c r="BC194" s="139"/>
      <c r="BD194" s="139"/>
      <c r="BE194" s="139"/>
      <c r="BF194"/>
      <c r="BG194" s="262"/>
      <c r="BI194" s="139"/>
      <c r="BJ194" s="262"/>
      <c r="BK194"/>
      <c r="BL194" s="139"/>
      <c r="BM194" s="108"/>
      <c r="BN194" s="139"/>
      <c r="BO194" s="139"/>
      <c r="BP194" s="139"/>
      <c r="BQ194"/>
      <c r="BR194" s="262"/>
      <c r="BS194"/>
      <c r="BT194" s="139"/>
      <c r="BU194"/>
      <c r="BX194"/>
      <c r="BY194" s="139"/>
      <c r="BZ194" s="139"/>
      <c r="CA194" s="139"/>
      <c r="CB194" s="139"/>
      <c r="CC194" s="139"/>
      <c r="CD194" s="141"/>
      <c r="CE194" s="139"/>
      <c r="CF194" s="139"/>
      <c r="CG194" s="139"/>
      <c r="CH194" s="139"/>
      <c r="CI194" s="139"/>
      <c r="CJ194" s="139"/>
      <c r="CK194"/>
      <c r="CL194" s="139"/>
      <c r="CM194"/>
      <c r="CN194" s="139"/>
      <c r="CO194"/>
      <c r="CP194"/>
      <c r="CQ194" s="143"/>
      <c r="CR194" s="143"/>
      <c r="CS194"/>
      <c r="CT194" s="262"/>
      <c r="CU194"/>
      <c r="CV194"/>
      <c r="CW194"/>
      <c r="CX194" s="143"/>
      <c r="CY194" s="143"/>
      <c r="CZ194" s="143"/>
      <c r="DA194" s="143"/>
      <c r="DB194"/>
      <c r="DC194"/>
      <c r="DD194" s="143"/>
      <c r="DE194"/>
      <c r="DF194" s="143"/>
      <c r="DG194"/>
      <c r="DH194"/>
      <c r="DI194"/>
      <c r="DJ194"/>
      <c r="DK194"/>
      <c r="DL194" s="139"/>
      <c r="DM194"/>
      <c r="DN194"/>
      <c r="DO194"/>
      <c r="DP194"/>
      <c r="DQ194"/>
      <c r="DR194"/>
      <c r="DS194"/>
      <c r="DT194"/>
      <c r="DU194"/>
      <c r="DV194"/>
      <c r="DW194"/>
      <c r="DX194"/>
      <c r="DY194"/>
      <c r="DZ194"/>
      <c r="EA194"/>
      <c r="EB194"/>
      <c r="EC194" s="139"/>
      <c r="ED194" s="139"/>
      <c r="EE194" s="139"/>
      <c r="EF194" s="139"/>
      <c r="EG194" s="139"/>
      <c r="EH194" s="139"/>
      <c r="EI194" s="139"/>
      <c r="EJ194" s="139"/>
      <c r="EK194" s="139"/>
      <c r="EL194" s="139"/>
      <c r="EM194" s="139"/>
      <c r="EN194" s="139"/>
      <c r="EO194" s="139"/>
      <c r="EP194" s="139"/>
      <c r="EQ194" s="139"/>
      <c r="ER194" s="139"/>
      <c r="ES194" s="139"/>
      <c r="ET194" s="139"/>
      <c r="EU194" s="139"/>
      <c r="EV194" s="139"/>
      <c r="EW194" s="139"/>
      <c r="EX194" s="139"/>
      <c r="EY194" s="139"/>
      <c r="EZ194" s="139"/>
      <c r="FA194" s="139"/>
      <c r="FB194" s="139"/>
      <c r="FC194" s="139"/>
      <c r="FD194" s="139"/>
      <c r="FE194" s="139"/>
      <c r="FF194" s="139"/>
      <c r="FG194" s="139"/>
      <c r="FH194" s="139"/>
      <c r="FI194" s="139"/>
    </row>
    <row r="195" spans="1:165" ht="15" customHeight="1">
      <c r="BB195" s="139"/>
      <c r="BC195" s="139"/>
      <c r="BD195" s="139"/>
      <c r="BE195" s="139"/>
      <c r="BI195" s="139"/>
      <c r="BL195" s="139"/>
      <c r="BN195" s="139"/>
      <c r="BO195" s="139"/>
      <c r="BP195" s="139"/>
      <c r="BT195" s="139"/>
      <c r="BY195" s="139"/>
      <c r="BZ195" s="139"/>
      <c r="CA195" s="139"/>
      <c r="CB195" s="139"/>
      <c r="CC195" s="139"/>
      <c r="CE195" s="139"/>
      <c r="CF195" s="139"/>
      <c r="CG195" s="139"/>
      <c r="CH195" s="139"/>
      <c r="CI195" s="139"/>
      <c r="CJ195" s="139"/>
      <c r="CL195" s="139"/>
      <c r="CN195" s="139"/>
      <c r="DN195"/>
      <c r="DO195"/>
      <c r="DQ195"/>
      <c r="EC195" s="139"/>
      <c r="ED195" s="139"/>
      <c r="EE195" s="139"/>
      <c r="EF195" s="139"/>
      <c r="EG195" s="139"/>
      <c r="EH195" s="139"/>
      <c r="EI195" s="139"/>
      <c r="EJ195" s="139"/>
      <c r="EK195" s="139"/>
      <c r="EL195" s="139"/>
      <c r="EM195" s="139"/>
      <c r="EN195" s="139"/>
      <c r="EO195" s="139"/>
      <c r="EP195" s="139"/>
      <c r="EQ195" s="139"/>
      <c r="ER195" s="139"/>
      <c r="ES195" s="139"/>
      <c r="ET195" s="139"/>
      <c r="EU195" s="139"/>
      <c r="EV195" s="139"/>
      <c r="EW195" s="139"/>
      <c r="EX195" s="139"/>
      <c r="EY195" s="139"/>
      <c r="EZ195" s="139"/>
      <c r="FA195" s="139"/>
      <c r="FB195" s="139"/>
      <c r="FC195" s="139"/>
      <c r="FD195" s="139"/>
      <c r="FE195" s="139"/>
      <c r="FF195" s="139"/>
      <c r="FG195" s="139"/>
      <c r="FH195" s="139"/>
      <c r="FI195" s="139"/>
    </row>
    <row r="196" spans="1:165" ht="15" customHeight="1">
      <c r="BB196" s="139"/>
      <c r="BC196" s="139"/>
      <c r="BD196" s="139"/>
      <c r="BE196" s="139"/>
      <c r="BI196" s="139"/>
      <c r="BL196" s="139"/>
      <c r="BN196" s="139"/>
      <c r="BO196" s="139"/>
      <c r="BP196" s="139"/>
      <c r="BT196" s="139"/>
      <c r="BY196" s="139"/>
      <c r="BZ196" s="139"/>
      <c r="CA196" s="139"/>
      <c r="CB196" s="139"/>
      <c r="CC196" s="139"/>
      <c r="CE196" s="139"/>
      <c r="CF196" s="139"/>
      <c r="CG196" s="139"/>
      <c r="CH196" s="139"/>
      <c r="CI196" s="139"/>
      <c r="CJ196" s="139"/>
      <c r="CL196" s="139"/>
      <c r="CN196" s="139"/>
      <c r="DN196"/>
      <c r="DO196"/>
      <c r="DQ196"/>
      <c r="EC196" s="139"/>
      <c r="ED196" s="139"/>
      <c r="EE196" s="139"/>
      <c r="EF196" s="139"/>
      <c r="EG196" s="139"/>
      <c r="EH196" s="139"/>
      <c r="EI196" s="139"/>
      <c r="EJ196" s="139"/>
      <c r="EK196" s="139"/>
      <c r="EL196" s="139"/>
      <c r="EM196" s="139"/>
      <c r="EN196" s="139"/>
      <c r="EO196" s="139"/>
      <c r="EP196" s="139"/>
      <c r="EQ196" s="139"/>
      <c r="ER196" s="139"/>
      <c r="ES196" s="139"/>
      <c r="ET196" s="139"/>
      <c r="EU196" s="139"/>
      <c r="EV196" s="139"/>
      <c r="EW196" s="139"/>
      <c r="EX196" s="139"/>
      <c r="EY196" s="139"/>
      <c r="EZ196" s="139"/>
      <c r="FA196" s="139"/>
      <c r="FB196" s="139"/>
      <c r="FC196" s="139"/>
      <c r="FD196" s="139"/>
      <c r="FE196" s="139"/>
      <c r="FF196" s="139"/>
      <c r="FG196" s="139"/>
      <c r="FH196" s="139"/>
      <c r="FI196" s="139"/>
    </row>
    <row r="197" spans="1:165" s="31" customFormat="1" ht="15" customHeight="1">
      <c r="A197" s="1"/>
      <c r="B197" s="1"/>
      <c r="C197" s="1"/>
      <c r="D197" s="1"/>
      <c r="E197" s="1"/>
      <c r="F197" s="1"/>
      <c r="G197" s="1"/>
      <c r="H197" s="1"/>
      <c r="I197" s="1"/>
      <c r="J197" s="1"/>
      <c r="K197" s="1"/>
      <c r="L197" s="1"/>
      <c r="M197" s="1"/>
      <c r="N197" s="1"/>
      <c r="O197" s="1"/>
      <c r="P197"/>
      <c r="Q197" s="130"/>
      <c r="R197" s="1"/>
      <c r="S197" s="1"/>
      <c r="T197" s="1"/>
      <c r="U197" s="1"/>
      <c r="V197" s="1"/>
      <c r="W197" s="1"/>
      <c r="X197" s="1"/>
      <c r="Y197" s="1"/>
      <c r="Z197" s="1"/>
      <c r="AA197" s="1"/>
      <c r="AB197" s="1"/>
      <c r="AC197" s="1"/>
      <c r="AD197" s="1"/>
      <c r="AE197" s="1"/>
      <c r="AF197" s="1"/>
      <c r="AG197" s="1"/>
      <c r="AH197" s="1"/>
      <c r="AI197" s="1"/>
      <c r="AJ197" s="1"/>
      <c r="AK197" s="1"/>
      <c r="AL197" s="1"/>
      <c r="AM197" s="1"/>
      <c r="AN197"/>
      <c r="AO197" s="228"/>
      <c r="AP197" s="189"/>
      <c r="AQ197"/>
      <c r="AR197"/>
      <c r="AS197" s="228"/>
      <c r="AT197" s="139"/>
      <c r="AU197" s="139"/>
      <c r="AV197"/>
      <c r="AW197" s="262"/>
      <c r="AX197"/>
      <c r="AY197"/>
      <c r="AZ197"/>
      <c r="BA197"/>
      <c r="BB197" s="139"/>
      <c r="BC197" s="139"/>
      <c r="BD197" s="139"/>
      <c r="BE197" s="139"/>
      <c r="BF197"/>
      <c r="BG197" s="262"/>
      <c r="BI197" s="139"/>
      <c r="BJ197" s="262"/>
      <c r="BK197"/>
      <c r="BL197" s="139"/>
      <c r="BM197" s="108"/>
      <c r="BN197" s="139"/>
      <c r="BO197" s="139"/>
      <c r="BP197" s="139"/>
      <c r="BQ197"/>
      <c r="BR197" s="262"/>
      <c r="BS197"/>
      <c r="BT197" s="139"/>
      <c r="BU197"/>
      <c r="BX197"/>
      <c r="BY197" s="139"/>
      <c r="BZ197" s="139"/>
      <c r="CA197" s="139"/>
      <c r="CB197" s="139"/>
      <c r="CC197" s="139"/>
      <c r="CD197" s="141"/>
      <c r="CE197" s="139"/>
      <c r="CF197" s="139"/>
      <c r="CG197" s="139"/>
      <c r="CH197" s="139"/>
      <c r="CI197" s="139"/>
      <c r="CJ197" s="139"/>
      <c r="CK197"/>
      <c r="CL197" s="139"/>
      <c r="CM197"/>
      <c r="CN197" s="139"/>
      <c r="CO197"/>
      <c r="CP197"/>
      <c r="CQ197" s="143"/>
      <c r="CR197" s="143"/>
      <c r="CS197"/>
      <c r="CT197" s="262"/>
      <c r="CU197"/>
      <c r="CV197"/>
      <c r="CW197"/>
      <c r="CX197" s="143"/>
      <c r="CY197" s="143"/>
      <c r="CZ197" s="143"/>
      <c r="DA197" s="143"/>
      <c r="DB197"/>
      <c r="DC197"/>
      <c r="DD197" s="143"/>
      <c r="DE197"/>
      <c r="DF197" s="143"/>
      <c r="DG197"/>
      <c r="DH197"/>
      <c r="DI197"/>
      <c r="DJ197"/>
      <c r="DK197"/>
      <c r="DL197" s="139"/>
      <c r="DM197"/>
      <c r="DN197"/>
      <c r="DO197"/>
      <c r="DP197"/>
      <c r="DQ197"/>
      <c r="DR197"/>
      <c r="DS197"/>
      <c r="DT197"/>
      <c r="DU197"/>
      <c r="DV197"/>
      <c r="DW197"/>
      <c r="DX197"/>
      <c r="DY197"/>
      <c r="DZ197"/>
      <c r="EA197"/>
      <c r="EB197"/>
      <c r="EC197" s="139"/>
      <c r="ED197" s="139"/>
      <c r="EE197" s="139"/>
      <c r="EF197" s="139"/>
      <c r="EG197" s="139"/>
      <c r="EH197" s="139"/>
      <c r="EI197" s="139"/>
      <c r="EJ197" s="139"/>
      <c r="EK197" s="139"/>
      <c r="EL197" s="139"/>
      <c r="EM197" s="139"/>
      <c r="EN197" s="139"/>
      <c r="EO197" s="139"/>
      <c r="EP197" s="139"/>
      <c r="EQ197" s="139"/>
      <c r="ER197" s="139"/>
      <c r="ES197" s="139"/>
      <c r="ET197" s="139"/>
      <c r="EU197" s="139"/>
      <c r="EV197" s="139"/>
      <c r="EW197" s="139"/>
      <c r="EX197" s="139"/>
      <c r="EY197" s="139"/>
      <c r="EZ197" s="139"/>
      <c r="FA197" s="139"/>
      <c r="FB197" s="139"/>
      <c r="FC197" s="139"/>
      <c r="FD197" s="139"/>
      <c r="FE197" s="139"/>
      <c r="FF197" s="139"/>
      <c r="FG197" s="139"/>
      <c r="FH197" s="139"/>
      <c r="FI197" s="139"/>
    </row>
    <row r="198" spans="1:165" s="31" customFormat="1" ht="15" customHeight="1">
      <c r="A198" s="1"/>
      <c r="B198" s="1"/>
      <c r="C198" s="1"/>
      <c r="D198" s="1"/>
      <c r="E198" s="1"/>
      <c r="F198" s="1"/>
      <c r="G198" s="1"/>
      <c r="H198" s="1"/>
      <c r="I198" s="1"/>
      <c r="J198" s="1"/>
      <c r="K198" s="1"/>
      <c r="L198" s="1"/>
      <c r="M198" s="1"/>
      <c r="N198" s="1"/>
      <c r="O198" s="1"/>
      <c r="P198"/>
      <c r="Q198" s="130"/>
      <c r="R198" s="1"/>
      <c r="S198" s="1"/>
      <c r="T198" s="1"/>
      <c r="U198" s="1"/>
      <c r="V198" s="1"/>
      <c r="W198" s="1"/>
      <c r="X198" s="1"/>
      <c r="Y198" s="1"/>
      <c r="Z198" s="1"/>
      <c r="AA198" s="1"/>
      <c r="AB198" s="1"/>
      <c r="AC198" s="1"/>
      <c r="AD198" s="1"/>
      <c r="AE198" s="1"/>
      <c r="AF198" s="1"/>
      <c r="AG198" s="1"/>
      <c r="AH198" s="1"/>
      <c r="AI198" s="1"/>
      <c r="AJ198" s="1"/>
      <c r="AK198" s="1"/>
      <c r="AL198" s="1"/>
      <c r="AM198" s="1"/>
      <c r="AN198"/>
      <c r="AO198" s="228"/>
      <c r="AP198" s="189"/>
      <c r="AQ198"/>
      <c r="AR198"/>
      <c r="AS198" s="228"/>
      <c r="AT198" s="139"/>
      <c r="AU198" s="139"/>
      <c r="AV198"/>
      <c r="AW198" s="262"/>
      <c r="AX198"/>
      <c r="AY198"/>
      <c r="AZ198"/>
      <c r="BA198"/>
      <c r="BB198" s="139"/>
      <c r="BC198" s="139"/>
      <c r="BD198" s="139"/>
      <c r="BE198" s="139"/>
      <c r="BF198"/>
      <c r="BG198" s="262"/>
      <c r="BI198" s="139"/>
      <c r="BJ198" s="262"/>
      <c r="BK198"/>
      <c r="BL198" s="139"/>
      <c r="BM198" s="108"/>
      <c r="BN198" s="139"/>
      <c r="BO198" s="139"/>
      <c r="BP198" s="139"/>
      <c r="BQ198"/>
      <c r="BR198" s="262"/>
      <c r="BS198"/>
      <c r="BT198" s="139"/>
      <c r="BU198"/>
      <c r="BX198"/>
      <c r="BY198" s="139"/>
      <c r="BZ198" s="139"/>
      <c r="CA198" s="139"/>
      <c r="CB198" s="139"/>
      <c r="CC198" s="139"/>
      <c r="CD198" s="141"/>
      <c r="CE198" s="139"/>
      <c r="CF198" s="139"/>
      <c r="CG198" s="139"/>
      <c r="CH198" s="139"/>
      <c r="CI198" s="139"/>
      <c r="CJ198" s="139"/>
      <c r="CK198"/>
      <c r="CL198" s="139"/>
      <c r="CM198"/>
      <c r="CN198" s="139"/>
      <c r="CO198"/>
      <c r="CP198"/>
      <c r="CQ198" s="143"/>
      <c r="CR198" s="143"/>
      <c r="CS198"/>
      <c r="CT198" s="262"/>
      <c r="CU198"/>
      <c r="CV198"/>
      <c r="CW198"/>
      <c r="CX198" s="143"/>
      <c r="CY198" s="143"/>
      <c r="CZ198" s="143"/>
      <c r="DA198" s="143"/>
      <c r="DB198"/>
      <c r="DC198"/>
      <c r="DD198" s="143"/>
      <c r="DE198"/>
      <c r="DF198" s="143"/>
      <c r="DG198"/>
      <c r="DH198"/>
      <c r="DI198"/>
      <c r="DJ198"/>
      <c r="DK198"/>
      <c r="DL198" s="139"/>
      <c r="DM198"/>
      <c r="DN198"/>
      <c r="DO198"/>
      <c r="DP198"/>
      <c r="DQ198"/>
      <c r="DR198"/>
      <c r="DS198"/>
      <c r="DT198"/>
      <c r="DU198"/>
      <c r="DV198"/>
      <c r="DW198"/>
      <c r="DX198"/>
      <c r="DY198"/>
      <c r="DZ198"/>
      <c r="EA198"/>
      <c r="EB198"/>
      <c r="EC198" s="139"/>
      <c r="ED198" s="139"/>
      <c r="EE198" s="139"/>
      <c r="EF198" s="139"/>
      <c r="EG198" s="139"/>
      <c r="EH198" s="139"/>
      <c r="EI198" s="139"/>
      <c r="EJ198" s="139"/>
      <c r="EK198" s="139"/>
      <c r="EL198" s="139"/>
      <c r="EM198" s="139"/>
      <c r="EN198" s="139"/>
      <c r="EO198" s="139"/>
      <c r="EP198" s="139"/>
      <c r="EQ198" s="139"/>
      <c r="ER198" s="139"/>
      <c r="ES198" s="139"/>
      <c r="ET198" s="139"/>
      <c r="EU198" s="139"/>
      <c r="EV198" s="139"/>
      <c r="EW198" s="139"/>
      <c r="EX198" s="139"/>
      <c r="EY198" s="139"/>
      <c r="EZ198" s="139"/>
      <c r="FA198" s="139"/>
      <c r="FB198" s="139"/>
      <c r="FC198" s="139"/>
      <c r="FD198" s="139"/>
      <c r="FE198" s="139"/>
      <c r="FF198" s="139"/>
      <c r="FG198" s="139"/>
      <c r="FH198" s="139"/>
      <c r="FI198" s="139"/>
    </row>
    <row r="199" spans="1:165" ht="15" customHeight="1">
      <c r="BB199" s="139"/>
      <c r="BC199" s="139"/>
      <c r="BD199" s="139"/>
      <c r="BE199" s="139"/>
      <c r="BI199" s="139"/>
      <c r="BL199" s="139"/>
      <c r="BN199" s="139"/>
      <c r="BO199" s="139"/>
      <c r="BP199" s="139"/>
      <c r="BT199" s="139"/>
      <c r="BY199" s="139"/>
      <c r="BZ199" s="139"/>
      <c r="CA199" s="139"/>
      <c r="CB199" s="139"/>
      <c r="CC199" s="139"/>
      <c r="CE199" s="139"/>
      <c r="CF199" s="139"/>
      <c r="CG199" s="139"/>
      <c r="CH199" s="139"/>
      <c r="CI199" s="139"/>
      <c r="CJ199" s="139"/>
      <c r="CL199" s="139"/>
      <c r="CN199" s="139"/>
      <c r="DN199"/>
      <c r="DO199"/>
      <c r="DQ199"/>
      <c r="EC199" s="139"/>
      <c r="ED199" s="139"/>
      <c r="EE199" s="139"/>
      <c r="EF199" s="139"/>
      <c r="EG199" s="139"/>
      <c r="EH199" s="139"/>
      <c r="EI199" s="139"/>
      <c r="EJ199" s="139"/>
      <c r="EK199" s="139"/>
      <c r="EL199" s="139"/>
      <c r="EM199" s="139"/>
      <c r="EN199" s="139"/>
      <c r="EO199" s="139"/>
      <c r="EP199" s="139"/>
      <c r="EQ199" s="139"/>
      <c r="ER199" s="139"/>
      <c r="ES199" s="139"/>
      <c r="ET199" s="139"/>
      <c r="EU199" s="139"/>
      <c r="EV199" s="139"/>
      <c r="EW199" s="139"/>
      <c r="EX199" s="139"/>
      <c r="EY199" s="139"/>
      <c r="EZ199" s="139"/>
      <c r="FA199" s="139"/>
      <c r="FB199" s="139"/>
      <c r="FC199" s="139"/>
      <c r="FD199" s="139"/>
      <c r="FE199" s="139"/>
      <c r="FF199" s="139"/>
      <c r="FG199" s="139"/>
      <c r="FH199" s="139"/>
      <c r="FI199" s="139"/>
    </row>
    <row r="200" spans="1:165" ht="15" customHeight="1">
      <c r="BB200" s="139"/>
      <c r="BC200" s="139"/>
      <c r="BD200" s="139"/>
      <c r="BE200" s="139"/>
      <c r="BI200" s="139"/>
      <c r="BL200" s="139"/>
      <c r="BN200" s="139"/>
      <c r="BO200" s="139"/>
      <c r="BP200" s="139"/>
      <c r="BT200" s="139"/>
      <c r="BY200" s="139"/>
      <c r="BZ200" s="139"/>
      <c r="CA200" s="139"/>
      <c r="CB200" s="139"/>
      <c r="CC200" s="139"/>
      <c r="CE200" s="139"/>
      <c r="CF200" s="139"/>
      <c r="CG200" s="139"/>
      <c r="CH200" s="139"/>
      <c r="CI200" s="139"/>
      <c r="CJ200" s="139"/>
      <c r="CL200" s="139"/>
      <c r="CN200" s="139"/>
      <c r="DN200"/>
      <c r="DO200"/>
      <c r="DQ200"/>
      <c r="EC200" s="139"/>
      <c r="ED200" s="139"/>
      <c r="EE200" s="139"/>
      <c r="EF200" s="139"/>
      <c r="EG200" s="139"/>
      <c r="EH200" s="139"/>
      <c r="EI200" s="139"/>
      <c r="EJ200" s="139"/>
      <c r="EK200" s="139"/>
      <c r="EL200" s="139"/>
      <c r="EM200" s="139"/>
      <c r="EN200" s="139"/>
      <c r="EO200" s="139"/>
      <c r="EP200" s="139"/>
      <c r="EQ200" s="139"/>
      <c r="ER200" s="139"/>
      <c r="ES200" s="139"/>
      <c r="ET200" s="139"/>
      <c r="EU200" s="139"/>
      <c r="EV200" s="139"/>
      <c r="EW200" s="139"/>
      <c r="EX200" s="139"/>
      <c r="EY200" s="139"/>
      <c r="EZ200" s="139"/>
      <c r="FA200" s="139"/>
      <c r="FB200" s="139"/>
      <c r="FC200" s="139"/>
      <c r="FD200" s="139"/>
      <c r="FE200" s="139"/>
      <c r="FF200" s="139"/>
      <c r="FG200" s="139"/>
      <c r="FH200" s="139"/>
      <c r="FI200" s="139"/>
    </row>
    <row r="201" spans="1:165" ht="15" customHeight="1">
      <c r="BB201" s="139"/>
      <c r="BC201" s="139"/>
      <c r="BD201" s="139"/>
      <c r="BE201" s="139"/>
      <c r="BI201" s="139"/>
      <c r="BL201" s="139"/>
      <c r="BN201" s="139"/>
      <c r="BO201" s="139"/>
      <c r="BP201" s="139"/>
      <c r="BT201" s="139"/>
      <c r="BY201" s="139"/>
      <c r="BZ201" s="139"/>
      <c r="CA201" s="139"/>
      <c r="CB201" s="139"/>
      <c r="CC201" s="139"/>
      <c r="CE201" s="139"/>
      <c r="CF201" s="139"/>
      <c r="CG201" s="139"/>
      <c r="CH201" s="139"/>
      <c r="CI201" s="139"/>
      <c r="CJ201" s="139"/>
      <c r="CL201" s="139"/>
      <c r="CN201" s="139"/>
      <c r="DN201"/>
      <c r="DO201"/>
      <c r="DQ201"/>
      <c r="EC201" s="139"/>
      <c r="ED201" s="139"/>
      <c r="EE201" s="139"/>
      <c r="EF201" s="139"/>
      <c r="EG201" s="139"/>
      <c r="EH201" s="139"/>
      <c r="EI201" s="139"/>
      <c r="EJ201" s="139"/>
      <c r="EK201" s="139"/>
      <c r="EL201" s="139"/>
      <c r="EM201" s="139"/>
      <c r="EN201" s="139"/>
      <c r="EO201" s="139"/>
      <c r="EP201" s="139"/>
      <c r="EQ201" s="139"/>
      <c r="ER201" s="139"/>
      <c r="ES201" s="139"/>
      <c r="ET201" s="139"/>
      <c r="EU201" s="139"/>
      <c r="EV201" s="139"/>
      <c r="EW201" s="139"/>
      <c r="EX201" s="139"/>
      <c r="EY201" s="139"/>
      <c r="EZ201" s="139"/>
      <c r="FA201" s="139"/>
      <c r="FB201" s="139"/>
      <c r="FC201" s="139"/>
      <c r="FD201" s="139"/>
      <c r="FE201" s="139"/>
      <c r="FF201" s="139"/>
      <c r="FG201" s="139"/>
      <c r="FH201" s="139"/>
      <c r="FI201" s="139"/>
    </row>
    <row r="202" spans="1:165" ht="15" customHeight="1">
      <c r="BB202" s="139"/>
      <c r="BC202" s="139"/>
      <c r="BD202" s="139"/>
      <c r="BE202" s="139"/>
      <c r="BI202" s="139"/>
      <c r="BL202" s="139"/>
      <c r="BN202" s="139"/>
      <c r="BO202" s="139"/>
      <c r="BP202" s="139"/>
      <c r="BT202" s="139"/>
      <c r="BY202" s="139"/>
      <c r="BZ202" s="139"/>
      <c r="CA202" s="139"/>
      <c r="CB202" s="139"/>
      <c r="CC202" s="139"/>
      <c r="CE202" s="139"/>
      <c r="CF202" s="139"/>
      <c r="CG202" s="139"/>
      <c r="CH202" s="139"/>
      <c r="CI202" s="139"/>
      <c r="CJ202" s="139"/>
      <c r="CL202" s="139"/>
      <c r="CN202" s="139"/>
      <c r="DN202"/>
      <c r="DO202"/>
      <c r="DQ202"/>
      <c r="EC202" s="139"/>
      <c r="ED202" s="139"/>
      <c r="EE202" s="139"/>
      <c r="EF202" s="139"/>
      <c r="EG202" s="139"/>
      <c r="EH202" s="139"/>
      <c r="EI202" s="139"/>
      <c r="EJ202" s="139"/>
      <c r="EK202" s="139"/>
      <c r="EL202" s="139"/>
      <c r="EM202" s="139"/>
      <c r="EN202" s="139"/>
      <c r="EO202" s="139"/>
      <c r="EP202" s="139"/>
      <c r="EQ202" s="139"/>
      <c r="ER202" s="139"/>
      <c r="ES202" s="139"/>
      <c r="ET202" s="139"/>
      <c r="EU202" s="139"/>
      <c r="EV202" s="139"/>
      <c r="EW202" s="139"/>
      <c r="EX202" s="139"/>
      <c r="EY202" s="139"/>
      <c r="EZ202" s="139"/>
      <c r="FA202" s="139"/>
      <c r="FB202" s="139"/>
      <c r="FC202" s="139"/>
      <c r="FD202" s="139"/>
      <c r="FE202" s="139"/>
      <c r="FF202" s="139"/>
      <c r="FG202" s="139"/>
      <c r="FH202" s="139"/>
      <c r="FI202" s="139"/>
    </row>
    <row r="203" spans="1:165" ht="15" customHeight="1">
      <c r="BB203" s="139"/>
      <c r="BC203" s="139"/>
      <c r="BD203" s="139"/>
      <c r="BE203" s="139"/>
      <c r="BI203" s="139"/>
      <c r="BL203" s="139"/>
      <c r="BN203" s="139"/>
      <c r="BO203" s="139"/>
      <c r="BP203" s="139"/>
      <c r="BT203" s="139"/>
      <c r="BY203" s="139"/>
      <c r="BZ203" s="139"/>
      <c r="CA203" s="139"/>
      <c r="CB203" s="139"/>
      <c r="CC203" s="139"/>
      <c r="CE203" s="139"/>
      <c r="CF203" s="139"/>
      <c r="CG203" s="139"/>
      <c r="CH203" s="139"/>
      <c r="CI203" s="139"/>
      <c r="CJ203" s="139"/>
      <c r="CL203" s="139"/>
      <c r="CN203" s="139"/>
      <c r="DN203"/>
      <c r="DO203"/>
      <c r="DQ203"/>
      <c r="EC203" s="139"/>
      <c r="ED203" s="139"/>
      <c r="EE203" s="139"/>
      <c r="EF203" s="139"/>
      <c r="EG203" s="139"/>
      <c r="EH203" s="139"/>
      <c r="EI203" s="139"/>
      <c r="EJ203" s="139"/>
      <c r="EK203" s="139"/>
      <c r="EL203" s="139"/>
      <c r="EM203" s="139"/>
      <c r="EN203" s="139"/>
      <c r="EO203" s="139"/>
      <c r="EP203" s="139"/>
      <c r="EQ203" s="139"/>
      <c r="ER203" s="139"/>
      <c r="ES203" s="139"/>
      <c r="ET203" s="139"/>
      <c r="EU203" s="139"/>
      <c r="EV203" s="139"/>
      <c r="EW203" s="139"/>
      <c r="EX203" s="139"/>
      <c r="EY203" s="139"/>
      <c r="EZ203" s="139"/>
      <c r="FA203" s="139"/>
      <c r="FB203" s="139"/>
      <c r="FC203" s="139"/>
      <c r="FD203" s="139"/>
      <c r="FE203" s="139"/>
      <c r="FF203" s="139"/>
      <c r="FG203" s="139"/>
      <c r="FH203" s="139"/>
      <c r="FI203" s="139"/>
    </row>
    <row r="204" spans="1:165" ht="15" customHeight="1">
      <c r="BB204" s="139"/>
      <c r="BC204" s="139"/>
      <c r="BD204" s="139"/>
      <c r="BE204" s="139"/>
      <c r="BI204" s="139"/>
      <c r="BL204" s="139"/>
      <c r="BN204" s="139"/>
      <c r="BO204" s="139"/>
      <c r="BP204" s="139"/>
      <c r="BT204" s="139"/>
      <c r="BY204" s="139"/>
      <c r="BZ204" s="139"/>
      <c r="CA204" s="139"/>
      <c r="CB204" s="139"/>
      <c r="CC204" s="139"/>
      <c r="CE204" s="139"/>
      <c r="CF204" s="139"/>
      <c r="CG204" s="139"/>
      <c r="CH204" s="139"/>
      <c r="CI204" s="139"/>
      <c r="CJ204" s="139"/>
      <c r="CL204" s="139"/>
      <c r="CN204" s="139"/>
      <c r="DN204"/>
      <c r="DO204"/>
      <c r="DQ204"/>
      <c r="EC204" s="139"/>
      <c r="ED204" s="139"/>
      <c r="EE204" s="139"/>
      <c r="EF204" s="139"/>
      <c r="EG204" s="139"/>
      <c r="EH204" s="139"/>
      <c r="EI204" s="139"/>
      <c r="EJ204" s="139"/>
      <c r="EK204" s="139"/>
      <c r="EL204" s="139"/>
      <c r="EM204" s="139"/>
      <c r="EN204" s="139"/>
      <c r="EO204" s="139"/>
      <c r="EP204" s="139"/>
      <c r="EQ204" s="139"/>
      <c r="ER204" s="139"/>
      <c r="ES204" s="139"/>
      <c r="ET204" s="139"/>
      <c r="EU204" s="139"/>
      <c r="EV204" s="139"/>
      <c r="EW204" s="139"/>
      <c r="EX204" s="139"/>
      <c r="EY204" s="139"/>
      <c r="EZ204" s="139"/>
      <c r="FA204" s="139"/>
      <c r="FB204" s="139"/>
      <c r="FC204" s="139"/>
      <c r="FD204" s="139"/>
      <c r="FE204" s="139"/>
      <c r="FF204" s="139"/>
      <c r="FG204" s="139"/>
      <c r="FH204" s="139"/>
      <c r="FI204" s="139"/>
    </row>
    <row r="205" spans="1:165" ht="15" customHeight="1">
      <c r="BB205" s="139"/>
      <c r="BC205" s="139"/>
      <c r="BD205" s="139"/>
      <c r="BE205" s="139"/>
      <c r="BI205" s="139"/>
      <c r="BL205" s="139"/>
      <c r="BN205" s="139"/>
      <c r="BO205" s="139"/>
      <c r="BP205" s="139"/>
      <c r="BT205" s="139"/>
      <c r="BY205" s="139"/>
      <c r="BZ205" s="139"/>
      <c r="CA205" s="139"/>
      <c r="CB205" s="139"/>
      <c r="CC205" s="139"/>
      <c r="CE205" s="139"/>
      <c r="CF205" s="139"/>
      <c r="CG205" s="139"/>
      <c r="CH205" s="139"/>
      <c r="CI205" s="139"/>
      <c r="CJ205" s="139"/>
      <c r="CL205" s="139"/>
      <c r="CN205" s="139"/>
      <c r="DN205"/>
      <c r="DO205"/>
      <c r="DQ205"/>
      <c r="EC205" s="139"/>
      <c r="ED205" s="139"/>
      <c r="EE205" s="139"/>
      <c r="EF205" s="139"/>
      <c r="EG205" s="139"/>
      <c r="EH205" s="139"/>
      <c r="EI205" s="139"/>
      <c r="EJ205" s="139"/>
      <c r="EK205" s="139"/>
      <c r="EL205" s="139"/>
      <c r="EM205" s="139"/>
      <c r="EN205" s="139"/>
      <c r="EO205" s="139"/>
      <c r="EP205" s="139"/>
      <c r="EQ205" s="139"/>
      <c r="ER205" s="139"/>
      <c r="ES205" s="139"/>
      <c r="ET205" s="139"/>
      <c r="EU205" s="139"/>
      <c r="EV205" s="139"/>
      <c r="EW205" s="139"/>
      <c r="EX205" s="139"/>
      <c r="EY205" s="139"/>
      <c r="EZ205" s="139"/>
      <c r="FA205" s="139"/>
      <c r="FB205" s="139"/>
      <c r="FC205" s="139"/>
      <c r="FD205" s="139"/>
      <c r="FE205" s="139"/>
      <c r="FF205" s="139"/>
      <c r="FG205" s="139"/>
      <c r="FH205" s="139"/>
      <c r="FI205" s="139"/>
    </row>
    <row r="206" spans="1:165" s="31" customFormat="1" ht="15" customHeight="1">
      <c r="A206" s="1"/>
      <c r="B206" s="1"/>
      <c r="C206" s="1"/>
      <c r="D206" s="1"/>
      <c r="E206" s="1"/>
      <c r="F206" s="1"/>
      <c r="G206" s="1"/>
      <c r="H206" s="1"/>
      <c r="I206" s="1"/>
      <c r="J206" s="1"/>
      <c r="K206" s="1"/>
      <c r="L206" s="1"/>
      <c r="M206" s="1"/>
      <c r="N206" s="1"/>
      <c r="O206" s="1"/>
      <c r="P206"/>
      <c r="Q206" s="130"/>
      <c r="R206" s="1"/>
      <c r="S206" s="1"/>
      <c r="T206" s="1"/>
      <c r="U206" s="1"/>
      <c r="V206" s="1"/>
      <c r="W206" s="1"/>
      <c r="X206" s="1"/>
      <c r="Y206" s="1"/>
      <c r="Z206" s="1"/>
      <c r="AA206" s="1"/>
      <c r="AB206" s="1"/>
      <c r="AC206" s="1"/>
      <c r="AD206" s="1"/>
      <c r="AE206" s="1"/>
      <c r="AF206" s="1"/>
      <c r="AG206" s="1"/>
      <c r="AH206" s="1"/>
      <c r="AI206" s="1"/>
      <c r="AJ206" s="1"/>
      <c r="AK206" s="1"/>
      <c r="AL206" s="1"/>
      <c r="AM206" s="1"/>
      <c r="AN206"/>
      <c r="AO206" s="228"/>
      <c r="AP206" s="189"/>
      <c r="AQ206"/>
      <c r="AR206"/>
      <c r="AS206" s="228"/>
      <c r="AT206" s="139"/>
      <c r="AU206" s="139"/>
      <c r="AV206"/>
      <c r="AW206" s="262"/>
      <c r="AX206"/>
      <c r="AY206"/>
      <c r="AZ206"/>
      <c r="BA206"/>
      <c r="BB206" s="139"/>
      <c r="BC206" s="139"/>
      <c r="BD206" s="139"/>
      <c r="BE206" s="139"/>
      <c r="BF206"/>
      <c r="BG206" s="262"/>
      <c r="BI206" s="139"/>
      <c r="BJ206" s="262"/>
      <c r="BK206"/>
      <c r="BL206" s="139"/>
      <c r="BM206" s="108"/>
      <c r="BN206" s="139"/>
      <c r="BO206" s="139"/>
      <c r="BP206" s="139"/>
      <c r="BQ206"/>
      <c r="BR206" s="262"/>
      <c r="BS206"/>
      <c r="BT206" s="139"/>
      <c r="BU206"/>
      <c r="BX206"/>
      <c r="BY206" s="139"/>
      <c r="BZ206" s="139"/>
      <c r="CA206" s="139"/>
      <c r="CB206" s="139"/>
      <c r="CC206" s="139"/>
      <c r="CD206" s="141"/>
      <c r="CE206" s="139"/>
      <c r="CF206" s="139"/>
      <c r="CG206" s="139"/>
      <c r="CH206" s="139"/>
      <c r="CI206" s="139"/>
      <c r="CJ206" s="139"/>
      <c r="CK206"/>
      <c r="CL206" s="139"/>
      <c r="CM206"/>
      <c r="CN206" s="139"/>
      <c r="CO206"/>
      <c r="CP206"/>
      <c r="CQ206" s="143"/>
      <c r="CR206" s="143"/>
      <c r="CS206"/>
      <c r="CT206" s="262"/>
      <c r="CU206"/>
      <c r="CV206"/>
      <c r="CW206"/>
      <c r="CX206" s="143"/>
      <c r="CY206" s="143"/>
      <c r="CZ206" s="143"/>
      <c r="DA206" s="143"/>
      <c r="DB206"/>
      <c r="DC206"/>
      <c r="DD206" s="143"/>
      <c r="DE206"/>
      <c r="DF206" s="143"/>
      <c r="DG206"/>
      <c r="DH206"/>
      <c r="DI206"/>
      <c r="DJ206"/>
      <c r="DK206"/>
      <c r="DL206" s="139"/>
      <c r="DM206"/>
      <c r="DN206"/>
      <c r="DO206"/>
      <c r="DP206"/>
      <c r="DQ206"/>
      <c r="DR206"/>
      <c r="DS206"/>
      <c r="DT206"/>
      <c r="DU206"/>
      <c r="DV206"/>
      <c r="DW206"/>
      <c r="DX206"/>
      <c r="DY206"/>
      <c r="DZ206"/>
      <c r="EA206"/>
      <c r="EB206"/>
      <c r="EC206" s="139"/>
      <c r="ED206" s="139"/>
      <c r="EE206" s="139"/>
      <c r="EF206" s="139"/>
      <c r="EG206" s="139"/>
      <c r="EH206" s="139"/>
      <c r="EI206" s="139"/>
      <c r="EJ206" s="139"/>
      <c r="EK206" s="139"/>
      <c r="EL206" s="139"/>
      <c r="EM206" s="139"/>
      <c r="EN206" s="139"/>
      <c r="EO206" s="139"/>
      <c r="EP206" s="139"/>
      <c r="EQ206" s="139"/>
      <c r="ER206" s="139"/>
      <c r="ES206" s="139"/>
      <c r="ET206" s="139"/>
      <c r="EU206" s="139"/>
      <c r="EV206" s="139"/>
      <c r="EW206" s="139"/>
      <c r="EX206" s="139"/>
      <c r="EY206" s="139"/>
      <c r="EZ206" s="139"/>
      <c r="FA206" s="139"/>
      <c r="FB206" s="139"/>
      <c r="FC206" s="139"/>
      <c r="FD206" s="139"/>
      <c r="FE206" s="139"/>
      <c r="FF206" s="139"/>
      <c r="FG206" s="139"/>
      <c r="FH206" s="139"/>
      <c r="FI206" s="139"/>
    </row>
    <row r="207" spans="1:165" s="31" customFormat="1" ht="15" customHeight="1">
      <c r="A207" s="1"/>
      <c r="B207" s="1"/>
      <c r="C207" s="1"/>
      <c r="D207" s="1"/>
      <c r="E207" s="1"/>
      <c r="F207" s="1"/>
      <c r="G207" s="1"/>
      <c r="H207" s="1"/>
      <c r="I207" s="1"/>
      <c r="J207" s="1"/>
      <c r="K207" s="1"/>
      <c r="L207" s="1"/>
      <c r="M207" s="1"/>
      <c r="N207" s="1"/>
      <c r="O207" s="1"/>
      <c r="P207"/>
      <c r="Q207" s="130"/>
      <c r="R207" s="1"/>
      <c r="S207" s="1"/>
      <c r="T207" s="1"/>
      <c r="U207" s="1"/>
      <c r="V207" s="1"/>
      <c r="W207" s="1"/>
      <c r="X207" s="1"/>
      <c r="Y207" s="1"/>
      <c r="Z207" s="1"/>
      <c r="AA207" s="1"/>
      <c r="AB207" s="1"/>
      <c r="AC207" s="1"/>
      <c r="AD207" s="1"/>
      <c r="AE207" s="1"/>
      <c r="AF207" s="1"/>
      <c r="AG207" s="1"/>
      <c r="AH207" s="1"/>
      <c r="AI207" s="1"/>
      <c r="AJ207" s="1"/>
      <c r="AK207" s="1"/>
      <c r="AL207" s="1"/>
      <c r="AM207" s="1"/>
      <c r="AN207"/>
      <c r="AO207" s="228"/>
      <c r="AP207" s="189"/>
      <c r="AQ207"/>
      <c r="AR207"/>
      <c r="AS207" s="228"/>
      <c r="AT207" s="139"/>
      <c r="AU207" s="139"/>
      <c r="AV207"/>
      <c r="AW207" s="262"/>
      <c r="AX207"/>
      <c r="AY207"/>
      <c r="AZ207"/>
      <c r="BA207"/>
      <c r="BB207" s="139"/>
      <c r="BC207" s="139"/>
      <c r="BD207" s="139"/>
      <c r="BE207" s="139"/>
      <c r="BF207"/>
      <c r="BG207" s="262"/>
      <c r="BI207" s="139"/>
      <c r="BJ207" s="262"/>
      <c r="BK207"/>
      <c r="BL207" s="139"/>
      <c r="BM207" s="108"/>
      <c r="BN207" s="139"/>
      <c r="BO207" s="139"/>
      <c r="BP207" s="139"/>
      <c r="BQ207"/>
      <c r="BR207" s="262"/>
      <c r="BS207"/>
      <c r="BT207" s="139"/>
      <c r="BU207"/>
      <c r="BX207"/>
      <c r="BY207" s="139"/>
      <c r="BZ207" s="139"/>
      <c r="CA207" s="139"/>
      <c r="CB207" s="139"/>
      <c r="CC207" s="139"/>
      <c r="CD207" s="141"/>
      <c r="CE207" s="139"/>
      <c r="CF207" s="139"/>
      <c r="CG207" s="139"/>
      <c r="CH207" s="139"/>
      <c r="CI207" s="139"/>
      <c r="CJ207" s="139"/>
      <c r="CK207"/>
      <c r="CL207" s="139"/>
      <c r="CM207"/>
      <c r="CN207" s="139"/>
      <c r="CO207"/>
      <c r="CP207"/>
      <c r="CQ207" s="143"/>
      <c r="CR207" s="143"/>
      <c r="CS207"/>
      <c r="CT207" s="262"/>
      <c r="CU207"/>
      <c r="CV207"/>
      <c r="CW207"/>
      <c r="CX207" s="143"/>
      <c r="CY207" s="143"/>
      <c r="CZ207" s="143"/>
      <c r="DA207" s="143"/>
      <c r="DB207"/>
      <c r="DC207"/>
      <c r="DD207" s="143"/>
      <c r="DE207"/>
      <c r="DF207" s="143"/>
      <c r="DG207"/>
      <c r="DH207"/>
      <c r="DI207"/>
      <c r="DJ207"/>
      <c r="DK207"/>
      <c r="DL207" s="139"/>
      <c r="DM207"/>
      <c r="DN207"/>
      <c r="DO207"/>
      <c r="DP207"/>
      <c r="DQ207"/>
      <c r="DR207"/>
      <c r="DS207"/>
      <c r="DT207"/>
      <c r="DU207"/>
      <c r="DV207"/>
      <c r="DW207"/>
      <c r="DX207"/>
      <c r="DY207"/>
      <c r="DZ207"/>
      <c r="EA207"/>
      <c r="EB207"/>
      <c r="EC207" s="139"/>
      <c r="ED207" s="139"/>
      <c r="EE207" s="139"/>
      <c r="EF207" s="139"/>
      <c r="EG207" s="139"/>
      <c r="EH207" s="139"/>
      <c r="EI207" s="139"/>
      <c r="EJ207" s="139"/>
      <c r="EK207" s="139"/>
      <c r="EL207" s="139"/>
      <c r="EM207" s="139"/>
      <c r="EN207" s="139"/>
      <c r="EO207" s="139"/>
      <c r="EP207" s="139"/>
      <c r="EQ207" s="139"/>
      <c r="ER207" s="139"/>
      <c r="ES207" s="139"/>
      <c r="ET207" s="139"/>
      <c r="EU207" s="139"/>
      <c r="EV207" s="139"/>
      <c r="EW207" s="139"/>
      <c r="EX207" s="139"/>
      <c r="EY207" s="139"/>
      <c r="EZ207" s="139"/>
      <c r="FA207" s="139"/>
      <c r="FB207" s="139"/>
      <c r="FC207" s="139"/>
      <c r="FD207" s="139"/>
      <c r="FE207" s="139"/>
      <c r="FF207" s="139"/>
      <c r="FG207" s="139"/>
      <c r="FH207" s="139"/>
      <c r="FI207" s="139"/>
    </row>
    <row r="208" spans="1:165" s="31" customFormat="1" ht="15" customHeight="1">
      <c r="A208" s="1"/>
      <c r="B208" s="1"/>
      <c r="C208" s="1"/>
      <c r="D208" s="1"/>
      <c r="E208" s="1"/>
      <c r="F208" s="1"/>
      <c r="G208" s="1"/>
      <c r="H208" s="1"/>
      <c r="I208" s="1"/>
      <c r="J208" s="1"/>
      <c r="K208" s="1"/>
      <c r="L208" s="1"/>
      <c r="M208" s="1"/>
      <c r="N208" s="1"/>
      <c r="O208" s="1"/>
      <c r="P208"/>
      <c r="Q208" s="130"/>
      <c r="R208" s="1"/>
      <c r="S208" s="1"/>
      <c r="T208" s="1"/>
      <c r="U208" s="1"/>
      <c r="V208" s="1"/>
      <c r="W208" s="1"/>
      <c r="X208" s="1"/>
      <c r="Y208" s="1"/>
      <c r="Z208" s="1"/>
      <c r="AA208" s="1"/>
      <c r="AB208" s="1"/>
      <c r="AC208" s="1"/>
      <c r="AD208" s="1"/>
      <c r="AE208" s="1"/>
      <c r="AF208" s="1"/>
      <c r="AG208" s="1"/>
      <c r="AH208" s="1"/>
      <c r="AI208" s="1"/>
      <c r="AJ208" s="1"/>
      <c r="AK208" s="1"/>
      <c r="AL208" s="1"/>
      <c r="AM208" s="1"/>
      <c r="AN208"/>
      <c r="AO208" s="228"/>
      <c r="AP208" s="189"/>
      <c r="AQ208"/>
      <c r="AR208"/>
      <c r="AS208" s="228"/>
      <c r="AT208" s="139"/>
      <c r="AU208" s="139"/>
      <c r="AV208"/>
      <c r="AW208" s="262"/>
      <c r="AX208"/>
      <c r="AY208"/>
      <c r="AZ208"/>
      <c r="BA208"/>
      <c r="BB208" s="139"/>
      <c r="BC208" s="139"/>
      <c r="BD208" s="139"/>
      <c r="BE208" s="139"/>
      <c r="BF208"/>
      <c r="BG208" s="262"/>
      <c r="BI208" s="139"/>
      <c r="BJ208" s="262"/>
      <c r="BK208"/>
      <c r="BL208" s="139"/>
      <c r="BM208" s="108"/>
      <c r="BN208" s="139"/>
      <c r="BO208" s="139"/>
      <c r="BP208" s="139"/>
      <c r="BQ208"/>
      <c r="BR208" s="262"/>
      <c r="BS208"/>
      <c r="BT208" s="139"/>
      <c r="BU208"/>
      <c r="BX208"/>
      <c r="BY208" s="139"/>
      <c r="BZ208" s="139"/>
      <c r="CA208" s="139"/>
      <c r="CB208" s="139"/>
      <c r="CC208" s="139"/>
      <c r="CD208" s="141"/>
      <c r="CE208" s="139"/>
      <c r="CF208" s="139"/>
      <c r="CG208" s="139"/>
      <c r="CH208" s="139"/>
      <c r="CI208" s="139"/>
      <c r="CJ208" s="139"/>
      <c r="CK208"/>
      <c r="CL208" s="139"/>
      <c r="CM208"/>
      <c r="CN208" s="139"/>
      <c r="CO208"/>
      <c r="CP208"/>
      <c r="CQ208" s="143"/>
      <c r="CR208" s="143"/>
      <c r="CS208"/>
      <c r="CT208" s="262"/>
      <c r="CU208"/>
      <c r="CV208"/>
      <c r="CW208"/>
      <c r="CX208" s="143"/>
      <c r="CY208" s="143"/>
      <c r="CZ208" s="143"/>
      <c r="DA208" s="143"/>
      <c r="DB208"/>
      <c r="DC208"/>
      <c r="DD208" s="143"/>
      <c r="DE208"/>
      <c r="DF208" s="143"/>
      <c r="DG208"/>
      <c r="DH208"/>
      <c r="DI208"/>
      <c r="DJ208"/>
      <c r="DK208"/>
      <c r="DL208" s="139"/>
      <c r="DM208"/>
      <c r="DN208"/>
      <c r="DO208"/>
      <c r="DP208"/>
      <c r="DQ208"/>
      <c r="DR208"/>
      <c r="DS208"/>
      <c r="DT208"/>
      <c r="DU208"/>
      <c r="DV208"/>
      <c r="DW208"/>
      <c r="DX208"/>
      <c r="DY208"/>
      <c r="DZ208"/>
      <c r="EA208"/>
      <c r="EB208"/>
      <c r="EC208" s="139"/>
      <c r="ED208" s="139"/>
      <c r="EE208" s="139"/>
      <c r="EF208" s="139"/>
      <c r="EG208" s="139"/>
      <c r="EH208" s="139"/>
      <c r="EI208" s="139"/>
      <c r="EJ208" s="139"/>
      <c r="EK208" s="139"/>
      <c r="EL208" s="139"/>
      <c r="EM208" s="139"/>
      <c r="EN208" s="139"/>
      <c r="EO208" s="139"/>
      <c r="EP208" s="139"/>
      <c r="EQ208" s="139"/>
      <c r="ER208" s="139"/>
      <c r="ES208" s="139"/>
      <c r="ET208" s="139"/>
      <c r="EU208" s="139"/>
      <c r="EV208" s="139"/>
      <c r="EW208" s="139"/>
      <c r="EX208" s="139"/>
      <c r="EY208" s="139"/>
      <c r="EZ208" s="139"/>
      <c r="FA208" s="139"/>
      <c r="FB208" s="139"/>
      <c r="FC208" s="139"/>
      <c r="FD208" s="139"/>
      <c r="FE208" s="139"/>
      <c r="FF208" s="139"/>
      <c r="FG208" s="139"/>
      <c r="FH208" s="139"/>
      <c r="FI208" s="139"/>
    </row>
    <row r="209" spans="1:165" s="31" customFormat="1" ht="15" customHeight="1">
      <c r="A209" s="1"/>
      <c r="B209" s="1"/>
      <c r="C209" s="1"/>
      <c r="D209" s="1"/>
      <c r="E209" s="1"/>
      <c r="F209" s="1"/>
      <c r="G209" s="1"/>
      <c r="H209" s="1"/>
      <c r="I209" s="1"/>
      <c r="J209" s="1"/>
      <c r="K209" s="1"/>
      <c r="L209" s="1"/>
      <c r="M209" s="1"/>
      <c r="N209" s="1"/>
      <c r="O209" s="1"/>
      <c r="P209"/>
      <c r="Q209" s="130"/>
      <c r="R209" s="1"/>
      <c r="S209" s="1"/>
      <c r="T209" s="1"/>
      <c r="U209" s="1"/>
      <c r="V209" s="1"/>
      <c r="W209" s="1"/>
      <c r="X209" s="1"/>
      <c r="Y209" s="1"/>
      <c r="Z209" s="1"/>
      <c r="AA209" s="1"/>
      <c r="AB209" s="1"/>
      <c r="AC209" s="1"/>
      <c r="AD209" s="1"/>
      <c r="AE209" s="1"/>
      <c r="AF209" s="1"/>
      <c r="AG209" s="1"/>
      <c r="AH209" s="1"/>
      <c r="AI209" s="1"/>
      <c r="AJ209" s="1"/>
      <c r="AK209" s="1"/>
      <c r="AL209" s="1"/>
      <c r="AM209" s="1"/>
      <c r="AN209"/>
      <c r="AO209" s="228"/>
      <c r="AP209" s="189"/>
      <c r="AQ209"/>
      <c r="AR209"/>
      <c r="AS209" s="228"/>
      <c r="AT209" s="139"/>
      <c r="AU209" s="139"/>
      <c r="AV209"/>
      <c r="AW209" s="262"/>
      <c r="AX209"/>
      <c r="AY209"/>
      <c r="AZ209"/>
      <c r="BA209"/>
      <c r="BB209" s="139"/>
      <c r="BC209" s="139"/>
      <c r="BD209" s="139"/>
      <c r="BE209" s="139"/>
      <c r="BF209"/>
      <c r="BG209" s="262"/>
      <c r="BI209" s="139"/>
      <c r="BJ209" s="262"/>
      <c r="BK209"/>
      <c r="BL209" s="139"/>
      <c r="BM209" s="108"/>
      <c r="BN209" s="139"/>
      <c r="BO209" s="139"/>
      <c r="BP209" s="139"/>
      <c r="BQ209"/>
      <c r="BR209" s="262"/>
      <c r="BS209"/>
      <c r="BT209" s="139"/>
      <c r="BU209"/>
      <c r="BX209"/>
      <c r="BY209" s="139"/>
      <c r="BZ209" s="139"/>
      <c r="CA209" s="139"/>
      <c r="CB209" s="139"/>
      <c r="CC209" s="139"/>
      <c r="CD209" s="141"/>
      <c r="CE209" s="139"/>
      <c r="CF209" s="139"/>
      <c r="CG209" s="139"/>
      <c r="CH209" s="139"/>
      <c r="CI209" s="139"/>
      <c r="CJ209" s="139"/>
      <c r="CK209"/>
      <c r="CL209" s="139"/>
      <c r="CM209"/>
      <c r="CN209" s="139"/>
      <c r="CO209"/>
      <c r="CP209"/>
      <c r="CQ209" s="143"/>
      <c r="CR209" s="143"/>
      <c r="CS209"/>
      <c r="CT209" s="262"/>
      <c r="CU209"/>
      <c r="CV209"/>
      <c r="CW209"/>
      <c r="CX209" s="143"/>
      <c r="CY209" s="143"/>
      <c r="CZ209" s="143"/>
      <c r="DA209" s="143"/>
      <c r="DB209"/>
      <c r="DC209"/>
      <c r="DD209" s="143"/>
      <c r="DE209"/>
      <c r="DF209" s="143"/>
      <c r="DG209"/>
      <c r="DH209"/>
      <c r="DI209"/>
      <c r="DJ209"/>
      <c r="DK209"/>
      <c r="DL209" s="139"/>
      <c r="DM209"/>
      <c r="DN209"/>
      <c r="DO209"/>
      <c r="DP209"/>
      <c r="DQ209"/>
      <c r="DR209"/>
      <c r="DS209"/>
      <c r="DT209"/>
      <c r="DU209"/>
      <c r="DV209"/>
      <c r="DW209"/>
      <c r="DX209"/>
      <c r="DY209"/>
      <c r="DZ209"/>
      <c r="EA209"/>
      <c r="EB209"/>
      <c r="EC209" s="139"/>
      <c r="ED209" s="139"/>
      <c r="EE209" s="139"/>
      <c r="EF209" s="139"/>
      <c r="EG209" s="139"/>
      <c r="EH209" s="139"/>
      <c r="EI209" s="139"/>
      <c r="EJ209" s="139"/>
      <c r="EK209" s="139"/>
      <c r="EL209" s="139"/>
      <c r="EM209" s="139"/>
      <c r="EN209" s="139"/>
      <c r="EO209" s="139"/>
      <c r="EP209" s="139"/>
      <c r="EQ209" s="139"/>
      <c r="ER209" s="139"/>
      <c r="ES209" s="139"/>
      <c r="ET209" s="139"/>
      <c r="EU209" s="139"/>
      <c r="EV209" s="139"/>
      <c r="EW209" s="139"/>
      <c r="EX209" s="139"/>
      <c r="EY209" s="139"/>
      <c r="EZ209" s="139"/>
      <c r="FA209" s="139"/>
      <c r="FB209" s="139"/>
      <c r="FC209" s="139"/>
      <c r="FD209" s="139"/>
      <c r="FE209" s="139"/>
      <c r="FF209" s="139"/>
      <c r="FG209" s="139"/>
      <c r="FH209" s="139"/>
      <c r="FI209" s="139"/>
    </row>
    <row r="210" spans="1:165" ht="15" customHeight="1">
      <c r="BB210" s="139"/>
      <c r="BC210" s="139"/>
      <c r="BD210" s="139"/>
      <c r="BE210" s="139"/>
      <c r="BI210" s="139"/>
      <c r="BL210" s="139"/>
      <c r="BN210" s="139"/>
      <c r="BO210" s="139"/>
      <c r="BP210" s="139"/>
      <c r="BT210" s="139"/>
      <c r="BY210" s="139"/>
      <c r="BZ210" s="139"/>
      <c r="CA210" s="139"/>
      <c r="CB210" s="139"/>
      <c r="CC210" s="139"/>
      <c r="CE210" s="139"/>
      <c r="CF210" s="139"/>
      <c r="CG210" s="139"/>
      <c r="CH210" s="139"/>
      <c r="CI210" s="139"/>
      <c r="CJ210" s="139"/>
      <c r="CL210" s="139"/>
      <c r="CN210" s="139"/>
      <c r="DN210"/>
      <c r="DO210"/>
      <c r="DQ210"/>
      <c r="EC210" s="139"/>
      <c r="ED210" s="139"/>
      <c r="EE210" s="139"/>
      <c r="EF210" s="139"/>
      <c r="EG210" s="139"/>
      <c r="EH210" s="139"/>
      <c r="EI210" s="139"/>
      <c r="EJ210" s="139"/>
      <c r="EK210" s="139"/>
      <c r="EL210" s="139"/>
      <c r="EM210" s="139"/>
      <c r="EN210" s="139"/>
      <c r="EO210" s="139"/>
      <c r="EP210" s="139"/>
      <c r="EQ210" s="139"/>
      <c r="ER210" s="139"/>
      <c r="ES210" s="139"/>
      <c r="ET210" s="139"/>
      <c r="EU210" s="139"/>
      <c r="EV210" s="139"/>
      <c r="EW210" s="139"/>
      <c r="EX210" s="139"/>
      <c r="EY210" s="139"/>
      <c r="EZ210" s="139"/>
      <c r="FA210" s="139"/>
      <c r="FB210" s="139"/>
      <c r="FC210" s="139"/>
      <c r="FD210" s="139"/>
      <c r="FE210" s="139"/>
      <c r="FF210" s="139"/>
      <c r="FG210" s="139"/>
      <c r="FH210" s="139"/>
      <c r="FI210" s="139"/>
    </row>
    <row r="211" spans="1:165" ht="15" customHeight="1">
      <c r="BB211" s="139"/>
      <c r="BC211" s="139"/>
      <c r="BD211" s="139"/>
      <c r="BE211" s="139"/>
      <c r="BI211" s="139"/>
      <c r="BL211" s="139"/>
      <c r="BN211" s="139"/>
      <c r="BO211" s="139"/>
      <c r="BP211" s="139"/>
      <c r="BT211" s="139"/>
      <c r="BY211" s="139"/>
      <c r="BZ211" s="139"/>
      <c r="CA211" s="139"/>
      <c r="CB211" s="139"/>
      <c r="CC211" s="139"/>
      <c r="CE211" s="139"/>
      <c r="CF211" s="139"/>
      <c r="CG211" s="139"/>
      <c r="CH211" s="139"/>
      <c r="CI211" s="139"/>
      <c r="CJ211" s="139"/>
      <c r="CL211" s="139"/>
      <c r="CN211" s="139"/>
      <c r="DN211"/>
      <c r="DO211"/>
      <c r="DQ211"/>
      <c r="EC211" s="139"/>
      <c r="ED211" s="139"/>
      <c r="EE211" s="139"/>
      <c r="EF211" s="139"/>
      <c r="EG211" s="139"/>
      <c r="EH211" s="139"/>
      <c r="EI211" s="139"/>
      <c r="EJ211" s="139"/>
      <c r="EK211" s="139"/>
      <c r="EL211" s="139"/>
      <c r="EM211" s="139"/>
      <c r="EN211" s="139"/>
      <c r="EO211" s="139"/>
      <c r="EP211" s="139"/>
      <c r="EQ211" s="139"/>
      <c r="ER211" s="139"/>
      <c r="ES211" s="139"/>
      <c r="ET211" s="139"/>
      <c r="EU211" s="139"/>
      <c r="EV211" s="139"/>
      <c r="EW211" s="139"/>
      <c r="EX211" s="139"/>
      <c r="EY211" s="139"/>
      <c r="EZ211" s="139"/>
      <c r="FA211" s="139"/>
      <c r="FB211" s="139"/>
      <c r="FC211" s="139"/>
      <c r="FD211" s="139"/>
      <c r="FE211" s="139"/>
      <c r="FF211" s="139"/>
      <c r="FG211" s="139"/>
      <c r="FH211" s="139"/>
      <c r="FI211" s="139"/>
    </row>
    <row r="212" spans="1:165" s="31" customFormat="1" ht="15" customHeight="1">
      <c r="A212" s="1"/>
      <c r="B212" s="1"/>
      <c r="C212" s="1"/>
      <c r="D212" s="1"/>
      <c r="E212" s="1"/>
      <c r="F212" s="1"/>
      <c r="G212" s="1"/>
      <c r="H212" s="1"/>
      <c r="I212" s="1"/>
      <c r="J212" s="1"/>
      <c r="K212" s="1"/>
      <c r="L212" s="1"/>
      <c r="M212" s="1"/>
      <c r="N212" s="1"/>
      <c r="O212" s="1"/>
      <c r="P212"/>
      <c r="Q212" s="130"/>
      <c r="R212" s="1"/>
      <c r="S212" s="1"/>
      <c r="T212" s="1"/>
      <c r="U212" s="1"/>
      <c r="V212" s="1"/>
      <c r="W212" s="1"/>
      <c r="X212" s="1"/>
      <c r="Y212" s="1"/>
      <c r="Z212" s="1"/>
      <c r="AA212" s="1"/>
      <c r="AB212" s="1"/>
      <c r="AC212" s="1"/>
      <c r="AD212" s="1"/>
      <c r="AE212" s="1"/>
      <c r="AF212" s="1"/>
      <c r="AG212" s="1"/>
      <c r="AH212" s="1"/>
      <c r="AI212" s="1"/>
      <c r="AJ212" s="1"/>
      <c r="AK212" s="1"/>
      <c r="AL212" s="1"/>
      <c r="AM212" s="1"/>
      <c r="AN212"/>
      <c r="AO212" s="228"/>
      <c r="AP212" s="189"/>
      <c r="AQ212"/>
      <c r="AR212"/>
      <c r="AS212" s="228"/>
      <c r="AT212" s="139"/>
      <c r="AU212" s="139"/>
      <c r="AV212"/>
      <c r="AW212" s="262"/>
      <c r="AX212"/>
      <c r="AY212"/>
      <c r="AZ212"/>
      <c r="BA212"/>
      <c r="BB212" s="139"/>
      <c r="BC212" s="139"/>
      <c r="BD212" s="139"/>
      <c r="BE212" s="139"/>
      <c r="BF212"/>
      <c r="BG212" s="262"/>
      <c r="BI212" s="139"/>
      <c r="BJ212" s="262"/>
      <c r="BK212"/>
      <c r="BL212" s="139"/>
      <c r="BM212" s="108"/>
      <c r="BN212" s="139"/>
      <c r="BO212" s="139"/>
      <c r="BP212" s="139"/>
      <c r="BQ212"/>
      <c r="BR212" s="262"/>
      <c r="BS212"/>
      <c r="BT212" s="139"/>
      <c r="BU212"/>
      <c r="BX212"/>
      <c r="BY212" s="139"/>
      <c r="BZ212" s="139"/>
      <c r="CA212" s="139"/>
      <c r="CB212" s="139"/>
      <c r="CC212" s="139"/>
      <c r="CD212" s="141"/>
      <c r="CE212" s="139"/>
      <c r="CF212" s="139"/>
      <c r="CG212" s="139"/>
      <c r="CH212" s="139"/>
      <c r="CI212" s="139"/>
      <c r="CJ212" s="139"/>
      <c r="CK212"/>
      <c r="CL212" s="139"/>
      <c r="CM212"/>
      <c r="CN212" s="139"/>
      <c r="CO212"/>
      <c r="CP212"/>
      <c r="CQ212" s="143"/>
      <c r="CR212" s="143"/>
      <c r="CS212"/>
      <c r="CT212" s="262"/>
      <c r="CU212"/>
      <c r="CV212"/>
      <c r="CW212"/>
      <c r="CX212" s="143"/>
      <c r="CY212" s="143"/>
      <c r="CZ212" s="143"/>
      <c r="DA212" s="143"/>
      <c r="DB212"/>
      <c r="DC212"/>
      <c r="DD212" s="143"/>
      <c r="DE212"/>
      <c r="DF212" s="143"/>
      <c r="DG212"/>
      <c r="DH212"/>
      <c r="DI212"/>
      <c r="DJ212"/>
      <c r="DK212"/>
      <c r="DL212" s="139"/>
      <c r="DM212"/>
      <c r="DN212"/>
      <c r="DO212"/>
      <c r="DP212"/>
      <c r="DQ212"/>
      <c r="DR212"/>
      <c r="DS212"/>
      <c r="DT212"/>
      <c r="DU212"/>
      <c r="DV212"/>
      <c r="DW212"/>
      <c r="DX212"/>
      <c r="DY212"/>
      <c r="DZ212"/>
      <c r="EA212"/>
      <c r="EB212"/>
      <c r="EC212" s="139"/>
      <c r="ED212" s="139"/>
      <c r="EE212" s="139"/>
      <c r="EF212" s="139"/>
      <c r="EG212" s="139"/>
      <c r="EH212" s="139"/>
      <c r="EI212" s="139"/>
      <c r="EJ212" s="139"/>
      <c r="EK212" s="139"/>
      <c r="EL212" s="139"/>
      <c r="EM212" s="139"/>
      <c r="EN212" s="139"/>
      <c r="EO212" s="139"/>
      <c r="EP212" s="139"/>
      <c r="EQ212" s="139"/>
      <c r="ER212" s="139"/>
      <c r="ES212" s="139"/>
      <c r="ET212" s="139"/>
      <c r="EU212" s="139"/>
      <c r="EV212" s="139"/>
      <c r="EW212" s="139"/>
      <c r="EX212" s="139"/>
      <c r="EY212" s="139"/>
      <c r="EZ212" s="139"/>
      <c r="FA212" s="139"/>
      <c r="FB212" s="139"/>
      <c r="FC212" s="139"/>
      <c r="FD212" s="139"/>
      <c r="FE212" s="139"/>
      <c r="FF212" s="139"/>
      <c r="FG212" s="139"/>
      <c r="FH212" s="139"/>
      <c r="FI212" s="139"/>
    </row>
    <row r="213" spans="1:165" s="31" customFormat="1" ht="15" customHeight="1">
      <c r="A213" s="1"/>
      <c r="B213" s="1"/>
      <c r="C213" s="1"/>
      <c r="D213" s="1"/>
      <c r="E213" s="1"/>
      <c r="F213" s="1"/>
      <c r="G213" s="1"/>
      <c r="H213" s="1"/>
      <c r="I213" s="1"/>
      <c r="J213" s="1"/>
      <c r="K213" s="1"/>
      <c r="L213" s="1"/>
      <c r="M213" s="1"/>
      <c r="N213" s="1"/>
      <c r="O213" s="1"/>
      <c r="P213"/>
      <c r="Q213" s="130"/>
      <c r="R213" s="1"/>
      <c r="S213" s="1"/>
      <c r="T213" s="1"/>
      <c r="U213" s="1"/>
      <c r="V213" s="1"/>
      <c r="W213" s="1"/>
      <c r="X213" s="1"/>
      <c r="Y213" s="1"/>
      <c r="Z213" s="1"/>
      <c r="AA213" s="1"/>
      <c r="AB213" s="1"/>
      <c r="AC213" s="1"/>
      <c r="AD213" s="1"/>
      <c r="AE213" s="1"/>
      <c r="AF213" s="1"/>
      <c r="AG213" s="1"/>
      <c r="AH213" s="1"/>
      <c r="AI213" s="1"/>
      <c r="AJ213" s="1"/>
      <c r="AK213" s="1"/>
      <c r="AL213" s="1"/>
      <c r="AM213" s="1"/>
      <c r="AN213"/>
      <c r="AO213" s="228"/>
      <c r="AP213" s="189"/>
      <c r="AQ213"/>
      <c r="AR213"/>
      <c r="AS213" s="228"/>
      <c r="AT213" s="139"/>
      <c r="AU213" s="139"/>
      <c r="AV213"/>
      <c r="AW213" s="262"/>
      <c r="AX213"/>
      <c r="AY213"/>
      <c r="AZ213"/>
      <c r="BA213"/>
      <c r="BB213" s="139"/>
      <c r="BC213" s="139"/>
      <c r="BD213" s="139"/>
      <c r="BE213" s="139"/>
      <c r="BF213"/>
      <c r="BG213" s="262"/>
      <c r="BI213" s="139"/>
      <c r="BJ213" s="262"/>
      <c r="BK213"/>
      <c r="BL213" s="139"/>
      <c r="BM213" s="108"/>
      <c r="BN213" s="139"/>
      <c r="BO213" s="139"/>
      <c r="BP213" s="139"/>
      <c r="BQ213"/>
      <c r="BR213" s="262"/>
      <c r="BS213"/>
      <c r="BT213" s="139"/>
      <c r="BU213"/>
      <c r="BX213"/>
      <c r="BY213" s="139"/>
      <c r="BZ213" s="139"/>
      <c r="CA213" s="139"/>
      <c r="CB213" s="139"/>
      <c r="CC213" s="139"/>
      <c r="CD213" s="141"/>
      <c r="CE213" s="139"/>
      <c r="CF213" s="139"/>
      <c r="CG213" s="139"/>
      <c r="CH213" s="139"/>
      <c r="CI213" s="139"/>
      <c r="CJ213" s="139"/>
      <c r="CK213"/>
      <c r="CL213" s="139"/>
      <c r="CM213"/>
      <c r="CN213" s="139"/>
      <c r="CO213"/>
      <c r="CP213"/>
      <c r="CQ213" s="143"/>
      <c r="CR213" s="143"/>
      <c r="CS213"/>
      <c r="CT213" s="262"/>
      <c r="CU213"/>
      <c r="CV213"/>
      <c r="CW213"/>
      <c r="CX213" s="143"/>
      <c r="CY213" s="143"/>
      <c r="CZ213" s="143"/>
      <c r="DA213" s="143"/>
      <c r="DB213"/>
      <c r="DC213"/>
      <c r="DD213" s="143"/>
      <c r="DE213"/>
      <c r="DF213" s="143"/>
      <c r="DG213"/>
      <c r="DH213"/>
      <c r="DI213"/>
      <c r="DJ213"/>
      <c r="DK213"/>
      <c r="DL213" s="139"/>
      <c r="DM213"/>
      <c r="DN213"/>
      <c r="DO213"/>
      <c r="DP213"/>
      <c r="DQ213"/>
      <c r="DR213"/>
      <c r="DS213"/>
      <c r="DT213"/>
      <c r="DU213"/>
      <c r="DV213"/>
      <c r="DW213"/>
      <c r="DX213"/>
      <c r="DY213"/>
      <c r="DZ213"/>
      <c r="EA213"/>
      <c r="EB213"/>
      <c r="EC213" s="139"/>
      <c r="ED213" s="139"/>
      <c r="EE213" s="139"/>
      <c r="EF213" s="139"/>
      <c r="EG213" s="139"/>
      <c r="EH213" s="139"/>
      <c r="EI213" s="139"/>
      <c r="EJ213" s="139"/>
      <c r="EK213" s="139"/>
      <c r="EL213" s="139"/>
      <c r="EM213" s="139"/>
      <c r="EN213" s="139"/>
      <c r="EO213" s="139"/>
      <c r="EP213" s="139"/>
      <c r="EQ213" s="139"/>
      <c r="ER213" s="139"/>
      <c r="ES213" s="139"/>
      <c r="ET213" s="139"/>
      <c r="EU213" s="139"/>
      <c r="EV213" s="139"/>
      <c r="EW213" s="139"/>
      <c r="EX213" s="139"/>
      <c r="EY213" s="139"/>
      <c r="EZ213" s="139"/>
      <c r="FA213" s="139"/>
      <c r="FB213" s="139"/>
      <c r="FC213" s="139"/>
      <c r="FD213" s="139"/>
      <c r="FE213" s="139"/>
      <c r="FF213" s="139"/>
      <c r="FG213" s="139"/>
      <c r="FH213" s="139"/>
      <c r="FI213" s="139"/>
    </row>
    <row r="214" spans="1:165" s="31" customFormat="1" ht="15" customHeight="1">
      <c r="A214" s="1"/>
      <c r="B214" s="1"/>
      <c r="C214" s="1"/>
      <c r="D214" s="1"/>
      <c r="E214" s="1"/>
      <c r="F214" s="1"/>
      <c r="G214" s="1"/>
      <c r="H214" s="1"/>
      <c r="I214" s="1"/>
      <c r="J214" s="1"/>
      <c r="K214" s="1"/>
      <c r="L214" s="1"/>
      <c r="M214" s="1"/>
      <c r="N214" s="1"/>
      <c r="O214" s="1"/>
      <c r="P214"/>
      <c r="Q214" s="130"/>
      <c r="R214" s="1"/>
      <c r="S214" s="1"/>
      <c r="T214" s="1"/>
      <c r="U214" s="1"/>
      <c r="V214" s="1"/>
      <c r="W214" s="1"/>
      <c r="X214" s="1"/>
      <c r="Y214" s="1"/>
      <c r="Z214" s="1"/>
      <c r="AA214" s="1"/>
      <c r="AB214" s="1"/>
      <c r="AC214" s="1"/>
      <c r="AD214" s="1"/>
      <c r="AE214" s="1"/>
      <c r="AF214" s="1"/>
      <c r="AG214" s="1"/>
      <c r="AH214" s="1"/>
      <c r="AI214" s="1"/>
      <c r="AJ214" s="1"/>
      <c r="AK214" s="1"/>
      <c r="AL214" s="1"/>
      <c r="AM214" s="1"/>
      <c r="AN214"/>
      <c r="AO214" s="228"/>
      <c r="AP214" s="189"/>
      <c r="AQ214"/>
      <c r="AR214"/>
      <c r="AS214" s="228"/>
      <c r="AT214" s="139"/>
      <c r="AU214" s="139"/>
      <c r="AV214"/>
      <c r="AW214" s="262"/>
      <c r="AX214"/>
      <c r="AY214"/>
      <c r="AZ214"/>
      <c r="BA214"/>
      <c r="BB214" s="139"/>
      <c r="BC214" s="139"/>
      <c r="BD214" s="139"/>
      <c r="BE214" s="139"/>
      <c r="BF214"/>
      <c r="BG214" s="262"/>
      <c r="BI214" s="139"/>
      <c r="BJ214" s="262"/>
      <c r="BK214"/>
      <c r="BL214" s="139"/>
      <c r="BM214" s="108"/>
      <c r="BN214" s="139"/>
      <c r="BO214" s="139"/>
      <c r="BP214" s="139"/>
      <c r="BQ214"/>
      <c r="BR214" s="262"/>
      <c r="BS214"/>
      <c r="BT214" s="139"/>
      <c r="BU214"/>
      <c r="BX214"/>
      <c r="BY214" s="139"/>
      <c r="BZ214" s="139"/>
      <c r="CA214" s="139"/>
      <c r="CB214" s="139"/>
      <c r="CC214" s="139"/>
      <c r="CD214" s="141"/>
      <c r="CE214" s="139"/>
      <c r="CF214" s="139"/>
      <c r="CG214" s="139"/>
      <c r="CH214" s="139"/>
      <c r="CI214" s="139"/>
      <c r="CJ214" s="139"/>
      <c r="CK214"/>
      <c r="CL214" s="139"/>
      <c r="CM214"/>
      <c r="CN214" s="139"/>
      <c r="CO214"/>
      <c r="CP214"/>
      <c r="CQ214" s="143"/>
      <c r="CR214" s="143"/>
      <c r="CS214"/>
      <c r="CT214" s="262"/>
      <c r="CU214"/>
      <c r="CV214"/>
      <c r="CW214"/>
      <c r="CX214" s="143"/>
      <c r="CY214" s="143"/>
      <c r="CZ214" s="143"/>
      <c r="DA214" s="143"/>
      <c r="DB214"/>
      <c r="DC214"/>
      <c r="DD214" s="143"/>
      <c r="DE214"/>
      <c r="DF214" s="143"/>
      <c r="DG214"/>
      <c r="DH214"/>
      <c r="DI214"/>
      <c r="DJ214"/>
      <c r="DK214"/>
      <c r="DL214" s="139"/>
      <c r="DM214"/>
      <c r="DN214"/>
      <c r="DO214"/>
      <c r="DP214"/>
      <c r="DQ214"/>
      <c r="DR214"/>
      <c r="DS214"/>
      <c r="DT214"/>
      <c r="DU214"/>
      <c r="DV214"/>
      <c r="DW214"/>
      <c r="DX214"/>
      <c r="DY214"/>
      <c r="DZ214"/>
      <c r="EA214"/>
      <c r="EB214"/>
      <c r="EC214" s="139"/>
      <c r="ED214" s="139"/>
      <c r="EE214" s="139"/>
      <c r="EF214" s="139"/>
      <c r="EG214" s="139"/>
      <c r="EH214" s="139"/>
      <c r="EI214" s="139"/>
      <c r="EJ214" s="139"/>
      <c r="EK214" s="139"/>
      <c r="EL214" s="139"/>
      <c r="EM214" s="139"/>
      <c r="EN214" s="139"/>
      <c r="EO214" s="139"/>
      <c r="EP214" s="139"/>
      <c r="EQ214" s="139"/>
      <c r="ER214" s="139"/>
      <c r="ES214" s="139"/>
      <c r="ET214" s="139"/>
      <c r="EU214" s="139"/>
      <c r="EV214" s="139"/>
      <c r="EW214" s="139"/>
      <c r="EX214" s="139"/>
      <c r="EY214" s="139"/>
      <c r="EZ214" s="139"/>
      <c r="FA214" s="139"/>
      <c r="FB214" s="139"/>
      <c r="FC214" s="139"/>
      <c r="FD214" s="139"/>
      <c r="FE214" s="139"/>
      <c r="FF214" s="139"/>
      <c r="FG214" s="139"/>
      <c r="FH214" s="139"/>
      <c r="FI214" s="139"/>
    </row>
    <row r="215" spans="1:165" s="31" customFormat="1" ht="15" customHeight="1">
      <c r="A215" s="1"/>
      <c r="B215" s="1"/>
      <c r="C215" s="1"/>
      <c r="D215" s="1"/>
      <c r="E215" s="1"/>
      <c r="F215" s="1"/>
      <c r="G215" s="1"/>
      <c r="H215" s="1"/>
      <c r="I215" s="1"/>
      <c r="J215" s="1"/>
      <c r="K215" s="1"/>
      <c r="L215" s="1"/>
      <c r="M215" s="1"/>
      <c r="N215" s="1"/>
      <c r="O215" s="1"/>
      <c r="P215"/>
      <c r="Q215" s="130"/>
      <c r="R215" s="1"/>
      <c r="S215" s="1"/>
      <c r="T215" s="1"/>
      <c r="U215" s="1"/>
      <c r="V215" s="1"/>
      <c r="W215" s="1"/>
      <c r="X215" s="1"/>
      <c r="Y215" s="1"/>
      <c r="Z215" s="1"/>
      <c r="AA215" s="1"/>
      <c r="AB215" s="1"/>
      <c r="AC215" s="1"/>
      <c r="AD215" s="1"/>
      <c r="AE215" s="1"/>
      <c r="AF215" s="1"/>
      <c r="AG215" s="1"/>
      <c r="AH215" s="1"/>
      <c r="AI215" s="1"/>
      <c r="AJ215" s="1"/>
      <c r="AK215" s="1"/>
      <c r="AL215" s="1"/>
      <c r="AM215" s="1"/>
      <c r="AN215"/>
      <c r="AO215" s="228"/>
      <c r="AP215" s="189"/>
      <c r="AQ215"/>
      <c r="AR215"/>
      <c r="AS215" s="228"/>
      <c r="AT215" s="139"/>
      <c r="AU215" s="139"/>
      <c r="AV215"/>
      <c r="AW215" s="262"/>
      <c r="AX215"/>
      <c r="AY215"/>
      <c r="AZ215"/>
      <c r="BA215"/>
      <c r="BB215" s="139"/>
      <c r="BC215" s="139"/>
      <c r="BD215" s="139"/>
      <c r="BE215" s="139"/>
      <c r="BF215"/>
      <c r="BG215" s="262"/>
      <c r="BI215" s="139"/>
      <c r="BJ215" s="262"/>
      <c r="BK215"/>
      <c r="BL215" s="139"/>
      <c r="BM215" s="108"/>
      <c r="BN215" s="139"/>
      <c r="BO215" s="139"/>
      <c r="BP215" s="139"/>
      <c r="BQ215"/>
      <c r="BR215" s="262"/>
      <c r="BS215"/>
      <c r="BT215" s="139"/>
      <c r="BU215"/>
      <c r="BX215"/>
      <c r="BY215" s="139"/>
      <c r="BZ215" s="139"/>
      <c r="CA215" s="139"/>
      <c r="CB215" s="139"/>
      <c r="CC215" s="139"/>
      <c r="CD215" s="141"/>
      <c r="CE215" s="139"/>
      <c r="CF215" s="139"/>
      <c r="CG215" s="139"/>
      <c r="CH215" s="139"/>
      <c r="CI215" s="139"/>
      <c r="CJ215" s="139"/>
      <c r="CK215"/>
      <c r="CL215" s="139"/>
      <c r="CM215"/>
      <c r="CN215" s="139"/>
      <c r="CO215"/>
      <c r="CP215"/>
      <c r="CQ215" s="143"/>
      <c r="CR215" s="143"/>
      <c r="CS215"/>
      <c r="CT215" s="262"/>
      <c r="CU215"/>
      <c r="CV215"/>
      <c r="CW215"/>
      <c r="CX215" s="143"/>
      <c r="CY215" s="143"/>
      <c r="CZ215" s="143"/>
      <c r="DA215" s="143"/>
      <c r="DB215"/>
      <c r="DC215"/>
      <c r="DD215" s="143"/>
      <c r="DE215"/>
      <c r="DF215" s="143"/>
      <c r="DG215"/>
      <c r="DH215"/>
      <c r="DI215"/>
      <c r="DJ215"/>
      <c r="DK215"/>
      <c r="DL215" s="139"/>
      <c r="DM215"/>
      <c r="DN215"/>
      <c r="DO215"/>
      <c r="DP215"/>
      <c r="DQ215"/>
      <c r="DR215"/>
      <c r="DS215"/>
      <c r="DT215"/>
      <c r="DU215"/>
      <c r="DV215"/>
      <c r="DW215"/>
      <c r="DX215"/>
      <c r="DY215"/>
      <c r="DZ215"/>
      <c r="EA215"/>
      <c r="EB215"/>
      <c r="EC215" s="139"/>
      <c r="ED215" s="139"/>
      <c r="EE215" s="139"/>
      <c r="EF215" s="139"/>
      <c r="EG215" s="139"/>
      <c r="EH215" s="139"/>
      <c r="EI215" s="139"/>
      <c r="EJ215" s="139"/>
      <c r="EK215" s="139"/>
      <c r="EL215" s="139"/>
      <c r="EM215" s="139"/>
      <c r="EN215" s="139"/>
      <c r="EO215" s="139"/>
      <c r="EP215" s="139"/>
      <c r="EQ215" s="139"/>
      <c r="ER215" s="139"/>
      <c r="ES215" s="139"/>
      <c r="ET215" s="139"/>
      <c r="EU215" s="139"/>
      <c r="EV215" s="139"/>
      <c r="EW215" s="139"/>
      <c r="EX215" s="139"/>
      <c r="EY215" s="139"/>
      <c r="EZ215" s="139"/>
      <c r="FA215" s="139"/>
      <c r="FB215" s="139"/>
      <c r="FC215" s="139"/>
      <c r="FD215" s="139"/>
      <c r="FE215" s="139"/>
      <c r="FF215" s="139"/>
      <c r="FG215" s="139"/>
      <c r="FH215" s="139"/>
      <c r="FI215" s="139"/>
    </row>
    <row r="216" spans="1:165" s="31" customFormat="1" ht="15" customHeight="1">
      <c r="A216" s="1"/>
      <c r="B216" s="1"/>
      <c r="C216" s="1"/>
      <c r="D216" s="1"/>
      <c r="E216" s="1"/>
      <c r="F216" s="1"/>
      <c r="G216" s="1"/>
      <c r="H216" s="1"/>
      <c r="I216" s="1"/>
      <c r="J216" s="1"/>
      <c r="K216" s="1"/>
      <c r="L216" s="1"/>
      <c r="M216" s="1"/>
      <c r="N216" s="1"/>
      <c r="O216" s="1"/>
      <c r="P216"/>
      <c r="Q216" s="130"/>
      <c r="R216" s="1"/>
      <c r="S216" s="1"/>
      <c r="T216" s="1"/>
      <c r="U216" s="1"/>
      <c r="V216" s="1"/>
      <c r="W216" s="1"/>
      <c r="X216" s="1"/>
      <c r="Y216" s="1"/>
      <c r="Z216" s="1"/>
      <c r="AA216" s="1"/>
      <c r="AB216" s="1"/>
      <c r="AC216" s="1"/>
      <c r="AD216" s="1"/>
      <c r="AE216" s="1"/>
      <c r="AF216" s="1"/>
      <c r="AG216" s="1"/>
      <c r="AH216" s="1"/>
      <c r="AI216" s="1"/>
      <c r="AJ216" s="1"/>
      <c r="AK216" s="1"/>
      <c r="AL216" s="1"/>
      <c r="AM216" s="1"/>
      <c r="AN216"/>
      <c r="AO216" s="228"/>
      <c r="AP216" s="189"/>
      <c r="AQ216"/>
      <c r="AR216"/>
      <c r="AS216" s="228"/>
      <c r="AT216" s="139"/>
      <c r="AU216" s="139"/>
      <c r="AV216"/>
      <c r="AW216" s="262"/>
      <c r="AX216"/>
      <c r="AY216"/>
      <c r="AZ216"/>
      <c r="BA216"/>
      <c r="BB216" s="139"/>
      <c r="BC216" s="139"/>
      <c r="BD216" s="139"/>
      <c r="BE216" s="139"/>
      <c r="BF216"/>
      <c r="BG216" s="262"/>
      <c r="BI216" s="139"/>
      <c r="BJ216" s="262"/>
      <c r="BK216"/>
      <c r="BL216" s="139"/>
      <c r="BM216" s="108"/>
      <c r="BN216" s="139"/>
      <c r="BO216" s="139"/>
      <c r="BP216" s="139"/>
      <c r="BQ216"/>
      <c r="BR216" s="262"/>
      <c r="BS216"/>
      <c r="BT216" s="139"/>
      <c r="BU216"/>
      <c r="BX216"/>
      <c r="BY216" s="139"/>
      <c r="BZ216" s="139"/>
      <c r="CA216" s="139"/>
      <c r="CB216" s="139"/>
      <c r="CC216" s="139"/>
      <c r="CD216" s="141"/>
      <c r="CE216" s="139"/>
      <c r="CF216" s="139"/>
      <c r="CG216" s="139"/>
      <c r="CH216" s="139"/>
      <c r="CI216" s="139"/>
      <c r="CJ216" s="139"/>
      <c r="CK216"/>
      <c r="CL216" s="139"/>
      <c r="CM216"/>
      <c r="CN216" s="139"/>
      <c r="CO216"/>
      <c r="CP216"/>
      <c r="CQ216" s="143"/>
      <c r="CR216" s="143"/>
      <c r="CS216"/>
      <c r="CT216" s="262"/>
      <c r="CU216"/>
      <c r="CV216"/>
      <c r="CW216"/>
      <c r="CX216" s="143"/>
      <c r="CY216" s="143"/>
      <c r="CZ216" s="143"/>
      <c r="DA216" s="143"/>
      <c r="DB216"/>
      <c r="DC216"/>
      <c r="DD216" s="143"/>
      <c r="DE216"/>
      <c r="DF216" s="143"/>
      <c r="DG216"/>
      <c r="DH216"/>
      <c r="DI216"/>
      <c r="DJ216"/>
      <c r="DK216"/>
      <c r="DL216" s="139"/>
      <c r="DM216"/>
      <c r="DN216"/>
      <c r="DO216"/>
      <c r="DP216"/>
      <c r="DQ216"/>
      <c r="DR216"/>
      <c r="DS216"/>
      <c r="DT216"/>
      <c r="DU216"/>
      <c r="DV216"/>
      <c r="DW216"/>
      <c r="DX216"/>
      <c r="DY216"/>
      <c r="DZ216"/>
      <c r="EA216"/>
      <c r="EB216"/>
      <c r="EC216" s="139"/>
      <c r="ED216" s="139"/>
      <c r="EE216" s="139"/>
      <c r="EF216" s="139"/>
      <c r="EG216" s="139"/>
      <c r="EH216" s="139"/>
      <c r="EI216" s="139"/>
      <c r="EJ216" s="139"/>
      <c r="EK216" s="139"/>
      <c r="EL216" s="139"/>
      <c r="EM216" s="139"/>
      <c r="EN216" s="139"/>
      <c r="EO216" s="139"/>
      <c r="EP216" s="139"/>
      <c r="EQ216" s="139"/>
      <c r="ER216" s="139"/>
      <c r="ES216" s="139"/>
      <c r="ET216" s="139"/>
      <c r="EU216" s="139"/>
      <c r="EV216" s="139"/>
      <c r="EW216" s="139"/>
      <c r="EX216" s="139"/>
      <c r="EY216" s="139"/>
      <c r="EZ216" s="139"/>
      <c r="FA216" s="139"/>
      <c r="FB216" s="139"/>
      <c r="FC216" s="139"/>
      <c r="FD216" s="139"/>
      <c r="FE216" s="139"/>
      <c r="FF216" s="139"/>
      <c r="FG216" s="139"/>
      <c r="FH216" s="139"/>
      <c r="FI216" s="139"/>
    </row>
    <row r="217" spans="1:165" s="31" customFormat="1" ht="15" customHeight="1">
      <c r="A217" s="1"/>
      <c r="B217" s="1"/>
      <c r="C217" s="1"/>
      <c r="D217" s="1"/>
      <c r="E217" s="1"/>
      <c r="F217" s="1"/>
      <c r="G217" s="1"/>
      <c r="H217" s="1"/>
      <c r="I217" s="1"/>
      <c r="J217" s="1"/>
      <c r="K217" s="1"/>
      <c r="L217" s="1"/>
      <c r="M217" s="1"/>
      <c r="N217" s="1"/>
      <c r="O217" s="1"/>
      <c r="P217"/>
      <c r="Q217" s="130"/>
      <c r="R217" s="1"/>
      <c r="S217" s="1"/>
      <c r="T217" s="1"/>
      <c r="U217" s="1"/>
      <c r="V217" s="1"/>
      <c r="W217" s="1"/>
      <c r="X217" s="1"/>
      <c r="Y217" s="1"/>
      <c r="Z217" s="1"/>
      <c r="AA217" s="1"/>
      <c r="AB217" s="1"/>
      <c r="AC217" s="1"/>
      <c r="AD217" s="1"/>
      <c r="AE217" s="1"/>
      <c r="AF217" s="1"/>
      <c r="AG217" s="1"/>
      <c r="AH217" s="1"/>
      <c r="AI217" s="1"/>
      <c r="AJ217" s="1"/>
      <c r="AK217" s="1"/>
      <c r="AL217" s="1"/>
      <c r="AM217" s="1"/>
      <c r="AN217"/>
      <c r="AO217" s="228"/>
      <c r="AP217" s="189"/>
      <c r="AQ217"/>
      <c r="AR217"/>
      <c r="AS217" s="228"/>
      <c r="AT217" s="139"/>
      <c r="AU217" s="139"/>
      <c r="AV217"/>
      <c r="AW217" s="262"/>
      <c r="AX217"/>
      <c r="AY217"/>
      <c r="AZ217"/>
      <c r="BA217"/>
      <c r="BB217" s="139"/>
      <c r="BC217" s="139"/>
      <c r="BD217" s="139"/>
      <c r="BE217" s="139"/>
      <c r="BF217"/>
      <c r="BG217" s="262"/>
      <c r="BI217" s="139"/>
      <c r="BJ217" s="262"/>
      <c r="BK217"/>
      <c r="BL217" s="139"/>
      <c r="BM217" s="108"/>
      <c r="BN217" s="139"/>
      <c r="BO217" s="139"/>
      <c r="BP217" s="139"/>
      <c r="BQ217"/>
      <c r="BR217" s="262"/>
      <c r="BS217"/>
      <c r="BT217" s="139"/>
      <c r="BU217"/>
      <c r="BX217"/>
      <c r="BY217" s="139"/>
      <c r="BZ217" s="139"/>
      <c r="CA217" s="139"/>
      <c r="CB217" s="139"/>
      <c r="CC217" s="139"/>
      <c r="CD217" s="141"/>
      <c r="CE217" s="139"/>
      <c r="CF217" s="139"/>
      <c r="CG217" s="139"/>
      <c r="CH217" s="139"/>
      <c r="CI217" s="139"/>
      <c r="CJ217" s="139"/>
      <c r="CK217"/>
      <c r="CL217" s="139"/>
      <c r="CM217"/>
      <c r="CN217" s="139"/>
      <c r="CO217"/>
      <c r="CP217"/>
      <c r="CQ217" s="143"/>
      <c r="CR217" s="143"/>
      <c r="CS217"/>
      <c r="CT217" s="262"/>
      <c r="CU217"/>
      <c r="CV217"/>
      <c r="CW217"/>
      <c r="CX217" s="143"/>
      <c r="CY217" s="143"/>
      <c r="CZ217" s="143"/>
      <c r="DA217" s="143"/>
      <c r="DB217"/>
      <c r="DC217"/>
      <c r="DD217" s="143"/>
      <c r="DE217"/>
      <c r="DF217" s="143"/>
      <c r="DG217"/>
      <c r="DH217"/>
      <c r="DI217"/>
      <c r="DJ217"/>
      <c r="DK217"/>
      <c r="DL217" s="139"/>
      <c r="DM217"/>
      <c r="DN217"/>
      <c r="DO217"/>
      <c r="DP217"/>
      <c r="DQ217"/>
      <c r="DR217"/>
      <c r="DS217"/>
      <c r="DT217"/>
      <c r="DU217"/>
      <c r="DV217"/>
      <c r="DW217"/>
      <c r="DX217"/>
      <c r="DY217"/>
      <c r="DZ217"/>
      <c r="EA217"/>
      <c r="EB217"/>
      <c r="EC217" s="139"/>
      <c r="ED217" s="139"/>
      <c r="EE217" s="139"/>
      <c r="EF217" s="139"/>
      <c r="EG217" s="139"/>
      <c r="EH217" s="139"/>
      <c r="EI217" s="139"/>
      <c r="EJ217" s="139"/>
      <c r="EK217" s="139"/>
      <c r="EL217" s="139"/>
      <c r="EM217" s="139"/>
      <c r="EN217" s="139"/>
      <c r="EO217" s="139"/>
      <c r="EP217" s="139"/>
      <c r="EQ217" s="139"/>
      <c r="ER217" s="139"/>
      <c r="ES217" s="139"/>
      <c r="ET217" s="139"/>
      <c r="EU217" s="139"/>
      <c r="EV217" s="139"/>
      <c r="EW217" s="139"/>
      <c r="EX217" s="139"/>
      <c r="EY217" s="139"/>
      <c r="EZ217" s="139"/>
      <c r="FA217" s="139"/>
      <c r="FB217" s="139"/>
      <c r="FC217" s="139"/>
      <c r="FD217" s="139"/>
      <c r="FE217" s="139"/>
      <c r="FF217" s="139"/>
      <c r="FG217" s="139"/>
      <c r="FH217" s="139"/>
      <c r="FI217" s="139"/>
    </row>
    <row r="218" spans="1:165" s="31" customFormat="1" ht="15" customHeight="1">
      <c r="A218" s="1"/>
      <c r="B218" s="1"/>
      <c r="C218" s="1"/>
      <c r="D218" s="1"/>
      <c r="E218" s="1"/>
      <c r="F218" s="1"/>
      <c r="G218" s="1"/>
      <c r="H218" s="1"/>
      <c r="I218" s="1"/>
      <c r="J218" s="1"/>
      <c r="K218" s="1"/>
      <c r="L218" s="1"/>
      <c r="M218" s="1"/>
      <c r="N218" s="1"/>
      <c r="O218" s="1"/>
      <c r="P218"/>
      <c r="Q218" s="130"/>
      <c r="R218" s="1"/>
      <c r="S218" s="1"/>
      <c r="T218" s="1"/>
      <c r="U218" s="1"/>
      <c r="V218" s="1"/>
      <c r="W218" s="1"/>
      <c r="X218" s="1"/>
      <c r="Y218" s="1"/>
      <c r="Z218" s="1"/>
      <c r="AA218" s="1"/>
      <c r="AB218" s="1"/>
      <c r="AC218" s="1"/>
      <c r="AD218" s="1"/>
      <c r="AE218" s="1"/>
      <c r="AF218" s="1"/>
      <c r="AG218" s="1"/>
      <c r="AH218" s="1"/>
      <c r="AI218" s="1"/>
      <c r="AJ218" s="1"/>
      <c r="AK218" s="1"/>
      <c r="AL218" s="1"/>
      <c r="AM218" s="1"/>
      <c r="AN218"/>
      <c r="AO218" s="228"/>
      <c r="AP218" s="189"/>
      <c r="AQ218"/>
      <c r="AR218"/>
      <c r="AS218" s="228"/>
      <c r="AT218" s="139"/>
      <c r="AU218" s="139"/>
      <c r="AV218"/>
      <c r="AW218" s="262"/>
      <c r="AX218"/>
      <c r="AY218"/>
      <c r="AZ218"/>
      <c r="BA218"/>
      <c r="BB218" s="139"/>
      <c r="BC218" s="139"/>
      <c r="BD218" s="139"/>
      <c r="BE218" s="139"/>
      <c r="BF218"/>
      <c r="BG218" s="262"/>
      <c r="BI218" s="139"/>
      <c r="BJ218" s="262"/>
      <c r="BK218"/>
      <c r="BL218" s="139"/>
      <c r="BM218" s="108"/>
      <c r="BN218" s="139"/>
      <c r="BO218" s="139"/>
      <c r="BP218" s="139"/>
      <c r="BQ218"/>
      <c r="BR218" s="262"/>
      <c r="BS218"/>
      <c r="BT218" s="139"/>
      <c r="BU218"/>
      <c r="BX218"/>
      <c r="BY218" s="139"/>
      <c r="BZ218" s="139"/>
      <c r="CA218" s="139"/>
      <c r="CB218" s="139"/>
      <c r="CC218" s="139"/>
      <c r="CD218" s="141"/>
      <c r="CE218" s="139"/>
      <c r="CF218" s="139"/>
      <c r="CG218" s="139"/>
      <c r="CH218" s="139"/>
      <c r="CI218" s="139"/>
      <c r="CJ218" s="139"/>
      <c r="CK218"/>
      <c r="CL218" s="139"/>
      <c r="CM218"/>
      <c r="CN218" s="139"/>
      <c r="CO218"/>
      <c r="CP218"/>
      <c r="CQ218" s="143"/>
      <c r="CR218" s="143"/>
      <c r="CS218"/>
      <c r="CT218" s="262"/>
      <c r="CU218"/>
      <c r="CV218"/>
      <c r="CW218"/>
      <c r="CX218" s="143"/>
      <c r="CY218" s="143"/>
      <c r="CZ218" s="143"/>
      <c r="DA218" s="143"/>
      <c r="DB218"/>
      <c r="DC218"/>
      <c r="DD218" s="143"/>
      <c r="DE218"/>
      <c r="DF218" s="143"/>
      <c r="DG218"/>
      <c r="DH218"/>
      <c r="DI218"/>
      <c r="DJ218"/>
      <c r="DK218"/>
      <c r="DL218" s="139"/>
      <c r="DM218"/>
      <c r="DN218"/>
      <c r="DO218"/>
      <c r="DP218"/>
      <c r="DQ218"/>
      <c r="DR218"/>
      <c r="DS218"/>
      <c r="DT218"/>
      <c r="DU218"/>
      <c r="DV218"/>
      <c r="DW218"/>
      <c r="DX218"/>
      <c r="DY218"/>
      <c r="DZ218"/>
      <c r="EA218"/>
      <c r="EB218"/>
      <c r="EC218" s="139"/>
      <c r="ED218" s="139"/>
      <c r="EE218" s="139"/>
      <c r="EF218" s="139"/>
      <c r="EG218" s="139"/>
      <c r="EH218" s="139"/>
      <c r="EI218" s="139"/>
      <c r="EJ218" s="139"/>
      <c r="EK218" s="139"/>
      <c r="EL218" s="139"/>
      <c r="EM218" s="139"/>
      <c r="EN218" s="139"/>
      <c r="EO218" s="139"/>
      <c r="EP218" s="139"/>
      <c r="EQ218" s="139"/>
      <c r="ER218" s="139"/>
      <c r="ES218" s="139"/>
      <c r="ET218" s="139"/>
      <c r="EU218" s="139"/>
      <c r="EV218" s="139"/>
      <c r="EW218" s="139"/>
      <c r="EX218" s="139"/>
      <c r="EY218" s="139"/>
      <c r="EZ218" s="139"/>
      <c r="FA218" s="139"/>
      <c r="FB218" s="139"/>
      <c r="FC218" s="139"/>
      <c r="FD218" s="139"/>
      <c r="FE218" s="139"/>
      <c r="FF218" s="139"/>
      <c r="FG218" s="139"/>
      <c r="FH218" s="139"/>
      <c r="FI218" s="139"/>
    </row>
    <row r="219" spans="1:165" s="31" customFormat="1" ht="15" customHeight="1">
      <c r="A219" s="1"/>
      <c r="B219" s="1"/>
      <c r="C219" s="1"/>
      <c r="D219" s="1"/>
      <c r="E219" s="1"/>
      <c r="F219" s="1"/>
      <c r="G219" s="1"/>
      <c r="H219" s="1"/>
      <c r="I219" s="1"/>
      <c r="J219" s="1"/>
      <c r="K219" s="1"/>
      <c r="L219" s="1"/>
      <c r="M219" s="1"/>
      <c r="N219" s="1"/>
      <c r="O219" s="1"/>
      <c r="P219"/>
      <c r="Q219" s="130"/>
      <c r="R219" s="1"/>
      <c r="S219" s="1"/>
      <c r="T219" s="1"/>
      <c r="U219" s="1"/>
      <c r="V219" s="1"/>
      <c r="W219" s="1"/>
      <c r="X219" s="1"/>
      <c r="Y219" s="1"/>
      <c r="Z219" s="1"/>
      <c r="AA219" s="1"/>
      <c r="AB219" s="1"/>
      <c r="AC219" s="1"/>
      <c r="AD219" s="1"/>
      <c r="AE219" s="1"/>
      <c r="AF219" s="1"/>
      <c r="AG219" s="1"/>
      <c r="AH219" s="1"/>
      <c r="AI219" s="1"/>
      <c r="AJ219" s="1"/>
      <c r="AK219" s="1"/>
      <c r="AL219" s="1"/>
      <c r="AM219" s="1"/>
      <c r="AN219"/>
      <c r="AO219" s="228"/>
      <c r="AP219" s="189"/>
      <c r="AQ219"/>
      <c r="AR219"/>
      <c r="AS219" s="228"/>
      <c r="AT219" s="139"/>
      <c r="AU219" s="139"/>
      <c r="AV219"/>
      <c r="AW219" s="262"/>
      <c r="AX219"/>
      <c r="AY219"/>
      <c r="AZ219"/>
      <c r="BA219"/>
      <c r="BB219" s="139"/>
      <c r="BC219" s="139"/>
      <c r="BD219" s="139"/>
      <c r="BE219" s="139"/>
      <c r="BF219"/>
      <c r="BG219" s="262"/>
      <c r="BI219" s="139"/>
      <c r="BJ219" s="262"/>
      <c r="BK219"/>
      <c r="BL219" s="139"/>
      <c r="BM219" s="108"/>
      <c r="BN219" s="139"/>
      <c r="BO219" s="139"/>
      <c r="BP219" s="139"/>
      <c r="BQ219"/>
      <c r="BR219" s="262"/>
      <c r="BS219"/>
      <c r="BT219" s="139"/>
      <c r="BU219"/>
      <c r="BX219"/>
      <c r="BY219" s="139"/>
      <c r="BZ219" s="139"/>
      <c r="CA219" s="139"/>
      <c r="CB219" s="139"/>
      <c r="CC219" s="139"/>
      <c r="CD219" s="141"/>
      <c r="CE219" s="139"/>
      <c r="CF219" s="139"/>
      <c r="CG219" s="139"/>
      <c r="CH219" s="139"/>
      <c r="CI219" s="139"/>
      <c r="CJ219" s="139"/>
      <c r="CK219"/>
      <c r="CL219" s="139"/>
      <c r="CM219"/>
      <c r="CN219" s="139"/>
      <c r="CO219"/>
      <c r="CP219"/>
      <c r="CQ219" s="143"/>
      <c r="CR219" s="143"/>
      <c r="CS219"/>
      <c r="CT219" s="262"/>
      <c r="CU219"/>
      <c r="CV219"/>
      <c r="CW219"/>
      <c r="CX219" s="143"/>
      <c r="CY219" s="143"/>
      <c r="CZ219" s="143"/>
      <c r="DA219" s="143"/>
      <c r="DB219"/>
      <c r="DC219"/>
      <c r="DD219" s="143"/>
      <c r="DE219"/>
      <c r="DF219" s="143"/>
      <c r="DG219"/>
      <c r="DH219"/>
      <c r="DI219"/>
      <c r="DJ219"/>
      <c r="DK219"/>
      <c r="DL219" s="139"/>
      <c r="DM219"/>
      <c r="DN219"/>
      <c r="DO219"/>
      <c r="DP219"/>
      <c r="DQ219"/>
      <c r="DR219"/>
      <c r="DS219"/>
      <c r="DT219"/>
      <c r="DU219"/>
      <c r="DV219"/>
      <c r="DW219"/>
      <c r="DX219"/>
      <c r="DY219"/>
      <c r="DZ219"/>
      <c r="EA219"/>
      <c r="EB219"/>
      <c r="EC219" s="139"/>
      <c r="ED219" s="139"/>
      <c r="EE219" s="139"/>
      <c r="EF219" s="139"/>
      <c r="EG219" s="139"/>
      <c r="EH219" s="139"/>
      <c r="EI219" s="139"/>
      <c r="EJ219" s="139"/>
      <c r="EK219" s="139"/>
      <c r="EL219" s="139"/>
      <c r="EM219" s="139"/>
      <c r="EN219" s="139"/>
      <c r="EO219" s="139"/>
      <c r="EP219" s="139"/>
      <c r="EQ219" s="139"/>
      <c r="ER219" s="139"/>
      <c r="ES219" s="139"/>
      <c r="ET219" s="139"/>
      <c r="EU219" s="139"/>
      <c r="EV219" s="139"/>
      <c r="EW219" s="139"/>
      <c r="EX219" s="139"/>
      <c r="EY219" s="139"/>
      <c r="EZ219" s="139"/>
      <c r="FA219" s="139"/>
      <c r="FB219" s="139"/>
      <c r="FC219" s="139"/>
      <c r="FD219" s="139"/>
      <c r="FE219" s="139"/>
      <c r="FF219" s="139"/>
      <c r="FG219" s="139"/>
      <c r="FH219" s="139"/>
      <c r="FI219" s="139"/>
    </row>
    <row r="220" spans="1:165" s="31" customFormat="1" ht="15" customHeight="1">
      <c r="A220" s="1"/>
      <c r="B220" s="1"/>
      <c r="C220" s="1"/>
      <c r="D220" s="1"/>
      <c r="E220" s="1"/>
      <c r="F220" s="1"/>
      <c r="G220" s="1"/>
      <c r="H220" s="1"/>
      <c r="I220" s="1"/>
      <c r="J220" s="1"/>
      <c r="K220" s="1"/>
      <c r="L220" s="1"/>
      <c r="M220" s="1"/>
      <c r="N220" s="1"/>
      <c r="O220" s="1"/>
      <c r="P220"/>
      <c r="Q220" s="130"/>
      <c r="R220" s="1"/>
      <c r="S220" s="1"/>
      <c r="T220" s="1"/>
      <c r="U220" s="1"/>
      <c r="V220" s="1"/>
      <c r="W220" s="1"/>
      <c r="X220" s="1"/>
      <c r="Y220" s="1"/>
      <c r="Z220" s="1"/>
      <c r="AA220" s="1"/>
      <c r="AB220" s="1"/>
      <c r="AC220" s="1"/>
      <c r="AD220" s="1"/>
      <c r="AE220" s="1"/>
      <c r="AF220" s="1"/>
      <c r="AG220" s="1"/>
      <c r="AH220" s="1"/>
      <c r="AI220" s="1"/>
      <c r="AJ220" s="1"/>
      <c r="AK220" s="1"/>
      <c r="AL220" s="1"/>
      <c r="AM220" s="1"/>
      <c r="AN220"/>
      <c r="AO220" s="228"/>
      <c r="AP220" s="189"/>
      <c r="AQ220"/>
      <c r="AR220"/>
      <c r="AS220" s="228"/>
      <c r="AT220" s="139"/>
      <c r="AU220" s="139"/>
      <c r="AV220"/>
      <c r="AW220" s="262"/>
      <c r="AX220"/>
      <c r="AY220"/>
      <c r="AZ220"/>
      <c r="BA220"/>
      <c r="BB220" s="139"/>
      <c r="BC220" s="139"/>
      <c r="BD220" s="139"/>
      <c r="BE220" s="139"/>
      <c r="BF220"/>
      <c r="BG220" s="262"/>
      <c r="BI220" s="139"/>
      <c r="BJ220" s="262"/>
      <c r="BK220"/>
      <c r="BL220" s="139"/>
      <c r="BM220" s="108"/>
      <c r="BN220" s="139"/>
      <c r="BO220" s="139"/>
      <c r="BP220" s="139"/>
      <c r="BQ220"/>
      <c r="BR220" s="262"/>
      <c r="BS220"/>
      <c r="BT220" s="139"/>
      <c r="BU220"/>
      <c r="BX220"/>
      <c r="BY220" s="139"/>
      <c r="BZ220" s="139"/>
      <c r="CA220" s="139"/>
      <c r="CB220" s="139"/>
      <c r="CC220" s="139"/>
      <c r="CD220" s="141"/>
      <c r="CE220" s="139"/>
      <c r="CF220" s="139"/>
      <c r="CG220" s="139"/>
      <c r="CH220" s="139"/>
      <c r="CI220" s="139"/>
      <c r="CJ220" s="139"/>
      <c r="CK220"/>
      <c r="CL220" s="139"/>
      <c r="CM220"/>
      <c r="CN220" s="139"/>
      <c r="CO220"/>
      <c r="CP220"/>
      <c r="CQ220" s="143"/>
      <c r="CR220" s="143"/>
      <c r="CS220"/>
      <c r="CT220" s="262"/>
      <c r="CU220"/>
      <c r="CV220"/>
      <c r="CW220"/>
      <c r="CX220" s="143"/>
      <c r="CY220" s="143"/>
      <c r="CZ220" s="143"/>
      <c r="DA220" s="143"/>
      <c r="DB220"/>
      <c r="DC220"/>
      <c r="DD220" s="143"/>
      <c r="DE220"/>
      <c r="DF220" s="143"/>
      <c r="DG220"/>
      <c r="DH220"/>
      <c r="DI220"/>
      <c r="DJ220"/>
      <c r="DK220"/>
      <c r="DL220" s="139"/>
      <c r="DM220"/>
      <c r="DN220"/>
      <c r="DO220"/>
      <c r="DP220"/>
      <c r="DQ220"/>
      <c r="DR220"/>
      <c r="DS220"/>
      <c r="DT220"/>
      <c r="DU220"/>
      <c r="DV220"/>
      <c r="DW220"/>
      <c r="DX220"/>
      <c r="DY220"/>
      <c r="DZ220"/>
      <c r="EA220"/>
      <c r="EB220"/>
      <c r="EC220" s="139"/>
      <c r="ED220" s="139"/>
      <c r="EE220" s="139"/>
      <c r="EF220" s="139"/>
      <c r="EG220" s="139"/>
      <c r="EH220" s="139"/>
      <c r="EI220" s="139"/>
      <c r="EJ220" s="139"/>
      <c r="EK220" s="139"/>
      <c r="EL220" s="139"/>
      <c r="EM220" s="139"/>
      <c r="EN220" s="139"/>
      <c r="EO220" s="139"/>
      <c r="EP220" s="139"/>
      <c r="EQ220" s="139"/>
      <c r="ER220" s="139"/>
      <c r="ES220" s="139"/>
      <c r="ET220" s="139"/>
      <c r="EU220" s="139"/>
      <c r="EV220" s="139"/>
      <c r="EW220" s="139"/>
      <c r="EX220" s="139"/>
      <c r="EY220" s="139"/>
      <c r="EZ220" s="139"/>
      <c r="FA220" s="139"/>
      <c r="FB220" s="139"/>
      <c r="FC220" s="139"/>
      <c r="FD220" s="139"/>
      <c r="FE220" s="139"/>
      <c r="FF220" s="139"/>
      <c r="FG220" s="139"/>
      <c r="FH220" s="139"/>
      <c r="FI220" s="139"/>
    </row>
    <row r="221" spans="1:165" s="31" customFormat="1" ht="15" customHeight="1">
      <c r="A221" s="1"/>
      <c r="B221" s="1"/>
      <c r="C221" s="1"/>
      <c r="D221" s="1"/>
      <c r="E221" s="1"/>
      <c r="F221" s="1"/>
      <c r="G221" s="1"/>
      <c r="H221" s="1"/>
      <c r="I221" s="1"/>
      <c r="J221" s="1"/>
      <c r="K221" s="1"/>
      <c r="L221" s="1"/>
      <c r="M221" s="1"/>
      <c r="N221" s="1"/>
      <c r="O221" s="1"/>
      <c r="P221"/>
      <c r="Q221" s="130"/>
      <c r="R221" s="1"/>
      <c r="S221" s="1"/>
      <c r="T221" s="1"/>
      <c r="U221" s="1"/>
      <c r="V221" s="1"/>
      <c r="W221" s="1"/>
      <c r="X221" s="1"/>
      <c r="Y221" s="1"/>
      <c r="Z221" s="1"/>
      <c r="AA221" s="1"/>
      <c r="AB221" s="1"/>
      <c r="AC221" s="1"/>
      <c r="AD221" s="1"/>
      <c r="AE221" s="1"/>
      <c r="AF221" s="1"/>
      <c r="AG221" s="1"/>
      <c r="AH221" s="1"/>
      <c r="AI221" s="1"/>
      <c r="AJ221" s="1"/>
      <c r="AK221" s="1"/>
      <c r="AL221" s="1"/>
      <c r="AM221" s="1"/>
      <c r="AN221"/>
      <c r="AO221" s="228"/>
      <c r="AP221" s="189"/>
      <c r="AQ221"/>
      <c r="AR221"/>
      <c r="AS221" s="228"/>
      <c r="AT221" s="139"/>
      <c r="AU221" s="139"/>
      <c r="AV221"/>
      <c r="AW221" s="262"/>
      <c r="AX221"/>
      <c r="AY221"/>
      <c r="AZ221"/>
      <c r="BA221"/>
      <c r="BB221" s="139"/>
      <c r="BC221" s="139"/>
      <c r="BD221" s="139"/>
      <c r="BE221" s="139"/>
      <c r="BF221"/>
      <c r="BG221" s="262"/>
      <c r="BI221" s="139"/>
      <c r="BJ221" s="262"/>
      <c r="BK221"/>
      <c r="BL221" s="139"/>
      <c r="BM221" s="108"/>
      <c r="BN221" s="139"/>
      <c r="BO221" s="139"/>
      <c r="BP221" s="139"/>
      <c r="BQ221"/>
      <c r="BR221" s="262"/>
      <c r="BS221"/>
      <c r="BT221" s="139"/>
      <c r="BU221"/>
      <c r="BX221"/>
      <c r="BY221" s="139"/>
      <c r="BZ221" s="139"/>
      <c r="CA221" s="139"/>
      <c r="CB221" s="139"/>
      <c r="CC221" s="139"/>
      <c r="CD221" s="141"/>
      <c r="CE221" s="139"/>
      <c r="CF221" s="139"/>
      <c r="CG221" s="139"/>
      <c r="CH221" s="139"/>
      <c r="CI221" s="139"/>
      <c r="CJ221" s="139"/>
      <c r="CK221"/>
      <c r="CL221" s="139"/>
      <c r="CM221"/>
      <c r="CN221" s="139"/>
      <c r="CO221"/>
      <c r="CP221"/>
      <c r="CQ221" s="143"/>
      <c r="CR221" s="143"/>
      <c r="CS221"/>
      <c r="CT221" s="262"/>
      <c r="CU221"/>
      <c r="CV221"/>
      <c r="CW221"/>
      <c r="CX221" s="143"/>
      <c r="CY221" s="143"/>
      <c r="CZ221" s="143"/>
      <c r="DA221" s="143"/>
      <c r="DB221"/>
      <c r="DC221"/>
      <c r="DD221" s="143"/>
      <c r="DE221"/>
      <c r="DF221" s="143"/>
      <c r="DG221"/>
      <c r="DH221"/>
      <c r="DI221"/>
      <c r="DJ221"/>
      <c r="DK221"/>
      <c r="DL221" s="139"/>
      <c r="DM221"/>
      <c r="DN221"/>
      <c r="DO221"/>
      <c r="DP221"/>
      <c r="DQ221"/>
      <c r="DR221"/>
      <c r="DS221"/>
      <c r="DT221"/>
      <c r="DU221"/>
      <c r="DV221"/>
      <c r="DW221"/>
      <c r="DX221"/>
      <c r="DY221"/>
      <c r="DZ221"/>
      <c r="EA221"/>
      <c r="EB221"/>
      <c r="EC221" s="139"/>
      <c r="ED221" s="139"/>
      <c r="EE221" s="139"/>
      <c r="EF221" s="139"/>
      <c r="EG221" s="139"/>
      <c r="EH221" s="139"/>
      <c r="EI221" s="139"/>
      <c r="EJ221" s="139"/>
      <c r="EK221" s="139"/>
      <c r="EL221" s="139"/>
      <c r="EM221" s="139"/>
      <c r="EN221" s="139"/>
      <c r="EO221" s="139"/>
      <c r="EP221" s="139"/>
      <c r="EQ221" s="139"/>
      <c r="ER221" s="139"/>
      <c r="ES221" s="139"/>
      <c r="ET221" s="139"/>
      <c r="EU221" s="139"/>
      <c r="EV221" s="139"/>
      <c r="EW221" s="139"/>
      <c r="EX221" s="139"/>
      <c r="EY221" s="139"/>
      <c r="EZ221" s="139"/>
      <c r="FA221" s="139"/>
      <c r="FB221" s="139"/>
      <c r="FC221" s="139"/>
      <c r="FD221" s="139"/>
      <c r="FE221" s="139"/>
      <c r="FF221" s="139"/>
      <c r="FG221" s="139"/>
      <c r="FH221" s="139"/>
      <c r="FI221" s="139"/>
    </row>
    <row r="222" spans="1:165" s="31" customFormat="1" ht="15" customHeight="1">
      <c r="A222" s="1"/>
      <c r="B222" s="1"/>
      <c r="C222" s="1"/>
      <c r="D222" s="1"/>
      <c r="E222" s="1"/>
      <c r="F222" s="1"/>
      <c r="G222" s="1"/>
      <c r="H222" s="1"/>
      <c r="I222" s="1"/>
      <c r="J222" s="1"/>
      <c r="K222" s="1"/>
      <c r="L222" s="1"/>
      <c r="M222" s="1"/>
      <c r="N222" s="1"/>
      <c r="O222" s="1"/>
      <c r="P222"/>
      <c r="Q222" s="130"/>
      <c r="R222" s="1"/>
      <c r="S222" s="1"/>
      <c r="T222" s="1"/>
      <c r="U222" s="1"/>
      <c r="V222" s="1"/>
      <c r="W222" s="1"/>
      <c r="X222" s="1"/>
      <c r="Y222" s="1"/>
      <c r="Z222" s="1"/>
      <c r="AA222" s="1"/>
      <c r="AB222" s="1"/>
      <c r="AC222" s="1"/>
      <c r="AD222" s="1"/>
      <c r="AE222" s="1"/>
      <c r="AF222" s="1"/>
      <c r="AG222" s="1"/>
      <c r="AH222" s="1"/>
      <c r="AI222" s="1"/>
      <c r="AJ222" s="1"/>
      <c r="AK222" s="1"/>
      <c r="AL222" s="1"/>
      <c r="AM222" s="1"/>
      <c r="AN222"/>
      <c r="AO222" s="228"/>
      <c r="AP222" s="189"/>
      <c r="AQ222"/>
      <c r="AR222"/>
      <c r="AS222" s="228"/>
      <c r="AT222" s="139"/>
      <c r="AU222" s="139"/>
      <c r="AV222"/>
      <c r="AW222" s="262"/>
      <c r="AX222"/>
      <c r="AY222"/>
      <c r="AZ222"/>
      <c r="BA222"/>
      <c r="BB222" s="139"/>
      <c r="BC222" s="139"/>
      <c r="BD222" s="139"/>
      <c r="BE222" s="139"/>
      <c r="BF222"/>
      <c r="BG222" s="262"/>
      <c r="BI222" s="139"/>
      <c r="BJ222" s="262"/>
      <c r="BK222"/>
      <c r="BL222" s="139"/>
      <c r="BM222" s="108"/>
      <c r="BN222" s="139"/>
      <c r="BO222" s="139"/>
      <c r="BP222" s="139"/>
      <c r="BQ222"/>
      <c r="BR222" s="262"/>
      <c r="BS222"/>
      <c r="BT222" s="139"/>
      <c r="BU222"/>
      <c r="BX222"/>
      <c r="BY222" s="139"/>
      <c r="BZ222" s="139"/>
      <c r="CA222" s="139"/>
      <c r="CB222" s="139"/>
      <c r="CC222" s="139"/>
      <c r="CD222" s="141"/>
      <c r="CE222" s="139"/>
      <c r="CF222" s="139"/>
      <c r="CG222" s="139"/>
      <c r="CH222" s="139"/>
      <c r="CI222" s="139"/>
      <c r="CJ222" s="139"/>
      <c r="CK222"/>
      <c r="CL222" s="139"/>
      <c r="CM222"/>
      <c r="CN222" s="139"/>
      <c r="CO222"/>
      <c r="CP222"/>
      <c r="CQ222" s="143"/>
      <c r="CR222" s="143"/>
      <c r="CS222"/>
      <c r="CT222" s="262"/>
      <c r="CU222"/>
      <c r="CV222"/>
      <c r="CW222"/>
      <c r="CX222" s="143"/>
      <c r="CY222" s="143"/>
      <c r="CZ222" s="143"/>
      <c r="DA222" s="143"/>
      <c r="DB222"/>
      <c r="DC222"/>
      <c r="DD222" s="143"/>
      <c r="DE222"/>
      <c r="DF222" s="143"/>
      <c r="DG222"/>
      <c r="DH222"/>
      <c r="DI222"/>
      <c r="DJ222"/>
      <c r="DK222"/>
      <c r="DL222" s="139"/>
      <c r="DM222"/>
      <c r="DN222"/>
      <c r="DO222"/>
      <c r="DP222"/>
      <c r="DQ222"/>
      <c r="DR222"/>
      <c r="DS222"/>
      <c r="DT222"/>
      <c r="DU222"/>
      <c r="DV222"/>
      <c r="DW222"/>
      <c r="DX222"/>
      <c r="DY222"/>
      <c r="DZ222"/>
      <c r="EA222"/>
      <c r="EB222"/>
      <c r="EC222" s="139"/>
      <c r="ED222" s="139"/>
      <c r="EE222" s="139"/>
      <c r="EF222" s="139"/>
      <c r="EG222" s="139"/>
      <c r="EH222" s="139"/>
      <c r="EI222" s="139"/>
      <c r="EJ222" s="139"/>
      <c r="EK222" s="139"/>
      <c r="EL222" s="139"/>
      <c r="EM222" s="139"/>
      <c r="EN222" s="139"/>
      <c r="EO222" s="139"/>
      <c r="EP222" s="139"/>
      <c r="EQ222" s="139"/>
      <c r="ER222" s="139"/>
      <c r="ES222" s="139"/>
      <c r="ET222" s="139"/>
      <c r="EU222" s="139"/>
      <c r="EV222" s="139"/>
      <c r="EW222" s="139"/>
      <c r="EX222" s="139"/>
      <c r="EY222" s="139"/>
      <c r="EZ222" s="139"/>
      <c r="FA222" s="139"/>
      <c r="FB222" s="139"/>
      <c r="FC222" s="139"/>
      <c r="FD222" s="139"/>
      <c r="FE222" s="139"/>
      <c r="FF222" s="139"/>
      <c r="FG222" s="139"/>
      <c r="FH222" s="139"/>
      <c r="FI222" s="139"/>
    </row>
    <row r="223" spans="1:165" s="31" customFormat="1" ht="15" customHeight="1">
      <c r="A223" s="1"/>
      <c r="B223" s="1"/>
      <c r="C223" s="1"/>
      <c r="D223" s="1"/>
      <c r="E223" s="1"/>
      <c r="F223" s="1"/>
      <c r="G223" s="1"/>
      <c r="H223" s="1"/>
      <c r="I223" s="1"/>
      <c r="J223" s="1"/>
      <c r="K223" s="1"/>
      <c r="L223" s="1"/>
      <c r="M223" s="1"/>
      <c r="N223" s="1"/>
      <c r="O223" s="1"/>
      <c r="P223"/>
      <c r="Q223" s="130"/>
      <c r="R223" s="1"/>
      <c r="S223" s="1"/>
      <c r="T223" s="1"/>
      <c r="U223" s="1"/>
      <c r="V223" s="1"/>
      <c r="W223" s="1"/>
      <c r="X223" s="1"/>
      <c r="Y223" s="1"/>
      <c r="Z223" s="1"/>
      <c r="AA223" s="1"/>
      <c r="AB223" s="1"/>
      <c r="AC223" s="1"/>
      <c r="AD223" s="1"/>
      <c r="AE223" s="1"/>
      <c r="AF223" s="1"/>
      <c r="AG223" s="1"/>
      <c r="AH223" s="1"/>
      <c r="AI223" s="1"/>
      <c r="AJ223" s="1"/>
      <c r="AK223" s="1"/>
      <c r="AL223" s="1"/>
      <c r="AM223" s="1"/>
      <c r="AN223"/>
      <c r="AO223" s="228"/>
      <c r="AP223" s="189"/>
      <c r="AQ223"/>
      <c r="AR223"/>
      <c r="AS223" s="228"/>
      <c r="AT223" s="139"/>
      <c r="AU223" s="139"/>
      <c r="AV223"/>
      <c r="AW223" s="262"/>
      <c r="AX223"/>
      <c r="AY223"/>
      <c r="AZ223"/>
      <c r="BA223"/>
      <c r="BB223" s="139"/>
      <c r="BC223" s="139"/>
      <c r="BD223" s="139"/>
      <c r="BE223" s="139"/>
      <c r="BF223"/>
      <c r="BG223" s="262"/>
      <c r="BI223" s="139"/>
      <c r="BJ223" s="262"/>
      <c r="BK223"/>
      <c r="BL223" s="139"/>
      <c r="BM223" s="108"/>
      <c r="BN223" s="139"/>
      <c r="BO223" s="139"/>
      <c r="BP223" s="139"/>
      <c r="BQ223"/>
      <c r="BR223" s="262"/>
      <c r="BS223"/>
      <c r="BT223" s="139"/>
      <c r="BU223"/>
      <c r="BX223"/>
      <c r="BY223" s="139"/>
      <c r="BZ223" s="139"/>
      <c r="CA223" s="139"/>
      <c r="CB223" s="139"/>
      <c r="CC223" s="139"/>
      <c r="CD223" s="141"/>
      <c r="CE223" s="139"/>
      <c r="CF223" s="139"/>
      <c r="CG223" s="139"/>
      <c r="CH223" s="139"/>
      <c r="CI223" s="139"/>
      <c r="CJ223" s="139"/>
      <c r="CK223"/>
      <c r="CL223" s="139"/>
      <c r="CM223"/>
      <c r="CN223" s="139"/>
      <c r="CO223"/>
      <c r="CP223"/>
      <c r="CQ223" s="143"/>
      <c r="CR223" s="143"/>
      <c r="CS223"/>
      <c r="CT223" s="262"/>
      <c r="CU223"/>
      <c r="CV223"/>
      <c r="CW223"/>
      <c r="CX223" s="143"/>
      <c r="CY223" s="143"/>
      <c r="CZ223" s="143"/>
      <c r="DA223" s="143"/>
      <c r="DB223"/>
      <c r="DC223"/>
      <c r="DD223" s="143"/>
      <c r="DE223"/>
      <c r="DF223" s="143"/>
      <c r="DG223"/>
      <c r="DH223"/>
      <c r="DI223"/>
      <c r="DJ223"/>
      <c r="DK223"/>
      <c r="DL223" s="139"/>
      <c r="DM223"/>
      <c r="DN223"/>
      <c r="DO223"/>
      <c r="DP223"/>
      <c r="DQ223"/>
      <c r="DR223"/>
      <c r="DS223"/>
      <c r="DT223"/>
      <c r="DU223"/>
      <c r="DV223"/>
      <c r="DW223"/>
      <c r="DX223"/>
      <c r="DY223"/>
      <c r="DZ223"/>
      <c r="EA223"/>
      <c r="EB223"/>
      <c r="EC223" s="139"/>
      <c r="ED223" s="139"/>
      <c r="EE223" s="139"/>
      <c r="EF223" s="139"/>
      <c r="EG223" s="139"/>
      <c r="EH223" s="139"/>
      <c r="EI223" s="139"/>
      <c r="EJ223" s="139"/>
      <c r="EK223" s="139"/>
      <c r="EL223" s="139"/>
      <c r="EM223" s="139"/>
      <c r="EN223" s="139"/>
      <c r="EO223" s="139"/>
      <c r="EP223" s="139"/>
      <c r="EQ223" s="139"/>
      <c r="ER223" s="139"/>
      <c r="ES223" s="139"/>
      <c r="ET223" s="139"/>
      <c r="EU223" s="139"/>
      <c r="EV223" s="139"/>
      <c r="EW223" s="139"/>
      <c r="EX223" s="139"/>
      <c r="EY223" s="139"/>
      <c r="EZ223" s="139"/>
      <c r="FA223" s="139"/>
      <c r="FB223" s="139"/>
      <c r="FC223" s="139"/>
      <c r="FD223" s="139"/>
      <c r="FE223" s="139"/>
      <c r="FF223" s="139"/>
      <c r="FG223" s="139"/>
      <c r="FH223" s="139"/>
      <c r="FI223" s="139"/>
    </row>
    <row r="224" spans="1:165" s="31" customFormat="1" ht="15" customHeight="1">
      <c r="A224" s="1"/>
      <c r="B224" s="1"/>
      <c r="C224" s="1"/>
      <c r="D224" s="1"/>
      <c r="E224" s="1"/>
      <c r="F224" s="1"/>
      <c r="G224" s="1"/>
      <c r="H224" s="1"/>
      <c r="I224" s="1"/>
      <c r="J224" s="1"/>
      <c r="K224" s="1"/>
      <c r="L224" s="1"/>
      <c r="M224" s="1"/>
      <c r="N224" s="1"/>
      <c r="O224" s="1"/>
      <c r="P224"/>
      <c r="Q224" s="130"/>
      <c r="R224" s="1"/>
      <c r="S224" s="1"/>
      <c r="T224" s="1"/>
      <c r="U224" s="1"/>
      <c r="V224" s="1"/>
      <c r="W224" s="1"/>
      <c r="X224" s="1"/>
      <c r="Y224" s="1"/>
      <c r="Z224" s="1"/>
      <c r="AA224" s="1"/>
      <c r="AB224" s="1"/>
      <c r="AC224" s="1"/>
      <c r="AD224" s="1"/>
      <c r="AE224" s="1"/>
      <c r="AF224" s="1"/>
      <c r="AG224" s="1"/>
      <c r="AH224" s="1"/>
      <c r="AI224" s="1"/>
      <c r="AJ224" s="1"/>
      <c r="AK224" s="1"/>
      <c r="AL224" s="1"/>
      <c r="AM224" s="1"/>
      <c r="AN224"/>
      <c r="AO224" s="228"/>
      <c r="AP224" s="189"/>
      <c r="AQ224"/>
      <c r="AR224"/>
      <c r="AS224" s="228"/>
      <c r="AT224" s="139"/>
      <c r="AU224" s="139"/>
      <c r="AV224"/>
      <c r="AW224" s="262"/>
      <c r="AX224"/>
      <c r="AY224"/>
      <c r="AZ224"/>
      <c r="BA224"/>
      <c r="BB224" s="139"/>
      <c r="BC224" s="139"/>
      <c r="BD224" s="139"/>
      <c r="BE224" s="139"/>
      <c r="BF224"/>
      <c r="BG224" s="262"/>
      <c r="BI224" s="139"/>
      <c r="BJ224" s="262"/>
      <c r="BK224"/>
      <c r="BL224" s="139"/>
      <c r="BM224" s="108"/>
      <c r="BN224" s="139"/>
      <c r="BO224" s="139"/>
      <c r="BP224" s="139"/>
      <c r="BQ224"/>
      <c r="BR224" s="262"/>
      <c r="BS224"/>
      <c r="BT224" s="139"/>
      <c r="BU224"/>
      <c r="BX224"/>
      <c r="BY224" s="139"/>
      <c r="BZ224" s="139"/>
      <c r="CA224" s="139"/>
      <c r="CB224" s="139"/>
      <c r="CC224" s="139"/>
      <c r="CD224" s="141"/>
      <c r="CE224" s="139"/>
      <c r="CF224" s="139"/>
      <c r="CG224" s="139"/>
      <c r="CH224" s="139"/>
      <c r="CI224" s="139"/>
      <c r="CJ224" s="139"/>
      <c r="CK224"/>
      <c r="CL224" s="139"/>
      <c r="CM224"/>
      <c r="CN224" s="139"/>
      <c r="CO224"/>
      <c r="CP224"/>
      <c r="CQ224" s="143"/>
      <c r="CR224" s="143"/>
      <c r="CS224"/>
      <c r="CT224" s="262"/>
      <c r="CU224"/>
      <c r="CV224"/>
      <c r="CW224"/>
      <c r="CX224" s="143"/>
      <c r="CY224" s="143"/>
      <c r="CZ224" s="143"/>
      <c r="DA224" s="143"/>
      <c r="DB224"/>
      <c r="DC224"/>
      <c r="DD224" s="143"/>
      <c r="DE224"/>
      <c r="DF224" s="143"/>
      <c r="DG224"/>
      <c r="DH224"/>
      <c r="DI224"/>
      <c r="DJ224"/>
      <c r="DK224"/>
      <c r="DL224" s="139"/>
      <c r="DM224"/>
      <c r="DN224"/>
      <c r="DO224"/>
      <c r="DP224"/>
      <c r="DQ224"/>
      <c r="DR224"/>
      <c r="DS224"/>
      <c r="DT224"/>
      <c r="DU224"/>
      <c r="DV224"/>
      <c r="DW224"/>
      <c r="DX224"/>
      <c r="DY224"/>
      <c r="DZ224"/>
      <c r="EA224"/>
      <c r="EB224"/>
      <c r="EC224" s="139"/>
      <c r="ED224" s="139"/>
      <c r="EE224" s="139"/>
      <c r="EF224" s="139"/>
      <c r="EG224" s="139"/>
      <c r="EH224" s="139"/>
      <c r="EI224" s="139"/>
      <c r="EJ224" s="139"/>
      <c r="EK224" s="139"/>
      <c r="EL224" s="139"/>
      <c r="EM224" s="139"/>
      <c r="EN224" s="139"/>
      <c r="EO224" s="139"/>
      <c r="EP224" s="139"/>
      <c r="EQ224" s="139"/>
      <c r="ER224" s="139"/>
      <c r="ES224" s="139"/>
      <c r="ET224" s="139"/>
      <c r="EU224" s="139"/>
      <c r="EV224" s="139"/>
      <c r="EW224" s="139"/>
      <c r="EX224" s="139"/>
      <c r="EY224" s="139"/>
      <c r="EZ224" s="139"/>
      <c r="FA224" s="139"/>
      <c r="FB224" s="139"/>
      <c r="FC224" s="139"/>
      <c r="FD224" s="139"/>
      <c r="FE224" s="139"/>
      <c r="FF224" s="139"/>
      <c r="FG224" s="139"/>
      <c r="FH224" s="139"/>
      <c r="FI224" s="139"/>
    </row>
    <row r="225" spans="1:165" ht="15" customHeight="1">
      <c r="BB225" s="139"/>
      <c r="BC225" s="139"/>
      <c r="BD225" s="139"/>
      <c r="BE225" s="139"/>
      <c r="BI225" s="139"/>
      <c r="BL225" s="139"/>
      <c r="BN225" s="139"/>
      <c r="BO225" s="139"/>
      <c r="BP225" s="139"/>
      <c r="BT225" s="139"/>
      <c r="BY225" s="139"/>
      <c r="BZ225" s="139"/>
      <c r="CA225" s="139"/>
      <c r="CB225" s="139"/>
      <c r="CC225" s="139"/>
      <c r="CE225" s="139"/>
      <c r="CF225" s="139"/>
      <c r="CG225" s="139"/>
      <c r="CH225" s="139"/>
      <c r="CI225" s="139"/>
      <c r="CJ225" s="139"/>
      <c r="CL225" s="139"/>
      <c r="CN225" s="139"/>
      <c r="DN225"/>
      <c r="DO225"/>
      <c r="DQ225"/>
      <c r="EC225" s="139"/>
      <c r="ED225" s="139"/>
      <c r="EE225" s="139"/>
      <c r="EF225" s="139"/>
      <c r="EG225" s="139"/>
      <c r="EH225" s="139"/>
      <c r="EI225" s="139"/>
      <c r="EJ225" s="139"/>
      <c r="EK225" s="139"/>
      <c r="EL225" s="139"/>
      <c r="EM225" s="139"/>
      <c r="EN225" s="139"/>
      <c r="EO225" s="139"/>
      <c r="EP225" s="139"/>
      <c r="EQ225" s="139"/>
      <c r="ER225" s="139"/>
      <c r="ES225" s="139"/>
      <c r="ET225" s="139"/>
      <c r="EU225" s="139"/>
      <c r="EV225" s="139"/>
      <c r="EW225" s="139"/>
      <c r="EX225" s="139"/>
      <c r="EY225" s="139"/>
      <c r="EZ225" s="139"/>
      <c r="FA225" s="139"/>
      <c r="FB225" s="139"/>
      <c r="FC225" s="139"/>
      <c r="FD225" s="139"/>
      <c r="FE225" s="139"/>
      <c r="FF225" s="139"/>
      <c r="FG225" s="139"/>
      <c r="FH225" s="139"/>
      <c r="FI225" s="139"/>
    </row>
    <row r="226" spans="1:165" ht="15" customHeight="1">
      <c r="BB226" s="139"/>
      <c r="BC226" s="139"/>
      <c r="BD226" s="139"/>
      <c r="BE226" s="139"/>
      <c r="BI226" s="139"/>
      <c r="BL226" s="139"/>
      <c r="BN226" s="139"/>
      <c r="BO226" s="139"/>
      <c r="BP226" s="139"/>
      <c r="BT226" s="139"/>
      <c r="BY226" s="139"/>
      <c r="BZ226" s="139"/>
      <c r="CA226" s="139"/>
      <c r="CB226" s="139"/>
      <c r="CC226" s="139"/>
      <c r="CE226" s="139"/>
      <c r="CF226" s="139"/>
      <c r="CG226" s="139"/>
      <c r="CH226" s="139"/>
      <c r="CI226" s="139"/>
      <c r="CJ226" s="139"/>
      <c r="CL226" s="139"/>
      <c r="CN226" s="139"/>
      <c r="DN226"/>
      <c r="DO226"/>
      <c r="DQ226"/>
      <c r="EC226" s="139"/>
      <c r="ED226" s="139"/>
      <c r="EE226" s="139"/>
      <c r="EF226" s="139"/>
      <c r="EG226" s="139"/>
      <c r="EH226" s="139"/>
      <c r="EI226" s="139"/>
      <c r="EJ226" s="139"/>
      <c r="EK226" s="139"/>
      <c r="EL226" s="139"/>
      <c r="EM226" s="139"/>
      <c r="EN226" s="139"/>
      <c r="EO226" s="139"/>
      <c r="EP226" s="139"/>
      <c r="EQ226" s="139"/>
      <c r="ER226" s="139"/>
      <c r="ES226" s="139"/>
      <c r="ET226" s="139"/>
      <c r="EU226" s="139"/>
      <c r="EV226" s="139"/>
      <c r="EW226" s="139"/>
      <c r="EX226" s="139"/>
      <c r="EY226" s="139"/>
      <c r="EZ226" s="139"/>
      <c r="FA226" s="139"/>
      <c r="FB226" s="139"/>
      <c r="FC226" s="139"/>
      <c r="FD226" s="139"/>
      <c r="FE226" s="139"/>
      <c r="FF226" s="139"/>
      <c r="FG226" s="139"/>
      <c r="FH226" s="139"/>
      <c r="FI226" s="139"/>
    </row>
    <row r="227" spans="1:165" ht="15" customHeight="1">
      <c r="BB227" s="139"/>
      <c r="BC227" s="139"/>
      <c r="BD227" s="139"/>
      <c r="BE227" s="139"/>
      <c r="BI227" s="139"/>
      <c r="BL227" s="139"/>
      <c r="BN227" s="139"/>
      <c r="BO227" s="139"/>
      <c r="BP227" s="139"/>
      <c r="BT227" s="139"/>
      <c r="BY227" s="139"/>
      <c r="BZ227" s="139"/>
      <c r="CA227" s="139"/>
      <c r="CB227" s="139"/>
      <c r="CC227" s="139"/>
      <c r="CE227" s="139"/>
      <c r="CF227" s="139"/>
      <c r="CG227" s="139"/>
      <c r="CH227" s="139"/>
      <c r="CI227" s="139"/>
      <c r="CJ227" s="139"/>
      <c r="CL227" s="139"/>
      <c r="CN227" s="139"/>
      <c r="DN227"/>
      <c r="DO227"/>
      <c r="DQ227"/>
      <c r="EC227" s="139"/>
      <c r="ED227" s="139"/>
      <c r="EE227" s="139"/>
      <c r="EF227" s="139"/>
      <c r="EG227" s="139"/>
      <c r="EH227" s="139"/>
      <c r="EI227" s="139"/>
      <c r="EJ227" s="139"/>
      <c r="EK227" s="139"/>
      <c r="EL227" s="139"/>
      <c r="EM227" s="139"/>
      <c r="EN227" s="139"/>
      <c r="EO227" s="139"/>
      <c r="EP227" s="139"/>
      <c r="EQ227" s="139"/>
      <c r="ER227" s="139"/>
      <c r="ES227" s="139"/>
      <c r="ET227" s="139"/>
      <c r="EU227" s="139"/>
      <c r="EV227" s="139"/>
      <c r="EW227" s="139"/>
      <c r="EX227" s="139"/>
      <c r="EY227" s="139"/>
      <c r="EZ227" s="139"/>
      <c r="FA227" s="139"/>
      <c r="FB227" s="139"/>
      <c r="FC227" s="139"/>
      <c r="FD227" s="139"/>
      <c r="FE227" s="139"/>
      <c r="FF227" s="139"/>
      <c r="FG227" s="139"/>
      <c r="FH227" s="139"/>
      <c r="FI227" s="139"/>
    </row>
    <row r="228" spans="1:165" s="31" customFormat="1" ht="15" customHeight="1">
      <c r="A228" s="1"/>
      <c r="B228" s="1"/>
      <c r="C228" s="1"/>
      <c r="D228" s="1"/>
      <c r="E228" s="1"/>
      <c r="F228" s="1"/>
      <c r="G228" s="1"/>
      <c r="H228" s="1"/>
      <c r="I228" s="1"/>
      <c r="J228" s="1"/>
      <c r="K228" s="1"/>
      <c r="L228" s="1"/>
      <c r="M228" s="1"/>
      <c r="N228" s="1"/>
      <c r="O228" s="1"/>
      <c r="P228"/>
      <c r="Q228" s="130"/>
      <c r="R228" s="1"/>
      <c r="S228" s="1"/>
      <c r="T228" s="1"/>
      <c r="U228" s="1"/>
      <c r="V228" s="1"/>
      <c r="W228" s="1"/>
      <c r="X228" s="1"/>
      <c r="Y228" s="1"/>
      <c r="Z228" s="1"/>
      <c r="AA228" s="1"/>
      <c r="AB228" s="1"/>
      <c r="AC228" s="1"/>
      <c r="AD228" s="1"/>
      <c r="AE228" s="1"/>
      <c r="AF228" s="1"/>
      <c r="AG228" s="1"/>
      <c r="AH228" s="1"/>
      <c r="AI228" s="1"/>
      <c r="AJ228" s="1"/>
      <c r="AK228" s="1"/>
      <c r="AL228" s="1"/>
      <c r="AM228" s="1"/>
      <c r="AN228"/>
      <c r="AO228" s="228"/>
      <c r="AP228" s="189"/>
      <c r="AQ228"/>
      <c r="AR228"/>
      <c r="AS228" s="228"/>
      <c r="AT228" s="139"/>
      <c r="AU228" s="139"/>
      <c r="AV228"/>
      <c r="AW228" s="262"/>
      <c r="AX228"/>
      <c r="AY228"/>
      <c r="AZ228"/>
      <c r="BA228"/>
      <c r="BB228" s="139"/>
      <c r="BC228" s="139"/>
      <c r="BD228" s="139"/>
      <c r="BE228" s="139"/>
      <c r="BF228"/>
      <c r="BG228" s="262"/>
      <c r="BI228" s="139"/>
      <c r="BJ228" s="262"/>
      <c r="BK228"/>
      <c r="BL228" s="139"/>
      <c r="BM228" s="108"/>
      <c r="BN228" s="139"/>
      <c r="BO228" s="139"/>
      <c r="BP228" s="139"/>
      <c r="BQ228"/>
      <c r="BR228" s="262"/>
      <c r="BS228"/>
      <c r="BT228" s="139"/>
      <c r="BU228"/>
      <c r="BX228"/>
      <c r="BY228" s="139"/>
      <c r="BZ228" s="139"/>
      <c r="CA228" s="139"/>
      <c r="CB228" s="139"/>
      <c r="CC228" s="139"/>
      <c r="CD228" s="141"/>
      <c r="CE228" s="139"/>
      <c r="CF228" s="139"/>
      <c r="CG228" s="139"/>
      <c r="CH228" s="139"/>
      <c r="CI228" s="139"/>
      <c r="CJ228" s="139"/>
      <c r="CK228"/>
      <c r="CL228" s="139"/>
      <c r="CM228"/>
      <c r="CN228" s="139"/>
      <c r="CO228"/>
      <c r="CP228"/>
      <c r="CQ228" s="143"/>
      <c r="CR228" s="143"/>
      <c r="CS228"/>
      <c r="CT228" s="262"/>
      <c r="CU228"/>
      <c r="CV228"/>
      <c r="CW228"/>
      <c r="CX228" s="143"/>
      <c r="CY228" s="143"/>
      <c r="CZ228" s="143"/>
      <c r="DA228" s="143"/>
      <c r="DB228"/>
      <c r="DC228"/>
      <c r="DD228" s="143"/>
      <c r="DE228"/>
      <c r="DF228" s="143"/>
      <c r="DG228"/>
      <c r="DH228"/>
      <c r="DI228"/>
      <c r="DJ228"/>
      <c r="DK228"/>
      <c r="DL228" s="139"/>
      <c r="DM228"/>
      <c r="DN228"/>
      <c r="DO228"/>
      <c r="DP228"/>
      <c r="DQ228"/>
      <c r="DR228"/>
      <c r="DS228"/>
      <c r="DT228"/>
      <c r="DU228"/>
      <c r="DV228"/>
      <c r="DW228"/>
      <c r="DX228"/>
      <c r="DY228"/>
      <c r="DZ228"/>
      <c r="EA228"/>
      <c r="EB228"/>
      <c r="EC228" s="139"/>
      <c r="ED228" s="139"/>
      <c r="EE228" s="139"/>
      <c r="EF228" s="139"/>
      <c r="EG228" s="139"/>
      <c r="EH228" s="139"/>
      <c r="EI228" s="139"/>
      <c r="EJ228" s="139"/>
      <c r="EK228" s="139"/>
      <c r="EL228" s="139"/>
      <c r="EM228" s="139"/>
      <c r="EN228" s="139"/>
      <c r="EO228" s="139"/>
      <c r="EP228" s="139"/>
      <c r="EQ228" s="139"/>
      <c r="ER228" s="139"/>
      <c r="ES228" s="139"/>
      <c r="ET228" s="139"/>
      <c r="EU228" s="139"/>
      <c r="EV228" s="139"/>
      <c r="EW228" s="139"/>
      <c r="EX228" s="139"/>
      <c r="EY228" s="139"/>
      <c r="EZ228" s="139"/>
      <c r="FA228" s="139"/>
      <c r="FB228" s="139"/>
      <c r="FC228" s="139"/>
      <c r="FD228" s="139"/>
      <c r="FE228" s="139"/>
      <c r="FF228" s="139"/>
      <c r="FG228" s="139"/>
      <c r="FH228" s="139"/>
      <c r="FI228" s="139"/>
    </row>
    <row r="229" spans="1:165" ht="15" customHeight="1">
      <c r="BB229" s="139"/>
      <c r="BC229" s="139"/>
      <c r="BD229" s="139"/>
      <c r="BE229" s="139"/>
      <c r="BI229" s="139"/>
      <c r="BL229" s="139"/>
      <c r="BN229" s="139"/>
      <c r="BO229" s="139"/>
      <c r="BP229" s="139"/>
      <c r="BT229" s="139"/>
      <c r="BY229" s="139"/>
      <c r="BZ229" s="139"/>
      <c r="CA229" s="139"/>
      <c r="CB229" s="139"/>
      <c r="CC229" s="139"/>
      <c r="CE229" s="139"/>
      <c r="CF229" s="139"/>
      <c r="CG229" s="139"/>
      <c r="CH229" s="139"/>
      <c r="CI229" s="139"/>
      <c r="CJ229" s="139"/>
      <c r="CL229" s="139"/>
      <c r="CN229" s="139"/>
      <c r="DN229"/>
      <c r="DO229"/>
      <c r="DQ229"/>
      <c r="EC229" s="139"/>
      <c r="ED229" s="139"/>
      <c r="EE229" s="139"/>
      <c r="EF229" s="139"/>
      <c r="EG229" s="139"/>
      <c r="EH229" s="139"/>
      <c r="EI229" s="139"/>
      <c r="EJ229" s="139"/>
      <c r="EK229" s="139"/>
      <c r="EL229" s="139"/>
      <c r="EM229" s="139"/>
      <c r="EN229" s="139"/>
      <c r="EO229" s="139"/>
      <c r="EP229" s="139"/>
      <c r="EQ229" s="139"/>
      <c r="ER229" s="139"/>
      <c r="ES229" s="139"/>
      <c r="ET229" s="139"/>
      <c r="EU229" s="139"/>
      <c r="EV229" s="139"/>
      <c r="EW229" s="139"/>
      <c r="EX229" s="139"/>
      <c r="EY229" s="139"/>
      <c r="EZ229" s="139"/>
      <c r="FA229" s="139"/>
      <c r="FB229" s="139"/>
      <c r="FC229" s="139"/>
      <c r="FD229" s="139"/>
      <c r="FE229" s="139"/>
      <c r="FF229" s="139"/>
      <c r="FG229" s="139"/>
      <c r="FH229" s="139"/>
      <c r="FI229" s="139"/>
    </row>
    <row r="230" spans="1:165" ht="15" customHeight="1">
      <c r="BB230" s="139"/>
      <c r="BC230" s="139"/>
      <c r="BD230" s="139"/>
      <c r="BE230" s="139"/>
      <c r="BI230" s="139"/>
      <c r="BL230" s="139"/>
      <c r="BN230" s="139"/>
      <c r="BO230" s="139"/>
      <c r="BP230" s="139"/>
      <c r="BT230" s="139"/>
      <c r="BY230" s="139"/>
      <c r="BZ230" s="139"/>
      <c r="CA230" s="139"/>
      <c r="CB230" s="139"/>
      <c r="CC230" s="139"/>
      <c r="CE230" s="139"/>
      <c r="CF230" s="139"/>
      <c r="CG230" s="139"/>
      <c r="CH230" s="139"/>
      <c r="CI230" s="139"/>
      <c r="CJ230" s="139"/>
      <c r="CL230" s="139"/>
      <c r="CN230" s="139"/>
      <c r="DN230"/>
      <c r="DO230"/>
      <c r="DQ230"/>
      <c r="EC230" s="139"/>
      <c r="ED230" s="139"/>
      <c r="EE230" s="139"/>
      <c r="EF230" s="139"/>
      <c r="EG230" s="139"/>
      <c r="EH230" s="139"/>
      <c r="EI230" s="139"/>
      <c r="EJ230" s="139"/>
      <c r="EK230" s="139"/>
      <c r="EL230" s="139"/>
      <c r="EM230" s="139"/>
      <c r="EN230" s="139"/>
      <c r="EO230" s="139"/>
      <c r="EP230" s="139"/>
      <c r="EQ230" s="139"/>
      <c r="ER230" s="139"/>
      <c r="ES230" s="139"/>
      <c r="ET230" s="139"/>
      <c r="EU230" s="139"/>
      <c r="EV230" s="139"/>
      <c r="EW230" s="139"/>
      <c r="EX230" s="139"/>
      <c r="EY230" s="139"/>
      <c r="EZ230" s="139"/>
      <c r="FA230" s="139"/>
      <c r="FB230" s="139"/>
      <c r="FC230" s="139"/>
      <c r="FD230" s="139"/>
      <c r="FE230" s="139"/>
      <c r="FF230" s="139"/>
      <c r="FG230" s="139"/>
      <c r="FH230" s="139"/>
      <c r="FI230" s="139"/>
    </row>
    <row r="231" spans="1:165" ht="15" customHeight="1">
      <c r="BB231" s="139"/>
      <c r="BC231" s="139"/>
      <c r="BD231" s="139"/>
      <c r="BE231" s="139"/>
      <c r="BI231" s="139"/>
      <c r="BL231" s="139"/>
      <c r="BN231" s="139"/>
      <c r="BO231" s="139"/>
      <c r="BP231" s="139"/>
      <c r="BT231" s="139"/>
      <c r="BY231" s="139"/>
      <c r="BZ231" s="139"/>
      <c r="CA231" s="139"/>
      <c r="CB231" s="139"/>
      <c r="CC231" s="139"/>
      <c r="CE231" s="139"/>
      <c r="CF231" s="139"/>
      <c r="CG231" s="139"/>
      <c r="CH231" s="139"/>
      <c r="CI231" s="139"/>
      <c r="CJ231" s="139"/>
      <c r="CL231" s="139"/>
      <c r="CN231" s="139"/>
      <c r="DN231"/>
      <c r="DO231"/>
      <c r="DQ231"/>
      <c r="EC231" s="139"/>
      <c r="ED231" s="139"/>
      <c r="EE231" s="139"/>
      <c r="EF231" s="139"/>
      <c r="EG231" s="139"/>
      <c r="EH231" s="139"/>
      <c r="EI231" s="139"/>
      <c r="EJ231" s="139"/>
      <c r="EK231" s="139"/>
      <c r="EL231" s="139"/>
      <c r="EM231" s="139"/>
      <c r="EN231" s="139"/>
      <c r="EO231" s="139"/>
      <c r="EP231" s="139"/>
      <c r="EQ231" s="139"/>
      <c r="ER231" s="139"/>
      <c r="ES231" s="139"/>
      <c r="ET231" s="139"/>
      <c r="EU231" s="139"/>
      <c r="EV231" s="139"/>
      <c r="EW231" s="139"/>
      <c r="EX231" s="139"/>
      <c r="EY231" s="139"/>
      <c r="EZ231" s="139"/>
      <c r="FA231" s="139"/>
      <c r="FB231" s="139"/>
      <c r="FC231" s="139"/>
      <c r="FD231" s="139"/>
      <c r="FE231" s="139"/>
      <c r="FF231" s="139"/>
      <c r="FG231" s="139"/>
      <c r="FH231" s="139"/>
      <c r="FI231" s="139"/>
    </row>
    <row r="232" spans="1:165" ht="15" customHeight="1">
      <c r="BB232" s="139"/>
      <c r="BC232" s="139"/>
      <c r="BD232" s="139"/>
      <c r="BE232" s="139"/>
      <c r="BI232" s="139"/>
      <c r="BL232" s="139"/>
      <c r="BN232" s="139"/>
      <c r="BO232" s="139"/>
      <c r="BP232" s="139"/>
      <c r="BT232" s="139"/>
      <c r="BY232" s="139"/>
      <c r="BZ232" s="139"/>
      <c r="CA232" s="139"/>
      <c r="CB232" s="139"/>
      <c r="CC232" s="139"/>
      <c r="CE232" s="139"/>
      <c r="CF232" s="139"/>
      <c r="CG232" s="139"/>
      <c r="CH232" s="139"/>
      <c r="CI232" s="139"/>
      <c r="CJ232" s="139"/>
      <c r="CL232" s="139"/>
      <c r="CN232" s="139"/>
      <c r="DN232"/>
      <c r="DO232"/>
      <c r="DQ232"/>
      <c r="EC232" s="139"/>
      <c r="ED232" s="139"/>
      <c r="EE232" s="139"/>
      <c r="EF232" s="139"/>
      <c r="EG232" s="139"/>
      <c r="EH232" s="139"/>
      <c r="EI232" s="139"/>
      <c r="EJ232" s="139"/>
      <c r="EK232" s="139"/>
      <c r="EL232" s="139"/>
      <c r="EM232" s="139"/>
      <c r="EN232" s="139"/>
      <c r="EO232" s="139"/>
      <c r="EP232" s="139"/>
      <c r="EQ232" s="139"/>
      <c r="ER232" s="139"/>
      <c r="ES232" s="139"/>
      <c r="ET232" s="139"/>
      <c r="EU232" s="139"/>
      <c r="EV232" s="139"/>
      <c r="EW232" s="139"/>
      <c r="EX232" s="139"/>
      <c r="EY232" s="139"/>
      <c r="EZ232" s="139"/>
      <c r="FA232" s="139"/>
      <c r="FB232" s="139"/>
      <c r="FC232" s="139"/>
      <c r="FD232" s="139"/>
      <c r="FE232" s="139"/>
      <c r="FF232" s="139"/>
      <c r="FG232" s="139"/>
      <c r="FH232" s="139"/>
      <c r="FI232" s="139"/>
    </row>
    <row r="233" spans="1:165">
      <c r="BB233" s="139"/>
      <c r="BC233" s="139"/>
      <c r="BD233" s="139"/>
      <c r="BE233" s="139"/>
      <c r="BI233" s="139"/>
      <c r="BL233" s="139"/>
      <c r="BN233" s="139"/>
      <c r="BO233" s="139"/>
      <c r="BP233" s="139"/>
      <c r="BT233" s="139"/>
      <c r="BY233" s="139"/>
      <c r="BZ233" s="139"/>
      <c r="CA233" s="139"/>
      <c r="CB233" s="139"/>
      <c r="CC233" s="139"/>
      <c r="CE233" s="139"/>
      <c r="CF233" s="139"/>
      <c r="CG233" s="139"/>
      <c r="CH233" s="139"/>
      <c r="CI233" s="139"/>
      <c r="CJ233" s="139"/>
      <c r="CL233" s="139"/>
      <c r="CN233" s="139"/>
      <c r="DN233"/>
      <c r="DO233"/>
      <c r="DQ233"/>
      <c r="EC233" s="139"/>
      <c r="ED233" s="139"/>
      <c r="EE233" s="139"/>
      <c r="EF233" s="139"/>
      <c r="EG233" s="139"/>
      <c r="EH233" s="139"/>
      <c r="EI233" s="139"/>
      <c r="EJ233" s="139"/>
      <c r="EK233" s="139"/>
      <c r="EL233" s="139"/>
      <c r="EM233" s="139"/>
      <c r="EN233" s="139"/>
      <c r="EO233" s="139"/>
      <c r="EP233" s="139"/>
      <c r="EQ233" s="139"/>
      <c r="ER233" s="139"/>
      <c r="ES233" s="139"/>
      <c r="ET233" s="139"/>
      <c r="EU233" s="139"/>
      <c r="EV233" s="139"/>
      <c r="EW233" s="139"/>
      <c r="EX233" s="139"/>
      <c r="EY233" s="139"/>
      <c r="EZ233" s="139"/>
      <c r="FA233" s="139"/>
      <c r="FB233" s="139"/>
      <c r="FC233" s="139"/>
      <c r="FD233" s="139"/>
      <c r="FE233" s="139"/>
      <c r="FF233" s="139"/>
      <c r="FG233" s="139"/>
      <c r="FH233" s="139"/>
      <c r="FI233" s="139"/>
    </row>
    <row r="234" spans="1:165">
      <c r="BB234" s="139"/>
      <c r="BC234" s="139"/>
      <c r="BD234" s="139"/>
      <c r="BE234" s="139"/>
      <c r="BI234" s="139"/>
      <c r="BL234" s="139"/>
      <c r="BN234" s="139"/>
      <c r="BO234" s="139"/>
      <c r="BP234" s="139"/>
      <c r="BT234" s="139"/>
      <c r="BY234" s="139"/>
      <c r="BZ234" s="139"/>
      <c r="CA234" s="139"/>
      <c r="CB234" s="139"/>
      <c r="CC234" s="139"/>
      <c r="CE234" s="139"/>
      <c r="CF234" s="139"/>
      <c r="CG234" s="139"/>
      <c r="CH234" s="139"/>
      <c r="CI234" s="139"/>
      <c r="CJ234" s="139"/>
      <c r="CL234" s="139"/>
      <c r="CN234" s="139"/>
      <c r="DN234"/>
      <c r="DO234"/>
      <c r="DQ234"/>
      <c r="EC234" s="139"/>
      <c r="ED234" s="139"/>
      <c r="EE234" s="139"/>
      <c r="EF234" s="139"/>
      <c r="EG234" s="139"/>
      <c r="EH234" s="139"/>
      <c r="EI234" s="139"/>
      <c r="EJ234" s="139"/>
      <c r="EK234" s="139"/>
      <c r="EL234" s="139"/>
      <c r="EM234" s="139"/>
      <c r="EN234" s="139"/>
      <c r="EO234" s="139"/>
      <c r="EP234" s="139"/>
      <c r="EQ234" s="139"/>
      <c r="ER234" s="139"/>
      <c r="ES234" s="139"/>
      <c r="ET234" s="139"/>
      <c r="EU234" s="139"/>
      <c r="EV234" s="139"/>
      <c r="EW234" s="139"/>
      <c r="EX234" s="139"/>
      <c r="EY234" s="139"/>
      <c r="EZ234" s="139"/>
      <c r="FA234" s="139"/>
      <c r="FB234" s="139"/>
      <c r="FC234" s="139"/>
      <c r="FD234" s="139"/>
      <c r="FE234" s="139"/>
      <c r="FF234" s="139"/>
      <c r="FG234" s="139"/>
      <c r="FH234" s="139"/>
      <c r="FI234" s="139"/>
    </row>
    <row r="235" spans="1:165">
      <c r="BB235" s="139"/>
      <c r="BC235" s="139"/>
      <c r="BD235" s="139"/>
      <c r="BE235" s="139"/>
      <c r="BI235" s="139"/>
      <c r="BL235" s="139"/>
      <c r="BN235" s="139"/>
      <c r="BO235" s="139"/>
      <c r="BP235" s="139"/>
      <c r="BT235" s="139"/>
      <c r="BY235" s="139"/>
      <c r="BZ235" s="139"/>
      <c r="CA235" s="139"/>
      <c r="CB235" s="139"/>
      <c r="CC235" s="139"/>
      <c r="CE235" s="139"/>
      <c r="CF235" s="139"/>
      <c r="CG235" s="139"/>
      <c r="CH235" s="139"/>
      <c r="CI235" s="139"/>
      <c r="CJ235" s="139"/>
      <c r="CL235" s="139"/>
      <c r="CN235" s="139"/>
      <c r="DN235"/>
      <c r="DO235"/>
      <c r="DQ235"/>
      <c r="EC235" s="139"/>
      <c r="ED235" s="139"/>
      <c r="EE235" s="139"/>
      <c r="EF235" s="139"/>
      <c r="EG235" s="139"/>
      <c r="EH235" s="139"/>
      <c r="EI235" s="139"/>
      <c r="EJ235" s="139"/>
      <c r="EK235" s="139"/>
      <c r="EL235" s="139"/>
      <c r="EM235" s="139"/>
      <c r="EN235" s="139"/>
      <c r="EO235" s="139"/>
      <c r="EP235" s="139"/>
      <c r="EQ235" s="139"/>
      <c r="ER235" s="139"/>
      <c r="ES235" s="139"/>
      <c r="ET235" s="139"/>
      <c r="EU235" s="139"/>
      <c r="EV235" s="139"/>
      <c r="EW235" s="139"/>
      <c r="EX235" s="139"/>
      <c r="EY235" s="139"/>
      <c r="EZ235" s="139"/>
      <c r="FA235" s="139"/>
      <c r="FB235" s="139"/>
      <c r="FC235" s="139"/>
      <c r="FD235" s="139"/>
      <c r="FE235" s="139"/>
      <c r="FF235" s="139"/>
      <c r="FG235" s="139"/>
      <c r="FH235" s="139"/>
      <c r="FI235" s="139"/>
    </row>
    <row r="236" spans="1:165">
      <c r="BB236" s="139"/>
      <c r="BC236" s="139"/>
      <c r="BD236" s="139"/>
      <c r="BE236" s="139"/>
      <c r="BI236" s="139"/>
      <c r="BL236" s="139"/>
      <c r="BN236" s="139"/>
      <c r="BO236" s="139"/>
      <c r="BP236" s="139"/>
      <c r="BT236" s="139"/>
      <c r="BY236" s="139"/>
      <c r="BZ236" s="139"/>
      <c r="CA236" s="139"/>
      <c r="CB236" s="139"/>
      <c r="CC236" s="139"/>
      <c r="CE236" s="139"/>
      <c r="CF236" s="139"/>
      <c r="CG236" s="139"/>
      <c r="CH236" s="139"/>
      <c r="CI236" s="139"/>
      <c r="CJ236" s="139"/>
      <c r="CL236" s="139"/>
      <c r="CN236" s="139"/>
      <c r="DN236"/>
      <c r="DO236"/>
      <c r="DQ236"/>
      <c r="EC236" s="139"/>
      <c r="ED236" s="139"/>
      <c r="EE236" s="139"/>
      <c r="EF236" s="139"/>
      <c r="EG236" s="139"/>
      <c r="EH236" s="139"/>
      <c r="EI236" s="139"/>
      <c r="EJ236" s="139"/>
      <c r="EK236" s="139"/>
      <c r="EL236" s="139"/>
      <c r="EM236" s="139"/>
      <c r="EN236" s="139"/>
      <c r="EO236" s="139"/>
      <c r="EP236" s="139"/>
      <c r="EQ236" s="139"/>
      <c r="ER236" s="139"/>
      <c r="ES236" s="139"/>
      <c r="ET236" s="139"/>
      <c r="EU236" s="139"/>
      <c r="EV236" s="139"/>
      <c r="EW236" s="139"/>
      <c r="EX236" s="139"/>
      <c r="EY236" s="139"/>
      <c r="EZ236" s="139"/>
      <c r="FA236" s="139"/>
      <c r="FB236" s="139"/>
      <c r="FC236" s="139"/>
      <c r="FD236" s="139"/>
      <c r="FE236" s="139"/>
      <c r="FF236" s="139"/>
      <c r="FG236" s="139"/>
      <c r="FH236" s="139"/>
      <c r="FI236" s="139"/>
    </row>
    <row r="237" spans="1:165">
      <c r="BB237" s="139"/>
      <c r="BC237" s="139"/>
      <c r="BD237" s="139"/>
      <c r="BE237" s="139"/>
      <c r="BI237" s="139"/>
      <c r="BL237" s="139"/>
      <c r="BN237" s="139"/>
      <c r="BO237" s="139"/>
      <c r="BP237" s="139"/>
      <c r="BT237" s="139"/>
      <c r="BY237" s="139"/>
      <c r="BZ237" s="139"/>
      <c r="CA237" s="139"/>
      <c r="CB237" s="139"/>
      <c r="CC237" s="139"/>
      <c r="CE237" s="139"/>
      <c r="CF237" s="139"/>
      <c r="CG237" s="139"/>
      <c r="CH237" s="139"/>
      <c r="CI237" s="139"/>
      <c r="CJ237" s="139"/>
      <c r="CL237" s="139"/>
      <c r="CN237" s="139"/>
      <c r="DN237"/>
      <c r="DO237"/>
      <c r="DQ237"/>
      <c r="EC237" s="139"/>
      <c r="ED237" s="139"/>
      <c r="EE237" s="139"/>
      <c r="EF237" s="139"/>
      <c r="EG237" s="139"/>
      <c r="EH237" s="139"/>
      <c r="EI237" s="139"/>
      <c r="EJ237" s="139"/>
      <c r="EK237" s="139"/>
      <c r="EL237" s="139"/>
      <c r="EM237" s="139"/>
      <c r="EN237" s="139"/>
      <c r="EO237" s="139"/>
      <c r="EP237" s="139"/>
      <c r="EQ237" s="139"/>
      <c r="ER237" s="139"/>
      <c r="ES237" s="139"/>
      <c r="ET237" s="139"/>
      <c r="EU237" s="139"/>
      <c r="EV237" s="139"/>
      <c r="EW237" s="139"/>
      <c r="EX237" s="139"/>
      <c r="EY237" s="139"/>
      <c r="EZ237" s="139"/>
      <c r="FA237" s="139"/>
      <c r="FB237" s="139"/>
      <c r="FC237" s="139"/>
      <c r="FD237" s="139"/>
      <c r="FE237" s="139"/>
      <c r="FF237" s="139"/>
      <c r="FG237" s="139"/>
      <c r="FH237" s="139"/>
      <c r="FI237" s="139"/>
    </row>
    <row r="238" spans="1:165">
      <c r="BB238" s="139"/>
      <c r="BC238" s="139"/>
      <c r="BD238" s="139"/>
      <c r="BE238" s="139"/>
      <c r="BI238" s="139"/>
      <c r="BL238" s="139"/>
      <c r="BN238" s="139"/>
      <c r="BO238" s="139"/>
      <c r="BP238" s="139"/>
      <c r="BT238" s="139"/>
      <c r="BY238" s="139"/>
      <c r="BZ238" s="139"/>
      <c r="CA238" s="139"/>
      <c r="CB238" s="139"/>
      <c r="CC238" s="139"/>
      <c r="CE238" s="139"/>
      <c r="CF238" s="139"/>
      <c r="CG238" s="139"/>
      <c r="CH238" s="139"/>
      <c r="CI238" s="139"/>
      <c r="CJ238" s="139"/>
      <c r="CL238" s="139"/>
      <c r="CN238" s="139"/>
      <c r="DN238"/>
      <c r="DO238"/>
      <c r="DQ238"/>
      <c r="EC238" s="139"/>
      <c r="ED238" s="139"/>
      <c r="EE238" s="139"/>
      <c r="EF238" s="139"/>
      <c r="EG238" s="139"/>
      <c r="EH238" s="139"/>
      <c r="EI238" s="139"/>
      <c r="EJ238" s="139"/>
      <c r="EK238" s="139"/>
      <c r="EL238" s="139"/>
      <c r="EM238" s="139"/>
      <c r="EN238" s="139"/>
      <c r="EO238" s="139"/>
      <c r="EP238" s="139"/>
      <c r="EQ238" s="139"/>
      <c r="ER238" s="139"/>
      <c r="ES238" s="139"/>
      <c r="ET238" s="139"/>
      <c r="EU238" s="139"/>
      <c r="EV238" s="139"/>
      <c r="EW238" s="139"/>
      <c r="EX238" s="139"/>
      <c r="EY238" s="139"/>
      <c r="EZ238" s="139"/>
      <c r="FA238" s="139"/>
      <c r="FB238" s="139"/>
      <c r="FC238" s="139"/>
      <c r="FD238" s="139"/>
      <c r="FE238" s="139"/>
      <c r="FF238" s="139"/>
      <c r="FG238" s="139"/>
      <c r="FH238" s="139"/>
      <c r="FI238" s="139"/>
    </row>
    <row r="239" spans="1:165" s="31" customFormat="1" ht="15" customHeight="1">
      <c r="A239" s="1"/>
      <c r="B239" s="1"/>
      <c r="C239" s="1"/>
      <c r="D239" s="1"/>
      <c r="E239" s="1"/>
      <c r="F239" s="1"/>
      <c r="G239" s="1"/>
      <c r="H239" s="1"/>
      <c r="I239" s="1"/>
      <c r="J239" s="1"/>
      <c r="K239" s="1"/>
      <c r="L239" s="1"/>
      <c r="M239" s="1"/>
      <c r="N239" s="1"/>
      <c r="O239" s="1"/>
      <c r="P239"/>
      <c r="Q239" s="130"/>
      <c r="R239" s="1"/>
      <c r="S239" s="1"/>
      <c r="T239" s="1"/>
      <c r="U239" s="1"/>
      <c r="V239" s="1"/>
      <c r="W239" s="1"/>
      <c r="X239" s="1"/>
      <c r="Y239" s="1"/>
      <c r="Z239" s="1"/>
      <c r="AA239" s="1"/>
      <c r="AB239" s="1"/>
      <c r="AC239" s="1"/>
      <c r="AD239" s="1"/>
      <c r="AE239" s="1"/>
      <c r="AF239" s="1"/>
      <c r="AG239" s="1"/>
      <c r="AH239" s="1"/>
      <c r="AI239" s="1"/>
      <c r="AJ239" s="1"/>
      <c r="AK239" s="1"/>
      <c r="AL239" s="1"/>
      <c r="AM239" s="1"/>
      <c r="AN239"/>
      <c r="AO239" s="228"/>
      <c r="AP239" s="189"/>
      <c r="AQ239"/>
      <c r="AR239"/>
      <c r="AS239" s="228"/>
      <c r="AT239" s="139"/>
      <c r="AU239" s="139"/>
      <c r="AV239"/>
      <c r="AW239" s="262"/>
      <c r="AX239"/>
      <c r="AY239"/>
      <c r="AZ239"/>
      <c r="BA239"/>
      <c r="BB239" s="139"/>
      <c r="BC239" s="139"/>
      <c r="BD239" s="139"/>
      <c r="BE239" s="139"/>
      <c r="BF239"/>
      <c r="BG239" s="262"/>
      <c r="BI239" s="139"/>
      <c r="BJ239" s="262"/>
      <c r="BK239"/>
      <c r="BL239" s="139"/>
      <c r="BM239" s="108"/>
      <c r="BN239" s="139"/>
      <c r="BO239" s="139"/>
      <c r="BP239" s="139"/>
      <c r="BQ239"/>
      <c r="BR239" s="262"/>
      <c r="BS239"/>
      <c r="BT239" s="139"/>
      <c r="BU239"/>
      <c r="BX239"/>
      <c r="BY239" s="139"/>
      <c r="BZ239" s="139"/>
      <c r="CA239" s="139"/>
      <c r="CB239" s="139"/>
      <c r="CC239" s="139"/>
      <c r="CD239" s="141"/>
      <c r="CE239" s="139"/>
      <c r="CF239" s="139"/>
      <c r="CG239" s="139"/>
      <c r="CH239" s="139"/>
      <c r="CI239" s="139"/>
      <c r="CJ239" s="139"/>
      <c r="CK239"/>
      <c r="CL239" s="139"/>
      <c r="CM239"/>
      <c r="CN239" s="139"/>
      <c r="CO239"/>
      <c r="CP239"/>
      <c r="CQ239" s="143"/>
      <c r="CR239" s="143"/>
      <c r="CS239"/>
      <c r="CT239" s="262"/>
      <c r="CU239"/>
      <c r="CV239"/>
      <c r="CW239"/>
      <c r="CX239" s="143"/>
      <c r="CY239" s="143"/>
      <c r="CZ239" s="143"/>
      <c r="DA239" s="143"/>
      <c r="DB239"/>
      <c r="DC239"/>
      <c r="DD239" s="143"/>
      <c r="DE239"/>
      <c r="DF239" s="143"/>
      <c r="DG239"/>
      <c r="DH239"/>
      <c r="DI239"/>
      <c r="DJ239"/>
      <c r="DK239"/>
      <c r="DL239" s="139"/>
      <c r="DM239"/>
      <c r="DN239"/>
      <c r="DO239"/>
      <c r="DP239"/>
      <c r="DQ239"/>
      <c r="DR239"/>
      <c r="DS239"/>
      <c r="DT239"/>
      <c r="DU239"/>
      <c r="DV239"/>
      <c r="DW239"/>
      <c r="DX239"/>
      <c r="DY239"/>
      <c r="DZ239"/>
      <c r="EA239"/>
      <c r="EB239"/>
      <c r="EC239" s="139"/>
      <c r="ED239" s="139"/>
      <c r="EE239" s="139"/>
      <c r="EF239" s="139"/>
      <c r="EG239" s="139"/>
      <c r="EH239" s="139"/>
      <c r="EI239" s="139"/>
      <c r="EJ239" s="139"/>
      <c r="EK239" s="139"/>
      <c r="EL239" s="139"/>
      <c r="EM239" s="139"/>
      <c r="EN239" s="139"/>
      <c r="EO239" s="139"/>
      <c r="EP239" s="139"/>
      <c r="EQ239" s="139"/>
      <c r="ER239" s="139"/>
      <c r="ES239" s="139"/>
      <c r="ET239" s="139"/>
      <c r="EU239" s="139"/>
      <c r="EV239" s="139"/>
      <c r="EW239" s="139"/>
      <c r="EX239" s="139"/>
      <c r="EY239" s="139"/>
      <c r="EZ239" s="139"/>
      <c r="FA239" s="139"/>
      <c r="FB239" s="139"/>
      <c r="FC239" s="139"/>
      <c r="FD239" s="139"/>
      <c r="FE239" s="139"/>
      <c r="FF239" s="139"/>
      <c r="FG239" s="139"/>
      <c r="FH239" s="139"/>
      <c r="FI239" s="139"/>
    </row>
    <row r="240" spans="1:165" s="31" customFormat="1" ht="15" customHeight="1">
      <c r="A240" s="1"/>
      <c r="B240" s="1"/>
      <c r="C240" s="1"/>
      <c r="D240" s="1"/>
      <c r="E240" s="1"/>
      <c r="F240" s="1"/>
      <c r="G240" s="1"/>
      <c r="H240" s="1"/>
      <c r="I240" s="1"/>
      <c r="J240" s="1"/>
      <c r="K240" s="1"/>
      <c r="L240" s="1"/>
      <c r="M240" s="1"/>
      <c r="N240" s="1"/>
      <c r="O240" s="1"/>
      <c r="P240"/>
      <c r="Q240" s="130"/>
      <c r="R240" s="1"/>
      <c r="S240" s="1"/>
      <c r="T240" s="1"/>
      <c r="U240" s="1"/>
      <c r="V240" s="1"/>
      <c r="W240" s="1"/>
      <c r="X240" s="1"/>
      <c r="Y240" s="1"/>
      <c r="Z240" s="1"/>
      <c r="AA240" s="1"/>
      <c r="AB240" s="1"/>
      <c r="AC240" s="1"/>
      <c r="AD240" s="1"/>
      <c r="AE240" s="1"/>
      <c r="AF240" s="1"/>
      <c r="AG240" s="1"/>
      <c r="AH240" s="1"/>
      <c r="AI240" s="1"/>
      <c r="AJ240" s="1"/>
      <c r="AK240" s="1"/>
      <c r="AL240" s="1"/>
      <c r="AM240" s="1"/>
      <c r="AN240"/>
      <c r="AO240" s="228"/>
      <c r="AP240" s="189"/>
      <c r="AQ240"/>
      <c r="AR240"/>
      <c r="AS240" s="228"/>
      <c r="AT240" s="139"/>
      <c r="AU240" s="139"/>
      <c r="AV240"/>
      <c r="AW240" s="262"/>
      <c r="AX240"/>
      <c r="AY240"/>
      <c r="AZ240"/>
      <c r="BA240"/>
      <c r="BB240" s="139"/>
      <c r="BC240" s="139"/>
      <c r="BD240" s="139"/>
      <c r="BE240" s="139"/>
      <c r="BF240"/>
      <c r="BG240" s="262"/>
      <c r="BI240" s="139"/>
      <c r="BJ240" s="262"/>
      <c r="BK240"/>
      <c r="BL240" s="139"/>
      <c r="BM240" s="108"/>
      <c r="BN240" s="139"/>
      <c r="BO240" s="139"/>
      <c r="BP240" s="139"/>
      <c r="BQ240"/>
      <c r="BR240" s="262"/>
      <c r="BS240"/>
      <c r="BT240" s="139"/>
      <c r="BU240"/>
      <c r="BX240"/>
      <c r="BY240" s="139"/>
      <c r="BZ240" s="139"/>
      <c r="CA240" s="139"/>
      <c r="CB240" s="139"/>
      <c r="CC240" s="139"/>
      <c r="CD240" s="141"/>
      <c r="CE240" s="139"/>
      <c r="CF240" s="139"/>
      <c r="CG240" s="139"/>
      <c r="CH240" s="139"/>
      <c r="CI240" s="139"/>
      <c r="CJ240" s="139"/>
      <c r="CK240"/>
      <c r="CL240" s="139"/>
      <c r="CM240"/>
      <c r="CN240" s="139"/>
      <c r="CO240"/>
      <c r="CP240"/>
      <c r="CQ240" s="143"/>
      <c r="CR240" s="143"/>
      <c r="CS240"/>
      <c r="CT240" s="262"/>
      <c r="CU240"/>
      <c r="CV240"/>
      <c r="CW240"/>
      <c r="CX240" s="143"/>
      <c r="CY240" s="143"/>
      <c r="CZ240" s="143"/>
      <c r="DA240" s="143"/>
      <c r="DB240"/>
      <c r="DC240"/>
      <c r="DD240" s="143"/>
      <c r="DE240"/>
      <c r="DF240" s="143"/>
      <c r="DG240"/>
      <c r="DH240"/>
      <c r="DI240"/>
      <c r="DJ240"/>
      <c r="DK240"/>
      <c r="DL240" s="139"/>
      <c r="DM240"/>
      <c r="DN240"/>
      <c r="DO240"/>
      <c r="DP240"/>
      <c r="DQ240"/>
      <c r="DR240"/>
      <c r="DS240"/>
      <c r="DT240"/>
      <c r="DU240"/>
      <c r="DV240"/>
      <c r="DW240"/>
      <c r="DX240"/>
      <c r="DY240"/>
      <c r="DZ240"/>
      <c r="EA240"/>
      <c r="EB240"/>
      <c r="EC240" s="139"/>
      <c r="ED240" s="139"/>
      <c r="EE240" s="139"/>
      <c r="EF240" s="139"/>
      <c r="EG240" s="139"/>
      <c r="EH240" s="139"/>
      <c r="EI240" s="139"/>
      <c r="EJ240" s="139"/>
      <c r="EK240" s="139"/>
      <c r="EL240" s="139"/>
      <c r="EM240" s="139"/>
      <c r="EN240" s="139"/>
      <c r="EO240" s="139"/>
      <c r="EP240" s="139"/>
      <c r="EQ240" s="139"/>
      <c r="ER240" s="139"/>
      <c r="ES240" s="139"/>
      <c r="ET240" s="139"/>
      <c r="EU240" s="139"/>
      <c r="EV240" s="139"/>
      <c r="EW240" s="139"/>
      <c r="EX240" s="139"/>
      <c r="EY240" s="139"/>
      <c r="EZ240" s="139"/>
      <c r="FA240" s="139"/>
      <c r="FB240" s="139"/>
      <c r="FC240" s="139"/>
      <c r="FD240" s="139"/>
      <c r="FE240" s="139"/>
      <c r="FF240" s="139"/>
      <c r="FG240" s="139"/>
      <c r="FH240" s="139"/>
      <c r="FI240" s="139"/>
    </row>
    <row r="241" spans="1:165" s="31" customFormat="1" ht="15" customHeight="1">
      <c r="A241" s="1"/>
      <c r="B241" s="1"/>
      <c r="C241" s="1"/>
      <c r="D241" s="1"/>
      <c r="E241" s="1"/>
      <c r="F241" s="1"/>
      <c r="G241" s="1"/>
      <c r="H241" s="1"/>
      <c r="I241" s="1"/>
      <c r="J241" s="1"/>
      <c r="K241" s="1"/>
      <c r="L241" s="1"/>
      <c r="M241" s="1"/>
      <c r="N241" s="1"/>
      <c r="O241" s="1"/>
      <c r="P241"/>
      <c r="Q241" s="130"/>
      <c r="R241" s="1"/>
      <c r="S241" s="1"/>
      <c r="T241" s="1"/>
      <c r="U241" s="1"/>
      <c r="V241" s="1"/>
      <c r="W241" s="1"/>
      <c r="X241" s="1"/>
      <c r="Y241" s="1"/>
      <c r="Z241" s="1"/>
      <c r="AA241" s="1"/>
      <c r="AB241" s="1"/>
      <c r="AC241" s="1"/>
      <c r="AD241" s="1"/>
      <c r="AE241" s="1"/>
      <c r="AF241" s="1"/>
      <c r="AG241" s="1"/>
      <c r="AH241" s="1"/>
      <c r="AI241" s="1"/>
      <c r="AJ241" s="1"/>
      <c r="AK241" s="1"/>
      <c r="AL241" s="1"/>
      <c r="AM241" s="1"/>
      <c r="AN241"/>
      <c r="AO241" s="228"/>
      <c r="AP241" s="189"/>
      <c r="AQ241"/>
      <c r="AR241"/>
      <c r="AS241" s="228"/>
      <c r="AT241" s="139"/>
      <c r="AU241" s="139"/>
      <c r="AV241"/>
      <c r="AW241" s="262"/>
      <c r="AX241"/>
      <c r="AY241"/>
      <c r="AZ241"/>
      <c r="BA241"/>
      <c r="BB241" s="139"/>
      <c r="BC241" s="139"/>
      <c r="BD241" s="139"/>
      <c r="BE241" s="139"/>
      <c r="BF241"/>
      <c r="BG241" s="262"/>
      <c r="BI241" s="139"/>
      <c r="BJ241" s="262"/>
      <c r="BK241"/>
      <c r="BL241" s="139"/>
      <c r="BM241" s="108"/>
      <c r="BN241" s="139"/>
      <c r="BO241" s="139"/>
      <c r="BP241" s="139"/>
      <c r="BQ241"/>
      <c r="BR241" s="262"/>
      <c r="BS241"/>
      <c r="BT241" s="139"/>
      <c r="BU241"/>
      <c r="BX241"/>
      <c r="BY241" s="139"/>
      <c r="BZ241" s="139"/>
      <c r="CA241" s="139"/>
      <c r="CB241" s="139"/>
      <c r="CC241" s="139"/>
      <c r="CD241" s="141"/>
      <c r="CE241" s="139"/>
      <c r="CF241" s="139"/>
      <c r="CG241" s="139"/>
      <c r="CH241" s="139"/>
      <c r="CI241" s="139"/>
      <c r="CJ241" s="139"/>
      <c r="CK241"/>
      <c r="CL241" s="139"/>
      <c r="CM241"/>
      <c r="CN241" s="139"/>
      <c r="CO241"/>
      <c r="CP241"/>
      <c r="CQ241" s="143"/>
      <c r="CR241" s="143"/>
      <c r="CS241"/>
      <c r="CT241" s="262"/>
      <c r="CU241"/>
      <c r="CV241"/>
      <c r="CW241"/>
      <c r="CX241" s="143"/>
      <c r="CY241" s="143"/>
      <c r="CZ241" s="143"/>
      <c r="DA241" s="143"/>
      <c r="DB241"/>
      <c r="DC241"/>
      <c r="DD241" s="143"/>
      <c r="DE241"/>
      <c r="DF241" s="143"/>
      <c r="DG241"/>
      <c r="DH241"/>
      <c r="DI241"/>
      <c r="DJ241"/>
      <c r="DK241"/>
      <c r="DL241" s="139"/>
      <c r="DM241"/>
      <c r="DN241"/>
      <c r="DO241"/>
      <c r="DP241"/>
      <c r="DQ241"/>
      <c r="DR241"/>
      <c r="DS241"/>
      <c r="DT241"/>
      <c r="DU241"/>
      <c r="DV241"/>
      <c r="DW241"/>
      <c r="DX241"/>
      <c r="DY241"/>
      <c r="DZ241"/>
      <c r="EA241"/>
      <c r="EB241"/>
      <c r="EC241" s="139"/>
      <c r="ED241" s="139"/>
      <c r="EE241" s="139"/>
      <c r="EF241" s="139"/>
      <c r="EG241" s="139"/>
      <c r="EH241" s="139"/>
      <c r="EI241" s="139"/>
      <c r="EJ241" s="139"/>
      <c r="EK241" s="139"/>
      <c r="EL241" s="139"/>
      <c r="EM241" s="139"/>
      <c r="EN241" s="139"/>
      <c r="EO241" s="139"/>
      <c r="EP241" s="139"/>
      <c r="EQ241" s="139"/>
      <c r="ER241" s="139"/>
      <c r="ES241" s="139"/>
      <c r="ET241" s="139"/>
      <c r="EU241" s="139"/>
      <c r="EV241" s="139"/>
      <c r="EW241" s="139"/>
      <c r="EX241" s="139"/>
      <c r="EY241" s="139"/>
      <c r="EZ241" s="139"/>
      <c r="FA241" s="139"/>
      <c r="FB241" s="139"/>
      <c r="FC241" s="139"/>
      <c r="FD241" s="139"/>
      <c r="FE241" s="139"/>
      <c r="FF241" s="139"/>
      <c r="FG241" s="139"/>
      <c r="FH241" s="139"/>
      <c r="FI241" s="139"/>
    </row>
    <row r="242" spans="1:165" s="31" customFormat="1" ht="15" customHeight="1">
      <c r="A242" s="1"/>
      <c r="B242" s="1"/>
      <c r="C242" s="1"/>
      <c r="D242" s="1"/>
      <c r="E242" s="1"/>
      <c r="F242" s="1"/>
      <c r="G242" s="1"/>
      <c r="H242" s="1"/>
      <c r="I242" s="1"/>
      <c r="J242" s="1"/>
      <c r="K242" s="1"/>
      <c r="L242" s="1"/>
      <c r="M242" s="1"/>
      <c r="N242" s="1"/>
      <c r="O242" s="1"/>
      <c r="P242"/>
      <c r="Q242" s="130"/>
      <c r="R242" s="1"/>
      <c r="S242" s="1"/>
      <c r="T242" s="1"/>
      <c r="U242" s="1"/>
      <c r="V242" s="1"/>
      <c r="W242" s="1"/>
      <c r="X242" s="1"/>
      <c r="Y242" s="1"/>
      <c r="Z242" s="1"/>
      <c r="AA242" s="1"/>
      <c r="AB242" s="1"/>
      <c r="AC242" s="1"/>
      <c r="AD242" s="1"/>
      <c r="AE242" s="1"/>
      <c r="AF242" s="1"/>
      <c r="AG242" s="1"/>
      <c r="AH242" s="1"/>
      <c r="AI242" s="1"/>
      <c r="AJ242" s="1"/>
      <c r="AK242" s="1"/>
      <c r="AL242" s="1"/>
      <c r="AM242" s="1"/>
      <c r="AN242"/>
      <c r="AO242" s="228"/>
      <c r="AP242" s="189"/>
      <c r="AQ242"/>
      <c r="AR242"/>
      <c r="AS242" s="228"/>
      <c r="AT242" s="139"/>
      <c r="AU242" s="139"/>
      <c r="AV242"/>
      <c r="AW242" s="262"/>
      <c r="AX242"/>
      <c r="AY242"/>
      <c r="AZ242"/>
      <c r="BA242"/>
      <c r="BB242" s="139"/>
      <c r="BC242" s="139"/>
      <c r="BD242" s="139"/>
      <c r="BE242" s="139"/>
      <c r="BF242"/>
      <c r="BG242" s="262"/>
      <c r="BI242" s="139"/>
      <c r="BJ242" s="262"/>
      <c r="BK242"/>
      <c r="BL242" s="139"/>
      <c r="BM242" s="108"/>
      <c r="BN242" s="139"/>
      <c r="BO242" s="139"/>
      <c r="BP242" s="139"/>
      <c r="BQ242"/>
      <c r="BR242" s="262"/>
      <c r="BS242"/>
      <c r="BT242" s="139"/>
      <c r="BU242"/>
      <c r="BX242"/>
      <c r="BY242" s="139"/>
      <c r="BZ242" s="139"/>
      <c r="CA242" s="139"/>
      <c r="CB242" s="139"/>
      <c r="CC242" s="139"/>
      <c r="CD242" s="141"/>
      <c r="CE242" s="139"/>
      <c r="CF242" s="139"/>
      <c r="CG242" s="139"/>
      <c r="CH242" s="139"/>
      <c r="CI242" s="139"/>
      <c r="CJ242" s="139"/>
      <c r="CK242"/>
      <c r="CL242" s="139"/>
      <c r="CM242"/>
      <c r="CN242" s="139"/>
      <c r="CO242"/>
      <c r="CP242"/>
      <c r="CQ242" s="143"/>
      <c r="CR242" s="143"/>
      <c r="CS242"/>
      <c r="CT242" s="262"/>
      <c r="CU242"/>
      <c r="CV242"/>
      <c r="CW242"/>
      <c r="CX242" s="143"/>
      <c r="CY242" s="143"/>
      <c r="CZ242" s="143"/>
      <c r="DA242" s="143"/>
      <c r="DB242"/>
      <c r="DC242"/>
      <c r="DD242" s="143"/>
      <c r="DE242"/>
      <c r="DF242" s="143"/>
      <c r="DG242"/>
      <c r="DH242"/>
      <c r="DI242"/>
      <c r="DJ242"/>
      <c r="DK242"/>
      <c r="DL242" s="139"/>
      <c r="DM242"/>
      <c r="DN242"/>
      <c r="DO242"/>
      <c r="DP242"/>
      <c r="DQ242"/>
      <c r="DR242"/>
      <c r="DS242"/>
      <c r="DT242"/>
      <c r="DU242"/>
      <c r="DV242"/>
      <c r="DW242"/>
      <c r="DX242"/>
      <c r="DY242"/>
      <c r="DZ242"/>
      <c r="EA242"/>
      <c r="EB242"/>
      <c r="EC242" s="139"/>
      <c r="ED242" s="139"/>
      <c r="EE242" s="139"/>
      <c r="EF242" s="139"/>
      <c r="EG242" s="139"/>
      <c r="EH242" s="139"/>
      <c r="EI242" s="139"/>
      <c r="EJ242" s="139"/>
      <c r="EK242" s="139"/>
      <c r="EL242" s="139"/>
      <c r="EM242" s="139"/>
      <c r="EN242" s="139"/>
      <c r="EO242" s="139"/>
      <c r="EP242" s="139"/>
      <c r="EQ242" s="139"/>
      <c r="ER242" s="139"/>
      <c r="ES242" s="139"/>
      <c r="ET242" s="139"/>
      <c r="EU242" s="139"/>
      <c r="EV242" s="139"/>
      <c r="EW242" s="139"/>
      <c r="EX242" s="139"/>
      <c r="EY242" s="139"/>
      <c r="EZ242" s="139"/>
      <c r="FA242" s="139"/>
      <c r="FB242" s="139"/>
      <c r="FC242" s="139"/>
      <c r="FD242" s="139"/>
      <c r="FE242" s="139"/>
      <c r="FF242" s="139"/>
      <c r="FG242" s="139"/>
      <c r="FH242" s="139"/>
      <c r="FI242" s="139"/>
    </row>
    <row r="243" spans="1:165" s="31" customFormat="1" ht="15" customHeight="1">
      <c r="A243" s="1"/>
      <c r="B243" s="1"/>
      <c r="C243" s="1"/>
      <c r="D243" s="1"/>
      <c r="E243" s="1"/>
      <c r="F243" s="1"/>
      <c r="G243" s="1"/>
      <c r="H243" s="1"/>
      <c r="I243" s="1"/>
      <c r="J243" s="1"/>
      <c r="K243" s="1"/>
      <c r="L243" s="1"/>
      <c r="M243" s="1"/>
      <c r="N243" s="1"/>
      <c r="O243" s="1"/>
      <c r="P243"/>
      <c r="Q243" s="130"/>
      <c r="R243" s="1"/>
      <c r="S243" s="1"/>
      <c r="T243" s="1"/>
      <c r="U243" s="1"/>
      <c r="V243" s="1"/>
      <c r="W243" s="1"/>
      <c r="X243" s="1"/>
      <c r="Y243" s="1"/>
      <c r="Z243" s="1"/>
      <c r="AA243" s="1"/>
      <c r="AB243" s="1"/>
      <c r="AC243" s="1"/>
      <c r="AD243" s="1"/>
      <c r="AE243" s="1"/>
      <c r="AF243" s="1"/>
      <c r="AG243" s="1"/>
      <c r="AH243" s="1"/>
      <c r="AI243" s="1"/>
      <c r="AJ243" s="1"/>
      <c r="AK243" s="1"/>
      <c r="AL243" s="1"/>
      <c r="AM243" s="1"/>
      <c r="AN243"/>
      <c r="AO243" s="228"/>
      <c r="AP243" s="189"/>
      <c r="AQ243"/>
      <c r="AR243"/>
      <c r="AS243" s="228"/>
      <c r="AT243" s="139"/>
      <c r="AU243" s="139"/>
      <c r="AV243"/>
      <c r="AW243" s="262"/>
      <c r="AX243"/>
      <c r="AY243"/>
      <c r="AZ243"/>
      <c r="BA243"/>
      <c r="BB243" s="139"/>
      <c r="BC243" s="139"/>
      <c r="BD243" s="139"/>
      <c r="BE243" s="139"/>
      <c r="BF243"/>
      <c r="BG243" s="262"/>
      <c r="BI243" s="139"/>
      <c r="BJ243" s="262"/>
      <c r="BK243"/>
      <c r="BL243" s="139"/>
      <c r="BM243" s="108"/>
      <c r="BN243" s="139"/>
      <c r="BO243" s="139"/>
      <c r="BP243" s="139"/>
      <c r="BQ243"/>
      <c r="BR243" s="262"/>
      <c r="BS243"/>
      <c r="BT243" s="139"/>
      <c r="BU243"/>
      <c r="BX243"/>
      <c r="BY243" s="139"/>
      <c r="BZ243" s="139"/>
      <c r="CA243" s="139"/>
      <c r="CB243" s="139"/>
      <c r="CC243" s="139"/>
      <c r="CD243" s="141"/>
      <c r="CE243" s="139"/>
      <c r="CF243" s="139"/>
      <c r="CG243" s="139"/>
      <c r="CH243" s="139"/>
      <c r="CI243" s="139"/>
      <c r="CJ243" s="139"/>
      <c r="CK243"/>
      <c r="CL243" s="139"/>
      <c r="CM243"/>
      <c r="CN243" s="139"/>
      <c r="CO243"/>
      <c r="CP243"/>
      <c r="CQ243" s="143"/>
      <c r="CR243" s="143"/>
      <c r="CS243"/>
      <c r="CT243" s="262"/>
      <c r="CU243"/>
      <c r="CV243"/>
      <c r="CW243"/>
      <c r="CX243" s="143"/>
      <c r="CY243" s="143"/>
      <c r="CZ243" s="143"/>
      <c r="DA243" s="143"/>
      <c r="DB243"/>
      <c r="DC243"/>
      <c r="DD243" s="143"/>
      <c r="DE243"/>
      <c r="DF243" s="143"/>
      <c r="DG243"/>
      <c r="DH243"/>
      <c r="DI243"/>
      <c r="DJ243"/>
      <c r="DK243"/>
      <c r="DL243" s="139"/>
      <c r="DM243"/>
      <c r="DN243"/>
      <c r="DO243"/>
      <c r="DP243"/>
      <c r="DQ243"/>
      <c r="DR243"/>
      <c r="DS243"/>
      <c r="DT243"/>
      <c r="DU243"/>
      <c r="DV243"/>
      <c r="DW243"/>
      <c r="DX243"/>
      <c r="DY243"/>
      <c r="DZ243"/>
      <c r="EA243"/>
      <c r="EB243"/>
      <c r="EC243" s="139"/>
      <c r="ED243" s="139"/>
      <c r="EE243" s="139"/>
      <c r="EF243" s="139"/>
      <c r="EG243" s="139"/>
      <c r="EH243" s="139"/>
      <c r="EI243" s="139"/>
      <c r="EJ243" s="139"/>
      <c r="EK243" s="139"/>
      <c r="EL243" s="139"/>
      <c r="EM243" s="139"/>
      <c r="EN243" s="139"/>
      <c r="EO243" s="139"/>
      <c r="EP243" s="139"/>
      <c r="EQ243" s="139"/>
      <c r="ER243" s="139"/>
      <c r="ES243" s="139"/>
      <c r="ET243" s="139"/>
      <c r="EU243" s="139"/>
      <c r="EV243" s="139"/>
      <c r="EW243" s="139"/>
      <c r="EX243" s="139"/>
      <c r="EY243" s="139"/>
      <c r="EZ243" s="139"/>
      <c r="FA243" s="139"/>
      <c r="FB243" s="139"/>
      <c r="FC243" s="139"/>
      <c r="FD243" s="139"/>
      <c r="FE243" s="139"/>
      <c r="FF243" s="139"/>
      <c r="FG243" s="139"/>
      <c r="FH243" s="139"/>
      <c r="FI243" s="139"/>
    </row>
    <row r="244" spans="1:165" s="31" customFormat="1" ht="15" customHeight="1">
      <c r="A244" s="1"/>
      <c r="B244" s="1"/>
      <c r="C244" s="1"/>
      <c r="D244" s="1"/>
      <c r="E244" s="1"/>
      <c r="F244" s="1"/>
      <c r="G244" s="1"/>
      <c r="H244" s="1"/>
      <c r="I244" s="1"/>
      <c r="J244" s="1"/>
      <c r="K244" s="1"/>
      <c r="L244" s="1"/>
      <c r="M244" s="1"/>
      <c r="N244" s="1"/>
      <c r="O244" s="1"/>
      <c r="P244"/>
      <c r="Q244" s="130"/>
      <c r="R244" s="1"/>
      <c r="S244" s="1"/>
      <c r="T244" s="1"/>
      <c r="U244" s="1"/>
      <c r="V244" s="1"/>
      <c r="W244" s="1"/>
      <c r="X244" s="1"/>
      <c r="Y244" s="1"/>
      <c r="Z244" s="1"/>
      <c r="AA244" s="1"/>
      <c r="AB244" s="1"/>
      <c r="AC244" s="1"/>
      <c r="AD244" s="1"/>
      <c r="AE244" s="1"/>
      <c r="AF244" s="1"/>
      <c r="AG244" s="1"/>
      <c r="AH244" s="1"/>
      <c r="AI244" s="1"/>
      <c r="AJ244" s="1"/>
      <c r="AK244" s="1"/>
      <c r="AL244" s="1"/>
      <c r="AM244" s="1"/>
      <c r="AN244"/>
      <c r="AO244" s="228"/>
      <c r="AP244" s="189"/>
      <c r="AQ244"/>
      <c r="AR244"/>
      <c r="AS244" s="228"/>
      <c r="AT244" s="139"/>
      <c r="AU244" s="139"/>
      <c r="AV244"/>
      <c r="AW244" s="262"/>
      <c r="AX244"/>
      <c r="AY244"/>
      <c r="AZ244"/>
      <c r="BA244"/>
      <c r="BB244" s="139"/>
      <c r="BC244" s="139"/>
      <c r="BD244" s="139"/>
      <c r="BE244" s="139"/>
      <c r="BF244"/>
      <c r="BG244" s="262"/>
      <c r="BI244" s="139"/>
      <c r="BJ244" s="262"/>
      <c r="BK244"/>
      <c r="BL244" s="139"/>
      <c r="BM244" s="108"/>
      <c r="BN244" s="139"/>
      <c r="BO244" s="139"/>
      <c r="BP244" s="139"/>
      <c r="BQ244"/>
      <c r="BR244" s="262"/>
      <c r="BS244"/>
      <c r="BT244" s="139"/>
      <c r="BU244"/>
      <c r="BX244"/>
      <c r="BY244" s="139"/>
      <c r="BZ244" s="139"/>
      <c r="CA244" s="139"/>
      <c r="CB244" s="139"/>
      <c r="CC244" s="139"/>
      <c r="CD244" s="141"/>
      <c r="CE244" s="139"/>
      <c r="CF244" s="139"/>
      <c r="CG244" s="139"/>
      <c r="CH244" s="139"/>
      <c r="CI244" s="139"/>
      <c r="CJ244" s="139"/>
      <c r="CK244"/>
      <c r="CL244" s="139"/>
      <c r="CM244"/>
      <c r="CN244" s="139"/>
      <c r="CO244"/>
      <c r="CP244"/>
      <c r="CQ244" s="143"/>
      <c r="CR244" s="143"/>
      <c r="CS244"/>
      <c r="CT244" s="262"/>
      <c r="CU244"/>
      <c r="CV244"/>
      <c r="CW244"/>
      <c r="CX244" s="143"/>
      <c r="CY244" s="143"/>
      <c r="CZ244" s="143"/>
      <c r="DA244" s="143"/>
      <c r="DB244"/>
      <c r="DC244"/>
      <c r="DD244" s="143"/>
      <c r="DE244"/>
      <c r="DF244" s="143"/>
      <c r="DG244"/>
      <c r="DH244"/>
      <c r="DI244"/>
      <c r="DJ244"/>
      <c r="DK244"/>
      <c r="DL244" s="139"/>
      <c r="DM244"/>
      <c r="DN244"/>
      <c r="DO244"/>
      <c r="DP244"/>
      <c r="DQ244"/>
      <c r="DR244"/>
      <c r="DS244"/>
      <c r="DT244"/>
      <c r="DU244"/>
      <c r="DV244"/>
      <c r="DW244"/>
      <c r="DX244"/>
      <c r="DY244"/>
      <c r="DZ244"/>
      <c r="EA244"/>
      <c r="EB244"/>
      <c r="EC244" s="139"/>
      <c r="ED244" s="139"/>
      <c r="EE244" s="139"/>
      <c r="EF244" s="139"/>
      <c r="EG244" s="139"/>
      <c r="EH244" s="139"/>
      <c r="EI244" s="139"/>
      <c r="EJ244" s="139"/>
      <c r="EK244" s="139"/>
      <c r="EL244" s="139"/>
      <c r="EM244" s="139"/>
      <c r="EN244" s="139"/>
      <c r="EO244" s="139"/>
      <c r="EP244" s="139"/>
      <c r="EQ244" s="139"/>
      <c r="ER244" s="139"/>
      <c r="ES244" s="139"/>
      <c r="ET244" s="139"/>
      <c r="EU244" s="139"/>
      <c r="EV244" s="139"/>
      <c r="EW244" s="139"/>
      <c r="EX244" s="139"/>
      <c r="EY244" s="139"/>
      <c r="EZ244" s="139"/>
      <c r="FA244" s="139"/>
      <c r="FB244" s="139"/>
      <c r="FC244" s="139"/>
      <c r="FD244" s="139"/>
      <c r="FE244" s="139"/>
      <c r="FF244" s="139"/>
      <c r="FG244" s="139"/>
      <c r="FH244" s="139"/>
      <c r="FI244" s="139"/>
    </row>
    <row r="245" spans="1:165" s="31" customFormat="1" ht="15" customHeight="1">
      <c r="A245" s="1"/>
      <c r="B245" s="1"/>
      <c r="C245" s="1"/>
      <c r="D245" s="1"/>
      <c r="E245" s="1"/>
      <c r="F245" s="1"/>
      <c r="G245" s="1"/>
      <c r="H245" s="1"/>
      <c r="I245" s="1"/>
      <c r="J245" s="1"/>
      <c r="K245" s="1"/>
      <c r="L245" s="1"/>
      <c r="M245" s="1"/>
      <c r="N245" s="1"/>
      <c r="O245" s="1"/>
      <c r="P245"/>
      <c r="Q245" s="130"/>
      <c r="R245" s="1"/>
      <c r="S245" s="1"/>
      <c r="T245" s="1"/>
      <c r="U245" s="1"/>
      <c r="V245" s="1"/>
      <c r="W245" s="1"/>
      <c r="X245" s="1"/>
      <c r="Y245" s="1"/>
      <c r="Z245" s="1"/>
      <c r="AA245" s="1"/>
      <c r="AB245" s="1"/>
      <c r="AC245" s="1"/>
      <c r="AD245" s="1"/>
      <c r="AE245" s="1"/>
      <c r="AF245" s="1"/>
      <c r="AG245" s="1"/>
      <c r="AH245" s="1"/>
      <c r="AI245" s="1"/>
      <c r="AJ245" s="1"/>
      <c r="AK245" s="1"/>
      <c r="AL245" s="1"/>
      <c r="AM245" s="1"/>
      <c r="AN245"/>
      <c r="AO245" s="228"/>
      <c r="AP245" s="189"/>
      <c r="AQ245"/>
      <c r="AR245"/>
      <c r="AS245" s="228"/>
      <c r="AT245" s="139"/>
      <c r="AU245" s="139"/>
      <c r="AV245"/>
      <c r="AW245" s="262"/>
      <c r="AX245"/>
      <c r="AY245"/>
      <c r="AZ245"/>
      <c r="BA245"/>
      <c r="BB245" s="139"/>
      <c r="BC245" s="139"/>
      <c r="BD245" s="139"/>
      <c r="BE245" s="139"/>
      <c r="BF245"/>
      <c r="BG245" s="262"/>
      <c r="BI245" s="139"/>
      <c r="BJ245" s="262"/>
      <c r="BK245"/>
      <c r="BL245" s="139"/>
      <c r="BM245" s="108"/>
      <c r="BN245" s="139"/>
      <c r="BO245" s="139"/>
      <c r="BP245" s="139"/>
      <c r="BQ245"/>
      <c r="BR245" s="262"/>
      <c r="BS245"/>
      <c r="BT245" s="139"/>
      <c r="BU245"/>
      <c r="BX245"/>
      <c r="BY245" s="139"/>
      <c r="BZ245" s="139"/>
      <c r="CA245" s="139"/>
      <c r="CB245" s="139"/>
      <c r="CC245" s="139"/>
      <c r="CD245" s="141"/>
      <c r="CE245" s="139"/>
      <c r="CF245" s="139"/>
      <c r="CG245" s="139"/>
      <c r="CH245" s="139"/>
      <c r="CI245" s="139"/>
      <c r="CJ245" s="139"/>
      <c r="CK245"/>
      <c r="CL245" s="139"/>
      <c r="CM245"/>
      <c r="CN245" s="139"/>
      <c r="CO245"/>
      <c r="CP245"/>
      <c r="CQ245" s="143"/>
      <c r="CR245" s="143"/>
      <c r="CS245"/>
      <c r="CT245" s="262"/>
      <c r="CU245"/>
      <c r="CV245"/>
      <c r="CW245"/>
      <c r="CX245" s="143"/>
      <c r="CY245" s="143"/>
      <c r="CZ245" s="143"/>
      <c r="DA245" s="143"/>
      <c r="DB245"/>
      <c r="DC245"/>
      <c r="DD245" s="143"/>
      <c r="DE245"/>
      <c r="DF245" s="143"/>
      <c r="DG245"/>
      <c r="DH245"/>
      <c r="DI245"/>
      <c r="DJ245"/>
      <c r="DK245"/>
      <c r="DL245" s="139"/>
      <c r="DM245"/>
      <c r="DN245" s="26"/>
      <c r="DO245" s="26"/>
      <c r="DP245"/>
      <c r="DQ245" s="262"/>
      <c r="DR245"/>
      <c r="DS245"/>
      <c r="DT245"/>
      <c r="DU245" s="139"/>
      <c r="DV245" s="139"/>
      <c r="DW245" s="139"/>
      <c r="DX245" s="139"/>
      <c r="DY245" s="139"/>
      <c r="DZ245" s="139"/>
      <c r="EA245" s="139"/>
      <c r="EB245" s="139"/>
      <c r="EC245" s="139"/>
      <c r="ED245" s="139"/>
      <c r="EE245" s="139"/>
      <c r="EF245" s="139"/>
      <c r="EG245" s="139"/>
      <c r="EH245" s="139"/>
      <c r="EI245" s="139"/>
      <c r="EJ245" s="139"/>
      <c r="EK245" s="139"/>
      <c r="EL245" s="139"/>
      <c r="EM245" s="139"/>
      <c r="EN245" s="139"/>
      <c r="EO245" s="139"/>
      <c r="EP245" s="139"/>
      <c r="EQ245" s="139"/>
      <c r="ER245" s="139"/>
      <c r="ES245" s="139"/>
      <c r="ET245" s="139"/>
      <c r="EU245" s="139"/>
      <c r="EV245" s="139"/>
      <c r="EW245" s="139"/>
      <c r="EX245" s="139"/>
      <c r="EY245" s="139"/>
      <c r="EZ245" s="139"/>
      <c r="FA245" s="139"/>
      <c r="FB245" s="139"/>
      <c r="FC245" s="139"/>
      <c r="FD245" s="139"/>
      <c r="FE245" s="139"/>
      <c r="FF245" s="139"/>
      <c r="FG245" s="139"/>
      <c r="FH245" s="139"/>
      <c r="FI245" s="139"/>
    </row>
    <row r="246" spans="1:165" s="31" customFormat="1" ht="15" customHeight="1">
      <c r="A246" s="1"/>
      <c r="B246" s="1"/>
      <c r="C246" s="1"/>
      <c r="D246" s="1"/>
      <c r="E246" s="1"/>
      <c r="F246" s="1"/>
      <c r="G246" s="1"/>
      <c r="H246" s="1"/>
      <c r="I246" s="1"/>
      <c r="J246" s="1"/>
      <c r="K246" s="1"/>
      <c r="L246" s="1"/>
      <c r="M246" s="1"/>
      <c r="N246" s="1"/>
      <c r="O246" s="1"/>
      <c r="P246"/>
      <c r="Q246" s="130"/>
      <c r="R246" s="1"/>
      <c r="S246" s="1"/>
      <c r="T246" s="1"/>
      <c r="U246" s="1"/>
      <c r="V246" s="1"/>
      <c r="W246" s="1"/>
      <c r="X246" s="1"/>
      <c r="Y246" s="1"/>
      <c r="Z246" s="1"/>
      <c r="AA246" s="1"/>
      <c r="AB246" s="1"/>
      <c r="AC246" s="1"/>
      <c r="AD246" s="1"/>
      <c r="AE246" s="1"/>
      <c r="AF246" s="1"/>
      <c r="AG246" s="1"/>
      <c r="AH246" s="1"/>
      <c r="AI246" s="1"/>
      <c r="AJ246" s="1"/>
      <c r="AK246" s="1"/>
      <c r="AL246" s="1"/>
      <c r="AM246" s="1"/>
      <c r="AN246"/>
      <c r="AO246" s="228"/>
      <c r="AP246" s="189"/>
      <c r="AQ246"/>
      <c r="AR246"/>
      <c r="AS246" s="228"/>
      <c r="AT246" s="139"/>
      <c r="AU246" s="139"/>
      <c r="AV246"/>
      <c r="AW246" s="262"/>
      <c r="AX246"/>
      <c r="AY246"/>
      <c r="AZ246"/>
      <c r="BA246"/>
      <c r="BB246" s="139"/>
      <c r="BC246" s="139"/>
      <c r="BD246" s="139"/>
      <c r="BE246" s="139"/>
      <c r="BF246"/>
      <c r="BG246" s="262"/>
      <c r="BI246" s="139"/>
      <c r="BJ246" s="262"/>
      <c r="BK246"/>
      <c r="BL246" s="139"/>
      <c r="BM246" s="108"/>
      <c r="BN246" s="139"/>
      <c r="BO246" s="139"/>
      <c r="BP246" s="139"/>
      <c r="BQ246"/>
      <c r="BR246" s="262"/>
      <c r="BS246"/>
      <c r="BT246" s="139"/>
      <c r="BU246"/>
      <c r="BX246"/>
      <c r="BY246" s="139"/>
      <c r="BZ246" s="139"/>
      <c r="CA246" s="139"/>
      <c r="CB246" s="139"/>
      <c r="CC246" s="139"/>
      <c r="CD246" s="141"/>
      <c r="CE246" s="139"/>
      <c r="CF246" s="139"/>
      <c r="CG246" s="139"/>
      <c r="CH246" s="139"/>
      <c r="CI246" s="139"/>
      <c r="CJ246" s="139"/>
      <c r="CK246"/>
      <c r="CL246" s="139"/>
      <c r="CM246"/>
      <c r="CN246" s="139"/>
      <c r="CO246"/>
      <c r="CP246"/>
      <c r="CQ246" s="143"/>
      <c r="CR246" s="143"/>
      <c r="CS246"/>
      <c r="CT246" s="262"/>
      <c r="CU246"/>
      <c r="CV246"/>
      <c r="CW246"/>
      <c r="CX246" s="143"/>
      <c r="CY246" s="143"/>
      <c r="CZ246" s="143"/>
      <c r="DA246" s="143"/>
      <c r="DB246"/>
      <c r="DC246"/>
      <c r="DD246" s="143"/>
      <c r="DE246"/>
      <c r="DF246" s="143"/>
      <c r="DG246"/>
      <c r="DH246"/>
      <c r="DI246"/>
      <c r="DJ246"/>
      <c r="DK246"/>
      <c r="DL246" s="139"/>
      <c r="DM246"/>
      <c r="DN246" s="26"/>
      <c r="DO246" s="26"/>
      <c r="DP246"/>
      <c r="DQ246" s="262"/>
      <c r="DR246"/>
      <c r="DS246"/>
      <c r="DT246"/>
      <c r="DU246" s="139"/>
      <c r="DV246" s="139"/>
      <c r="DW246" s="139"/>
      <c r="DX246" s="139"/>
      <c r="DY246" s="139"/>
      <c r="DZ246" s="139"/>
      <c r="EA246" s="139"/>
      <c r="EB246" s="139"/>
      <c r="EC246" s="139"/>
      <c r="ED246" s="139"/>
      <c r="EE246" s="139"/>
      <c r="EF246" s="139"/>
      <c r="EG246" s="139"/>
      <c r="EH246" s="139"/>
      <c r="EI246" s="139"/>
      <c r="EJ246" s="139"/>
      <c r="EK246" s="139"/>
      <c r="EL246" s="139"/>
      <c r="EM246" s="139"/>
      <c r="EN246" s="139"/>
      <c r="EO246" s="139"/>
      <c r="EP246" s="139"/>
      <c r="EQ246" s="139"/>
      <c r="ER246" s="139"/>
      <c r="ES246" s="139"/>
      <c r="ET246" s="139"/>
      <c r="EU246" s="139"/>
      <c r="EV246" s="139"/>
      <c r="EW246" s="139"/>
      <c r="EX246" s="139"/>
      <c r="EY246" s="139"/>
      <c r="EZ246" s="139"/>
      <c r="FA246" s="139"/>
      <c r="FB246" s="139"/>
      <c r="FC246" s="139"/>
      <c r="FD246" s="139"/>
      <c r="FE246" s="139"/>
      <c r="FF246" s="139"/>
      <c r="FG246" s="139"/>
      <c r="FH246" s="139"/>
      <c r="FI246" s="139"/>
    </row>
    <row r="247" spans="1:165" s="31" customFormat="1" ht="15" customHeight="1">
      <c r="A247" s="1"/>
      <c r="B247" s="1"/>
      <c r="C247" s="1"/>
      <c r="D247" s="1"/>
      <c r="E247" s="1"/>
      <c r="F247" s="1"/>
      <c r="G247" s="1"/>
      <c r="H247" s="1"/>
      <c r="I247" s="1"/>
      <c r="J247" s="1"/>
      <c r="K247" s="1"/>
      <c r="L247" s="1"/>
      <c r="M247" s="1"/>
      <c r="N247" s="1"/>
      <c r="O247" s="1"/>
      <c r="P247"/>
      <c r="Q247" s="130"/>
      <c r="R247" s="1"/>
      <c r="S247" s="1"/>
      <c r="T247" s="1"/>
      <c r="U247" s="1"/>
      <c r="V247" s="1"/>
      <c r="W247" s="1"/>
      <c r="X247" s="1"/>
      <c r="Y247" s="1"/>
      <c r="Z247" s="1"/>
      <c r="AA247" s="1"/>
      <c r="AB247" s="1"/>
      <c r="AC247" s="1"/>
      <c r="AD247" s="1"/>
      <c r="AE247" s="1"/>
      <c r="AF247" s="1"/>
      <c r="AG247" s="1"/>
      <c r="AH247" s="1"/>
      <c r="AI247" s="1"/>
      <c r="AJ247" s="1"/>
      <c r="AK247" s="1"/>
      <c r="AL247" s="1"/>
      <c r="AM247" s="1"/>
      <c r="AN247"/>
      <c r="AO247" s="228"/>
      <c r="AP247" s="189"/>
      <c r="AQ247"/>
      <c r="AR247"/>
      <c r="AS247" s="228"/>
      <c r="AT247" s="139"/>
      <c r="AU247" s="139"/>
      <c r="AV247"/>
      <c r="AW247" s="262"/>
      <c r="AX247"/>
      <c r="AY247"/>
      <c r="AZ247"/>
      <c r="BA247"/>
      <c r="BB247" s="139"/>
      <c r="BC247" s="139"/>
      <c r="BD247" s="139"/>
      <c r="BE247" s="139"/>
      <c r="BF247"/>
      <c r="BG247" s="262"/>
      <c r="BI247" s="139"/>
      <c r="BJ247" s="262"/>
      <c r="BK247"/>
      <c r="BL247" s="139"/>
      <c r="BM247" s="108"/>
      <c r="BN247" s="139"/>
      <c r="BO247" s="139"/>
      <c r="BP247" s="139"/>
      <c r="BQ247"/>
      <c r="BR247" s="262"/>
      <c r="BS247"/>
      <c r="BT247" s="139"/>
      <c r="BU247"/>
      <c r="BX247"/>
      <c r="BY247" s="139"/>
      <c r="BZ247" s="139"/>
      <c r="CA247" s="139"/>
      <c r="CB247" s="139"/>
      <c r="CC247" s="139"/>
      <c r="CD247" s="141"/>
      <c r="CE247" s="139"/>
      <c r="CF247" s="139"/>
      <c r="CG247" s="139"/>
      <c r="CH247" s="139"/>
      <c r="CI247" s="139"/>
      <c r="CJ247" s="139"/>
      <c r="CK247"/>
      <c r="CL247" s="139"/>
      <c r="CM247"/>
      <c r="CN247" s="139"/>
      <c r="CO247"/>
      <c r="CP247"/>
      <c r="CQ247" s="143"/>
      <c r="CR247" s="143"/>
      <c r="CS247"/>
      <c r="CT247" s="262"/>
      <c r="CU247"/>
      <c r="CV247"/>
      <c r="CW247"/>
      <c r="CX247" s="143"/>
      <c r="CY247" s="143"/>
      <c r="CZ247" s="143"/>
      <c r="DA247" s="143"/>
      <c r="DB247"/>
      <c r="DC247"/>
      <c r="DD247" s="143"/>
      <c r="DE247"/>
      <c r="DF247" s="143"/>
      <c r="DG247"/>
      <c r="DH247"/>
      <c r="DI247"/>
      <c r="DJ247"/>
      <c r="DK247"/>
      <c r="DL247" s="139"/>
      <c r="DM247"/>
      <c r="DN247" s="26"/>
      <c r="DO247" s="26"/>
      <c r="DP247"/>
      <c r="DQ247" s="262"/>
      <c r="DR247"/>
      <c r="DS247"/>
      <c r="DT247"/>
      <c r="DU247" s="139"/>
      <c r="DV247" s="139"/>
      <c r="DW247" s="139"/>
      <c r="DX247" s="139"/>
      <c r="DY247" s="139"/>
      <c r="DZ247" s="139"/>
      <c r="EA247" s="139"/>
      <c r="EB247" s="139"/>
      <c r="EC247" s="139"/>
      <c r="ED247" s="139"/>
      <c r="EE247" s="139"/>
      <c r="EF247" s="139"/>
      <c r="EG247" s="139"/>
      <c r="EH247" s="139"/>
      <c r="EI247" s="139"/>
      <c r="EJ247" s="139"/>
      <c r="EK247" s="139"/>
      <c r="EL247" s="139"/>
      <c r="EM247" s="139"/>
      <c r="EN247" s="139"/>
      <c r="EO247" s="139"/>
      <c r="EP247" s="139"/>
      <c r="EQ247" s="139"/>
      <c r="ER247" s="139"/>
      <c r="ES247" s="139"/>
      <c r="ET247" s="139"/>
      <c r="EU247" s="139"/>
      <c r="EV247" s="139"/>
      <c r="EW247" s="139"/>
      <c r="EX247" s="139"/>
      <c r="EY247" s="139"/>
      <c r="EZ247" s="139"/>
      <c r="FA247" s="139"/>
      <c r="FB247" s="139"/>
      <c r="FC247" s="139"/>
      <c r="FD247" s="139"/>
      <c r="FE247" s="139"/>
      <c r="FF247" s="139"/>
      <c r="FG247" s="139"/>
      <c r="FH247" s="139"/>
      <c r="FI247" s="139"/>
    </row>
    <row r="248" spans="1:165" s="31" customFormat="1" ht="15" customHeight="1">
      <c r="A248" s="1"/>
      <c r="B248" s="1"/>
      <c r="C248" s="1"/>
      <c r="D248" s="1"/>
      <c r="E248" s="1"/>
      <c r="F248" s="1"/>
      <c r="G248" s="1"/>
      <c r="H248" s="1"/>
      <c r="I248" s="1"/>
      <c r="J248" s="1"/>
      <c r="K248" s="1"/>
      <c r="L248" s="1"/>
      <c r="M248" s="1"/>
      <c r="N248" s="1"/>
      <c r="O248" s="1"/>
      <c r="P248"/>
      <c r="Q248" s="130"/>
      <c r="R248" s="1"/>
      <c r="S248" s="1"/>
      <c r="T248" s="1"/>
      <c r="U248" s="1"/>
      <c r="V248" s="1"/>
      <c r="W248" s="1"/>
      <c r="X248" s="1"/>
      <c r="Y248" s="1"/>
      <c r="Z248" s="1"/>
      <c r="AA248" s="1"/>
      <c r="AB248" s="1"/>
      <c r="AC248" s="1"/>
      <c r="AD248" s="1"/>
      <c r="AE248" s="1"/>
      <c r="AF248" s="1"/>
      <c r="AG248" s="1"/>
      <c r="AH248" s="1"/>
      <c r="AI248" s="1"/>
      <c r="AJ248" s="1"/>
      <c r="AK248" s="1"/>
      <c r="AL248" s="1"/>
      <c r="AM248" s="1"/>
      <c r="AN248"/>
      <c r="AO248" s="228"/>
      <c r="AP248" s="189"/>
      <c r="AQ248"/>
      <c r="AR248"/>
      <c r="AS248" s="228"/>
      <c r="AT248" s="139"/>
      <c r="AU248" s="139"/>
      <c r="AV248"/>
      <c r="AW248" s="262"/>
      <c r="AX248"/>
      <c r="AY248"/>
      <c r="AZ248"/>
      <c r="BA248"/>
      <c r="BB248" s="139"/>
      <c r="BC248" s="139"/>
      <c r="BD248" s="139"/>
      <c r="BE248" s="139"/>
      <c r="BF248"/>
      <c r="BG248" s="262"/>
      <c r="BI248" s="139"/>
      <c r="BJ248" s="262"/>
      <c r="BK248"/>
      <c r="BL248" s="139"/>
      <c r="BM248" s="108"/>
      <c r="BN248" s="139"/>
      <c r="BO248" s="139"/>
      <c r="BP248" s="139"/>
      <c r="BQ248"/>
      <c r="BR248" s="262"/>
      <c r="BS248"/>
      <c r="BT248" s="139"/>
      <c r="BU248"/>
      <c r="BX248"/>
      <c r="BY248" s="139"/>
      <c r="BZ248" s="139"/>
      <c r="CA248" s="139"/>
      <c r="CB248" s="139"/>
      <c r="CC248" s="139"/>
      <c r="CD248" s="141"/>
      <c r="CE248" s="139"/>
      <c r="CF248" s="139"/>
      <c r="CG248" s="139"/>
      <c r="CH248" s="139"/>
      <c r="CI248" s="139"/>
      <c r="CJ248" s="139"/>
      <c r="CK248"/>
      <c r="CL248" s="139"/>
      <c r="CM248"/>
      <c r="CN248" s="139"/>
      <c r="CO248"/>
      <c r="CP248"/>
      <c r="CQ248" s="143"/>
      <c r="CR248" s="143"/>
      <c r="CS248"/>
      <c r="CT248" s="262"/>
      <c r="CU248"/>
      <c r="CV248"/>
      <c r="CW248"/>
      <c r="CX248" s="143"/>
      <c r="CY248" s="143"/>
      <c r="CZ248" s="143"/>
      <c r="DA248" s="143"/>
      <c r="DB248"/>
      <c r="DC248"/>
      <c r="DD248" s="143"/>
      <c r="DE248"/>
      <c r="DF248" s="143"/>
      <c r="DG248"/>
      <c r="DH248"/>
      <c r="DI248"/>
      <c r="DJ248"/>
      <c r="DK248"/>
      <c r="DL248" s="139"/>
      <c r="DM248"/>
      <c r="DN248" s="26"/>
      <c r="DO248" s="26"/>
      <c r="DP248"/>
      <c r="DQ248" s="262"/>
      <c r="DR248"/>
      <c r="DS248"/>
      <c r="DT248"/>
      <c r="DU248" s="139"/>
      <c r="DV248" s="139"/>
      <c r="DW248" s="139"/>
      <c r="DX248" s="139"/>
      <c r="DY248" s="139"/>
      <c r="DZ248" s="139"/>
      <c r="EA248" s="139"/>
      <c r="EB248" s="139"/>
      <c r="EC248" s="139"/>
      <c r="ED248" s="139"/>
      <c r="EE248" s="139"/>
      <c r="EF248" s="139"/>
      <c r="EG248" s="139"/>
      <c r="EH248" s="139"/>
      <c r="EI248" s="139"/>
      <c r="EJ248" s="139"/>
      <c r="EK248" s="139"/>
      <c r="EL248" s="139"/>
      <c r="EM248" s="139"/>
      <c r="EN248" s="139"/>
      <c r="EO248" s="139"/>
      <c r="EP248" s="139"/>
      <c r="EQ248" s="139"/>
      <c r="ER248" s="139"/>
      <c r="ES248" s="139"/>
      <c r="ET248" s="139"/>
      <c r="EU248" s="139"/>
      <c r="EV248" s="139"/>
      <c r="EW248" s="139"/>
      <c r="EX248" s="139"/>
      <c r="EY248" s="139"/>
      <c r="EZ248" s="139"/>
      <c r="FA248" s="139"/>
      <c r="FB248" s="139"/>
      <c r="FC248" s="139"/>
      <c r="FD248" s="139"/>
      <c r="FE248" s="139"/>
      <c r="FF248" s="139"/>
      <c r="FG248" s="139"/>
      <c r="FH248" s="139"/>
      <c r="FI248" s="139"/>
    </row>
    <row r="249" spans="1:165" s="31" customFormat="1" ht="15" customHeight="1">
      <c r="A249" s="1"/>
      <c r="B249" s="1"/>
      <c r="C249" s="1"/>
      <c r="D249" s="1"/>
      <c r="E249" s="1"/>
      <c r="F249" s="1"/>
      <c r="G249" s="1"/>
      <c r="H249" s="1"/>
      <c r="I249" s="1"/>
      <c r="J249" s="1"/>
      <c r="K249" s="1"/>
      <c r="L249" s="1"/>
      <c r="M249" s="1"/>
      <c r="N249" s="1"/>
      <c r="O249" s="1"/>
      <c r="P249"/>
      <c r="Q249" s="130"/>
      <c r="R249" s="1"/>
      <c r="S249" s="1"/>
      <c r="T249" s="1"/>
      <c r="U249" s="1"/>
      <c r="V249" s="1"/>
      <c r="W249" s="1"/>
      <c r="X249" s="1"/>
      <c r="Y249" s="1"/>
      <c r="Z249" s="1"/>
      <c r="AA249" s="1"/>
      <c r="AB249" s="1"/>
      <c r="AC249" s="1"/>
      <c r="AD249" s="1"/>
      <c r="AE249" s="1"/>
      <c r="AF249" s="1"/>
      <c r="AG249" s="1"/>
      <c r="AH249" s="1"/>
      <c r="AI249" s="1"/>
      <c r="AJ249" s="1"/>
      <c r="AK249" s="1"/>
      <c r="AL249" s="1"/>
      <c r="AM249" s="1"/>
      <c r="AN249"/>
      <c r="AO249" s="228"/>
      <c r="AP249" s="189"/>
      <c r="AQ249"/>
      <c r="AR249"/>
      <c r="AS249" s="228"/>
      <c r="AT249" s="139"/>
      <c r="AU249" s="139"/>
      <c r="AV249"/>
      <c r="AW249" s="262"/>
      <c r="AX249"/>
      <c r="AY249"/>
      <c r="AZ249"/>
      <c r="BA249"/>
      <c r="BB249" s="139"/>
      <c r="BC249" s="139"/>
      <c r="BD249" s="139"/>
      <c r="BE249" s="139"/>
      <c r="BF249"/>
      <c r="BG249" s="262"/>
      <c r="BI249" s="139"/>
      <c r="BJ249" s="262"/>
      <c r="BK249"/>
      <c r="BL249" s="139"/>
      <c r="BM249" s="108"/>
      <c r="BN249" s="139"/>
      <c r="BO249" s="139"/>
      <c r="BP249" s="139"/>
      <c r="BQ249"/>
      <c r="BR249" s="262"/>
      <c r="BS249"/>
      <c r="BT249" s="139"/>
      <c r="BU249"/>
      <c r="BX249"/>
      <c r="BY249" s="139"/>
      <c r="BZ249" s="139"/>
      <c r="CA249" s="139"/>
      <c r="CB249" s="139"/>
      <c r="CC249" s="139"/>
      <c r="CD249" s="141"/>
      <c r="CE249" s="139"/>
      <c r="CF249" s="139"/>
      <c r="CG249" s="139"/>
      <c r="CH249" s="139"/>
      <c r="CI249" s="139"/>
      <c r="CJ249" s="139"/>
      <c r="CK249"/>
      <c r="CL249" s="139"/>
      <c r="CM249"/>
      <c r="CN249" s="139"/>
      <c r="CO249"/>
      <c r="CP249"/>
      <c r="CQ249" s="143"/>
      <c r="CR249" s="143"/>
      <c r="CS249"/>
      <c r="CT249" s="262"/>
      <c r="CU249"/>
      <c r="CV249"/>
      <c r="CW249"/>
      <c r="CX249" s="143"/>
      <c r="CY249" s="143"/>
      <c r="CZ249" s="143"/>
      <c r="DA249" s="143"/>
      <c r="DB249"/>
      <c r="DC249"/>
      <c r="DD249" s="143"/>
      <c r="DE249"/>
      <c r="DF249" s="143"/>
      <c r="DG249"/>
      <c r="DH249"/>
      <c r="DI249"/>
      <c r="DJ249"/>
      <c r="DK249"/>
      <c r="DL249" s="139"/>
      <c r="DM249"/>
      <c r="DN249" s="26"/>
      <c r="DO249" s="26"/>
      <c r="DP249"/>
      <c r="DQ249" s="262"/>
      <c r="DR249"/>
      <c r="DS249"/>
      <c r="DT249"/>
      <c r="DU249" s="139"/>
      <c r="DV249" s="139"/>
      <c r="DW249" s="139"/>
      <c r="DX249" s="139"/>
      <c r="DY249" s="139"/>
      <c r="DZ249" s="139"/>
      <c r="EA249" s="139"/>
      <c r="EB249" s="139"/>
      <c r="EC249" s="139"/>
      <c r="ED249" s="139"/>
      <c r="EE249" s="139"/>
      <c r="EF249" s="139"/>
      <c r="EG249" s="139"/>
      <c r="EH249" s="139"/>
      <c r="EI249" s="139"/>
      <c r="EJ249" s="139"/>
      <c r="EK249" s="139"/>
      <c r="EL249" s="139"/>
      <c r="EM249" s="139"/>
      <c r="EN249" s="139"/>
      <c r="EO249" s="139"/>
      <c r="EP249" s="139"/>
      <c r="EQ249" s="139"/>
      <c r="ER249" s="139"/>
      <c r="ES249" s="139"/>
      <c r="ET249" s="139"/>
      <c r="EU249" s="139"/>
      <c r="EV249" s="139"/>
      <c r="EW249" s="139"/>
      <c r="EX249" s="139"/>
      <c r="EY249" s="139"/>
      <c r="EZ249" s="139"/>
      <c r="FA249" s="139"/>
      <c r="FB249" s="139"/>
      <c r="FC249" s="139"/>
      <c r="FD249" s="139"/>
      <c r="FE249" s="139"/>
      <c r="FF249" s="139"/>
      <c r="FG249" s="139"/>
      <c r="FH249" s="139"/>
      <c r="FI249" s="139"/>
    </row>
    <row r="250" spans="1:165" s="31" customFormat="1" ht="15" customHeight="1">
      <c r="A250" s="1"/>
      <c r="B250" s="1"/>
      <c r="C250" s="1"/>
      <c r="D250" s="1"/>
      <c r="E250" s="1"/>
      <c r="F250" s="1"/>
      <c r="G250" s="1"/>
      <c r="H250" s="1"/>
      <c r="I250" s="1"/>
      <c r="J250" s="1"/>
      <c r="K250" s="1"/>
      <c r="L250" s="1"/>
      <c r="M250" s="1"/>
      <c r="N250" s="1"/>
      <c r="O250" s="1"/>
      <c r="P250"/>
      <c r="Q250" s="130"/>
      <c r="R250" s="1"/>
      <c r="S250" s="1"/>
      <c r="T250" s="1"/>
      <c r="U250" s="1"/>
      <c r="V250" s="1"/>
      <c r="W250" s="1"/>
      <c r="X250" s="1"/>
      <c r="Y250" s="1"/>
      <c r="Z250" s="1"/>
      <c r="AA250" s="1"/>
      <c r="AB250" s="1"/>
      <c r="AC250" s="1"/>
      <c r="AD250" s="1"/>
      <c r="AE250" s="1"/>
      <c r="AF250" s="1"/>
      <c r="AG250" s="1"/>
      <c r="AH250" s="1"/>
      <c r="AI250" s="1"/>
      <c r="AJ250" s="1"/>
      <c r="AK250" s="1"/>
      <c r="AL250" s="1"/>
      <c r="AM250" s="1"/>
      <c r="AN250"/>
      <c r="AO250" s="228"/>
      <c r="AP250" s="189"/>
      <c r="AQ250"/>
      <c r="AR250"/>
      <c r="AS250" s="228"/>
      <c r="AT250" s="139"/>
      <c r="AU250" s="139"/>
      <c r="AV250"/>
      <c r="AW250" s="262"/>
      <c r="AX250"/>
      <c r="AY250"/>
      <c r="AZ250"/>
      <c r="BA250"/>
      <c r="BB250" s="139"/>
      <c r="BC250" s="139"/>
      <c r="BD250" s="139"/>
      <c r="BE250" s="139"/>
      <c r="BF250"/>
      <c r="BG250" s="262"/>
      <c r="BI250" s="139"/>
      <c r="BJ250" s="262"/>
      <c r="BK250"/>
      <c r="BL250" s="139"/>
      <c r="BM250" s="108"/>
      <c r="BN250" s="139"/>
      <c r="BO250" s="139"/>
      <c r="BP250" s="139"/>
      <c r="BQ250"/>
      <c r="BR250" s="262"/>
      <c r="BS250"/>
      <c r="BT250" s="139"/>
      <c r="BU250"/>
      <c r="BX250"/>
      <c r="BY250" s="139"/>
      <c r="BZ250" s="139"/>
      <c r="CA250" s="139"/>
      <c r="CB250" s="139"/>
      <c r="CC250" s="139"/>
      <c r="CD250" s="141"/>
      <c r="CE250" s="139"/>
      <c r="CF250" s="139"/>
      <c r="CG250" s="139"/>
      <c r="CH250" s="139"/>
      <c r="CI250" s="139"/>
      <c r="CJ250" s="139"/>
      <c r="CK250"/>
      <c r="CL250" s="139"/>
      <c r="CM250"/>
      <c r="CN250" s="139"/>
      <c r="CO250"/>
      <c r="CP250"/>
      <c r="CQ250" s="143"/>
      <c r="CR250" s="143"/>
      <c r="CS250"/>
      <c r="CT250" s="262"/>
      <c r="CU250"/>
      <c r="CV250"/>
      <c r="CW250"/>
      <c r="CX250" s="143"/>
      <c r="CY250" s="143"/>
      <c r="CZ250" s="143"/>
      <c r="DA250" s="143"/>
      <c r="DB250"/>
      <c r="DC250"/>
      <c r="DD250" s="143"/>
      <c r="DE250"/>
      <c r="DF250" s="143"/>
      <c r="DG250"/>
      <c r="DH250"/>
      <c r="DI250"/>
      <c r="DJ250"/>
      <c r="DK250"/>
      <c r="DL250" s="139"/>
      <c r="DM250"/>
      <c r="DN250" s="26"/>
      <c r="DO250" s="26"/>
      <c r="DP250"/>
      <c r="DQ250" s="262"/>
      <c r="DR250"/>
      <c r="DS250"/>
      <c r="DT250"/>
      <c r="DU250" s="139"/>
      <c r="DV250" s="139"/>
      <c r="DW250" s="139"/>
      <c r="DX250" s="139"/>
      <c r="DY250" s="139"/>
      <c r="DZ250" s="139"/>
      <c r="EA250" s="139"/>
      <c r="EB250" s="139"/>
      <c r="EC250" s="139"/>
      <c r="ED250" s="139"/>
      <c r="EE250" s="139"/>
      <c r="EF250" s="139"/>
      <c r="EG250" s="139"/>
      <c r="EH250" s="139"/>
      <c r="EI250" s="139"/>
      <c r="EJ250" s="139"/>
      <c r="EK250" s="139"/>
      <c r="EL250" s="139"/>
      <c r="EM250" s="139"/>
      <c r="EN250" s="139"/>
      <c r="EO250" s="139"/>
      <c r="EP250" s="139"/>
      <c r="EQ250" s="139"/>
      <c r="ER250" s="139"/>
      <c r="ES250" s="139"/>
      <c r="ET250" s="139"/>
      <c r="EU250" s="139"/>
      <c r="EV250" s="139"/>
      <c r="EW250" s="139"/>
      <c r="EX250" s="139"/>
      <c r="EY250" s="139"/>
      <c r="EZ250" s="139"/>
      <c r="FA250" s="139"/>
      <c r="FB250" s="139"/>
      <c r="FC250" s="139"/>
      <c r="FD250" s="139"/>
      <c r="FE250" s="139"/>
      <c r="FF250" s="139"/>
      <c r="FG250" s="139"/>
      <c r="FH250" s="139"/>
      <c r="FI250" s="139"/>
    </row>
    <row r="251" spans="1:165" s="31" customFormat="1" ht="15" customHeight="1">
      <c r="A251" s="1"/>
      <c r="B251" s="1"/>
      <c r="C251" s="1"/>
      <c r="D251" s="1"/>
      <c r="E251" s="1"/>
      <c r="F251" s="1"/>
      <c r="G251" s="1"/>
      <c r="H251" s="1"/>
      <c r="I251" s="1"/>
      <c r="J251" s="1"/>
      <c r="K251" s="1"/>
      <c r="L251" s="1"/>
      <c r="M251" s="1"/>
      <c r="N251" s="1"/>
      <c r="O251" s="1"/>
      <c r="P251"/>
      <c r="Q251" s="130"/>
      <c r="R251" s="1"/>
      <c r="S251" s="1"/>
      <c r="T251" s="1"/>
      <c r="U251" s="1"/>
      <c r="V251" s="1"/>
      <c r="W251" s="1"/>
      <c r="X251" s="1"/>
      <c r="Y251" s="1"/>
      <c r="Z251" s="1"/>
      <c r="AA251" s="1"/>
      <c r="AB251" s="1"/>
      <c r="AC251" s="1"/>
      <c r="AD251" s="1"/>
      <c r="AE251" s="1"/>
      <c r="AF251" s="1"/>
      <c r="AG251" s="1"/>
      <c r="AH251" s="1"/>
      <c r="AI251" s="1"/>
      <c r="AJ251" s="1"/>
      <c r="AK251" s="1"/>
      <c r="AL251" s="1"/>
      <c r="AM251" s="1"/>
      <c r="AN251"/>
      <c r="AO251" s="228"/>
      <c r="AP251" s="189"/>
      <c r="AQ251"/>
      <c r="AR251"/>
      <c r="AS251" s="228"/>
      <c r="AT251" s="139"/>
      <c r="AU251" s="139"/>
      <c r="AV251"/>
      <c r="AW251" s="262"/>
      <c r="AX251"/>
      <c r="AY251"/>
      <c r="AZ251"/>
      <c r="BA251"/>
      <c r="BB251" s="139"/>
      <c r="BC251" s="139"/>
      <c r="BD251" s="139"/>
      <c r="BE251" s="139"/>
      <c r="BF251"/>
      <c r="BG251" s="262"/>
      <c r="BI251" s="139"/>
      <c r="BJ251" s="262"/>
      <c r="BK251"/>
      <c r="BL251" s="139"/>
      <c r="BM251" s="108"/>
      <c r="BN251" s="139"/>
      <c r="BO251" s="139"/>
      <c r="BP251" s="139"/>
      <c r="BQ251"/>
      <c r="BR251" s="262"/>
      <c r="BS251"/>
      <c r="BT251" s="139"/>
      <c r="BU251"/>
      <c r="BX251"/>
      <c r="BY251" s="139"/>
      <c r="BZ251" s="139"/>
      <c r="CA251" s="139"/>
      <c r="CB251" s="139"/>
      <c r="CC251" s="139"/>
      <c r="CD251" s="141"/>
      <c r="CE251" s="139"/>
      <c r="CF251" s="139"/>
      <c r="CG251" s="139"/>
      <c r="CH251" s="139"/>
      <c r="CI251" s="139"/>
      <c r="CJ251" s="139"/>
      <c r="CK251"/>
      <c r="CL251" s="139"/>
      <c r="CM251"/>
      <c r="CN251" s="139"/>
      <c r="CO251"/>
      <c r="CP251"/>
      <c r="CQ251" s="143"/>
      <c r="CR251" s="143"/>
      <c r="CS251"/>
      <c r="CT251" s="262"/>
      <c r="CU251"/>
      <c r="CV251"/>
      <c r="CW251"/>
      <c r="CX251" s="143"/>
      <c r="CY251" s="143"/>
      <c r="CZ251" s="143"/>
      <c r="DA251" s="143"/>
      <c r="DB251"/>
      <c r="DC251"/>
      <c r="DD251" s="143"/>
      <c r="DE251"/>
      <c r="DF251" s="143"/>
      <c r="DG251"/>
      <c r="DH251"/>
      <c r="DI251"/>
      <c r="DJ251"/>
      <c r="DK251"/>
      <c r="DL251" s="139"/>
      <c r="DM251"/>
      <c r="DN251" s="26"/>
      <c r="DO251" s="26"/>
      <c r="DP251"/>
      <c r="DQ251" s="262"/>
      <c r="DR251"/>
      <c r="DS251"/>
      <c r="DT251"/>
      <c r="DU251" s="139"/>
      <c r="DV251" s="139"/>
      <c r="DW251" s="139"/>
      <c r="DX251" s="139"/>
      <c r="DY251" s="139"/>
      <c r="DZ251" s="139"/>
      <c r="EA251" s="139"/>
      <c r="EB251" s="139"/>
      <c r="EC251" s="139"/>
      <c r="ED251" s="139"/>
      <c r="EE251" s="139"/>
      <c r="EF251" s="139"/>
      <c r="EG251" s="139"/>
      <c r="EH251" s="139"/>
      <c r="EI251" s="139"/>
      <c r="EJ251" s="139"/>
      <c r="EK251" s="139"/>
      <c r="EL251" s="139"/>
      <c r="EM251" s="139"/>
      <c r="EN251" s="139"/>
      <c r="EO251" s="139"/>
      <c r="EP251" s="139"/>
      <c r="EQ251" s="139"/>
      <c r="ER251" s="139"/>
      <c r="ES251" s="139"/>
      <c r="ET251" s="139"/>
      <c r="EU251" s="139"/>
      <c r="EV251" s="139"/>
      <c r="EW251" s="139"/>
      <c r="EX251" s="139"/>
      <c r="EY251" s="139"/>
      <c r="EZ251" s="139"/>
      <c r="FA251" s="139"/>
      <c r="FB251" s="139"/>
      <c r="FC251" s="139"/>
      <c r="FD251" s="139"/>
      <c r="FE251" s="139"/>
      <c r="FF251" s="139"/>
      <c r="FG251" s="139"/>
      <c r="FH251" s="139"/>
      <c r="FI251" s="139"/>
    </row>
    <row r="252" spans="1:165" s="31" customFormat="1" ht="15" customHeight="1">
      <c r="A252" s="1"/>
      <c r="B252" s="1"/>
      <c r="C252" s="1"/>
      <c r="D252" s="1"/>
      <c r="E252" s="1"/>
      <c r="F252" s="1"/>
      <c r="G252" s="1"/>
      <c r="H252" s="1"/>
      <c r="I252" s="1"/>
      <c r="J252" s="1"/>
      <c r="K252" s="1"/>
      <c r="L252" s="1"/>
      <c r="M252" s="1"/>
      <c r="N252" s="1"/>
      <c r="O252" s="1"/>
      <c r="P252"/>
      <c r="Q252" s="130"/>
      <c r="R252" s="1"/>
      <c r="S252" s="1"/>
      <c r="T252" s="1"/>
      <c r="U252" s="1"/>
      <c r="V252" s="1"/>
      <c r="W252" s="1"/>
      <c r="X252" s="1"/>
      <c r="Y252" s="1"/>
      <c r="Z252" s="1"/>
      <c r="AA252" s="1"/>
      <c r="AB252" s="1"/>
      <c r="AC252" s="1"/>
      <c r="AD252" s="1"/>
      <c r="AE252" s="1"/>
      <c r="AF252" s="1"/>
      <c r="AG252" s="1"/>
      <c r="AH252" s="1"/>
      <c r="AI252" s="1"/>
      <c r="AJ252" s="1"/>
      <c r="AK252" s="1"/>
      <c r="AL252" s="1"/>
      <c r="AM252" s="1"/>
      <c r="AN252"/>
      <c r="AO252" s="228"/>
      <c r="AP252" s="189"/>
      <c r="AQ252"/>
      <c r="AR252"/>
      <c r="AS252" s="228"/>
      <c r="AT252" s="139"/>
      <c r="AU252" s="139"/>
      <c r="AV252"/>
      <c r="AW252" s="262"/>
      <c r="AX252"/>
      <c r="AY252"/>
      <c r="AZ252"/>
      <c r="BA252"/>
      <c r="BB252" s="139"/>
      <c r="BC252" s="139"/>
      <c r="BD252" s="139"/>
      <c r="BE252" s="139"/>
      <c r="BF252"/>
      <c r="BG252" s="262"/>
      <c r="BI252" s="139"/>
      <c r="BJ252" s="262"/>
      <c r="BK252"/>
      <c r="BL252" s="139"/>
      <c r="BM252" s="108"/>
      <c r="BN252" s="139"/>
      <c r="BO252" s="139"/>
      <c r="BP252" s="139"/>
      <c r="BQ252"/>
      <c r="BR252" s="262"/>
      <c r="BS252"/>
      <c r="BT252" s="139"/>
      <c r="BU252"/>
      <c r="BX252"/>
      <c r="BY252" s="139"/>
      <c r="BZ252" s="139"/>
      <c r="CA252" s="139"/>
      <c r="CB252" s="139"/>
      <c r="CC252" s="139"/>
      <c r="CD252" s="141"/>
      <c r="CE252" s="139"/>
      <c r="CF252" s="139"/>
      <c r="CG252" s="139"/>
      <c r="CH252" s="139"/>
      <c r="CI252" s="139"/>
      <c r="CJ252" s="139"/>
      <c r="CK252"/>
      <c r="CL252" s="139"/>
      <c r="CM252"/>
      <c r="CN252" s="139"/>
      <c r="CO252"/>
      <c r="CP252"/>
      <c r="CQ252" s="143"/>
      <c r="CR252" s="143"/>
      <c r="CS252"/>
      <c r="CT252" s="262"/>
      <c r="CU252"/>
      <c r="CV252"/>
      <c r="CW252"/>
      <c r="CX252" s="143"/>
      <c r="CY252" s="143"/>
      <c r="CZ252" s="143"/>
      <c r="DA252" s="143"/>
      <c r="DB252"/>
      <c r="DC252"/>
      <c r="DD252" s="143"/>
      <c r="DE252"/>
      <c r="DF252" s="143"/>
      <c r="DG252"/>
      <c r="DH252"/>
      <c r="DI252"/>
      <c r="DJ252"/>
      <c r="DK252"/>
      <c r="DL252" s="139"/>
      <c r="DM252"/>
      <c r="DN252" s="26"/>
      <c r="DO252" s="26"/>
      <c r="DP252"/>
      <c r="DQ252" s="262"/>
      <c r="DR252"/>
      <c r="DS252"/>
      <c r="DT252"/>
      <c r="DU252" s="139"/>
      <c r="DV252" s="139"/>
      <c r="DW252" s="139"/>
      <c r="DX252" s="139"/>
      <c r="DY252" s="139"/>
      <c r="DZ252" s="139"/>
      <c r="EA252" s="139"/>
      <c r="EB252" s="139"/>
      <c r="EC252" s="139"/>
      <c r="ED252" s="139"/>
      <c r="EE252" s="139"/>
      <c r="EF252" s="139"/>
      <c r="EG252" s="139"/>
      <c r="EH252" s="139"/>
      <c r="EI252" s="139"/>
      <c r="EJ252" s="139"/>
      <c r="EK252" s="139"/>
      <c r="EL252" s="139"/>
      <c r="EM252" s="139"/>
      <c r="EN252" s="139"/>
      <c r="EO252" s="139"/>
      <c r="EP252" s="139"/>
      <c r="EQ252" s="139"/>
      <c r="ER252" s="139"/>
      <c r="ES252" s="139"/>
      <c r="ET252" s="139"/>
      <c r="EU252" s="139"/>
      <c r="EV252" s="139"/>
      <c r="EW252" s="139"/>
      <c r="EX252" s="139"/>
      <c r="EY252" s="139"/>
      <c r="EZ252" s="139"/>
      <c r="FA252" s="139"/>
      <c r="FB252" s="139"/>
      <c r="FC252" s="139"/>
      <c r="FD252" s="139"/>
      <c r="FE252" s="139"/>
      <c r="FF252" s="139"/>
      <c r="FG252" s="139"/>
      <c r="FH252" s="139"/>
      <c r="FI252" s="139"/>
    </row>
    <row r="253" spans="1:165" s="31" customFormat="1" ht="15" customHeight="1">
      <c r="A253" s="1"/>
      <c r="B253" s="1"/>
      <c r="C253" s="1"/>
      <c r="D253" s="1"/>
      <c r="E253" s="1"/>
      <c r="F253" s="1"/>
      <c r="G253" s="1"/>
      <c r="H253" s="1"/>
      <c r="I253" s="1"/>
      <c r="J253" s="1"/>
      <c r="K253" s="1"/>
      <c r="L253" s="1"/>
      <c r="M253" s="1"/>
      <c r="N253" s="1"/>
      <c r="O253" s="1"/>
      <c r="P253"/>
      <c r="Q253" s="130"/>
      <c r="R253" s="1"/>
      <c r="S253" s="1"/>
      <c r="T253" s="1"/>
      <c r="U253" s="1"/>
      <c r="V253" s="1"/>
      <c r="W253" s="1"/>
      <c r="X253" s="1"/>
      <c r="Y253" s="1"/>
      <c r="Z253" s="1"/>
      <c r="AA253" s="1"/>
      <c r="AB253" s="1"/>
      <c r="AC253" s="1"/>
      <c r="AD253" s="1"/>
      <c r="AE253" s="1"/>
      <c r="AF253" s="1"/>
      <c r="AG253" s="1"/>
      <c r="AH253" s="1"/>
      <c r="AI253" s="1"/>
      <c r="AJ253" s="1"/>
      <c r="AK253" s="1"/>
      <c r="AL253" s="1"/>
      <c r="AM253" s="1"/>
      <c r="AN253"/>
      <c r="AO253" s="228"/>
      <c r="AP253" s="189"/>
      <c r="AQ253"/>
      <c r="AR253"/>
      <c r="AS253" s="228"/>
      <c r="AT253" s="139"/>
      <c r="AU253" s="139"/>
      <c r="AV253"/>
      <c r="AW253" s="262"/>
      <c r="AX253"/>
      <c r="AY253"/>
      <c r="AZ253"/>
      <c r="BA253"/>
      <c r="BB253" s="139"/>
      <c r="BC253" s="139"/>
      <c r="BD253" s="139"/>
      <c r="BE253" s="139"/>
      <c r="BF253"/>
      <c r="BG253" s="262"/>
      <c r="BI253" s="139"/>
      <c r="BJ253" s="262"/>
      <c r="BK253"/>
      <c r="BL253" s="139"/>
      <c r="BM253" s="108"/>
      <c r="BN253" s="139"/>
      <c r="BO253" s="139"/>
      <c r="BP253" s="139"/>
      <c r="BQ253"/>
      <c r="BR253" s="262"/>
      <c r="BS253"/>
      <c r="BT253" s="139"/>
      <c r="BU253"/>
      <c r="BX253"/>
      <c r="BY253" s="139"/>
      <c r="BZ253" s="139"/>
      <c r="CA253" s="139"/>
      <c r="CB253" s="139"/>
      <c r="CC253" s="139"/>
      <c r="CD253" s="141"/>
      <c r="CE253" s="139"/>
      <c r="CF253" s="139"/>
      <c r="CG253" s="139"/>
      <c r="CH253" s="139"/>
      <c r="CI253" s="139"/>
      <c r="CJ253" s="139"/>
      <c r="CK253"/>
      <c r="CL253" s="139"/>
      <c r="CM253"/>
      <c r="CN253" s="139"/>
      <c r="CO253"/>
      <c r="CP253"/>
      <c r="CQ253" s="143"/>
      <c r="CR253" s="143"/>
      <c r="CS253"/>
      <c r="CT253" s="262"/>
      <c r="CU253"/>
      <c r="CV253"/>
      <c r="CW253"/>
      <c r="CX253" s="143"/>
      <c r="CY253" s="143"/>
      <c r="CZ253" s="143"/>
      <c r="DA253" s="143"/>
      <c r="DB253"/>
      <c r="DC253"/>
      <c r="DD253" s="143"/>
      <c r="DE253"/>
      <c r="DF253" s="143"/>
      <c r="DG253"/>
      <c r="DH253"/>
      <c r="DI253"/>
      <c r="DJ253"/>
      <c r="DK253"/>
      <c r="DL253" s="139"/>
      <c r="DM253"/>
      <c r="DN253" s="26"/>
      <c r="DO253" s="26"/>
      <c r="DP253"/>
      <c r="DQ253" s="262"/>
      <c r="DR253"/>
      <c r="DS253"/>
      <c r="DT253"/>
      <c r="DU253" s="139"/>
      <c r="DV253" s="139"/>
      <c r="DW253" s="139"/>
      <c r="DX253" s="139"/>
      <c r="DY253" s="139"/>
      <c r="DZ253" s="139"/>
      <c r="EA253" s="139"/>
      <c r="EB253" s="139"/>
      <c r="EC253" s="139"/>
      <c r="ED253" s="139"/>
      <c r="EE253" s="139"/>
      <c r="EF253" s="139"/>
      <c r="EG253" s="139"/>
      <c r="EH253" s="139"/>
      <c r="EI253" s="139"/>
      <c r="EJ253" s="139"/>
      <c r="EK253" s="139"/>
      <c r="EL253" s="139"/>
      <c r="EM253" s="139"/>
      <c r="EN253" s="139"/>
      <c r="EO253" s="139"/>
      <c r="EP253" s="139"/>
      <c r="EQ253" s="139"/>
      <c r="ER253" s="139"/>
      <c r="ES253" s="139"/>
      <c r="ET253" s="139"/>
      <c r="EU253" s="139"/>
      <c r="EV253" s="139"/>
      <c r="EW253" s="139"/>
      <c r="EX253" s="139"/>
      <c r="EY253" s="139"/>
      <c r="EZ253" s="139"/>
      <c r="FA253" s="139"/>
      <c r="FB253" s="139"/>
      <c r="FC253" s="139"/>
      <c r="FD253" s="139"/>
      <c r="FE253" s="139"/>
      <c r="FF253" s="139"/>
      <c r="FG253" s="139"/>
      <c r="FH253" s="139"/>
      <c r="FI253" s="139"/>
    </row>
    <row r="254" spans="1:165" s="31" customFormat="1" ht="15" customHeight="1">
      <c r="A254" s="1"/>
      <c r="B254" s="1"/>
      <c r="C254" s="1"/>
      <c r="D254" s="1"/>
      <c r="E254" s="1"/>
      <c r="F254" s="1"/>
      <c r="G254" s="1"/>
      <c r="H254" s="1"/>
      <c r="I254" s="1"/>
      <c r="J254" s="1"/>
      <c r="K254" s="1"/>
      <c r="L254" s="1"/>
      <c r="M254" s="1"/>
      <c r="N254" s="1"/>
      <c r="O254" s="1"/>
      <c r="P254"/>
      <c r="Q254" s="130"/>
      <c r="R254" s="1"/>
      <c r="S254" s="1"/>
      <c r="T254" s="1"/>
      <c r="U254" s="1"/>
      <c r="V254" s="1"/>
      <c r="W254" s="1"/>
      <c r="X254" s="1"/>
      <c r="Y254" s="1"/>
      <c r="Z254" s="1"/>
      <c r="AA254" s="1"/>
      <c r="AB254" s="1"/>
      <c r="AC254" s="1"/>
      <c r="AD254" s="1"/>
      <c r="AE254" s="1"/>
      <c r="AF254" s="1"/>
      <c r="AG254" s="1"/>
      <c r="AH254" s="1"/>
      <c r="AI254" s="1"/>
      <c r="AJ254" s="1"/>
      <c r="AK254" s="1"/>
      <c r="AL254" s="1"/>
      <c r="AM254" s="1"/>
      <c r="AN254"/>
      <c r="AO254" s="228"/>
      <c r="AP254" s="189"/>
      <c r="AQ254"/>
      <c r="AR254"/>
      <c r="AS254" s="228"/>
      <c r="AT254" s="139"/>
      <c r="AU254" s="139"/>
      <c r="AV254"/>
      <c r="AW254" s="262"/>
      <c r="AX254"/>
      <c r="AY254"/>
      <c r="AZ254"/>
      <c r="BA254"/>
      <c r="BB254" s="139"/>
      <c r="BC254" s="139"/>
      <c r="BD254" s="139"/>
      <c r="BE254" s="139"/>
      <c r="BF254"/>
      <c r="BG254" s="262"/>
      <c r="BI254" s="139"/>
      <c r="BJ254" s="262"/>
      <c r="BK254"/>
      <c r="BL254" s="139"/>
      <c r="BM254" s="108"/>
      <c r="BN254" s="139"/>
      <c r="BO254" s="139"/>
      <c r="BP254" s="139"/>
      <c r="BQ254"/>
      <c r="BR254" s="262"/>
      <c r="BS254"/>
      <c r="BT254" s="139"/>
      <c r="BU254"/>
      <c r="BX254"/>
      <c r="BY254" s="139"/>
      <c r="BZ254" s="139"/>
      <c r="CA254" s="139"/>
      <c r="CB254" s="139"/>
      <c r="CC254" s="139"/>
      <c r="CD254" s="141"/>
      <c r="CE254" s="139"/>
      <c r="CF254" s="139"/>
      <c r="CG254" s="139"/>
      <c r="CH254" s="139"/>
      <c r="CI254" s="139"/>
      <c r="CJ254" s="139"/>
      <c r="CK254"/>
      <c r="CL254" s="139"/>
      <c r="CM254"/>
      <c r="CN254" s="139"/>
      <c r="CO254"/>
      <c r="CP254"/>
      <c r="CQ254" s="143"/>
      <c r="CR254" s="143"/>
      <c r="CS254"/>
      <c r="CT254" s="262"/>
      <c r="CU254"/>
      <c r="CV254"/>
      <c r="CW254"/>
      <c r="CX254" s="143"/>
      <c r="CY254" s="143"/>
      <c r="CZ254" s="143"/>
      <c r="DA254" s="143"/>
      <c r="DB254"/>
      <c r="DC254"/>
      <c r="DD254" s="143"/>
      <c r="DE254"/>
      <c r="DF254" s="143"/>
      <c r="DG254"/>
      <c r="DH254"/>
      <c r="DI254"/>
      <c r="DJ254"/>
      <c r="DK254"/>
      <c r="DL254" s="139"/>
      <c r="DM254"/>
      <c r="DN254" s="26"/>
      <c r="DO254" s="26"/>
      <c r="DP254"/>
      <c r="DQ254" s="262"/>
      <c r="DR254"/>
      <c r="DS254"/>
      <c r="DT254"/>
      <c r="DU254" s="139"/>
      <c r="DV254" s="139"/>
      <c r="DW254" s="139"/>
      <c r="DX254" s="139"/>
      <c r="DY254" s="139"/>
      <c r="DZ254" s="139"/>
      <c r="EA254" s="139"/>
      <c r="EB254" s="139"/>
      <c r="EC254" s="139"/>
      <c r="ED254" s="139"/>
      <c r="EE254" s="139"/>
      <c r="EF254" s="139"/>
      <c r="EG254" s="139"/>
      <c r="EH254" s="139"/>
      <c r="EI254" s="139"/>
      <c r="EJ254" s="139"/>
      <c r="EK254" s="139"/>
      <c r="EL254" s="139"/>
      <c r="EM254" s="139"/>
      <c r="EN254" s="139"/>
      <c r="EO254" s="139"/>
      <c r="EP254" s="139"/>
      <c r="EQ254" s="139"/>
      <c r="ER254" s="139"/>
      <c r="ES254" s="139"/>
      <c r="ET254" s="139"/>
      <c r="EU254" s="139"/>
      <c r="EV254" s="139"/>
      <c r="EW254" s="139"/>
      <c r="EX254" s="139"/>
      <c r="EY254" s="139"/>
      <c r="EZ254" s="139"/>
      <c r="FA254" s="139"/>
      <c r="FB254" s="139"/>
      <c r="FC254" s="139"/>
      <c r="FD254" s="139"/>
      <c r="FE254" s="139"/>
      <c r="FF254" s="139"/>
      <c r="FG254" s="139"/>
      <c r="FH254" s="139"/>
      <c r="FI254" s="139"/>
    </row>
    <row r="255" spans="1:165" s="31" customFormat="1" ht="15" customHeight="1">
      <c r="A255" s="1"/>
      <c r="B255" s="1"/>
      <c r="C255" s="1"/>
      <c r="D255" s="1"/>
      <c r="E255" s="1"/>
      <c r="F255" s="1"/>
      <c r="G255" s="1"/>
      <c r="H255" s="1"/>
      <c r="I255" s="1"/>
      <c r="J255" s="1"/>
      <c r="K255" s="1"/>
      <c r="L255" s="1"/>
      <c r="M255" s="1"/>
      <c r="N255" s="1"/>
      <c r="O255" s="1"/>
      <c r="P255"/>
      <c r="Q255" s="130"/>
      <c r="R255" s="1"/>
      <c r="S255" s="1"/>
      <c r="T255" s="1"/>
      <c r="U255" s="1"/>
      <c r="V255" s="1"/>
      <c r="W255" s="1"/>
      <c r="X255" s="1"/>
      <c r="Y255" s="1"/>
      <c r="Z255" s="1"/>
      <c r="AA255" s="1"/>
      <c r="AB255" s="1"/>
      <c r="AC255" s="1"/>
      <c r="AD255" s="1"/>
      <c r="AE255" s="1"/>
      <c r="AF255" s="1"/>
      <c r="AG255" s="1"/>
      <c r="AH255" s="1"/>
      <c r="AI255" s="1"/>
      <c r="AJ255" s="1"/>
      <c r="AK255" s="1"/>
      <c r="AL255" s="1"/>
      <c r="AM255" s="1"/>
      <c r="AN255"/>
      <c r="AO255" s="228"/>
      <c r="AP255" s="189"/>
      <c r="AQ255"/>
      <c r="AR255"/>
      <c r="AS255" s="228"/>
      <c r="AT255" s="139"/>
      <c r="AU255" s="139"/>
      <c r="AV255"/>
      <c r="AW255" s="262"/>
      <c r="AX255"/>
      <c r="AY255"/>
      <c r="AZ255"/>
      <c r="BA255"/>
      <c r="BB255" s="139"/>
      <c r="BC255" s="139"/>
      <c r="BD255" s="139"/>
      <c r="BE255" s="139"/>
      <c r="BF255"/>
      <c r="BG255" s="262"/>
      <c r="BI255" s="139"/>
      <c r="BJ255" s="262"/>
      <c r="BK255"/>
      <c r="BL255" s="139"/>
      <c r="BM255" s="108"/>
      <c r="BN255" s="139"/>
      <c r="BO255" s="139"/>
      <c r="BP255" s="139"/>
      <c r="BQ255"/>
      <c r="BR255" s="262"/>
      <c r="BS255"/>
      <c r="BT255" s="139"/>
      <c r="BU255"/>
      <c r="BX255"/>
      <c r="BY255" s="139"/>
      <c r="BZ255" s="139"/>
      <c r="CA255" s="139"/>
      <c r="CB255" s="139"/>
      <c r="CC255" s="139"/>
      <c r="CD255" s="141"/>
      <c r="CE255" s="139"/>
      <c r="CF255" s="139"/>
      <c r="CG255" s="139"/>
      <c r="CH255" s="139"/>
      <c r="CI255" s="139"/>
      <c r="CJ255" s="139"/>
      <c r="CK255"/>
      <c r="CL255" s="139"/>
      <c r="CM255"/>
      <c r="CN255" s="139"/>
      <c r="CO255"/>
      <c r="CP255"/>
      <c r="CQ255" s="143"/>
      <c r="CR255" s="143"/>
      <c r="CS255"/>
      <c r="CT255" s="262"/>
      <c r="CU255"/>
      <c r="CV255"/>
      <c r="CW255"/>
      <c r="CX255" s="143"/>
      <c r="CY255" s="143"/>
      <c r="CZ255" s="143"/>
      <c r="DA255" s="143"/>
      <c r="DB255"/>
      <c r="DC255"/>
      <c r="DD255" s="143"/>
      <c r="DE255"/>
      <c r="DF255" s="143"/>
      <c r="DG255"/>
      <c r="DH255"/>
      <c r="DI255"/>
      <c r="DJ255"/>
      <c r="DK255"/>
      <c r="DL255" s="139"/>
      <c r="DM255"/>
      <c r="DN255" s="26"/>
      <c r="DO255" s="26"/>
      <c r="DP255"/>
      <c r="DQ255" s="262"/>
      <c r="DR255"/>
      <c r="DS255"/>
      <c r="DT255"/>
      <c r="DU255" s="139"/>
      <c r="DV255" s="139"/>
      <c r="DW255" s="139"/>
      <c r="DX255" s="139"/>
      <c r="DY255" s="139"/>
      <c r="DZ255" s="139"/>
      <c r="EA255" s="139"/>
      <c r="EB255" s="139"/>
      <c r="EC255" s="139"/>
      <c r="ED255" s="139"/>
      <c r="EE255" s="139"/>
      <c r="EF255" s="139"/>
      <c r="EG255" s="139"/>
      <c r="EH255" s="139"/>
      <c r="EI255" s="139"/>
      <c r="EJ255" s="139"/>
      <c r="EK255" s="139"/>
      <c r="EL255" s="139"/>
      <c r="EM255" s="139"/>
      <c r="EN255" s="139"/>
      <c r="EO255" s="139"/>
      <c r="EP255" s="139"/>
      <c r="EQ255" s="139"/>
      <c r="ER255" s="139"/>
      <c r="ES255" s="139"/>
      <c r="ET255" s="139"/>
      <c r="EU255" s="139"/>
      <c r="EV255" s="139"/>
      <c r="EW255" s="139"/>
      <c r="EX255" s="139"/>
      <c r="EY255" s="139"/>
      <c r="EZ255" s="139"/>
      <c r="FA255" s="139"/>
      <c r="FB255" s="139"/>
      <c r="FC255" s="139"/>
      <c r="FD255" s="139"/>
      <c r="FE255" s="139"/>
      <c r="FF255" s="139"/>
      <c r="FG255" s="139"/>
      <c r="FH255" s="139"/>
      <c r="FI255" s="139"/>
    </row>
    <row r="256" spans="1:165" s="31" customFormat="1" ht="15" customHeight="1">
      <c r="A256" s="1"/>
      <c r="B256" s="1"/>
      <c r="C256" s="1"/>
      <c r="D256" s="1"/>
      <c r="E256" s="1"/>
      <c r="F256" s="1"/>
      <c r="G256" s="1"/>
      <c r="H256" s="1"/>
      <c r="I256" s="1"/>
      <c r="J256" s="1"/>
      <c r="K256" s="1"/>
      <c r="L256" s="1"/>
      <c r="M256" s="1"/>
      <c r="N256" s="1"/>
      <c r="O256" s="1"/>
      <c r="P256"/>
      <c r="Q256" s="130"/>
      <c r="R256" s="1"/>
      <c r="S256" s="1"/>
      <c r="T256" s="1"/>
      <c r="U256" s="1"/>
      <c r="V256" s="1"/>
      <c r="W256" s="1"/>
      <c r="X256" s="1"/>
      <c r="Y256" s="1"/>
      <c r="Z256" s="1"/>
      <c r="AA256" s="1"/>
      <c r="AB256" s="1"/>
      <c r="AC256" s="1"/>
      <c r="AD256" s="1"/>
      <c r="AE256" s="1"/>
      <c r="AF256" s="1"/>
      <c r="AG256" s="1"/>
      <c r="AH256" s="1"/>
      <c r="AI256" s="1"/>
      <c r="AJ256" s="1"/>
      <c r="AK256" s="1"/>
      <c r="AL256" s="1"/>
      <c r="AM256" s="1"/>
      <c r="AN256"/>
      <c r="AO256" s="228"/>
      <c r="AP256" s="189"/>
      <c r="AQ256"/>
      <c r="AR256"/>
      <c r="AS256" s="228"/>
      <c r="AT256" s="139"/>
      <c r="AU256" s="139"/>
      <c r="AV256"/>
      <c r="AW256" s="262"/>
      <c r="AX256"/>
      <c r="AY256"/>
      <c r="AZ256"/>
      <c r="BA256"/>
      <c r="BB256" s="139"/>
      <c r="BC256" s="139"/>
      <c r="BD256" s="139"/>
      <c r="BE256" s="139"/>
      <c r="BF256"/>
      <c r="BG256" s="262"/>
      <c r="BI256" s="139"/>
      <c r="BJ256" s="262"/>
      <c r="BK256"/>
      <c r="BL256" s="139"/>
      <c r="BM256" s="108"/>
      <c r="BN256" s="139"/>
      <c r="BO256" s="139"/>
      <c r="BP256" s="139"/>
      <c r="BQ256"/>
      <c r="BR256" s="262"/>
      <c r="BS256"/>
      <c r="BT256" s="139"/>
      <c r="BU256"/>
      <c r="BX256"/>
      <c r="BY256" s="139"/>
      <c r="BZ256" s="139"/>
      <c r="CA256" s="139"/>
      <c r="CB256" s="139"/>
      <c r="CC256" s="139"/>
      <c r="CD256" s="141"/>
      <c r="CE256" s="139"/>
      <c r="CF256" s="139"/>
      <c r="CG256" s="139"/>
      <c r="CH256" s="139"/>
      <c r="CI256" s="139"/>
      <c r="CJ256" s="139"/>
      <c r="CK256"/>
      <c r="CL256" s="139"/>
      <c r="CM256"/>
      <c r="CN256" s="139"/>
      <c r="CO256"/>
      <c r="CP256"/>
      <c r="CQ256" s="143"/>
      <c r="CR256" s="143"/>
      <c r="CS256"/>
      <c r="CT256" s="262"/>
      <c r="CU256"/>
      <c r="CV256"/>
      <c r="CW256"/>
      <c r="CX256" s="143"/>
      <c r="CY256" s="143"/>
      <c r="CZ256" s="143"/>
      <c r="DA256" s="143"/>
      <c r="DB256"/>
      <c r="DC256"/>
      <c r="DD256" s="143"/>
      <c r="DE256"/>
      <c r="DF256" s="143"/>
      <c r="DG256"/>
      <c r="DH256"/>
      <c r="DI256"/>
      <c r="DJ256"/>
      <c r="DK256"/>
      <c r="DL256" s="139"/>
      <c r="DM256"/>
      <c r="DN256" s="26"/>
      <c r="DO256" s="26"/>
      <c r="DP256"/>
      <c r="DQ256" s="262"/>
      <c r="DR256"/>
      <c r="DS256"/>
      <c r="DT256"/>
      <c r="DU256" s="139"/>
      <c r="DV256" s="139"/>
      <c r="DW256" s="139"/>
      <c r="DX256" s="139"/>
      <c r="DY256" s="139"/>
      <c r="DZ256" s="139"/>
      <c r="EA256" s="139"/>
      <c r="EB256" s="139"/>
      <c r="EC256" s="139"/>
      <c r="ED256" s="139"/>
      <c r="EE256" s="139"/>
      <c r="EF256" s="139"/>
      <c r="EG256" s="139"/>
      <c r="EH256" s="139"/>
      <c r="EI256" s="139"/>
      <c r="EJ256" s="139"/>
      <c r="EK256" s="139"/>
      <c r="EL256" s="139"/>
      <c r="EM256" s="139"/>
      <c r="EN256" s="139"/>
      <c r="EO256" s="139"/>
      <c r="EP256" s="139"/>
      <c r="EQ256" s="139"/>
      <c r="ER256" s="139"/>
      <c r="ES256" s="139"/>
      <c r="ET256" s="139"/>
      <c r="EU256" s="139"/>
      <c r="EV256" s="139"/>
      <c r="EW256" s="139"/>
      <c r="EX256" s="139"/>
      <c r="EY256" s="139"/>
      <c r="EZ256" s="139"/>
      <c r="FA256" s="139"/>
      <c r="FB256" s="139"/>
      <c r="FC256" s="139"/>
      <c r="FD256" s="139"/>
      <c r="FE256" s="139"/>
      <c r="FF256" s="139"/>
      <c r="FG256" s="139"/>
      <c r="FH256" s="139"/>
      <c r="FI256" s="139"/>
    </row>
    <row r="257" spans="1:165" s="31" customFormat="1">
      <c r="A257" s="1"/>
      <c r="B257" s="1"/>
      <c r="C257" s="1"/>
      <c r="D257" s="1"/>
      <c r="E257" s="1"/>
      <c r="F257" s="1"/>
      <c r="G257" s="1"/>
      <c r="H257" s="1"/>
      <c r="I257" s="1"/>
      <c r="J257" s="1"/>
      <c r="K257" s="1"/>
      <c r="L257" s="1"/>
      <c r="M257" s="1"/>
      <c r="N257" s="1"/>
      <c r="O257" s="1"/>
      <c r="P257"/>
      <c r="Q257" s="130"/>
      <c r="R257" s="1"/>
      <c r="S257" s="1"/>
      <c r="T257" s="1"/>
      <c r="U257" s="1"/>
      <c r="V257" s="1"/>
      <c r="W257" s="1"/>
      <c r="X257" s="1"/>
      <c r="Y257" s="1"/>
      <c r="Z257" s="1"/>
      <c r="AA257" s="1"/>
      <c r="AB257" s="1"/>
      <c r="AC257" s="1"/>
      <c r="AD257" s="1"/>
      <c r="AE257" s="1"/>
      <c r="AF257" s="1"/>
      <c r="AG257" s="1"/>
      <c r="AH257" s="1"/>
      <c r="AI257" s="1"/>
      <c r="AJ257" s="1"/>
      <c r="AK257" s="1"/>
      <c r="AL257" s="1"/>
      <c r="AM257" s="1"/>
      <c r="AN257"/>
      <c r="AO257" s="228"/>
      <c r="AP257" s="189"/>
      <c r="AQ257"/>
      <c r="AR257"/>
      <c r="AS257" s="228"/>
      <c r="AT257" s="139"/>
      <c r="AU257" s="139"/>
      <c r="AV257"/>
      <c r="AW257" s="262"/>
      <c r="AX257"/>
      <c r="AY257"/>
      <c r="AZ257"/>
      <c r="BA257"/>
      <c r="BB257" s="139"/>
      <c r="BC257" s="139"/>
      <c r="BD257" s="139"/>
      <c r="BE257" s="139"/>
      <c r="BF257"/>
      <c r="BG257" s="262"/>
      <c r="BI257" s="139"/>
      <c r="BJ257" s="262"/>
      <c r="BK257"/>
      <c r="BL257" s="139"/>
      <c r="BM257" s="108"/>
      <c r="BN257" s="139"/>
      <c r="BO257" s="139"/>
      <c r="BP257" s="139"/>
      <c r="BQ257"/>
      <c r="BR257" s="262"/>
      <c r="BS257"/>
      <c r="BT257" s="139"/>
      <c r="BU257"/>
      <c r="BX257"/>
      <c r="BY257" s="139"/>
      <c r="BZ257" s="139"/>
      <c r="CA257" s="139"/>
      <c r="CB257" s="139"/>
      <c r="CC257" s="139"/>
      <c r="CD257" s="141"/>
      <c r="CE257" s="139"/>
      <c r="CF257" s="139"/>
      <c r="CG257" s="139"/>
      <c r="CH257" s="139"/>
      <c r="CI257" s="139"/>
      <c r="CJ257" s="139"/>
      <c r="CK257"/>
      <c r="CL257" s="139"/>
      <c r="CM257"/>
      <c r="CN257" s="139"/>
      <c r="CO257"/>
      <c r="CP257"/>
      <c r="CQ257" s="143"/>
      <c r="CR257" s="143"/>
      <c r="CS257"/>
      <c r="CT257" s="262"/>
      <c r="CU257"/>
      <c r="CV257"/>
      <c r="CW257"/>
      <c r="CX257" s="143"/>
      <c r="CY257" s="143"/>
      <c r="CZ257" s="143"/>
      <c r="DA257" s="143"/>
      <c r="DB257"/>
      <c r="DC257"/>
      <c r="DD257" s="143"/>
      <c r="DE257"/>
      <c r="DF257" s="143"/>
      <c r="DG257"/>
      <c r="DH257"/>
      <c r="DI257"/>
      <c r="DJ257"/>
      <c r="DK257"/>
      <c r="DL257" s="139"/>
      <c r="DM257"/>
      <c r="DN257" s="26"/>
      <c r="DO257" s="26"/>
      <c r="DP257"/>
      <c r="DQ257" s="262"/>
      <c r="DR257"/>
      <c r="DS257"/>
      <c r="DT257"/>
      <c r="DU257" s="139"/>
      <c r="DV257" s="139"/>
      <c r="DW257" s="139"/>
      <c r="DX257" s="139"/>
      <c r="DY257" s="139"/>
      <c r="DZ257" s="139"/>
      <c r="EA257" s="139"/>
      <c r="EB257" s="139"/>
      <c r="EC257" s="139"/>
      <c r="ED257" s="139"/>
      <c r="EE257" s="139"/>
      <c r="EF257" s="139"/>
      <c r="EG257" s="139"/>
      <c r="EH257" s="139"/>
      <c r="EI257" s="139"/>
      <c r="EJ257" s="139"/>
      <c r="EK257" s="139"/>
      <c r="EL257" s="139"/>
      <c r="EM257" s="139"/>
      <c r="EN257" s="139"/>
      <c r="EO257" s="139"/>
      <c r="EP257" s="139"/>
      <c r="EQ257" s="139"/>
      <c r="ER257" s="139"/>
      <c r="ES257" s="139"/>
      <c r="ET257" s="139"/>
      <c r="EU257" s="139"/>
      <c r="EV257" s="139"/>
      <c r="EW257" s="139"/>
      <c r="EX257" s="139"/>
      <c r="EY257" s="139"/>
      <c r="EZ257" s="139"/>
      <c r="FA257" s="139"/>
      <c r="FB257" s="139"/>
      <c r="FC257" s="139"/>
      <c r="FD257" s="139"/>
      <c r="FE257" s="139"/>
      <c r="FF257" s="139"/>
      <c r="FG257" s="139"/>
      <c r="FH257" s="139"/>
      <c r="FI257" s="139"/>
    </row>
    <row r="258" spans="1:165" s="31" customFormat="1">
      <c r="A258" s="1"/>
      <c r="B258" s="1"/>
      <c r="C258" s="1"/>
      <c r="D258" s="1"/>
      <c r="E258" s="1"/>
      <c r="F258" s="1"/>
      <c r="G258" s="1"/>
      <c r="H258" s="1"/>
      <c r="I258" s="1"/>
      <c r="J258" s="1"/>
      <c r="K258" s="1"/>
      <c r="L258" s="1"/>
      <c r="M258" s="1"/>
      <c r="N258" s="1"/>
      <c r="O258" s="1"/>
      <c r="P258"/>
      <c r="Q258" s="130"/>
      <c r="R258" s="1"/>
      <c r="S258" s="1"/>
      <c r="T258" s="1"/>
      <c r="U258" s="1"/>
      <c r="V258" s="1"/>
      <c r="W258" s="1"/>
      <c r="X258" s="1"/>
      <c r="Y258" s="1"/>
      <c r="Z258" s="1"/>
      <c r="AA258" s="1"/>
      <c r="AB258" s="1"/>
      <c r="AC258" s="1"/>
      <c r="AD258" s="1"/>
      <c r="AE258" s="1"/>
      <c r="AF258" s="1"/>
      <c r="AG258" s="1"/>
      <c r="AH258" s="1"/>
      <c r="AI258" s="1"/>
      <c r="AJ258" s="1"/>
      <c r="AK258" s="1"/>
      <c r="AL258" s="1"/>
      <c r="AM258" s="1"/>
      <c r="AN258"/>
      <c r="AO258" s="228"/>
      <c r="AP258" s="189"/>
      <c r="AQ258"/>
      <c r="AR258"/>
      <c r="AS258" s="228"/>
      <c r="AT258" s="139"/>
      <c r="AU258" s="139"/>
      <c r="AV258"/>
      <c r="AW258" s="262"/>
      <c r="AX258"/>
      <c r="AY258"/>
      <c r="AZ258"/>
      <c r="BA258"/>
      <c r="BB258" s="139"/>
      <c r="BC258" s="139"/>
      <c r="BD258" s="139"/>
      <c r="BE258" s="139"/>
      <c r="BF258"/>
      <c r="BG258" s="262"/>
      <c r="BI258" s="139"/>
      <c r="BJ258" s="262"/>
      <c r="BK258"/>
      <c r="BL258" s="139"/>
      <c r="BM258" s="108"/>
      <c r="BN258" s="139"/>
      <c r="BO258" s="139"/>
      <c r="BP258" s="139"/>
      <c r="BQ258"/>
      <c r="BR258" s="262"/>
      <c r="BS258"/>
      <c r="BT258" s="139"/>
      <c r="BU258"/>
      <c r="BX258"/>
      <c r="BY258" s="139"/>
      <c r="BZ258" s="139"/>
      <c r="CA258" s="139"/>
      <c r="CB258" s="139"/>
      <c r="CC258" s="139"/>
      <c r="CD258" s="141"/>
      <c r="CE258" s="139"/>
      <c r="CF258" s="139"/>
      <c r="CG258" s="139"/>
      <c r="CH258" s="139"/>
      <c r="CI258" s="139"/>
      <c r="CJ258" s="139"/>
      <c r="CK258"/>
      <c r="CL258" s="139"/>
      <c r="CM258"/>
      <c r="CN258" s="139"/>
      <c r="CO258"/>
      <c r="CP258"/>
      <c r="CQ258" s="143"/>
      <c r="CR258" s="143"/>
      <c r="CS258"/>
      <c r="CT258" s="262"/>
      <c r="CU258"/>
      <c r="CV258"/>
      <c r="CW258"/>
      <c r="CX258" s="143"/>
      <c r="CY258" s="143"/>
      <c r="CZ258" s="143"/>
      <c r="DA258" s="143"/>
      <c r="DB258"/>
      <c r="DC258"/>
      <c r="DD258" s="143"/>
      <c r="DE258"/>
      <c r="DF258" s="143"/>
      <c r="DG258"/>
      <c r="DH258"/>
      <c r="DI258"/>
      <c r="DJ258"/>
      <c r="DK258"/>
      <c r="DL258" s="139"/>
      <c r="DM258"/>
      <c r="DN258" s="26"/>
      <c r="DO258" s="26"/>
      <c r="DP258"/>
      <c r="DQ258" s="262"/>
      <c r="DR258"/>
      <c r="DS258"/>
      <c r="DT258"/>
      <c r="DU258" s="139"/>
      <c r="DV258" s="139"/>
      <c r="DW258" s="139"/>
      <c r="DX258" s="139"/>
      <c r="DY258" s="139"/>
      <c r="DZ258" s="139"/>
      <c r="EA258" s="139"/>
      <c r="EB258" s="139"/>
      <c r="EC258" s="139"/>
      <c r="ED258" s="139"/>
      <c r="EE258" s="139"/>
      <c r="EF258" s="139"/>
      <c r="EG258" s="139"/>
      <c r="EH258" s="139"/>
      <c r="EI258" s="139"/>
      <c r="EJ258" s="139"/>
      <c r="EK258" s="139"/>
      <c r="EL258" s="139"/>
      <c r="EM258" s="139"/>
      <c r="EN258" s="139"/>
      <c r="EO258" s="139"/>
      <c r="EP258" s="139"/>
      <c r="EQ258" s="139"/>
      <c r="ER258" s="139"/>
      <c r="ES258" s="139"/>
      <c r="ET258" s="139"/>
      <c r="EU258" s="139"/>
      <c r="EV258" s="139"/>
      <c r="EW258" s="139"/>
      <c r="EX258" s="139"/>
      <c r="EY258" s="139"/>
      <c r="EZ258" s="139"/>
      <c r="FA258" s="139"/>
      <c r="FB258" s="139"/>
      <c r="FC258" s="139"/>
      <c r="FD258" s="139"/>
      <c r="FE258" s="139"/>
      <c r="FF258" s="139"/>
      <c r="FG258" s="139"/>
      <c r="FH258" s="139"/>
      <c r="FI258" s="139"/>
    </row>
    <row r="259" spans="1:165">
      <c r="BB259" s="139"/>
      <c r="BC259" s="139"/>
      <c r="BD259" s="139"/>
      <c r="BE259" s="139"/>
      <c r="BI259" s="139"/>
      <c r="BL259" s="139"/>
      <c r="BN259" s="139"/>
      <c r="BO259" s="139"/>
      <c r="BP259" s="139"/>
      <c r="BT259" s="139"/>
      <c r="BY259" s="139"/>
      <c r="BZ259" s="139"/>
      <c r="CA259" s="139"/>
      <c r="CB259" s="139"/>
      <c r="CC259" s="139"/>
      <c r="CE259" s="139"/>
      <c r="CF259" s="139"/>
      <c r="CG259" s="139"/>
      <c r="CH259" s="139"/>
      <c r="CI259" s="139"/>
      <c r="CJ259" s="139"/>
      <c r="CL259" s="139"/>
      <c r="CN259" s="139"/>
      <c r="DU259" s="139"/>
      <c r="DV259" s="139"/>
      <c r="DW259" s="139"/>
      <c r="DX259" s="139"/>
      <c r="DY259" s="139"/>
      <c r="DZ259" s="139"/>
      <c r="EA259" s="139"/>
      <c r="EB259" s="139"/>
      <c r="EC259" s="139"/>
      <c r="ED259" s="139"/>
      <c r="EE259" s="139"/>
      <c r="EF259" s="139"/>
      <c r="EG259" s="139"/>
      <c r="EH259" s="139"/>
      <c r="EI259" s="139"/>
      <c r="EJ259" s="139"/>
      <c r="EK259" s="139"/>
      <c r="EL259" s="139"/>
      <c r="EM259" s="139"/>
      <c r="EN259" s="139"/>
      <c r="EO259" s="139"/>
      <c r="EP259" s="139"/>
      <c r="EQ259" s="139"/>
      <c r="ER259" s="139"/>
      <c r="ES259" s="139"/>
      <c r="ET259" s="139"/>
      <c r="EU259" s="139"/>
      <c r="EV259" s="139"/>
      <c r="EW259" s="139"/>
      <c r="EX259" s="139"/>
      <c r="EY259" s="139"/>
      <c r="EZ259" s="139"/>
      <c r="FA259" s="139"/>
      <c r="FB259" s="139"/>
      <c r="FC259" s="139"/>
      <c r="FD259" s="139"/>
      <c r="FE259" s="139"/>
      <c r="FF259" s="139"/>
      <c r="FG259" s="139"/>
      <c r="FH259" s="139"/>
      <c r="FI259" s="139"/>
    </row>
    <row r="260" spans="1:165">
      <c r="BB260" s="139"/>
      <c r="BC260" s="139"/>
      <c r="BD260" s="139"/>
      <c r="BE260" s="139"/>
      <c r="BI260" s="139"/>
      <c r="BL260" s="139"/>
      <c r="BN260" s="139"/>
      <c r="BO260" s="139"/>
      <c r="BP260" s="139"/>
      <c r="BT260" s="139"/>
      <c r="BY260" s="139"/>
      <c r="BZ260" s="139"/>
      <c r="CA260" s="139"/>
      <c r="CB260" s="139"/>
      <c r="CC260" s="139"/>
      <c r="CE260" s="139"/>
      <c r="CF260" s="139"/>
      <c r="CG260" s="139"/>
      <c r="CH260" s="139"/>
      <c r="CI260" s="139"/>
      <c r="CJ260" s="139"/>
      <c r="CL260" s="139"/>
      <c r="CN260" s="139"/>
      <c r="DU260" s="139"/>
      <c r="DV260" s="139"/>
      <c r="DW260" s="139"/>
      <c r="DX260" s="139"/>
      <c r="DY260" s="139"/>
      <c r="DZ260" s="139"/>
      <c r="EA260" s="139"/>
      <c r="EB260" s="139"/>
      <c r="EC260" s="139"/>
      <c r="ED260" s="139"/>
      <c r="EE260" s="139"/>
      <c r="EF260" s="139"/>
      <c r="EG260" s="139"/>
      <c r="EH260" s="139"/>
      <c r="EI260" s="139"/>
      <c r="EJ260" s="139"/>
      <c r="EK260" s="139"/>
      <c r="EL260" s="139"/>
      <c r="EM260" s="139"/>
      <c r="EN260" s="139"/>
      <c r="EO260" s="139"/>
      <c r="EP260" s="139"/>
      <c r="EQ260" s="139"/>
      <c r="ER260" s="139"/>
      <c r="ES260" s="139"/>
      <c r="ET260" s="139"/>
      <c r="EU260" s="139"/>
      <c r="EV260" s="139"/>
      <c r="EW260" s="139"/>
      <c r="EX260" s="139"/>
      <c r="EY260" s="139"/>
      <c r="EZ260" s="139"/>
      <c r="FA260" s="139"/>
      <c r="FB260" s="139"/>
      <c r="FC260" s="139"/>
      <c r="FD260" s="139"/>
      <c r="FE260" s="139"/>
      <c r="FF260" s="139"/>
      <c r="FG260" s="139"/>
      <c r="FH260" s="139"/>
      <c r="FI260" s="139"/>
    </row>
    <row r="261" spans="1:165">
      <c r="BB261" s="139"/>
      <c r="BC261" s="139"/>
      <c r="BD261" s="139"/>
      <c r="BE261" s="139"/>
      <c r="BI261" s="139"/>
      <c r="BL261" s="139"/>
      <c r="BN261" s="139"/>
      <c r="BO261" s="139"/>
      <c r="BP261" s="139"/>
      <c r="BT261" s="139"/>
      <c r="BY261" s="139"/>
      <c r="BZ261" s="139"/>
      <c r="CA261" s="139"/>
      <c r="CB261" s="139"/>
      <c r="CC261" s="139"/>
      <c r="CE261" s="139"/>
      <c r="CF261" s="139"/>
      <c r="CG261" s="139"/>
      <c r="CH261" s="139"/>
      <c r="CI261" s="139"/>
      <c r="CJ261" s="139"/>
      <c r="CL261" s="139"/>
      <c r="CN261" s="139"/>
      <c r="DU261" s="139"/>
      <c r="DV261" s="139"/>
      <c r="DW261" s="139"/>
      <c r="DX261" s="139"/>
      <c r="DY261" s="139"/>
      <c r="DZ261" s="139"/>
      <c r="EA261" s="139"/>
      <c r="EB261" s="139"/>
      <c r="EC261" s="139"/>
      <c r="ED261" s="139"/>
      <c r="EE261" s="139"/>
      <c r="EF261" s="139"/>
      <c r="EG261" s="139"/>
      <c r="EH261" s="139"/>
      <c r="EI261" s="139"/>
      <c r="EJ261" s="139"/>
      <c r="EK261" s="139"/>
      <c r="EL261" s="139"/>
      <c r="EM261" s="139"/>
      <c r="EN261" s="139"/>
      <c r="EO261" s="139"/>
      <c r="EP261" s="139"/>
      <c r="EQ261" s="139"/>
      <c r="ER261" s="139"/>
      <c r="ES261" s="139"/>
      <c r="ET261" s="139"/>
      <c r="EU261" s="139"/>
      <c r="EV261" s="139"/>
      <c r="EW261" s="139"/>
      <c r="EX261" s="139"/>
      <c r="EY261" s="139"/>
      <c r="EZ261" s="139"/>
      <c r="FA261" s="139"/>
      <c r="FB261" s="139"/>
      <c r="FC261" s="139"/>
      <c r="FD261" s="139"/>
      <c r="FE261" s="139"/>
      <c r="FF261" s="139"/>
      <c r="FG261" s="139"/>
      <c r="FH261" s="139"/>
      <c r="FI261" s="139"/>
    </row>
    <row r="262" spans="1:165">
      <c r="BB262" s="139"/>
      <c r="BC262" s="139"/>
      <c r="BD262" s="139"/>
      <c r="BE262" s="139"/>
      <c r="BI262" s="139"/>
      <c r="BL262" s="139"/>
      <c r="BN262" s="139"/>
      <c r="BO262" s="139"/>
      <c r="BP262" s="139"/>
      <c r="BT262" s="139"/>
      <c r="BY262" s="139"/>
      <c r="BZ262" s="139"/>
      <c r="CA262" s="139"/>
      <c r="CB262" s="139"/>
      <c r="CC262" s="139"/>
      <c r="CE262" s="139"/>
      <c r="CF262" s="139"/>
      <c r="CG262" s="139"/>
      <c r="CH262" s="139"/>
      <c r="CI262" s="139"/>
      <c r="CJ262" s="139"/>
      <c r="CL262" s="139"/>
      <c r="CN262" s="139"/>
      <c r="DU262" s="139"/>
      <c r="DV262" s="139"/>
      <c r="DW262" s="139"/>
      <c r="DX262" s="139"/>
      <c r="DY262" s="139"/>
      <c r="DZ262" s="139"/>
      <c r="EA262" s="139"/>
      <c r="EB262" s="139"/>
      <c r="EC262" s="139"/>
      <c r="ED262" s="139"/>
      <c r="EE262" s="139"/>
      <c r="EF262" s="139"/>
      <c r="EG262" s="139"/>
      <c r="EH262" s="139"/>
      <c r="EI262" s="139"/>
      <c r="EJ262" s="139"/>
      <c r="EK262" s="139"/>
      <c r="EL262" s="139"/>
      <c r="EM262" s="139"/>
      <c r="EN262" s="139"/>
      <c r="EO262" s="139"/>
      <c r="EP262" s="139"/>
      <c r="EQ262" s="139"/>
      <c r="ER262" s="139"/>
      <c r="ES262" s="139"/>
      <c r="ET262" s="139"/>
      <c r="EU262" s="139"/>
      <c r="EV262" s="139"/>
      <c r="EW262" s="139"/>
      <c r="EX262" s="139"/>
      <c r="EY262" s="139"/>
      <c r="EZ262" s="139"/>
      <c r="FA262" s="139"/>
      <c r="FB262" s="139"/>
      <c r="FC262" s="139"/>
      <c r="FD262" s="139"/>
      <c r="FE262" s="139"/>
      <c r="FF262" s="139"/>
      <c r="FG262" s="139"/>
      <c r="FH262" s="139"/>
      <c r="FI262" s="139"/>
    </row>
    <row r="263" spans="1:165">
      <c r="BB263" s="139"/>
      <c r="BC263" s="139"/>
      <c r="BD263" s="139"/>
      <c r="BE263" s="139"/>
      <c r="BI263" s="139"/>
      <c r="BL263" s="139"/>
      <c r="BN263" s="139"/>
      <c r="BO263" s="139"/>
      <c r="BP263" s="139"/>
      <c r="BT263" s="139"/>
      <c r="BY263" s="139"/>
      <c r="BZ263" s="139"/>
      <c r="CA263" s="139"/>
      <c r="CB263" s="139"/>
      <c r="CC263" s="139"/>
      <c r="CE263" s="139"/>
      <c r="CF263" s="139"/>
      <c r="CG263" s="139"/>
      <c r="CH263" s="139"/>
      <c r="CI263" s="139"/>
      <c r="CJ263" s="139"/>
      <c r="CL263" s="139"/>
      <c r="CN263" s="139"/>
      <c r="DU263" s="139"/>
      <c r="DV263" s="139"/>
      <c r="DW263" s="139"/>
      <c r="DX263" s="139"/>
      <c r="DY263" s="139"/>
      <c r="DZ263" s="139"/>
      <c r="EA263" s="139"/>
      <c r="EB263" s="139"/>
      <c r="EC263" s="139"/>
      <c r="ED263" s="139"/>
      <c r="EE263" s="139"/>
      <c r="EF263" s="139"/>
      <c r="EG263" s="139"/>
      <c r="EH263" s="139"/>
      <c r="EI263" s="139"/>
      <c r="EJ263" s="139"/>
      <c r="EK263" s="139"/>
      <c r="EL263" s="139"/>
      <c r="EM263" s="139"/>
      <c r="EN263" s="139"/>
      <c r="EO263" s="139"/>
      <c r="EP263" s="139"/>
      <c r="EQ263" s="139"/>
      <c r="ER263" s="139"/>
      <c r="ES263" s="139"/>
      <c r="ET263" s="139"/>
      <c r="EU263" s="139"/>
      <c r="EV263" s="139"/>
      <c r="EW263" s="139"/>
      <c r="EX263" s="139"/>
      <c r="EY263" s="139"/>
      <c r="EZ263" s="139"/>
      <c r="FA263" s="139"/>
      <c r="FB263" s="139"/>
      <c r="FC263" s="139"/>
      <c r="FD263" s="139"/>
      <c r="FE263" s="139"/>
      <c r="FF263" s="139"/>
      <c r="FG263" s="139"/>
      <c r="FH263" s="139"/>
      <c r="FI263" s="139"/>
    </row>
    <row r="264" spans="1:165">
      <c r="BB264" s="139"/>
      <c r="BC264" s="139"/>
      <c r="BD264" s="139"/>
      <c r="BE264" s="139"/>
      <c r="BI264" s="139"/>
      <c r="BL264" s="139"/>
      <c r="BN264" s="139"/>
      <c r="BO264" s="139"/>
      <c r="BP264" s="139"/>
      <c r="BT264" s="139"/>
      <c r="BY264" s="139"/>
      <c r="BZ264" s="139"/>
      <c r="CA264" s="139"/>
      <c r="CB264" s="139"/>
      <c r="CC264" s="139"/>
      <c r="CE264" s="139"/>
      <c r="CF264" s="139"/>
      <c r="CG264" s="139"/>
      <c r="CH264" s="139"/>
      <c r="CI264" s="139"/>
      <c r="CJ264" s="139"/>
      <c r="CL264" s="139"/>
      <c r="CN264" s="139"/>
      <c r="DU264" s="139"/>
      <c r="DV264" s="139"/>
      <c r="DW264" s="139"/>
      <c r="DX264" s="139"/>
      <c r="DY264" s="139"/>
      <c r="DZ264" s="139"/>
      <c r="EA264" s="139"/>
      <c r="EB264" s="139"/>
      <c r="EC264" s="139"/>
      <c r="ED264" s="139"/>
      <c r="EE264" s="139"/>
      <c r="EF264" s="139"/>
      <c r="EG264" s="139"/>
      <c r="EH264" s="139"/>
      <c r="EI264" s="139"/>
      <c r="EJ264" s="139"/>
      <c r="EK264" s="139"/>
      <c r="EL264" s="139"/>
      <c r="EM264" s="139"/>
      <c r="EN264" s="139"/>
      <c r="EO264" s="139"/>
      <c r="EP264" s="139"/>
      <c r="EQ264" s="139"/>
      <c r="ER264" s="139"/>
      <c r="ES264" s="139"/>
      <c r="ET264" s="139"/>
      <c r="EU264" s="139"/>
      <c r="EV264" s="139"/>
      <c r="EW264" s="139"/>
      <c r="EX264" s="139"/>
      <c r="EY264" s="139"/>
      <c r="EZ264" s="139"/>
      <c r="FA264" s="139"/>
      <c r="FB264" s="139"/>
      <c r="FC264" s="139"/>
      <c r="FD264" s="139"/>
      <c r="FE264" s="139"/>
      <c r="FF264" s="139"/>
      <c r="FG264" s="139"/>
      <c r="FH264" s="139"/>
      <c r="FI264" s="139"/>
    </row>
    <row r="265" spans="1:165">
      <c r="BB265" s="139"/>
      <c r="BC265" s="139"/>
      <c r="BD265" s="139"/>
      <c r="BE265" s="139"/>
      <c r="BI265" s="139"/>
      <c r="BL265" s="139"/>
      <c r="BN265" s="139"/>
      <c r="BO265" s="139"/>
      <c r="BP265" s="139"/>
      <c r="BT265" s="139"/>
      <c r="BY265" s="139"/>
      <c r="BZ265" s="139"/>
      <c r="CA265" s="139"/>
      <c r="CB265" s="139"/>
      <c r="CC265" s="139"/>
      <c r="CE265" s="139"/>
      <c r="CF265" s="139"/>
      <c r="CG265" s="139"/>
      <c r="CH265" s="139"/>
      <c r="CI265" s="139"/>
      <c r="CJ265" s="139"/>
      <c r="CL265" s="139"/>
      <c r="CN265" s="139"/>
      <c r="DU265" s="139"/>
      <c r="DV265" s="139"/>
      <c r="DW265" s="139"/>
      <c r="DX265" s="139"/>
      <c r="DY265" s="139"/>
      <c r="DZ265" s="139"/>
      <c r="EA265" s="139"/>
      <c r="EB265" s="139"/>
      <c r="EC265" s="139"/>
      <c r="ED265" s="139"/>
      <c r="EE265" s="139"/>
      <c r="EF265" s="139"/>
      <c r="EG265" s="139"/>
      <c r="EH265" s="139"/>
      <c r="EI265" s="139"/>
      <c r="EJ265" s="139"/>
      <c r="EK265" s="139"/>
      <c r="EL265" s="139"/>
      <c r="EM265" s="139"/>
      <c r="EN265" s="139"/>
      <c r="EO265" s="139"/>
      <c r="EP265" s="139"/>
      <c r="EQ265" s="139"/>
      <c r="ER265" s="139"/>
      <c r="ES265" s="139"/>
      <c r="ET265" s="139"/>
      <c r="EU265" s="139"/>
      <c r="EV265" s="139"/>
      <c r="EW265" s="139"/>
      <c r="EX265" s="139"/>
      <c r="EY265" s="139"/>
      <c r="EZ265" s="139"/>
      <c r="FA265" s="139"/>
      <c r="FB265" s="139"/>
      <c r="FC265" s="139"/>
      <c r="FD265" s="139"/>
      <c r="FE265" s="139"/>
      <c r="FF265" s="139"/>
      <c r="FG265" s="139"/>
      <c r="FH265" s="139"/>
      <c r="FI265" s="139"/>
    </row>
    <row r="266" spans="1:165">
      <c r="BB266" s="139"/>
      <c r="BC266" s="139"/>
      <c r="BD266" s="139"/>
      <c r="BE266" s="139"/>
      <c r="BI266" s="139"/>
      <c r="BL266" s="139"/>
      <c r="BN266" s="139"/>
      <c r="BO266" s="139"/>
      <c r="BP266" s="139"/>
      <c r="BT266" s="139"/>
      <c r="BY266" s="139"/>
      <c r="BZ266" s="139"/>
      <c r="CA266" s="139"/>
      <c r="CB266" s="139"/>
      <c r="CC266" s="139"/>
      <c r="CE266" s="139"/>
      <c r="CF266" s="139"/>
      <c r="CG266" s="139"/>
      <c r="CH266" s="139"/>
      <c r="CI266" s="139"/>
      <c r="CJ266" s="139"/>
      <c r="CL266" s="139"/>
      <c r="CN266" s="139"/>
      <c r="DU266" s="139"/>
      <c r="DV266" s="139"/>
      <c r="DW266" s="139"/>
      <c r="DX266" s="139"/>
      <c r="DY266" s="139"/>
      <c r="DZ266" s="139"/>
      <c r="EA266" s="139"/>
      <c r="EB266" s="139"/>
      <c r="EC266" s="139"/>
      <c r="ED266" s="139"/>
      <c r="EE266" s="139"/>
      <c r="EF266" s="139"/>
      <c r="EG266" s="139"/>
      <c r="EH266" s="139"/>
      <c r="EI266" s="139"/>
      <c r="EJ266" s="139"/>
      <c r="EK266" s="139"/>
      <c r="EL266" s="139"/>
      <c r="EM266" s="139"/>
      <c r="EN266" s="139"/>
      <c r="EO266" s="139"/>
      <c r="EP266" s="139"/>
      <c r="EQ266" s="139"/>
      <c r="ER266" s="139"/>
      <c r="ES266" s="139"/>
      <c r="ET266" s="139"/>
      <c r="EU266" s="139"/>
      <c r="EV266" s="139"/>
      <c r="EW266" s="139"/>
      <c r="EX266" s="139"/>
      <c r="EY266" s="139"/>
      <c r="EZ266" s="139"/>
      <c r="FA266" s="139"/>
      <c r="FB266" s="139"/>
      <c r="FC266" s="139"/>
      <c r="FD266" s="139"/>
      <c r="FE266" s="139"/>
      <c r="FF266" s="139"/>
      <c r="FG266" s="139"/>
      <c r="FH266" s="139"/>
      <c r="FI266" s="139"/>
    </row>
    <row r="267" spans="1:165">
      <c r="BB267" s="139"/>
      <c r="BC267" s="139"/>
      <c r="BD267" s="139"/>
      <c r="BE267" s="139"/>
      <c r="BI267" s="139"/>
      <c r="BL267" s="139"/>
      <c r="BN267" s="139"/>
      <c r="BO267" s="139"/>
      <c r="BP267" s="139"/>
      <c r="BT267" s="139"/>
      <c r="BY267" s="139"/>
      <c r="BZ267" s="139"/>
      <c r="CA267" s="139"/>
      <c r="CB267" s="139"/>
      <c r="CC267" s="139"/>
      <c r="CE267" s="139"/>
      <c r="CF267" s="139"/>
      <c r="CG267" s="139"/>
      <c r="CH267" s="139"/>
      <c r="CI267" s="139"/>
      <c r="CJ267" s="139"/>
      <c r="CL267" s="139"/>
      <c r="CN267" s="139"/>
      <c r="DU267" s="139"/>
      <c r="DV267" s="139"/>
      <c r="DW267" s="139"/>
      <c r="DX267" s="139"/>
      <c r="DY267" s="139"/>
      <c r="DZ267" s="139"/>
      <c r="EA267" s="139"/>
      <c r="EB267" s="139"/>
      <c r="EC267" s="139"/>
      <c r="ED267" s="139"/>
      <c r="EE267" s="139"/>
      <c r="EF267" s="139"/>
      <c r="EG267" s="139"/>
      <c r="EH267" s="139"/>
      <c r="EI267" s="139"/>
      <c r="EJ267" s="139"/>
      <c r="EK267" s="139"/>
      <c r="EL267" s="139"/>
      <c r="EM267" s="139"/>
      <c r="EN267" s="139"/>
      <c r="EO267" s="139"/>
      <c r="EP267" s="139"/>
      <c r="EQ267" s="139"/>
      <c r="ER267" s="139"/>
      <c r="ES267" s="139"/>
      <c r="ET267" s="139"/>
      <c r="EU267" s="139"/>
      <c r="EV267" s="139"/>
      <c r="EW267" s="139"/>
      <c r="EX267" s="139"/>
      <c r="EY267" s="139"/>
      <c r="EZ267" s="139"/>
      <c r="FA267" s="139"/>
      <c r="FB267" s="139"/>
      <c r="FC267" s="139"/>
      <c r="FD267" s="139"/>
      <c r="FE267" s="139"/>
      <c r="FF267" s="139"/>
      <c r="FG267" s="139"/>
      <c r="FH267" s="139"/>
      <c r="FI267" s="139"/>
    </row>
    <row r="268" spans="1:165">
      <c r="BB268" s="139"/>
      <c r="BC268" s="139"/>
      <c r="BD268" s="139"/>
      <c r="BE268" s="139"/>
      <c r="BI268" s="139"/>
      <c r="BL268" s="139"/>
      <c r="BN268" s="139"/>
      <c r="BO268" s="139"/>
      <c r="BP268" s="139"/>
      <c r="BT268" s="139"/>
      <c r="BY268" s="139"/>
      <c r="BZ268" s="139"/>
      <c r="CA268" s="139"/>
      <c r="CB268" s="139"/>
      <c r="CC268" s="139"/>
      <c r="CE268" s="139"/>
      <c r="CF268" s="139"/>
      <c r="CG268" s="139"/>
      <c r="CH268" s="139"/>
      <c r="CI268" s="139"/>
      <c r="CJ268" s="139"/>
      <c r="CL268" s="139"/>
      <c r="CN268" s="139"/>
      <c r="DU268" s="139"/>
      <c r="DV268" s="139"/>
      <c r="DW268" s="139"/>
      <c r="DX268" s="139"/>
      <c r="DY268" s="139"/>
      <c r="DZ268" s="139"/>
      <c r="EA268" s="139"/>
      <c r="EB268" s="139"/>
      <c r="EC268" s="139"/>
      <c r="ED268" s="139"/>
      <c r="EE268" s="139"/>
      <c r="EF268" s="139"/>
      <c r="EG268" s="139"/>
      <c r="EH268" s="139"/>
      <c r="EI268" s="139"/>
      <c r="EJ268" s="139"/>
      <c r="EK268" s="139"/>
      <c r="EL268" s="139"/>
      <c r="EM268" s="139"/>
      <c r="EN268" s="139"/>
      <c r="EO268" s="139"/>
      <c r="EP268" s="139"/>
      <c r="EQ268" s="139"/>
      <c r="ER268" s="139"/>
      <c r="ES268" s="139"/>
      <c r="ET268" s="139"/>
      <c r="EU268" s="139"/>
      <c r="EV268" s="139"/>
      <c r="EW268" s="139"/>
      <c r="EX268" s="139"/>
      <c r="EY268" s="139"/>
      <c r="EZ268" s="139"/>
      <c r="FA268" s="139"/>
      <c r="FB268" s="139"/>
      <c r="FC268" s="139"/>
      <c r="FD268" s="139"/>
      <c r="FE268" s="139"/>
      <c r="FF268" s="139"/>
      <c r="FG268" s="139"/>
      <c r="FH268" s="139"/>
      <c r="FI268" s="139"/>
    </row>
    <row r="269" spans="1:165">
      <c r="BB269" s="139"/>
      <c r="BC269" s="139"/>
      <c r="BD269" s="139"/>
      <c r="BE269" s="139"/>
      <c r="BI269" s="139"/>
      <c r="BL269" s="139"/>
      <c r="BN269" s="139"/>
      <c r="BO269" s="139"/>
      <c r="BP269" s="139"/>
      <c r="BT269" s="139"/>
      <c r="BY269" s="139"/>
      <c r="BZ269" s="139"/>
      <c r="CA269" s="139"/>
      <c r="CB269" s="139"/>
      <c r="CC269" s="139"/>
      <c r="CE269" s="139"/>
      <c r="CF269" s="139"/>
      <c r="CG269" s="139"/>
      <c r="CH269" s="139"/>
      <c r="CI269" s="139"/>
      <c r="CJ269" s="139"/>
      <c r="CL269" s="139"/>
      <c r="CN269" s="139"/>
      <c r="DU269" s="139"/>
      <c r="DV269" s="139"/>
      <c r="DW269" s="139"/>
      <c r="DX269" s="139"/>
      <c r="DY269" s="139"/>
      <c r="DZ269" s="139"/>
      <c r="EA269" s="139"/>
      <c r="EB269" s="139"/>
      <c r="EC269" s="139"/>
      <c r="ED269" s="139"/>
      <c r="EE269" s="139"/>
      <c r="EF269" s="139"/>
      <c r="EG269" s="139"/>
      <c r="EH269" s="139"/>
      <c r="EI269" s="139"/>
      <c r="EJ269" s="139"/>
      <c r="EK269" s="139"/>
      <c r="EL269" s="139"/>
      <c r="EM269" s="139"/>
      <c r="EN269" s="139"/>
      <c r="EO269" s="139"/>
      <c r="EP269" s="139"/>
      <c r="EQ269" s="139"/>
      <c r="ER269" s="139"/>
      <c r="ES269" s="139"/>
      <c r="ET269" s="139"/>
      <c r="EU269" s="139"/>
      <c r="EV269" s="139"/>
      <c r="EW269" s="139"/>
      <c r="EX269" s="139"/>
      <c r="EY269" s="139"/>
      <c r="EZ269" s="139"/>
      <c r="FA269" s="139"/>
      <c r="FB269" s="139"/>
      <c r="FC269" s="139"/>
      <c r="FD269" s="139"/>
      <c r="FE269" s="139"/>
      <c r="FF269" s="139"/>
      <c r="FG269" s="139"/>
      <c r="FH269" s="139"/>
      <c r="FI269" s="139"/>
    </row>
    <row r="270" spans="1:165" s="31" customFormat="1" ht="15" customHeight="1">
      <c r="A270" s="1"/>
      <c r="B270" s="1"/>
      <c r="C270" s="1"/>
      <c r="D270" s="1"/>
      <c r="E270" s="1"/>
      <c r="F270" s="1"/>
      <c r="G270" s="1"/>
      <c r="H270" s="1"/>
      <c r="I270" s="1"/>
      <c r="J270" s="1"/>
      <c r="K270" s="1"/>
      <c r="L270" s="1"/>
      <c r="M270" s="1"/>
      <c r="N270" s="1"/>
      <c r="O270" s="1"/>
      <c r="P270"/>
      <c r="Q270" s="130"/>
      <c r="R270" s="1"/>
      <c r="S270" s="1"/>
      <c r="T270" s="1"/>
      <c r="U270" s="1"/>
      <c r="V270" s="1"/>
      <c r="W270" s="1"/>
      <c r="X270" s="1"/>
      <c r="Y270" s="1"/>
      <c r="Z270" s="1"/>
      <c r="AA270" s="1"/>
      <c r="AB270" s="1"/>
      <c r="AC270" s="1"/>
      <c r="AD270" s="1"/>
      <c r="AE270" s="1"/>
      <c r="AF270" s="1"/>
      <c r="AG270" s="1"/>
      <c r="AH270" s="1"/>
      <c r="AI270" s="1"/>
      <c r="AJ270" s="1"/>
      <c r="AK270" s="1"/>
      <c r="AL270" s="1"/>
      <c r="AM270" s="1"/>
      <c r="AN270"/>
      <c r="AO270" s="228"/>
      <c r="AP270" s="189"/>
      <c r="AQ270"/>
      <c r="AR270"/>
      <c r="AS270" s="228"/>
      <c r="AT270" s="139"/>
      <c r="AU270" s="139"/>
      <c r="AV270"/>
      <c r="AW270" s="262"/>
      <c r="AX270"/>
      <c r="AY270"/>
      <c r="AZ270"/>
      <c r="BA270"/>
      <c r="BB270" s="139"/>
      <c r="BC270" s="139"/>
      <c r="BD270" s="139"/>
      <c r="BE270" s="139"/>
      <c r="BF270"/>
      <c r="BG270" s="262"/>
      <c r="BI270" s="139"/>
      <c r="BJ270" s="262"/>
      <c r="BK270"/>
      <c r="BL270" s="139"/>
      <c r="BM270" s="108"/>
      <c r="BN270" s="139"/>
      <c r="BO270" s="139"/>
      <c r="BP270" s="139"/>
      <c r="BQ270"/>
      <c r="BR270" s="262"/>
      <c r="BS270"/>
      <c r="BT270" s="139"/>
      <c r="BU270"/>
      <c r="BX270"/>
      <c r="BY270" s="139"/>
      <c r="BZ270" s="139"/>
      <c r="CA270" s="139"/>
      <c r="CB270" s="139"/>
      <c r="CC270" s="139"/>
      <c r="CD270" s="141"/>
      <c r="CE270" s="139"/>
      <c r="CF270" s="139"/>
      <c r="CG270" s="139"/>
      <c r="CH270" s="139"/>
      <c r="CI270" s="139"/>
      <c r="CJ270" s="139"/>
      <c r="CK270"/>
      <c r="CL270" s="139"/>
      <c r="CM270"/>
      <c r="CN270" s="139"/>
      <c r="CO270"/>
      <c r="CP270"/>
      <c r="CQ270" s="143"/>
      <c r="CR270" s="143"/>
      <c r="CS270"/>
      <c r="CT270" s="262"/>
      <c r="CU270"/>
      <c r="CV270"/>
      <c r="CW270"/>
      <c r="CX270" s="143"/>
      <c r="CY270" s="143"/>
      <c r="CZ270" s="143"/>
      <c r="DA270" s="143"/>
      <c r="DB270"/>
      <c r="DC270"/>
      <c r="DD270" s="143"/>
      <c r="DE270"/>
      <c r="DF270" s="143"/>
      <c r="DG270"/>
      <c r="DH270"/>
      <c r="DI270"/>
      <c r="DJ270"/>
      <c r="DK270"/>
      <c r="DL270" s="139"/>
      <c r="DM270"/>
      <c r="DN270" s="26"/>
      <c r="DO270" s="26"/>
      <c r="DP270"/>
      <c r="DQ270" s="262"/>
      <c r="DR270"/>
      <c r="DS270"/>
      <c r="DT270"/>
      <c r="DU270" s="139"/>
      <c r="DV270" s="139"/>
      <c r="DW270" s="139"/>
      <c r="DX270" s="139"/>
      <c r="DY270" s="139"/>
      <c r="DZ270" s="139"/>
      <c r="EA270" s="139"/>
      <c r="EB270" s="139"/>
      <c r="EC270" s="139"/>
      <c r="ED270" s="139"/>
      <c r="EE270" s="139"/>
      <c r="EF270" s="139"/>
      <c r="EG270" s="139"/>
      <c r="EH270" s="139"/>
      <c r="EI270" s="139"/>
      <c r="EJ270" s="139"/>
      <c r="EK270" s="139"/>
      <c r="EL270" s="139"/>
      <c r="EM270" s="139"/>
      <c r="EN270" s="139"/>
      <c r="EO270" s="139"/>
      <c r="EP270" s="139"/>
      <c r="EQ270" s="139"/>
      <c r="ER270" s="139"/>
      <c r="ES270" s="139"/>
      <c r="ET270" s="139"/>
      <c r="EU270" s="139"/>
      <c r="EV270" s="139"/>
      <c r="EW270" s="139"/>
      <c r="EX270" s="139"/>
      <c r="EY270" s="139"/>
      <c r="EZ270" s="139"/>
      <c r="FA270" s="139"/>
      <c r="FB270" s="139"/>
      <c r="FC270" s="139"/>
      <c r="FD270" s="139"/>
      <c r="FE270" s="139"/>
      <c r="FF270" s="139"/>
      <c r="FG270" s="139"/>
      <c r="FH270" s="139"/>
      <c r="FI270" s="139"/>
    </row>
    <row r="271" spans="1:165" ht="15" customHeight="1">
      <c r="BB271" s="139"/>
      <c r="BC271" s="139"/>
      <c r="BD271" s="139"/>
      <c r="BE271" s="139"/>
      <c r="BI271" s="139"/>
      <c r="BL271" s="139"/>
      <c r="BN271" s="139"/>
      <c r="BO271" s="139"/>
      <c r="BP271" s="139"/>
      <c r="BT271" s="139"/>
      <c r="BY271" s="139"/>
      <c r="BZ271" s="139"/>
      <c r="CA271" s="139"/>
      <c r="CB271" s="139"/>
      <c r="CC271" s="139"/>
      <c r="CE271" s="139"/>
      <c r="CF271" s="139"/>
      <c r="CG271" s="139"/>
      <c r="CH271" s="139"/>
      <c r="CI271" s="139"/>
      <c r="CJ271" s="139"/>
      <c r="CL271" s="139"/>
      <c r="CN271" s="139"/>
      <c r="DU271" s="139"/>
      <c r="DV271" s="139"/>
      <c r="DW271" s="139"/>
      <c r="DX271" s="139"/>
      <c r="DY271" s="139"/>
      <c r="DZ271" s="139"/>
      <c r="EA271" s="139"/>
      <c r="EB271" s="139"/>
      <c r="EC271" s="139"/>
      <c r="ED271" s="139"/>
      <c r="EE271" s="139"/>
      <c r="EF271" s="139"/>
      <c r="EG271" s="139"/>
      <c r="EH271" s="139"/>
      <c r="EI271" s="139"/>
      <c r="EJ271" s="139"/>
      <c r="EK271" s="139"/>
      <c r="EL271" s="139"/>
      <c r="EM271" s="139"/>
      <c r="EN271" s="139"/>
      <c r="EO271" s="139"/>
      <c r="EP271" s="139"/>
      <c r="EQ271" s="139"/>
      <c r="ER271" s="139"/>
      <c r="ES271" s="139"/>
      <c r="ET271" s="139"/>
      <c r="EU271" s="139"/>
      <c r="EV271" s="139"/>
      <c r="EW271" s="139"/>
      <c r="EX271" s="139"/>
      <c r="EY271" s="139"/>
      <c r="EZ271" s="139"/>
      <c r="FA271" s="139"/>
      <c r="FB271" s="139"/>
      <c r="FC271" s="139"/>
      <c r="FD271" s="139"/>
      <c r="FE271" s="139"/>
      <c r="FF271" s="139"/>
      <c r="FG271" s="139"/>
      <c r="FH271" s="139"/>
      <c r="FI271" s="139"/>
    </row>
    <row r="272" spans="1:165" ht="15" customHeight="1">
      <c r="BB272" s="139"/>
      <c r="BC272" s="139"/>
      <c r="BD272" s="139"/>
      <c r="BE272" s="139"/>
      <c r="BI272" s="139"/>
      <c r="BL272" s="139"/>
      <c r="BN272" s="139"/>
      <c r="BO272" s="139"/>
      <c r="BP272" s="139"/>
      <c r="BT272" s="139"/>
      <c r="BY272" s="139"/>
      <c r="BZ272" s="139"/>
      <c r="CA272" s="139"/>
      <c r="CB272" s="139"/>
      <c r="CC272" s="139"/>
      <c r="CE272" s="139"/>
      <c r="CF272" s="139"/>
      <c r="CG272" s="139"/>
      <c r="CH272" s="139"/>
      <c r="CI272" s="139"/>
      <c r="CJ272" s="139"/>
      <c r="CL272" s="139"/>
      <c r="CN272" s="139"/>
      <c r="DU272" s="139"/>
      <c r="DV272" s="139"/>
      <c r="DW272" s="139"/>
      <c r="DX272" s="139"/>
      <c r="DY272" s="139"/>
      <c r="DZ272" s="139"/>
      <c r="EA272" s="139"/>
      <c r="EB272" s="139"/>
      <c r="EC272" s="139"/>
      <c r="ED272" s="139"/>
      <c r="EE272" s="139"/>
      <c r="EF272" s="139"/>
      <c r="EG272" s="139"/>
      <c r="EH272" s="139"/>
      <c r="EI272" s="139"/>
      <c r="EJ272" s="139"/>
      <c r="EK272" s="139"/>
      <c r="EL272" s="139"/>
      <c r="EM272" s="139"/>
      <c r="EN272" s="139"/>
      <c r="EO272" s="139"/>
      <c r="EP272" s="139"/>
      <c r="EQ272" s="139"/>
      <c r="ER272" s="139"/>
      <c r="ES272" s="139"/>
      <c r="ET272" s="139"/>
      <c r="EU272" s="139"/>
      <c r="EV272" s="139"/>
      <c r="EW272" s="139"/>
      <c r="EX272" s="139"/>
      <c r="EY272" s="139"/>
      <c r="EZ272" s="139"/>
      <c r="FA272" s="139"/>
      <c r="FB272" s="139"/>
      <c r="FC272" s="139"/>
      <c r="FD272" s="139"/>
      <c r="FE272" s="139"/>
      <c r="FF272" s="139"/>
      <c r="FG272" s="139"/>
      <c r="FH272" s="139"/>
      <c r="FI272" s="139"/>
    </row>
    <row r="273" spans="1:165" ht="15" customHeight="1">
      <c r="BB273" s="139"/>
      <c r="BC273" s="139"/>
      <c r="BD273" s="139"/>
      <c r="BE273" s="139"/>
      <c r="BI273" s="139"/>
      <c r="BL273" s="139"/>
      <c r="BN273" s="139"/>
      <c r="BO273" s="139"/>
      <c r="BP273" s="139"/>
      <c r="BT273" s="139"/>
      <c r="BY273" s="139"/>
      <c r="BZ273" s="139"/>
      <c r="CA273" s="139"/>
      <c r="CB273" s="139"/>
      <c r="CC273" s="139"/>
      <c r="CE273" s="139"/>
      <c r="CF273" s="139"/>
      <c r="CG273" s="139"/>
      <c r="CH273" s="139"/>
      <c r="CI273" s="139"/>
      <c r="CJ273" s="139"/>
      <c r="CL273" s="139"/>
      <c r="CN273" s="139"/>
      <c r="DU273" s="139"/>
      <c r="DV273" s="139"/>
      <c r="DW273" s="139"/>
      <c r="DX273" s="139"/>
      <c r="DY273" s="139"/>
      <c r="DZ273" s="139"/>
      <c r="EA273" s="139"/>
      <c r="EB273" s="139"/>
      <c r="EC273" s="139"/>
      <c r="ED273" s="139"/>
      <c r="EE273" s="139"/>
      <c r="EF273" s="139"/>
      <c r="EG273" s="139"/>
      <c r="EH273" s="139"/>
      <c r="EI273" s="139"/>
      <c r="EJ273" s="139"/>
      <c r="EK273" s="139"/>
      <c r="EL273" s="139"/>
      <c r="EM273" s="139"/>
      <c r="EN273" s="139"/>
      <c r="EO273" s="139"/>
      <c r="EP273" s="139"/>
      <c r="EQ273" s="139"/>
      <c r="ER273" s="139"/>
      <c r="ES273" s="139"/>
      <c r="ET273" s="139"/>
      <c r="EU273" s="139"/>
      <c r="EV273" s="139"/>
      <c r="EW273" s="139"/>
      <c r="EX273" s="139"/>
      <c r="EY273" s="139"/>
      <c r="EZ273" s="139"/>
      <c r="FA273" s="139"/>
      <c r="FB273" s="139"/>
      <c r="FC273" s="139"/>
      <c r="FD273" s="139"/>
      <c r="FE273" s="139"/>
      <c r="FF273" s="139"/>
      <c r="FG273" s="139"/>
      <c r="FH273" s="139"/>
      <c r="FI273" s="139"/>
    </row>
    <row r="274" spans="1:165" ht="15" customHeight="1">
      <c r="BB274" s="139"/>
      <c r="BC274" s="139"/>
      <c r="BD274" s="139"/>
      <c r="BE274" s="139"/>
      <c r="BI274" s="139"/>
      <c r="BL274" s="139"/>
      <c r="BN274" s="139"/>
      <c r="BO274" s="139"/>
      <c r="BP274" s="139"/>
      <c r="BT274" s="139"/>
      <c r="BY274" s="139"/>
      <c r="BZ274" s="139"/>
      <c r="CA274" s="139"/>
      <c r="CB274" s="139"/>
      <c r="CC274" s="139"/>
      <c r="CE274" s="139"/>
      <c r="CF274" s="139"/>
      <c r="CG274" s="139"/>
      <c r="CH274" s="139"/>
      <c r="CI274" s="139"/>
      <c r="CJ274" s="139"/>
      <c r="CL274" s="139"/>
      <c r="CN274" s="139"/>
      <c r="DU274" s="139"/>
      <c r="DV274" s="139"/>
      <c r="DW274" s="139"/>
      <c r="DX274" s="139"/>
      <c r="DY274" s="139"/>
      <c r="DZ274" s="139"/>
      <c r="EA274" s="139"/>
      <c r="EB274" s="139"/>
      <c r="EC274" s="139"/>
      <c r="ED274" s="139"/>
      <c r="EE274" s="139"/>
      <c r="EF274" s="139"/>
      <c r="EG274" s="139"/>
      <c r="EH274" s="139"/>
      <c r="EI274" s="139"/>
      <c r="EJ274" s="139"/>
      <c r="EK274" s="139"/>
      <c r="EL274" s="139"/>
      <c r="EM274" s="139"/>
      <c r="EN274" s="139"/>
      <c r="EO274" s="139"/>
      <c r="EP274" s="139"/>
      <c r="EQ274" s="139"/>
      <c r="ER274" s="139"/>
      <c r="ES274" s="139"/>
      <c r="ET274" s="139"/>
      <c r="EU274" s="139"/>
      <c r="EV274" s="139"/>
      <c r="EW274" s="139"/>
      <c r="EX274" s="139"/>
      <c r="EY274" s="139"/>
      <c r="EZ274" s="139"/>
      <c r="FA274" s="139"/>
      <c r="FB274" s="139"/>
      <c r="FC274" s="139"/>
      <c r="FD274" s="139"/>
      <c r="FE274" s="139"/>
      <c r="FF274" s="139"/>
      <c r="FG274" s="139"/>
      <c r="FH274" s="139"/>
      <c r="FI274" s="139"/>
    </row>
    <row r="275" spans="1:165" ht="15" customHeight="1">
      <c r="BB275" s="139"/>
      <c r="BC275" s="139"/>
      <c r="BD275" s="139"/>
      <c r="BE275" s="139"/>
      <c r="BI275" s="139"/>
      <c r="BL275" s="139"/>
      <c r="BN275" s="139"/>
      <c r="BO275" s="139"/>
      <c r="BP275" s="139"/>
      <c r="BT275" s="139"/>
      <c r="BY275" s="139"/>
      <c r="BZ275" s="139"/>
      <c r="CA275" s="139"/>
      <c r="CB275" s="139"/>
      <c r="CC275" s="139"/>
      <c r="CE275" s="139"/>
      <c r="CF275" s="139"/>
      <c r="CG275" s="139"/>
      <c r="CH275" s="139"/>
      <c r="CI275" s="139"/>
      <c r="CJ275" s="139"/>
      <c r="CL275" s="139"/>
      <c r="CN275" s="139"/>
      <c r="DU275" s="139"/>
      <c r="DV275" s="139"/>
      <c r="DW275" s="139"/>
      <c r="DX275" s="139"/>
      <c r="DY275" s="139"/>
      <c r="DZ275" s="139"/>
      <c r="EA275" s="139"/>
      <c r="EB275" s="139"/>
      <c r="EC275" s="139"/>
      <c r="ED275" s="139"/>
      <c r="EE275" s="139"/>
      <c r="EF275" s="139"/>
      <c r="EG275" s="139"/>
      <c r="EH275" s="139"/>
      <c r="EI275" s="139"/>
      <c r="EJ275" s="139"/>
      <c r="EK275" s="139"/>
      <c r="EL275" s="139"/>
      <c r="EM275" s="139"/>
      <c r="EN275" s="139"/>
      <c r="EO275" s="139"/>
      <c r="EP275" s="139"/>
      <c r="EQ275" s="139"/>
      <c r="ER275" s="139"/>
      <c r="ES275" s="139"/>
      <c r="ET275" s="139"/>
      <c r="EU275" s="139"/>
      <c r="EV275" s="139"/>
      <c r="EW275" s="139"/>
      <c r="EX275" s="139"/>
      <c r="EY275" s="139"/>
      <c r="EZ275" s="139"/>
      <c r="FA275" s="139"/>
      <c r="FB275" s="139"/>
      <c r="FC275" s="139"/>
      <c r="FD275" s="139"/>
      <c r="FE275" s="139"/>
      <c r="FF275" s="139"/>
      <c r="FG275" s="139"/>
      <c r="FH275" s="139"/>
      <c r="FI275" s="139"/>
    </row>
    <row r="276" spans="1:165" ht="15" customHeight="1">
      <c r="BB276" s="139"/>
      <c r="BC276" s="139"/>
      <c r="BD276" s="139"/>
      <c r="BE276" s="139"/>
      <c r="BI276" s="139"/>
      <c r="BL276" s="139"/>
      <c r="BN276" s="139"/>
      <c r="BO276" s="139"/>
      <c r="BP276" s="139"/>
      <c r="BT276" s="139"/>
      <c r="BY276" s="139"/>
      <c r="BZ276" s="139"/>
      <c r="CA276" s="139"/>
      <c r="CB276" s="139"/>
      <c r="CC276" s="139"/>
      <c r="CE276" s="139"/>
      <c r="CF276" s="139"/>
      <c r="CG276" s="139"/>
      <c r="CH276" s="139"/>
      <c r="CI276" s="139"/>
      <c r="CJ276" s="139"/>
      <c r="CL276" s="139"/>
      <c r="CN276" s="139"/>
      <c r="DU276" s="139"/>
      <c r="DV276" s="139"/>
      <c r="DW276" s="139"/>
      <c r="DX276" s="139"/>
      <c r="DY276" s="139"/>
      <c r="DZ276" s="139"/>
      <c r="EA276" s="139"/>
      <c r="EB276" s="139"/>
      <c r="EC276" s="139"/>
      <c r="ED276" s="139"/>
      <c r="EE276" s="139"/>
      <c r="EF276" s="139"/>
      <c r="EG276" s="139"/>
      <c r="EH276" s="139"/>
      <c r="EI276" s="139"/>
      <c r="EJ276" s="139"/>
      <c r="EK276" s="139"/>
      <c r="EL276" s="139"/>
      <c r="EM276" s="139"/>
      <c r="EN276" s="139"/>
      <c r="EO276" s="139"/>
      <c r="EP276" s="139"/>
      <c r="EQ276" s="139"/>
      <c r="ER276" s="139"/>
      <c r="ES276" s="139"/>
      <c r="ET276" s="139"/>
      <c r="EU276" s="139"/>
      <c r="EV276" s="139"/>
      <c r="EW276" s="139"/>
      <c r="EX276" s="139"/>
      <c r="EY276" s="139"/>
      <c r="EZ276" s="139"/>
      <c r="FA276" s="139"/>
      <c r="FB276" s="139"/>
      <c r="FC276" s="139"/>
      <c r="FD276" s="139"/>
      <c r="FE276" s="139"/>
      <c r="FF276" s="139"/>
      <c r="FG276" s="139"/>
      <c r="FH276" s="139"/>
      <c r="FI276" s="139"/>
    </row>
    <row r="277" spans="1:165" ht="15" customHeight="1">
      <c r="BB277" s="139"/>
      <c r="BC277" s="139"/>
      <c r="BD277" s="139"/>
      <c r="BE277" s="139"/>
      <c r="BI277" s="139"/>
      <c r="BL277" s="139"/>
      <c r="BN277" s="139"/>
      <c r="BO277" s="139"/>
      <c r="BP277" s="139"/>
      <c r="BT277" s="139"/>
      <c r="BY277" s="139"/>
      <c r="BZ277" s="139"/>
      <c r="CA277" s="139"/>
      <c r="CB277" s="139"/>
      <c r="CC277" s="139"/>
      <c r="CE277" s="139"/>
      <c r="CF277" s="139"/>
      <c r="CG277" s="139"/>
      <c r="CH277" s="139"/>
      <c r="CI277" s="139"/>
      <c r="CJ277" s="139"/>
      <c r="CL277" s="139"/>
      <c r="CN277" s="139"/>
      <c r="DU277" s="139"/>
      <c r="DV277" s="139"/>
      <c r="DW277" s="139"/>
      <c r="DX277" s="139"/>
      <c r="DY277" s="139"/>
      <c r="DZ277" s="139"/>
      <c r="EA277" s="139"/>
      <c r="EB277" s="139"/>
      <c r="EC277" s="139"/>
      <c r="ED277" s="139"/>
      <c r="EE277" s="139"/>
      <c r="EF277" s="139"/>
      <c r="EG277" s="139"/>
      <c r="EH277" s="139"/>
      <c r="EI277" s="139"/>
      <c r="EJ277" s="139"/>
      <c r="EK277" s="139"/>
      <c r="EL277" s="139"/>
      <c r="EM277" s="139"/>
      <c r="EN277" s="139"/>
      <c r="EO277" s="139"/>
      <c r="EP277" s="139"/>
      <c r="EQ277" s="139"/>
      <c r="ER277" s="139"/>
      <c r="ES277" s="139"/>
      <c r="ET277" s="139"/>
      <c r="EU277" s="139"/>
      <c r="EV277" s="139"/>
      <c r="EW277" s="139"/>
      <c r="EX277" s="139"/>
      <c r="EY277" s="139"/>
      <c r="EZ277" s="139"/>
      <c r="FA277" s="139"/>
      <c r="FB277" s="139"/>
      <c r="FC277" s="139"/>
      <c r="FD277" s="139"/>
      <c r="FE277" s="139"/>
      <c r="FF277" s="139"/>
      <c r="FG277" s="139"/>
      <c r="FH277" s="139"/>
      <c r="FI277" s="139"/>
    </row>
    <row r="278" spans="1:165" ht="15" customHeight="1">
      <c r="BB278" s="139"/>
      <c r="BC278" s="139"/>
      <c r="BD278" s="139"/>
      <c r="BE278" s="139"/>
      <c r="BI278" s="139"/>
      <c r="BL278" s="139"/>
      <c r="BN278" s="139"/>
      <c r="BO278" s="139"/>
      <c r="BP278" s="139"/>
      <c r="BT278" s="139"/>
      <c r="BY278" s="139"/>
      <c r="BZ278" s="139"/>
      <c r="CA278" s="139"/>
      <c r="CB278" s="139"/>
      <c r="CC278" s="139"/>
      <c r="CE278" s="139"/>
      <c r="CF278" s="139"/>
      <c r="CG278" s="139"/>
      <c r="CH278" s="139"/>
      <c r="CI278" s="139"/>
      <c r="CJ278" s="139"/>
      <c r="CL278" s="139"/>
      <c r="CN278" s="139"/>
      <c r="DU278" s="139"/>
      <c r="DV278" s="139"/>
      <c r="DW278" s="139"/>
      <c r="DX278" s="139"/>
      <c r="DY278" s="139"/>
      <c r="DZ278" s="139"/>
      <c r="EA278" s="139"/>
      <c r="EB278" s="139"/>
      <c r="EC278" s="139"/>
      <c r="ED278" s="139"/>
      <c r="EE278" s="139"/>
      <c r="EF278" s="139"/>
      <c r="EG278" s="139"/>
      <c r="EH278" s="139"/>
      <c r="EI278" s="139"/>
      <c r="EJ278" s="139"/>
      <c r="EK278" s="139"/>
      <c r="EL278" s="139"/>
      <c r="EM278" s="139"/>
      <c r="EN278" s="139"/>
      <c r="EO278" s="139"/>
      <c r="EP278" s="139"/>
      <c r="EQ278" s="139"/>
      <c r="ER278" s="139"/>
      <c r="ES278" s="139"/>
      <c r="ET278" s="139"/>
      <c r="EU278" s="139"/>
      <c r="EV278" s="139"/>
      <c r="EW278" s="139"/>
      <c r="EX278" s="139"/>
      <c r="EY278" s="139"/>
      <c r="EZ278" s="139"/>
      <c r="FA278" s="139"/>
      <c r="FB278" s="139"/>
      <c r="FC278" s="139"/>
      <c r="FD278" s="139"/>
      <c r="FE278" s="139"/>
      <c r="FF278" s="139"/>
      <c r="FG278" s="139"/>
      <c r="FH278" s="139"/>
      <c r="FI278" s="139"/>
    </row>
    <row r="279" spans="1:165" s="31" customFormat="1" ht="15" customHeight="1">
      <c r="A279" s="1"/>
      <c r="B279" s="1"/>
      <c r="C279" s="1"/>
      <c r="D279" s="1"/>
      <c r="E279" s="1"/>
      <c r="F279" s="1"/>
      <c r="G279" s="1"/>
      <c r="H279" s="1"/>
      <c r="I279" s="1"/>
      <c r="J279" s="1"/>
      <c r="K279" s="1"/>
      <c r="L279" s="1"/>
      <c r="M279" s="1"/>
      <c r="N279" s="1"/>
      <c r="O279" s="1"/>
      <c r="P279"/>
      <c r="Q279" s="130"/>
      <c r="R279" s="1"/>
      <c r="S279" s="1"/>
      <c r="T279" s="1"/>
      <c r="U279" s="1"/>
      <c r="V279" s="1"/>
      <c r="W279" s="1"/>
      <c r="X279" s="1"/>
      <c r="Y279" s="1"/>
      <c r="Z279" s="1"/>
      <c r="AA279" s="1"/>
      <c r="AB279" s="1"/>
      <c r="AC279" s="1"/>
      <c r="AD279" s="1"/>
      <c r="AE279" s="1"/>
      <c r="AF279" s="1"/>
      <c r="AG279" s="1"/>
      <c r="AH279" s="1"/>
      <c r="AI279" s="1"/>
      <c r="AJ279" s="1"/>
      <c r="AK279" s="1"/>
      <c r="AL279" s="1"/>
      <c r="AM279" s="1"/>
      <c r="AN279"/>
      <c r="AO279" s="228"/>
      <c r="AP279" s="189"/>
      <c r="AQ279"/>
      <c r="AR279"/>
      <c r="AS279" s="228"/>
      <c r="AT279" s="139"/>
      <c r="AU279" s="139"/>
      <c r="AV279"/>
      <c r="AW279" s="262"/>
      <c r="AX279"/>
      <c r="AY279"/>
      <c r="AZ279"/>
      <c r="BA279"/>
      <c r="BB279" s="139"/>
      <c r="BC279" s="139"/>
      <c r="BD279" s="139"/>
      <c r="BE279" s="139"/>
      <c r="BF279"/>
      <c r="BG279" s="262"/>
      <c r="BI279" s="139"/>
      <c r="BJ279" s="262"/>
      <c r="BK279"/>
      <c r="BL279" s="139"/>
      <c r="BM279" s="108"/>
      <c r="BN279" s="139"/>
      <c r="BO279" s="139"/>
      <c r="BP279" s="139"/>
      <c r="BQ279"/>
      <c r="BR279" s="262"/>
      <c r="BS279"/>
      <c r="BT279" s="139"/>
      <c r="BU279"/>
      <c r="BX279"/>
      <c r="BY279" s="139"/>
      <c r="BZ279" s="139"/>
      <c r="CA279" s="139"/>
      <c r="CB279" s="139"/>
      <c r="CC279" s="139"/>
      <c r="CD279" s="141"/>
      <c r="CE279" s="139"/>
      <c r="CF279" s="139"/>
      <c r="CG279" s="139"/>
      <c r="CH279" s="139"/>
      <c r="CI279" s="139"/>
      <c r="CJ279" s="139"/>
      <c r="CK279"/>
      <c r="CL279" s="139"/>
      <c r="CM279"/>
      <c r="CN279" s="139"/>
      <c r="CO279"/>
      <c r="CP279"/>
      <c r="CQ279" s="143"/>
      <c r="CR279" s="143"/>
      <c r="CS279"/>
      <c r="CT279" s="262"/>
      <c r="CU279"/>
      <c r="CV279"/>
      <c r="CW279"/>
      <c r="CX279" s="143"/>
      <c r="CY279" s="143"/>
      <c r="CZ279" s="143"/>
      <c r="DA279" s="143"/>
      <c r="DB279"/>
      <c r="DC279"/>
      <c r="DD279" s="143"/>
      <c r="DE279"/>
      <c r="DF279" s="143"/>
      <c r="DG279"/>
      <c r="DH279"/>
      <c r="DI279"/>
      <c r="DJ279"/>
      <c r="DK279"/>
      <c r="DL279" s="139"/>
      <c r="DM279"/>
      <c r="DN279" s="26"/>
      <c r="DO279" s="26"/>
      <c r="DP279"/>
      <c r="DQ279" s="262"/>
      <c r="DR279"/>
      <c r="DS279"/>
      <c r="DT279"/>
      <c r="DU279" s="139"/>
      <c r="DV279" s="139"/>
      <c r="DW279" s="139"/>
      <c r="DX279" s="139"/>
      <c r="DY279" s="139"/>
      <c r="DZ279" s="139"/>
      <c r="EA279" s="139"/>
      <c r="EB279" s="139"/>
      <c r="EC279" s="139"/>
      <c r="ED279" s="139"/>
      <c r="EE279" s="139"/>
      <c r="EF279" s="139"/>
      <c r="EG279" s="139"/>
      <c r="EH279" s="139"/>
      <c r="EI279" s="139"/>
      <c r="EJ279" s="139"/>
      <c r="EK279" s="139"/>
      <c r="EL279" s="139"/>
      <c r="EM279" s="139"/>
      <c r="EN279" s="139"/>
      <c r="EO279" s="139"/>
      <c r="EP279" s="139"/>
      <c r="EQ279" s="139"/>
      <c r="ER279" s="139"/>
      <c r="ES279" s="139"/>
      <c r="ET279" s="139"/>
      <c r="EU279" s="139"/>
      <c r="EV279" s="139"/>
      <c r="EW279" s="139"/>
      <c r="EX279" s="139"/>
      <c r="EY279" s="139"/>
      <c r="EZ279" s="139"/>
      <c r="FA279" s="139"/>
      <c r="FB279" s="139"/>
      <c r="FC279" s="139"/>
      <c r="FD279" s="139"/>
      <c r="FE279" s="139"/>
      <c r="FF279" s="139"/>
      <c r="FG279" s="139"/>
      <c r="FH279" s="139"/>
      <c r="FI279" s="139"/>
    </row>
    <row r="280" spans="1:165" s="31" customFormat="1" ht="15" customHeight="1">
      <c r="A280" s="1"/>
      <c r="B280" s="1"/>
      <c r="C280" s="1"/>
      <c r="D280" s="1"/>
      <c r="E280" s="1"/>
      <c r="F280" s="1"/>
      <c r="G280" s="1"/>
      <c r="H280" s="1"/>
      <c r="I280" s="1"/>
      <c r="J280" s="1"/>
      <c r="K280" s="1"/>
      <c r="L280" s="1"/>
      <c r="M280" s="1"/>
      <c r="N280" s="1"/>
      <c r="O280" s="1"/>
      <c r="P280"/>
      <c r="Q280" s="130"/>
      <c r="R280" s="1"/>
      <c r="S280" s="1"/>
      <c r="T280" s="1"/>
      <c r="U280" s="1"/>
      <c r="V280" s="1"/>
      <c r="W280" s="1"/>
      <c r="X280" s="1"/>
      <c r="Y280" s="1"/>
      <c r="Z280" s="1"/>
      <c r="AA280" s="1"/>
      <c r="AB280" s="1"/>
      <c r="AC280" s="1"/>
      <c r="AD280" s="1"/>
      <c r="AE280" s="1"/>
      <c r="AF280" s="1"/>
      <c r="AG280" s="1"/>
      <c r="AH280" s="1"/>
      <c r="AI280" s="1"/>
      <c r="AJ280" s="1"/>
      <c r="AK280" s="1"/>
      <c r="AL280" s="1"/>
      <c r="AM280" s="1"/>
      <c r="AN280"/>
      <c r="AO280" s="228"/>
      <c r="AP280" s="189"/>
      <c r="AQ280"/>
      <c r="AR280"/>
      <c r="AS280" s="228"/>
      <c r="AT280" s="139"/>
      <c r="AU280" s="139"/>
      <c r="AV280"/>
      <c r="AW280" s="262"/>
      <c r="AX280"/>
      <c r="AY280"/>
      <c r="AZ280"/>
      <c r="BA280"/>
      <c r="BB280" s="139"/>
      <c r="BC280" s="139"/>
      <c r="BD280" s="139"/>
      <c r="BE280" s="139"/>
      <c r="BF280"/>
      <c r="BG280" s="262"/>
      <c r="BI280" s="139"/>
      <c r="BJ280" s="262"/>
      <c r="BK280"/>
      <c r="BL280" s="139"/>
      <c r="BM280" s="108"/>
      <c r="BN280" s="139"/>
      <c r="BO280" s="139"/>
      <c r="BP280" s="139"/>
      <c r="BQ280"/>
      <c r="BR280" s="262"/>
      <c r="BS280"/>
      <c r="BT280" s="139"/>
      <c r="BU280"/>
      <c r="BX280"/>
      <c r="BY280" s="139"/>
      <c r="BZ280" s="139"/>
      <c r="CA280" s="139"/>
      <c r="CB280" s="139"/>
      <c r="CC280" s="139"/>
      <c r="CD280" s="141"/>
      <c r="CE280" s="139"/>
      <c r="CF280" s="139"/>
      <c r="CG280" s="139"/>
      <c r="CH280" s="139"/>
      <c r="CI280" s="139"/>
      <c r="CJ280" s="139"/>
      <c r="CK280"/>
      <c r="CL280" s="139"/>
      <c r="CM280"/>
      <c r="CN280" s="139"/>
      <c r="CO280"/>
      <c r="CP280"/>
      <c r="CQ280" s="143"/>
      <c r="CR280" s="143"/>
      <c r="CS280"/>
      <c r="CT280" s="262"/>
      <c r="CU280"/>
      <c r="CV280"/>
      <c r="CW280"/>
      <c r="CX280" s="143"/>
      <c r="CY280" s="143"/>
      <c r="CZ280" s="143"/>
      <c r="DA280" s="143"/>
      <c r="DB280"/>
      <c r="DC280"/>
      <c r="DD280" s="143"/>
      <c r="DE280"/>
      <c r="DF280" s="143"/>
      <c r="DG280"/>
      <c r="DH280"/>
      <c r="DI280"/>
      <c r="DJ280"/>
      <c r="DK280"/>
      <c r="DL280" s="139"/>
      <c r="DM280"/>
      <c r="DN280" s="26"/>
      <c r="DO280" s="26"/>
      <c r="DP280"/>
      <c r="DQ280" s="262"/>
      <c r="DR280"/>
      <c r="DS280"/>
      <c r="DT280"/>
      <c r="DU280" s="139"/>
      <c r="DV280" s="139"/>
      <c r="DW280" s="139"/>
      <c r="DX280" s="139"/>
      <c r="DY280" s="139"/>
      <c r="DZ280" s="139"/>
      <c r="EA280" s="139"/>
      <c r="EB280" s="139"/>
      <c r="EC280" s="139"/>
      <c r="ED280" s="139"/>
      <c r="EE280" s="139"/>
      <c r="EF280" s="139"/>
      <c r="EG280" s="139"/>
      <c r="EH280" s="139"/>
      <c r="EI280" s="139"/>
      <c r="EJ280" s="139"/>
      <c r="EK280" s="139"/>
      <c r="EL280" s="139"/>
      <c r="EM280" s="139"/>
      <c r="EN280" s="139"/>
      <c r="EO280" s="139"/>
      <c r="EP280" s="139"/>
      <c r="EQ280" s="139"/>
      <c r="ER280" s="139"/>
      <c r="ES280" s="139"/>
      <c r="ET280" s="139"/>
      <c r="EU280" s="139"/>
      <c r="EV280" s="139"/>
      <c r="EW280" s="139"/>
      <c r="EX280" s="139"/>
      <c r="EY280" s="139"/>
      <c r="EZ280" s="139"/>
      <c r="FA280" s="139"/>
      <c r="FB280" s="139"/>
      <c r="FC280" s="139"/>
      <c r="FD280" s="139"/>
      <c r="FE280" s="139"/>
      <c r="FF280" s="139"/>
      <c r="FG280" s="139"/>
      <c r="FH280" s="139"/>
      <c r="FI280" s="139"/>
    </row>
    <row r="281" spans="1:165" s="31" customFormat="1" ht="15" customHeight="1">
      <c r="A281" s="1"/>
      <c r="B281" s="1"/>
      <c r="C281" s="1"/>
      <c r="D281" s="1"/>
      <c r="E281" s="1"/>
      <c r="F281" s="1"/>
      <c r="G281" s="1"/>
      <c r="H281" s="1"/>
      <c r="I281" s="1"/>
      <c r="J281" s="1"/>
      <c r="K281" s="1"/>
      <c r="L281" s="1"/>
      <c r="M281" s="1"/>
      <c r="N281" s="1"/>
      <c r="O281" s="1"/>
      <c r="P281"/>
      <c r="Q281" s="130"/>
      <c r="R281" s="1"/>
      <c r="S281" s="1"/>
      <c r="T281" s="1"/>
      <c r="U281" s="1"/>
      <c r="V281" s="1"/>
      <c r="W281" s="1"/>
      <c r="X281" s="1"/>
      <c r="Y281" s="1"/>
      <c r="Z281" s="1"/>
      <c r="AA281" s="1"/>
      <c r="AB281" s="1"/>
      <c r="AC281" s="1"/>
      <c r="AD281" s="1"/>
      <c r="AE281" s="1"/>
      <c r="AF281" s="1"/>
      <c r="AG281" s="1"/>
      <c r="AH281" s="1"/>
      <c r="AI281" s="1"/>
      <c r="AJ281" s="1"/>
      <c r="AK281" s="1"/>
      <c r="AL281" s="1"/>
      <c r="AM281" s="1"/>
      <c r="AN281"/>
      <c r="AO281" s="228"/>
      <c r="AP281" s="189"/>
      <c r="AQ281"/>
      <c r="AR281"/>
      <c r="AS281" s="228"/>
      <c r="AT281" s="139"/>
      <c r="AU281" s="139"/>
      <c r="AV281"/>
      <c r="AW281" s="262"/>
      <c r="AX281"/>
      <c r="AY281"/>
      <c r="AZ281"/>
      <c r="BA281"/>
      <c r="BB281" s="139"/>
      <c r="BC281" s="139"/>
      <c r="BD281" s="139"/>
      <c r="BE281" s="139"/>
      <c r="BF281"/>
      <c r="BG281" s="262"/>
      <c r="BI281" s="139"/>
      <c r="BJ281" s="262"/>
      <c r="BK281"/>
      <c r="BL281" s="139"/>
      <c r="BM281" s="108"/>
      <c r="BN281" s="139"/>
      <c r="BO281" s="139"/>
      <c r="BP281" s="139"/>
      <c r="BQ281"/>
      <c r="BR281" s="262"/>
      <c r="BS281"/>
      <c r="BT281" s="139"/>
      <c r="BU281"/>
      <c r="BX281"/>
      <c r="BY281" s="139"/>
      <c r="BZ281" s="139"/>
      <c r="CA281" s="139"/>
      <c r="CB281" s="139"/>
      <c r="CC281" s="139"/>
      <c r="CD281" s="141"/>
      <c r="CE281" s="139"/>
      <c r="CF281" s="139"/>
      <c r="CG281" s="139"/>
      <c r="CH281" s="139"/>
      <c r="CI281" s="139"/>
      <c r="CJ281" s="139"/>
      <c r="CK281"/>
      <c r="CL281" s="139"/>
      <c r="CM281"/>
      <c r="CN281" s="139"/>
      <c r="CO281"/>
      <c r="CP281"/>
      <c r="CQ281" s="143"/>
      <c r="CR281" s="143"/>
      <c r="CS281"/>
      <c r="CT281" s="262"/>
      <c r="CU281"/>
      <c r="CV281"/>
      <c r="CW281"/>
      <c r="CX281" s="143"/>
      <c r="CY281" s="143"/>
      <c r="CZ281" s="143"/>
      <c r="DA281" s="143"/>
      <c r="DB281"/>
      <c r="DC281"/>
      <c r="DD281" s="143"/>
      <c r="DE281"/>
      <c r="DF281" s="143"/>
      <c r="DG281"/>
      <c r="DH281"/>
      <c r="DI281"/>
      <c r="DJ281"/>
      <c r="DK281"/>
      <c r="DL281" s="139"/>
      <c r="DM281"/>
      <c r="DN281" s="26"/>
      <c r="DO281" s="26"/>
      <c r="DP281"/>
      <c r="DQ281" s="262"/>
      <c r="DR281"/>
      <c r="DS281"/>
      <c r="DT281"/>
      <c r="DU281" s="139"/>
      <c r="DV281" s="139"/>
      <c r="DW281" s="139"/>
      <c r="DX281" s="139"/>
      <c r="DY281" s="139"/>
      <c r="DZ281" s="139"/>
      <c r="EA281" s="139"/>
      <c r="EB281" s="139"/>
      <c r="EC281" s="139"/>
      <c r="ED281" s="139"/>
      <c r="EE281" s="139"/>
      <c r="EF281" s="139"/>
      <c r="EG281" s="139"/>
      <c r="EH281" s="139"/>
      <c r="EI281" s="139"/>
      <c r="EJ281" s="139"/>
      <c r="EK281" s="139"/>
      <c r="EL281" s="139"/>
      <c r="EM281" s="139"/>
      <c r="EN281" s="139"/>
      <c r="EO281" s="139"/>
      <c r="EP281" s="139"/>
      <c r="EQ281" s="139"/>
      <c r="ER281" s="139"/>
      <c r="ES281" s="139"/>
      <c r="ET281" s="139"/>
      <c r="EU281" s="139"/>
      <c r="EV281" s="139"/>
      <c r="EW281" s="139"/>
      <c r="EX281" s="139"/>
      <c r="EY281" s="139"/>
      <c r="EZ281" s="139"/>
      <c r="FA281" s="139"/>
      <c r="FB281" s="139"/>
      <c r="FC281" s="139"/>
      <c r="FD281" s="139"/>
      <c r="FE281" s="139"/>
      <c r="FF281" s="139"/>
      <c r="FG281" s="139"/>
      <c r="FH281" s="139"/>
      <c r="FI281" s="139"/>
    </row>
    <row r="282" spans="1:165" s="31" customFormat="1" ht="15" customHeight="1">
      <c r="A282" s="1"/>
      <c r="B282" s="1"/>
      <c r="C282" s="1"/>
      <c r="D282" s="1"/>
      <c r="E282" s="1"/>
      <c r="F282" s="1"/>
      <c r="G282" s="1"/>
      <c r="H282" s="1"/>
      <c r="I282" s="1"/>
      <c r="J282" s="1"/>
      <c r="K282" s="1"/>
      <c r="L282" s="1"/>
      <c r="M282" s="1"/>
      <c r="N282" s="1"/>
      <c r="O282" s="1"/>
      <c r="P282"/>
      <c r="Q282" s="130"/>
      <c r="R282" s="1"/>
      <c r="S282" s="1"/>
      <c r="T282" s="1"/>
      <c r="U282" s="1"/>
      <c r="V282" s="1"/>
      <c r="W282" s="1"/>
      <c r="X282" s="1"/>
      <c r="Y282" s="1"/>
      <c r="Z282" s="1"/>
      <c r="AA282" s="1"/>
      <c r="AB282" s="1"/>
      <c r="AC282" s="1"/>
      <c r="AD282" s="1"/>
      <c r="AE282" s="1"/>
      <c r="AF282" s="1"/>
      <c r="AG282" s="1"/>
      <c r="AH282" s="1"/>
      <c r="AI282" s="1"/>
      <c r="AJ282" s="1"/>
      <c r="AK282" s="1"/>
      <c r="AL282" s="1"/>
      <c r="AM282" s="1"/>
      <c r="AN282"/>
      <c r="AO282" s="228"/>
      <c r="AP282" s="189"/>
      <c r="AQ282"/>
      <c r="AR282"/>
      <c r="AS282" s="228"/>
      <c r="AT282" s="139"/>
      <c r="AU282" s="139"/>
      <c r="AV282"/>
      <c r="AW282" s="262"/>
      <c r="AX282"/>
      <c r="AY282"/>
      <c r="AZ282"/>
      <c r="BA282"/>
      <c r="BB282" s="139"/>
      <c r="BC282" s="139"/>
      <c r="BD282" s="139"/>
      <c r="BE282" s="139"/>
      <c r="BF282"/>
      <c r="BG282" s="262"/>
      <c r="BI282" s="139"/>
      <c r="BJ282" s="262"/>
      <c r="BK282"/>
      <c r="BL282" s="139"/>
      <c r="BM282" s="108"/>
      <c r="BN282" s="139"/>
      <c r="BO282" s="139"/>
      <c r="BP282" s="139"/>
      <c r="BQ282"/>
      <c r="BR282" s="262"/>
      <c r="BS282"/>
      <c r="BT282" s="139"/>
      <c r="BU282"/>
      <c r="BX282"/>
      <c r="BY282" s="139"/>
      <c r="BZ282" s="139"/>
      <c r="CA282" s="139"/>
      <c r="CB282" s="139"/>
      <c r="CC282" s="139"/>
      <c r="CD282" s="141"/>
      <c r="CE282" s="139"/>
      <c r="CF282" s="139"/>
      <c r="CG282" s="139"/>
      <c r="CH282" s="139"/>
      <c r="CI282" s="139"/>
      <c r="CJ282" s="139"/>
      <c r="CK282"/>
      <c r="CL282" s="139"/>
      <c r="CM282"/>
      <c r="CN282" s="139"/>
      <c r="CO282"/>
      <c r="CP282"/>
      <c r="CQ282" s="143"/>
      <c r="CR282" s="143"/>
      <c r="CS282"/>
      <c r="CT282" s="262"/>
      <c r="CU282"/>
      <c r="CV282"/>
      <c r="CW282"/>
      <c r="CX282" s="143"/>
      <c r="CY282" s="143"/>
      <c r="CZ282" s="143"/>
      <c r="DA282" s="143"/>
      <c r="DB282"/>
      <c r="DC282"/>
      <c r="DD282" s="143"/>
      <c r="DE282"/>
      <c r="DF282" s="143"/>
      <c r="DG282"/>
      <c r="DH282"/>
      <c r="DI282"/>
      <c r="DJ282"/>
      <c r="DK282"/>
      <c r="DL282" s="139"/>
      <c r="DM282"/>
      <c r="DN282" s="26"/>
      <c r="DO282" s="26"/>
      <c r="DP282"/>
      <c r="DQ282" s="262"/>
      <c r="DR282"/>
      <c r="DS282"/>
      <c r="DT282"/>
      <c r="DU282" s="139"/>
      <c r="DV282" s="139"/>
      <c r="DW282" s="139"/>
      <c r="DX282" s="139"/>
      <c r="DY282" s="139"/>
      <c r="DZ282" s="139"/>
      <c r="EA282" s="139"/>
      <c r="EB282" s="139"/>
      <c r="EC282" s="139"/>
      <c r="ED282" s="139"/>
      <c r="EE282" s="139"/>
      <c r="EF282" s="139"/>
      <c r="EG282" s="139"/>
      <c r="EH282" s="139"/>
      <c r="EI282" s="139"/>
      <c r="EJ282" s="139"/>
      <c r="EK282" s="139"/>
      <c r="EL282" s="139"/>
      <c r="EM282" s="139"/>
      <c r="EN282" s="139"/>
      <c r="EO282" s="139"/>
      <c r="EP282" s="139"/>
      <c r="EQ282" s="139"/>
      <c r="ER282" s="139"/>
      <c r="ES282" s="139"/>
      <c r="ET282" s="139"/>
      <c r="EU282" s="139"/>
      <c r="EV282" s="139"/>
      <c r="EW282" s="139"/>
      <c r="EX282" s="139"/>
      <c r="EY282" s="139"/>
      <c r="EZ282" s="139"/>
      <c r="FA282" s="139"/>
      <c r="FB282" s="139"/>
      <c r="FC282" s="139"/>
      <c r="FD282" s="139"/>
      <c r="FE282" s="139"/>
      <c r="FF282" s="139"/>
      <c r="FG282" s="139"/>
      <c r="FH282" s="139"/>
      <c r="FI282" s="139"/>
    </row>
    <row r="283" spans="1:165" s="31" customFormat="1" ht="15" customHeight="1">
      <c r="A283" s="1"/>
      <c r="B283" s="1"/>
      <c r="C283" s="1"/>
      <c r="D283" s="1"/>
      <c r="E283" s="1"/>
      <c r="F283" s="1"/>
      <c r="G283" s="1"/>
      <c r="H283" s="1"/>
      <c r="I283" s="1"/>
      <c r="J283" s="1"/>
      <c r="K283" s="1"/>
      <c r="L283" s="1"/>
      <c r="M283" s="1"/>
      <c r="N283" s="1"/>
      <c r="O283" s="1"/>
      <c r="P283"/>
      <c r="Q283" s="130"/>
      <c r="R283" s="1"/>
      <c r="S283" s="1"/>
      <c r="T283" s="1"/>
      <c r="U283" s="1"/>
      <c r="V283" s="1"/>
      <c r="W283" s="1"/>
      <c r="X283" s="1"/>
      <c r="Y283" s="1"/>
      <c r="Z283" s="1"/>
      <c r="AA283" s="1"/>
      <c r="AB283" s="1"/>
      <c r="AC283" s="1"/>
      <c r="AD283" s="1"/>
      <c r="AE283" s="1"/>
      <c r="AF283" s="1"/>
      <c r="AG283" s="1"/>
      <c r="AH283" s="1"/>
      <c r="AI283" s="1"/>
      <c r="AJ283" s="1"/>
      <c r="AK283" s="1"/>
      <c r="AL283" s="1"/>
      <c r="AM283" s="1"/>
      <c r="AN283"/>
      <c r="AO283" s="228"/>
      <c r="AP283" s="189"/>
      <c r="AQ283"/>
      <c r="AR283"/>
      <c r="AS283" s="228"/>
      <c r="AT283" s="139"/>
      <c r="AU283" s="139"/>
      <c r="AV283"/>
      <c r="AW283" s="262"/>
      <c r="AX283"/>
      <c r="AY283"/>
      <c r="AZ283"/>
      <c r="BA283"/>
      <c r="BB283" s="139"/>
      <c r="BC283" s="139"/>
      <c r="BD283" s="139"/>
      <c r="BE283" s="139"/>
      <c r="BF283"/>
      <c r="BG283" s="262"/>
      <c r="BI283" s="139"/>
      <c r="BJ283" s="262"/>
      <c r="BK283"/>
      <c r="BL283" s="139"/>
      <c r="BM283" s="108"/>
      <c r="BN283" s="139"/>
      <c r="BO283" s="139"/>
      <c r="BP283" s="139"/>
      <c r="BQ283"/>
      <c r="BR283" s="262"/>
      <c r="BS283"/>
      <c r="BT283" s="139"/>
      <c r="BU283"/>
      <c r="BX283"/>
      <c r="BY283" s="139"/>
      <c r="BZ283" s="139"/>
      <c r="CA283" s="139"/>
      <c r="CB283" s="139"/>
      <c r="CC283" s="139"/>
      <c r="CD283" s="141"/>
      <c r="CE283" s="139"/>
      <c r="CF283" s="139"/>
      <c r="CG283" s="139"/>
      <c r="CH283" s="139"/>
      <c r="CI283" s="139"/>
      <c r="CJ283" s="139"/>
      <c r="CK283"/>
      <c r="CL283" s="139"/>
      <c r="CM283"/>
      <c r="CN283" s="139"/>
      <c r="CO283"/>
      <c r="CP283"/>
      <c r="CQ283" s="143"/>
      <c r="CR283" s="143"/>
      <c r="CS283"/>
      <c r="CT283" s="262"/>
      <c r="CU283"/>
      <c r="CV283"/>
      <c r="CW283"/>
      <c r="CX283" s="143"/>
      <c r="CY283" s="143"/>
      <c r="CZ283" s="143"/>
      <c r="DA283" s="143"/>
      <c r="DB283"/>
      <c r="DC283"/>
      <c r="DD283" s="143"/>
      <c r="DE283"/>
      <c r="DF283" s="143"/>
      <c r="DG283"/>
      <c r="DH283"/>
      <c r="DI283"/>
      <c r="DJ283"/>
      <c r="DK283"/>
      <c r="DL283" s="139"/>
      <c r="DM283"/>
      <c r="DN283" s="26"/>
      <c r="DO283" s="26"/>
      <c r="DP283"/>
      <c r="DQ283" s="262"/>
      <c r="DR283"/>
      <c r="DS283"/>
      <c r="DT283"/>
      <c r="DU283" s="139"/>
      <c r="DV283" s="139"/>
      <c r="DW283" s="139"/>
      <c r="DX283" s="139"/>
      <c r="DY283" s="139"/>
      <c r="DZ283" s="139"/>
      <c r="EA283" s="139"/>
      <c r="EB283" s="139"/>
      <c r="EC283" s="139"/>
      <c r="ED283" s="139"/>
      <c r="EE283" s="139"/>
      <c r="EF283" s="139"/>
      <c r="EG283" s="139"/>
      <c r="EH283" s="139"/>
      <c r="EI283" s="139"/>
      <c r="EJ283" s="139"/>
      <c r="EK283" s="139"/>
      <c r="EL283" s="139"/>
      <c r="EM283" s="139"/>
      <c r="EN283" s="139"/>
      <c r="EO283" s="139"/>
      <c r="EP283" s="139"/>
      <c r="EQ283" s="139"/>
      <c r="ER283" s="139"/>
      <c r="ES283" s="139"/>
      <c r="ET283" s="139"/>
      <c r="EU283" s="139"/>
      <c r="EV283" s="139"/>
      <c r="EW283" s="139"/>
      <c r="EX283" s="139"/>
      <c r="EY283" s="139"/>
      <c r="EZ283" s="139"/>
      <c r="FA283" s="139"/>
      <c r="FB283" s="139"/>
      <c r="FC283" s="139"/>
      <c r="FD283" s="139"/>
      <c r="FE283" s="139"/>
      <c r="FF283" s="139"/>
      <c r="FG283" s="139"/>
      <c r="FH283" s="139"/>
      <c r="FI283" s="139"/>
    </row>
    <row r="284" spans="1:165" s="31" customFormat="1" ht="15" customHeight="1">
      <c r="A284" s="1"/>
      <c r="B284" s="1"/>
      <c r="C284" s="1"/>
      <c r="D284" s="1"/>
      <c r="E284" s="1"/>
      <c r="F284" s="1"/>
      <c r="G284" s="1"/>
      <c r="H284" s="1"/>
      <c r="I284" s="1"/>
      <c r="J284" s="1"/>
      <c r="K284" s="1"/>
      <c r="L284" s="1"/>
      <c r="M284" s="1"/>
      <c r="N284" s="1"/>
      <c r="O284" s="1"/>
      <c r="P284"/>
      <c r="Q284" s="130"/>
      <c r="R284" s="1"/>
      <c r="S284" s="1"/>
      <c r="T284" s="1"/>
      <c r="U284" s="1"/>
      <c r="V284" s="1"/>
      <c r="W284" s="1"/>
      <c r="X284" s="1"/>
      <c r="Y284" s="1"/>
      <c r="Z284" s="1"/>
      <c r="AA284" s="1"/>
      <c r="AB284" s="1"/>
      <c r="AC284" s="1"/>
      <c r="AD284" s="1"/>
      <c r="AE284" s="1"/>
      <c r="AF284" s="1"/>
      <c r="AG284" s="1"/>
      <c r="AH284" s="1"/>
      <c r="AI284" s="1"/>
      <c r="AJ284" s="1"/>
      <c r="AK284" s="1"/>
      <c r="AL284" s="1"/>
      <c r="AM284" s="1"/>
      <c r="AN284"/>
      <c r="AO284" s="228"/>
      <c r="AP284" s="189"/>
      <c r="AQ284"/>
      <c r="AR284"/>
      <c r="AS284" s="228"/>
      <c r="AT284" s="139"/>
      <c r="AU284" s="139"/>
      <c r="AV284"/>
      <c r="AW284" s="262"/>
      <c r="AX284"/>
      <c r="AY284"/>
      <c r="AZ284"/>
      <c r="BA284"/>
      <c r="BB284" s="139"/>
      <c r="BC284" s="139"/>
      <c r="BD284" s="139"/>
      <c r="BE284" s="139"/>
      <c r="BF284"/>
      <c r="BG284" s="262"/>
      <c r="BI284" s="139"/>
      <c r="BJ284" s="262"/>
      <c r="BK284"/>
      <c r="BL284" s="139"/>
      <c r="BM284" s="108"/>
      <c r="BN284" s="139"/>
      <c r="BO284" s="139"/>
      <c r="BP284" s="139"/>
      <c r="BQ284"/>
      <c r="BR284" s="262"/>
      <c r="BS284"/>
      <c r="BT284" s="139"/>
      <c r="BU284"/>
      <c r="BX284"/>
      <c r="BY284" s="139"/>
      <c r="BZ284" s="139"/>
      <c r="CA284" s="139"/>
      <c r="CB284" s="139"/>
      <c r="CC284" s="139"/>
      <c r="CD284" s="141"/>
      <c r="CE284" s="139"/>
      <c r="CF284" s="139"/>
      <c r="CG284" s="139"/>
      <c r="CH284" s="139"/>
      <c r="CI284" s="139"/>
      <c r="CJ284" s="139"/>
      <c r="CK284"/>
      <c r="CL284" s="139"/>
      <c r="CM284"/>
      <c r="CN284" s="139"/>
      <c r="CO284"/>
      <c r="CP284"/>
      <c r="CQ284" s="143"/>
      <c r="CR284" s="143"/>
      <c r="CS284"/>
      <c r="CT284" s="262"/>
      <c r="CU284"/>
      <c r="CV284"/>
      <c r="CW284"/>
      <c r="CX284" s="143"/>
      <c r="CY284" s="143"/>
      <c r="CZ284" s="143"/>
      <c r="DA284" s="143"/>
      <c r="DB284"/>
      <c r="DC284"/>
      <c r="DD284" s="143"/>
      <c r="DE284"/>
      <c r="DF284" s="143"/>
      <c r="DG284"/>
      <c r="DH284"/>
      <c r="DI284"/>
      <c r="DJ284"/>
      <c r="DK284"/>
      <c r="DL284" s="139"/>
      <c r="DM284"/>
      <c r="DN284" s="26"/>
      <c r="DO284" s="26"/>
      <c r="DP284"/>
      <c r="DQ284" s="262"/>
      <c r="DR284"/>
      <c r="DS284"/>
      <c r="DT284"/>
      <c r="DU284" s="139"/>
      <c r="DV284" s="139"/>
      <c r="DW284" s="139"/>
      <c r="DX284" s="139"/>
      <c r="DY284" s="139"/>
      <c r="DZ284" s="139"/>
      <c r="EA284" s="139"/>
      <c r="EB284" s="139"/>
      <c r="EC284" s="139"/>
      <c r="ED284" s="139"/>
      <c r="EE284" s="139"/>
      <c r="EF284" s="139"/>
      <c r="EG284" s="139"/>
      <c r="EH284" s="139"/>
      <c r="EI284" s="139"/>
      <c r="EJ284" s="139"/>
      <c r="EK284" s="139"/>
      <c r="EL284" s="139"/>
      <c r="EM284" s="139"/>
      <c r="EN284" s="139"/>
      <c r="EO284" s="139"/>
      <c r="EP284" s="139"/>
      <c r="EQ284" s="139"/>
      <c r="ER284" s="139"/>
      <c r="ES284" s="139"/>
      <c r="ET284" s="139"/>
      <c r="EU284" s="139"/>
      <c r="EV284" s="139"/>
      <c r="EW284" s="139"/>
      <c r="EX284" s="139"/>
      <c r="EY284" s="139"/>
      <c r="EZ284" s="139"/>
      <c r="FA284" s="139"/>
      <c r="FB284" s="139"/>
      <c r="FC284" s="139"/>
      <c r="FD284" s="139"/>
      <c r="FE284" s="139"/>
      <c r="FF284" s="139"/>
      <c r="FG284" s="139"/>
      <c r="FH284" s="139"/>
      <c r="FI284" s="139"/>
    </row>
    <row r="285" spans="1:165" s="31" customFormat="1" ht="15" customHeight="1">
      <c r="A285" s="1"/>
      <c r="B285" s="1"/>
      <c r="C285" s="1"/>
      <c r="D285" s="1"/>
      <c r="E285" s="1"/>
      <c r="F285" s="1"/>
      <c r="G285" s="1"/>
      <c r="H285" s="1"/>
      <c r="I285" s="1"/>
      <c r="J285" s="1"/>
      <c r="K285" s="1"/>
      <c r="L285" s="1"/>
      <c r="M285" s="1"/>
      <c r="N285" s="1"/>
      <c r="O285" s="1"/>
      <c r="P285"/>
      <c r="Q285" s="130"/>
      <c r="R285" s="1"/>
      <c r="S285" s="1"/>
      <c r="T285" s="1"/>
      <c r="U285" s="1"/>
      <c r="V285" s="1"/>
      <c r="W285" s="1"/>
      <c r="X285" s="1"/>
      <c r="Y285" s="1"/>
      <c r="Z285" s="1"/>
      <c r="AA285" s="1"/>
      <c r="AB285" s="1"/>
      <c r="AC285" s="1"/>
      <c r="AD285" s="1"/>
      <c r="AE285" s="1"/>
      <c r="AF285" s="1"/>
      <c r="AG285" s="1"/>
      <c r="AH285" s="1"/>
      <c r="AI285" s="1"/>
      <c r="AJ285" s="1"/>
      <c r="AK285" s="1"/>
      <c r="AL285" s="1"/>
      <c r="AM285" s="1"/>
      <c r="AN285"/>
      <c r="AO285" s="228"/>
      <c r="AP285" s="189"/>
      <c r="AQ285"/>
      <c r="AR285"/>
      <c r="AS285" s="228"/>
      <c r="AT285" s="139"/>
      <c r="AU285" s="139"/>
      <c r="AV285"/>
      <c r="AW285" s="262"/>
      <c r="AX285"/>
      <c r="AY285"/>
      <c r="AZ285"/>
      <c r="BA285"/>
      <c r="BB285" s="139"/>
      <c r="BC285" s="139"/>
      <c r="BD285" s="139"/>
      <c r="BE285" s="139"/>
      <c r="BF285"/>
      <c r="BG285" s="262"/>
      <c r="BI285" s="139"/>
      <c r="BJ285" s="262"/>
      <c r="BK285"/>
      <c r="BL285" s="139"/>
      <c r="BM285" s="108"/>
      <c r="BN285" s="139"/>
      <c r="BO285" s="139"/>
      <c r="BP285" s="139"/>
      <c r="BQ285"/>
      <c r="BR285" s="262"/>
      <c r="BS285"/>
      <c r="BT285" s="139"/>
      <c r="BU285"/>
      <c r="BX285"/>
      <c r="BY285" s="139"/>
      <c r="BZ285" s="139"/>
      <c r="CA285" s="139"/>
      <c r="CB285" s="139"/>
      <c r="CC285" s="139"/>
      <c r="CD285" s="141"/>
      <c r="CE285" s="139"/>
      <c r="CF285" s="139"/>
      <c r="CG285" s="139"/>
      <c r="CH285" s="139"/>
      <c r="CI285" s="139"/>
      <c r="CJ285" s="139"/>
      <c r="CK285"/>
      <c r="CL285" s="139"/>
      <c r="CM285"/>
      <c r="CN285" s="139"/>
      <c r="CO285"/>
      <c r="CP285"/>
      <c r="CQ285" s="143"/>
      <c r="CR285" s="143"/>
      <c r="CS285"/>
      <c r="CT285" s="262"/>
      <c r="CU285"/>
      <c r="CV285"/>
      <c r="CW285"/>
      <c r="CX285" s="143"/>
      <c r="CY285" s="143"/>
      <c r="CZ285" s="143"/>
      <c r="DA285" s="143"/>
      <c r="DB285"/>
      <c r="DC285"/>
      <c r="DD285" s="143"/>
      <c r="DE285"/>
      <c r="DF285" s="143"/>
      <c r="DG285"/>
      <c r="DH285"/>
      <c r="DI285"/>
      <c r="DJ285"/>
      <c r="DK285"/>
      <c r="DL285" s="139"/>
      <c r="DM285"/>
      <c r="DN285" s="26"/>
      <c r="DO285" s="26"/>
      <c r="DP285"/>
      <c r="DQ285" s="262"/>
      <c r="DR285"/>
      <c r="DS285"/>
      <c r="DT285"/>
      <c r="DU285" s="139"/>
      <c r="DV285" s="139"/>
      <c r="DW285" s="139"/>
      <c r="DX285" s="139"/>
      <c r="DY285" s="139"/>
      <c r="DZ285" s="139"/>
      <c r="EA285" s="139"/>
      <c r="EB285" s="139"/>
      <c r="EC285" s="139"/>
      <c r="ED285" s="139"/>
      <c r="EE285" s="139"/>
      <c r="EF285" s="139"/>
      <c r="EG285" s="139"/>
      <c r="EH285" s="139"/>
      <c r="EI285" s="139"/>
      <c r="EJ285" s="139"/>
      <c r="EK285" s="139"/>
      <c r="EL285" s="139"/>
      <c r="EM285" s="139"/>
      <c r="EN285" s="139"/>
      <c r="EO285" s="139"/>
      <c r="EP285" s="139"/>
      <c r="EQ285" s="139"/>
      <c r="ER285" s="139"/>
      <c r="ES285" s="139"/>
      <c r="ET285" s="139"/>
      <c r="EU285" s="139"/>
      <c r="EV285" s="139"/>
      <c r="EW285" s="139"/>
      <c r="EX285" s="139"/>
      <c r="EY285" s="139"/>
      <c r="EZ285" s="139"/>
      <c r="FA285" s="139"/>
      <c r="FB285" s="139"/>
      <c r="FC285" s="139"/>
      <c r="FD285" s="139"/>
      <c r="FE285" s="139"/>
      <c r="FF285" s="139"/>
      <c r="FG285" s="139"/>
      <c r="FH285" s="139"/>
      <c r="FI285" s="139"/>
    </row>
    <row r="286" spans="1:165" s="31" customFormat="1" ht="15" customHeight="1">
      <c r="A286" s="1"/>
      <c r="B286" s="1"/>
      <c r="C286" s="1"/>
      <c r="D286" s="1"/>
      <c r="E286" s="1"/>
      <c r="F286" s="1"/>
      <c r="G286" s="1"/>
      <c r="H286" s="1"/>
      <c r="I286" s="1"/>
      <c r="J286" s="1"/>
      <c r="K286" s="1"/>
      <c r="L286" s="1"/>
      <c r="M286" s="1"/>
      <c r="N286" s="1"/>
      <c r="O286" s="1"/>
      <c r="P286"/>
      <c r="Q286" s="130"/>
      <c r="R286" s="1"/>
      <c r="S286" s="1"/>
      <c r="T286" s="1"/>
      <c r="U286" s="1"/>
      <c r="V286" s="1"/>
      <c r="W286" s="1"/>
      <c r="X286" s="1"/>
      <c r="Y286" s="1"/>
      <c r="Z286" s="1"/>
      <c r="AA286" s="1"/>
      <c r="AB286" s="1"/>
      <c r="AC286" s="1"/>
      <c r="AD286" s="1"/>
      <c r="AE286" s="1"/>
      <c r="AF286" s="1"/>
      <c r="AG286" s="1"/>
      <c r="AH286" s="1"/>
      <c r="AI286" s="1"/>
      <c r="AJ286" s="1"/>
      <c r="AK286" s="1"/>
      <c r="AL286" s="1"/>
      <c r="AM286" s="1"/>
      <c r="AN286"/>
      <c r="AO286" s="228"/>
      <c r="AP286" s="189"/>
      <c r="AQ286"/>
      <c r="AR286"/>
      <c r="AS286" s="228"/>
      <c r="AT286" s="139"/>
      <c r="AU286" s="139"/>
      <c r="AV286"/>
      <c r="AW286" s="262"/>
      <c r="AX286"/>
      <c r="AY286"/>
      <c r="AZ286"/>
      <c r="BA286"/>
      <c r="BB286" s="139"/>
      <c r="BC286" s="139"/>
      <c r="BD286" s="139"/>
      <c r="BE286" s="139"/>
      <c r="BF286"/>
      <c r="BG286" s="262"/>
      <c r="BI286" s="139"/>
      <c r="BJ286" s="262"/>
      <c r="BK286"/>
      <c r="BL286" s="139"/>
      <c r="BM286" s="108"/>
      <c r="BN286" s="139"/>
      <c r="BO286" s="139"/>
      <c r="BP286" s="139"/>
      <c r="BQ286"/>
      <c r="BR286" s="262"/>
      <c r="BS286"/>
      <c r="BT286" s="139"/>
      <c r="BU286"/>
      <c r="BX286"/>
      <c r="BY286" s="139"/>
      <c r="BZ286" s="139"/>
      <c r="CA286" s="139"/>
      <c r="CB286" s="139"/>
      <c r="CC286" s="139"/>
      <c r="CD286" s="141"/>
      <c r="CE286" s="139"/>
      <c r="CF286" s="139"/>
      <c r="CG286" s="139"/>
      <c r="CH286" s="139"/>
      <c r="CI286" s="139"/>
      <c r="CJ286" s="139"/>
      <c r="CK286"/>
      <c r="CL286" s="139"/>
      <c r="CM286"/>
      <c r="CN286" s="139"/>
      <c r="CO286"/>
      <c r="CP286"/>
      <c r="CQ286" s="143"/>
      <c r="CR286" s="143"/>
      <c r="CS286"/>
      <c r="CT286" s="262"/>
      <c r="CU286"/>
      <c r="CV286"/>
      <c r="CW286"/>
      <c r="CX286" s="143"/>
      <c r="CY286" s="143"/>
      <c r="CZ286" s="143"/>
      <c r="DA286" s="143"/>
      <c r="DB286"/>
      <c r="DC286"/>
      <c r="DD286" s="143"/>
      <c r="DE286"/>
      <c r="DF286" s="143"/>
      <c r="DG286"/>
      <c r="DH286"/>
      <c r="DI286"/>
      <c r="DJ286"/>
      <c r="DK286"/>
      <c r="DL286" s="139"/>
      <c r="DM286"/>
      <c r="DN286" s="26"/>
      <c r="DO286" s="26"/>
      <c r="DP286"/>
      <c r="DQ286" s="262"/>
      <c r="DR286"/>
      <c r="DS286"/>
      <c r="DT286"/>
      <c r="DU286" s="139"/>
      <c r="DV286" s="139"/>
      <c r="DW286" s="139"/>
      <c r="DX286" s="139"/>
      <c r="DY286" s="139"/>
      <c r="DZ286" s="139"/>
      <c r="EA286" s="139"/>
      <c r="EB286" s="139"/>
      <c r="EC286" s="139"/>
      <c r="ED286" s="139"/>
      <c r="EE286" s="139"/>
      <c r="EF286" s="139"/>
      <c r="EG286" s="139"/>
      <c r="EH286" s="139"/>
      <c r="EI286" s="139"/>
      <c r="EJ286" s="139"/>
      <c r="EK286" s="139"/>
      <c r="EL286" s="139"/>
      <c r="EM286" s="139"/>
      <c r="EN286" s="139"/>
      <c r="EO286" s="139"/>
      <c r="EP286" s="139"/>
      <c r="EQ286" s="139"/>
      <c r="ER286" s="139"/>
      <c r="ES286" s="139"/>
      <c r="ET286" s="139"/>
      <c r="EU286" s="139"/>
      <c r="EV286" s="139"/>
      <c r="EW286" s="139"/>
      <c r="EX286" s="139"/>
      <c r="EY286" s="139"/>
      <c r="EZ286" s="139"/>
      <c r="FA286" s="139"/>
      <c r="FB286" s="139"/>
      <c r="FC286" s="139"/>
      <c r="FD286" s="139"/>
      <c r="FE286" s="139"/>
      <c r="FF286" s="139"/>
      <c r="FG286" s="139"/>
      <c r="FH286" s="139"/>
      <c r="FI286" s="139"/>
    </row>
    <row r="287" spans="1:165" s="31" customFormat="1" ht="15" customHeight="1">
      <c r="A287" s="1"/>
      <c r="B287" s="1"/>
      <c r="C287" s="1"/>
      <c r="D287" s="1"/>
      <c r="E287" s="1"/>
      <c r="F287" s="1"/>
      <c r="G287" s="1"/>
      <c r="H287" s="1"/>
      <c r="I287" s="1"/>
      <c r="J287" s="1"/>
      <c r="K287" s="1"/>
      <c r="L287" s="1"/>
      <c r="M287" s="1"/>
      <c r="N287" s="1"/>
      <c r="O287" s="1"/>
      <c r="P287"/>
      <c r="Q287" s="130"/>
      <c r="R287" s="1"/>
      <c r="S287" s="1"/>
      <c r="T287" s="1"/>
      <c r="U287" s="1"/>
      <c r="V287" s="1"/>
      <c r="W287" s="1"/>
      <c r="X287" s="1"/>
      <c r="Y287" s="1"/>
      <c r="Z287" s="1"/>
      <c r="AA287" s="1"/>
      <c r="AB287" s="1"/>
      <c r="AC287" s="1"/>
      <c r="AD287" s="1"/>
      <c r="AE287" s="1"/>
      <c r="AF287" s="1"/>
      <c r="AG287" s="1"/>
      <c r="AH287" s="1"/>
      <c r="AI287" s="1"/>
      <c r="AJ287" s="1"/>
      <c r="AK287" s="1"/>
      <c r="AL287" s="1"/>
      <c r="AM287" s="1"/>
      <c r="AN287"/>
      <c r="AO287" s="228"/>
      <c r="AP287" s="189"/>
      <c r="AQ287"/>
      <c r="AR287"/>
      <c r="AS287" s="228"/>
      <c r="AT287" s="139"/>
      <c r="AU287" s="139"/>
      <c r="AV287"/>
      <c r="AW287" s="262"/>
      <c r="AX287"/>
      <c r="AY287"/>
      <c r="AZ287"/>
      <c r="BA287"/>
      <c r="BB287" s="139"/>
      <c r="BC287" s="139"/>
      <c r="BD287" s="139"/>
      <c r="BE287" s="139"/>
      <c r="BF287"/>
      <c r="BG287" s="262"/>
      <c r="BI287" s="139"/>
      <c r="BJ287" s="262"/>
      <c r="BK287"/>
      <c r="BL287" s="139"/>
      <c r="BM287" s="108"/>
      <c r="BN287" s="139"/>
      <c r="BO287" s="139"/>
      <c r="BP287" s="139"/>
      <c r="BQ287"/>
      <c r="BR287" s="262"/>
      <c r="BS287"/>
      <c r="BT287" s="139"/>
      <c r="BU287"/>
      <c r="BX287"/>
      <c r="BY287" s="139"/>
      <c r="BZ287" s="139"/>
      <c r="CA287" s="139"/>
      <c r="CB287" s="139"/>
      <c r="CC287" s="139"/>
      <c r="CD287" s="141"/>
      <c r="CE287" s="139"/>
      <c r="CF287" s="139"/>
      <c r="CG287" s="139"/>
      <c r="CH287" s="139"/>
      <c r="CI287" s="139"/>
      <c r="CJ287" s="139"/>
      <c r="CK287"/>
      <c r="CL287" s="139"/>
      <c r="CM287"/>
      <c r="CN287" s="139"/>
      <c r="CO287"/>
      <c r="CP287"/>
      <c r="CQ287" s="143"/>
      <c r="CR287" s="143"/>
      <c r="CS287"/>
      <c r="CT287" s="262"/>
      <c r="CU287"/>
      <c r="CV287"/>
      <c r="CW287"/>
      <c r="CX287" s="143"/>
      <c r="CY287" s="143"/>
      <c r="CZ287" s="143"/>
      <c r="DA287" s="143"/>
      <c r="DB287"/>
      <c r="DC287"/>
      <c r="DD287" s="143"/>
      <c r="DE287"/>
      <c r="DF287" s="143"/>
      <c r="DG287"/>
      <c r="DH287"/>
      <c r="DI287"/>
      <c r="DJ287"/>
      <c r="DK287"/>
      <c r="DL287" s="139"/>
      <c r="DM287"/>
      <c r="DN287" s="26"/>
      <c r="DO287" s="26"/>
      <c r="DP287"/>
      <c r="DQ287" s="262"/>
      <c r="DR287"/>
      <c r="DS287"/>
      <c r="DT287"/>
      <c r="DU287" s="139"/>
      <c r="DV287" s="139"/>
      <c r="DW287" s="139"/>
      <c r="DX287" s="139"/>
      <c r="DY287" s="139"/>
      <c r="DZ287" s="139"/>
      <c r="EA287" s="139"/>
      <c r="EB287" s="139"/>
      <c r="EC287" s="139"/>
      <c r="ED287" s="139"/>
      <c r="EE287" s="139"/>
      <c r="EF287" s="139"/>
      <c r="EG287" s="139"/>
      <c r="EH287" s="139"/>
      <c r="EI287" s="139"/>
      <c r="EJ287" s="139"/>
      <c r="EK287" s="139"/>
      <c r="EL287" s="139"/>
      <c r="EM287" s="139"/>
      <c r="EN287" s="139"/>
      <c r="EO287" s="139"/>
      <c r="EP287" s="139"/>
      <c r="EQ287" s="139"/>
      <c r="ER287" s="139"/>
      <c r="ES287" s="139"/>
      <c r="ET287" s="139"/>
      <c r="EU287" s="139"/>
      <c r="EV287" s="139"/>
      <c r="EW287" s="139"/>
      <c r="EX287" s="139"/>
      <c r="EY287" s="139"/>
      <c r="EZ287" s="139"/>
      <c r="FA287" s="139"/>
      <c r="FB287" s="139"/>
      <c r="FC287" s="139"/>
      <c r="FD287" s="139"/>
      <c r="FE287" s="139"/>
      <c r="FF287" s="139"/>
      <c r="FG287" s="139"/>
      <c r="FH287" s="139"/>
      <c r="FI287" s="139"/>
    </row>
    <row r="288" spans="1:165" s="31" customFormat="1" ht="15" customHeight="1">
      <c r="A288" s="1"/>
      <c r="B288" s="1"/>
      <c r="C288" s="1"/>
      <c r="D288" s="1"/>
      <c r="E288" s="1"/>
      <c r="F288" s="1"/>
      <c r="G288" s="1"/>
      <c r="H288" s="1"/>
      <c r="I288" s="1"/>
      <c r="J288" s="1"/>
      <c r="K288" s="1"/>
      <c r="L288" s="1"/>
      <c r="M288" s="1"/>
      <c r="N288" s="1"/>
      <c r="O288" s="1"/>
      <c r="P288"/>
      <c r="Q288" s="130"/>
      <c r="R288" s="1"/>
      <c r="S288" s="1"/>
      <c r="T288" s="1"/>
      <c r="U288" s="1"/>
      <c r="V288" s="1"/>
      <c r="W288" s="1"/>
      <c r="X288" s="1"/>
      <c r="Y288" s="1"/>
      <c r="Z288" s="1"/>
      <c r="AA288" s="1"/>
      <c r="AB288" s="1"/>
      <c r="AC288" s="1"/>
      <c r="AD288" s="1"/>
      <c r="AE288" s="1"/>
      <c r="AF288" s="1"/>
      <c r="AG288" s="1"/>
      <c r="AH288" s="1"/>
      <c r="AI288" s="1"/>
      <c r="AJ288" s="1"/>
      <c r="AK288" s="1"/>
      <c r="AL288" s="1"/>
      <c r="AM288" s="1"/>
      <c r="AN288"/>
      <c r="AO288" s="228"/>
      <c r="AP288" s="189"/>
      <c r="AQ288"/>
      <c r="AR288"/>
      <c r="AS288" s="228"/>
      <c r="AT288" s="139"/>
      <c r="AU288" s="139"/>
      <c r="AV288"/>
      <c r="AW288" s="262"/>
      <c r="AX288"/>
      <c r="AY288"/>
      <c r="AZ288"/>
      <c r="BA288"/>
      <c r="BB288" s="139"/>
      <c r="BC288" s="139"/>
      <c r="BD288" s="139"/>
      <c r="BE288" s="139"/>
      <c r="BF288"/>
      <c r="BG288" s="262"/>
      <c r="BI288" s="139"/>
      <c r="BJ288" s="262"/>
      <c r="BK288"/>
      <c r="BL288" s="139"/>
      <c r="BM288" s="108"/>
      <c r="BN288" s="139"/>
      <c r="BO288" s="139"/>
      <c r="BP288" s="139"/>
      <c r="BQ288"/>
      <c r="BR288" s="262"/>
      <c r="BS288"/>
      <c r="BT288" s="139"/>
      <c r="BU288"/>
      <c r="BX288"/>
      <c r="BY288" s="139"/>
      <c r="BZ288" s="139"/>
      <c r="CA288" s="139"/>
      <c r="CB288" s="139"/>
      <c r="CC288" s="139"/>
      <c r="CD288" s="141"/>
      <c r="CE288" s="139"/>
      <c r="CF288" s="139"/>
      <c r="CG288" s="139"/>
      <c r="CH288" s="139"/>
      <c r="CI288" s="139"/>
      <c r="CJ288" s="139"/>
      <c r="CK288"/>
      <c r="CL288" s="139"/>
      <c r="CM288"/>
      <c r="CN288" s="139"/>
      <c r="CO288"/>
      <c r="CP288"/>
      <c r="CQ288" s="143"/>
      <c r="CR288" s="143"/>
      <c r="CS288"/>
      <c r="CT288" s="262"/>
      <c r="CU288"/>
      <c r="CV288"/>
      <c r="CW288"/>
      <c r="CX288" s="143"/>
      <c r="CY288" s="143"/>
      <c r="CZ288" s="143"/>
      <c r="DA288" s="143"/>
      <c r="DB288"/>
      <c r="DC288"/>
      <c r="DD288" s="143"/>
      <c r="DE288"/>
      <c r="DF288" s="143"/>
      <c r="DG288"/>
      <c r="DH288"/>
      <c r="DI288"/>
      <c r="DJ288"/>
      <c r="DK288"/>
      <c r="DL288" s="139"/>
      <c r="DM288"/>
      <c r="DN288" s="26"/>
      <c r="DO288" s="26"/>
      <c r="DP288"/>
      <c r="DQ288" s="262"/>
      <c r="DR288"/>
      <c r="DS288"/>
      <c r="DT288"/>
      <c r="DU288" s="139"/>
      <c r="DV288" s="139"/>
      <c r="DW288" s="139"/>
      <c r="DX288" s="139"/>
      <c r="DY288" s="139"/>
      <c r="DZ288" s="139"/>
      <c r="EA288" s="139"/>
      <c r="EB288" s="139"/>
      <c r="EC288" s="139"/>
      <c r="ED288" s="139"/>
      <c r="EE288" s="139"/>
      <c r="EF288" s="139"/>
      <c r="EG288" s="139"/>
      <c r="EH288" s="139"/>
      <c r="EI288" s="139"/>
      <c r="EJ288" s="139"/>
      <c r="EK288" s="139"/>
      <c r="EL288" s="139"/>
      <c r="EM288" s="139"/>
      <c r="EN288" s="139"/>
      <c r="EO288" s="139"/>
      <c r="EP288" s="139"/>
      <c r="EQ288" s="139"/>
      <c r="ER288" s="139"/>
      <c r="ES288" s="139"/>
      <c r="ET288" s="139"/>
      <c r="EU288" s="139"/>
      <c r="EV288" s="139"/>
      <c r="EW288" s="139"/>
      <c r="EX288" s="139"/>
      <c r="EY288" s="139"/>
      <c r="EZ288" s="139"/>
      <c r="FA288" s="139"/>
      <c r="FB288" s="139"/>
      <c r="FC288" s="139"/>
      <c r="FD288" s="139"/>
      <c r="FE288" s="139"/>
      <c r="FF288" s="139"/>
      <c r="FG288" s="139"/>
      <c r="FH288" s="139"/>
      <c r="FI288" s="139"/>
    </row>
    <row r="289" spans="1:165" s="31" customFormat="1" ht="15" customHeight="1">
      <c r="A289" s="1"/>
      <c r="B289" s="1"/>
      <c r="C289" s="1"/>
      <c r="D289" s="1"/>
      <c r="E289" s="1"/>
      <c r="F289" s="1"/>
      <c r="G289" s="1"/>
      <c r="H289" s="1"/>
      <c r="I289" s="1"/>
      <c r="J289" s="1"/>
      <c r="K289" s="1"/>
      <c r="L289" s="1"/>
      <c r="M289" s="1"/>
      <c r="N289" s="1"/>
      <c r="O289" s="1"/>
      <c r="P289"/>
      <c r="Q289" s="130"/>
      <c r="R289" s="1"/>
      <c r="S289" s="1"/>
      <c r="T289" s="1"/>
      <c r="U289" s="1"/>
      <c r="V289" s="1"/>
      <c r="W289" s="1"/>
      <c r="X289" s="1"/>
      <c r="Y289" s="1"/>
      <c r="Z289" s="1"/>
      <c r="AA289" s="1"/>
      <c r="AB289" s="1"/>
      <c r="AC289" s="1"/>
      <c r="AD289" s="1"/>
      <c r="AE289" s="1"/>
      <c r="AF289" s="1"/>
      <c r="AG289" s="1"/>
      <c r="AH289" s="1"/>
      <c r="AI289" s="1"/>
      <c r="AJ289" s="1"/>
      <c r="AK289" s="1"/>
      <c r="AL289" s="1"/>
      <c r="AM289" s="1"/>
      <c r="AN289"/>
      <c r="AO289" s="228"/>
      <c r="AP289" s="189"/>
      <c r="AQ289"/>
      <c r="AR289"/>
      <c r="AS289" s="228"/>
      <c r="AT289" s="139"/>
      <c r="AU289" s="139"/>
      <c r="AV289"/>
      <c r="AW289" s="262"/>
      <c r="AX289"/>
      <c r="AY289"/>
      <c r="AZ289"/>
      <c r="BA289"/>
      <c r="BB289" s="139"/>
      <c r="BC289" s="139"/>
      <c r="BD289" s="139"/>
      <c r="BE289" s="139"/>
      <c r="BF289"/>
      <c r="BG289" s="262"/>
      <c r="BI289" s="139"/>
      <c r="BJ289" s="262"/>
      <c r="BK289"/>
      <c r="BL289" s="139"/>
      <c r="BM289" s="108"/>
      <c r="BN289" s="139"/>
      <c r="BO289" s="139"/>
      <c r="BP289" s="139"/>
      <c r="BQ289"/>
      <c r="BR289" s="262"/>
      <c r="BS289"/>
      <c r="BT289" s="139"/>
      <c r="BU289"/>
      <c r="BX289"/>
      <c r="BY289" s="139"/>
      <c r="BZ289" s="139"/>
      <c r="CA289" s="139"/>
      <c r="CB289" s="139"/>
      <c r="CC289" s="139"/>
      <c r="CD289" s="141"/>
      <c r="CE289" s="139"/>
      <c r="CF289" s="139"/>
      <c r="CG289" s="139"/>
      <c r="CH289" s="139"/>
      <c r="CI289" s="139"/>
      <c r="CJ289" s="139"/>
      <c r="CK289"/>
      <c r="CL289" s="139"/>
      <c r="CM289"/>
      <c r="CN289" s="139"/>
      <c r="CO289"/>
      <c r="CP289"/>
      <c r="CQ289" s="143"/>
      <c r="CR289" s="143"/>
      <c r="CS289"/>
      <c r="CT289" s="262"/>
      <c r="CU289"/>
      <c r="CV289"/>
      <c r="CW289"/>
      <c r="CX289" s="143"/>
      <c r="CY289" s="143"/>
      <c r="CZ289" s="143"/>
      <c r="DA289" s="143"/>
      <c r="DB289"/>
      <c r="DC289"/>
      <c r="DD289" s="143"/>
      <c r="DE289"/>
      <c r="DF289" s="143"/>
      <c r="DG289"/>
      <c r="DH289"/>
      <c r="DI289"/>
      <c r="DJ289"/>
      <c r="DK289"/>
      <c r="DL289" s="139"/>
      <c r="DM289"/>
      <c r="DN289" s="26"/>
      <c r="DO289" s="26"/>
      <c r="DP289"/>
      <c r="DQ289" s="262"/>
      <c r="DR289"/>
      <c r="DS289"/>
      <c r="DT289"/>
      <c r="DU289" s="139"/>
      <c r="DV289" s="139"/>
      <c r="DW289" s="139"/>
      <c r="DX289" s="139"/>
      <c r="DY289" s="139"/>
      <c r="DZ289" s="139"/>
      <c r="EA289" s="139"/>
      <c r="EB289" s="139"/>
      <c r="EC289" s="139"/>
      <c r="ED289" s="139"/>
      <c r="EE289" s="139"/>
      <c r="EF289" s="139"/>
      <c r="EG289" s="139"/>
      <c r="EH289" s="139"/>
      <c r="EI289" s="139"/>
      <c r="EJ289" s="139"/>
      <c r="EK289" s="139"/>
      <c r="EL289" s="139"/>
      <c r="EM289" s="139"/>
      <c r="EN289" s="139"/>
      <c r="EO289" s="139"/>
      <c r="EP289" s="139"/>
      <c r="EQ289" s="139"/>
      <c r="ER289" s="139"/>
      <c r="ES289" s="139"/>
      <c r="ET289" s="139"/>
      <c r="EU289" s="139"/>
      <c r="EV289" s="139"/>
      <c r="EW289" s="139"/>
      <c r="EX289" s="139"/>
      <c r="EY289" s="139"/>
      <c r="EZ289" s="139"/>
      <c r="FA289" s="139"/>
      <c r="FB289" s="139"/>
      <c r="FC289" s="139"/>
      <c r="FD289" s="139"/>
      <c r="FE289" s="139"/>
      <c r="FF289" s="139"/>
      <c r="FG289" s="139"/>
      <c r="FH289" s="139"/>
      <c r="FI289" s="139"/>
    </row>
    <row r="290" spans="1:165" s="31" customFormat="1" ht="15" customHeight="1">
      <c r="A290" s="1"/>
      <c r="B290" s="1"/>
      <c r="C290" s="1"/>
      <c r="D290" s="1"/>
      <c r="E290" s="1"/>
      <c r="F290" s="1"/>
      <c r="G290" s="1"/>
      <c r="H290" s="1"/>
      <c r="I290" s="1"/>
      <c r="J290" s="1"/>
      <c r="K290" s="1"/>
      <c r="L290" s="1"/>
      <c r="M290" s="1"/>
      <c r="N290" s="1"/>
      <c r="O290" s="1"/>
      <c r="P290"/>
      <c r="Q290" s="130"/>
      <c r="R290" s="1"/>
      <c r="S290" s="1"/>
      <c r="T290" s="1"/>
      <c r="U290" s="1"/>
      <c r="V290" s="1"/>
      <c r="W290" s="1"/>
      <c r="X290" s="1"/>
      <c r="Y290" s="1"/>
      <c r="Z290" s="1"/>
      <c r="AA290" s="1"/>
      <c r="AB290" s="1"/>
      <c r="AC290" s="1"/>
      <c r="AD290" s="1"/>
      <c r="AE290" s="1"/>
      <c r="AF290" s="1"/>
      <c r="AG290" s="1"/>
      <c r="AH290" s="1"/>
      <c r="AI290" s="1"/>
      <c r="AJ290" s="1"/>
      <c r="AK290" s="1"/>
      <c r="AL290" s="1"/>
      <c r="AM290" s="1"/>
      <c r="AN290"/>
      <c r="AO290" s="228"/>
      <c r="AP290" s="189"/>
      <c r="AQ290"/>
      <c r="AR290"/>
      <c r="AS290" s="228"/>
      <c r="AT290" s="139"/>
      <c r="AU290" s="139"/>
      <c r="AV290"/>
      <c r="AW290" s="262"/>
      <c r="AX290"/>
      <c r="AY290"/>
      <c r="AZ290"/>
      <c r="BA290"/>
      <c r="BB290" s="139"/>
      <c r="BC290" s="139"/>
      <c r="BD290" s="139"/>
      <c r="BE290" s="139"/>
      <c r="BF290"/>
      <c r="BG290" s="262"/>
      <c r="BI290" s="139"/>
      <c r="BJ290" s="262"/>
      <c r="BK290"/>
      <c r="BL290" s="139"/>
      <c r="BM290" s="108"/>
      <c r="BN290" s="139"/>
      <c r="BO290" s="139"/>
      <c r="BP290" s="139"/>
      <c r="BQ290"/>
      <c r="BR290" s="262"/>
      <c r="BS290"/>
      <c r="BT290" s="139"/>
      <c r="BU290"/>
      <c r="BX290"/>
      <c r="BY290" s="139"/>
      <c r="BZ290" s="139"/>
      <c r="CA290" s="139"/>
      <c r="CB290" s="139"/>
      <c r="CC290" s="139"/>
      <c r="CD290" s="141"/>
      <c r="CE290" s="139"/>
      <c r="CF290" s="139"/>
      <c r="CG290" s="139"/>
      <c r="CH290" s="139"/>
      <c r="CI290" s="139"/>
      <c r="CJ290" s="139"/>
      <c r="CK290"/>
      <c r="CL290" s="139"/>
      <c r="CM290"/>
      <c r="CN290" s="139"/>
      <c r="CO290"/>
      <c r="CP290"/>
      <c r="CQ290" s="143"/>
      <c r="CR290" s="143"/>
      <c r="CS290"/>
      <c r="CT290" s="262"/>
      <c r="CU290"/>
      <c r="CV290"/>
      <c r="CW290"/>
      <c r="CX290" s="143"/>
      <c r="CY290" s="143"/>
      <c r="CZ290" s="143"/>
      <c r="DA290" s="143"/>
      <c r="DB290"/>
      <c r="DC290"/>
      <c r="DD290" s="143"/>
      <c r="DE290"/>
      <c r="DF290" s="143"/>
      <c r="DG290"/>
      <c r="DH290"/>
      <c r="DI290"/>
      <c r="DJ290"/>
      <c r="DK290"/>
      <c r="DL290" s="139"/>
      <c r="DM290"/>
      <c r="DN290" s="26"/>
      <c r="DO290" s="26"/>
      <c r="DP290"/>
      <c r="DQ290" s="262"/>
      <c r="DR290"/>
      <c r="DS290"/>
      <c r="DT290"/>
      <c r="DU290" s="139"/>
      <c r="DV290" s="139"/>
      <c r="DW290" s="139"/>
      <c r="DX290" s="139"/>
      <c r="DY290" s="139"/>
      <c r="DZ290" s="139"/>
      <c r="EA290" s="139"/>
      <c r="EB290" s="139"/>
      <c r="EC290" s="139"/>
      <c r="ED290" s="139"/>
      <c r="EE290" s="139"/>
      <c r="EF290" s="139"/>
      <c r="EG290" s="139"/>
      <c r="EH290" s="139"/>
      <c r="EI290" s="139"/>
      <c r="EJ290" s="139"/>
      <c r="EK290" s="139"/>
      <c r="EL290" s="139"/>
      <c r="EM290" s="139"/>
      <c r="EN290" s="139"/>
      <c r="EO290" s="139"/>
      <c r="EP290" s="139"/>
      <c r="EQ290" s="139"/>
      <c r="ER290" s="139"/>
      <c r="ES290" s="139"/>
      <c r="ET290" s="139"/>
      <c r="EU290" s="139"/>
      <c r="EV290" s="139"/>
      <c r="EW290" s="139"/>
      <c r="EX290" s="139"/>
      <c r="EY290" s="139"/>
      <c r="EZ290" s="139"/>
      <c r="FA290" s="139"/>
      <c r="FB290" s="139"/>
      <c r="FC290" s="139"/>
      <c r="FD290" s="139"/>
      <c r="FE290" s="139"/>
      <c r="FF290" s="139"/>
      <c r="FG290" s="139"/>
      <c r="FH290" s="139"/>
      <c r="FI290" s="139"/>
    </row>
    <row r="291" spans="1:165" s="31" customFormat="1" ht="15" customHeight="1">
      <c r="A291" s="1"/>
      <c r="B291" s="1"/>
      <c r="C291" s="1"/>
      <c r="D291" s="1"/>
      <c r="E291" s="1"/>
      <c r="F291" s="1"/>
      <c r="G291" s="1"/>
      <c r="H291" s="1"/>
      <c r="I291" s="1"/>
      <c r="J291" s="1"/>
      <c r="K291" s="1"/>
      <c r="L291" s="1"/>
      <c r="M291" s="1"/>
      <c r="N291" s="1"/>
      <c r="O291" s="1"/>
      <c r="P291"/>
      <c r="Q291" s="130"/>
      <c r="R291" s="1"/>
      <c r="S291" s="1"/>
      <c r="T291" s="1"/>
      <c r="U291" s="1"/>
      <c r="V291" s="1"/>
      <c r="W291" s="1"/>
      <c r="X291" s="1"/>
      <c r="Y291" s="1"/>
      <c r="Z291" s="1"/>
      <c r="AA291" s="1"/>
      <c r="AB291" s="1"/>
      <c r="AC291" s="1"/>
      <c r="AD291" s="1"/>
      <c r="AE291" s="1"/>
      <c r="AF291" s="1"/>
      <c r="AG291" s="1"/>
      <c r="AH291" s="1"/>
      <c r="AI291" s="1"/>
      <c r="AJ291" s="1"/>
      <c r="AK291" s="1"/>
      <c r="AL291" s="1"/>
      <c r="AM291" s="1"/>
      <c r="AN291"/>
      <c r="AO291" s="228"/>
      <c r="AP291" s="189"/>
      <c r="AQ291"/>
      <c r="AR291"/>
      <c r="AS291" s="228"/>
      <c r="AT291" s="139"/>
      <c r="AU291" s="139"/>
      <c r="AV291"/>
      <c r="AW291" s="262"/>
      <c r="AX291"/>
      <c r="AY291"/>
      <c r="AZ291"/>
      <c r="BA291"/>
      <c r="BB291" s="139"/>
      <c r="BC291" s="139"/>
      <c r="BD291" s="139"/>
      <c r="BE291" s="139"/>
      <c r="BF291"/>
      <c r="BG291" s="262"/>
      <c r="BI291" s="139"/>
      <c r="BJ291" s="262"/>
      <c r="BK291"/>
      <c r="BL291" s="139"/>
      <c r="BM291" s="108"/>
      <c r="BN291" s="139"/>
      <c r="BO291" s="139"/>
      <c r="BP291" s="139"/>
      <c r="BQ291"/>
      <c r="BR291" s="262"/>
      <c r="BS291"/>
      <c r="BT291" s="139"/>
      <c r="BU291"/>
      <c r="BX291"/>
      <c r="BY291" s="139"/>
      <c r="BZ291" s="139"/>
      <c r="CA291" s="139"/>
      <c r="CB291" s="139"/>
      <c r="CC291" s="139"/>
      <c r="CD291" s="141"/>
      <c r="CE291" s="139"/>
      <c r="CF291" s="139"/>
      <c r="CG291" s="139"/>
      <c r="CH291" s="139"/>
      <c r="CI291" s="139"/>
      <c r="CJ291" s="139"/>
      <c r="CK291"/>
      <c r="CL291" s="139"/>
      <c r="CM291"/>
      <c r="CN291" s="139"/>
      <c r="CO291"/>
      <c r="CP291"/>
      <c r="CQ291" s="143"/>
      <c r="CR291" s="143"/>
      <c r="CS291"/>
      <c r="CT291" s="262"/>
      <c r="CU291"/>
      <c r="CV291"/>
      <c r="CW291"/>
      <c r="CX291" s="143"/>
      <c r="CY291" s="143"/>
      <c r="CZ291" s="143"/>
      <c r="DA291" s="143"/>
      <c r="DB291"/>
      <c r="DC291"/>
      <c r="DD291" s="143"/>
      <c r="DE291"/>
      <c r="DF291" s="143"/>
      <c r="DG291"/>
      <c r="DH291"/>
      <c r="DI291"/>
      <c r="DJ291"/>
      <c r="DK291"/>
      <c r="DL291" s="139"/>
      <c r="DM291"/>
      <c r="DN291" s="26"/>
      <c r="DO291" s="26"/>
      <c r="DP291"/>
      <c r="DQ291" s="262"/>
      <c r="DR291"/>
      <c r="DS291"/>
      <c r="DT291"/>
      <c r="DU291" s="139"/>
      <c r="DV291" s="139"/>
      <c r="DW291" s="139"/>
      <c r="DX291" s="139"/>
      <c r="DY291" s="139"/>
      <c r="DZ291" s="139"/>
      <c r="EA291" s="139"/>
      <c r="EB291" s="139"/>
      <c r="EC291" s="139"/>
      <c r="ED291" s="139"/>
      <c r="EE291" s="139"/>
      <c r="EF291" s="139"/>
      <c r="EG291" s="139"/>
      <c r="EH291" s="139"/>
      <c r="EI291" s="139"/>
      <c r="EJ291" s="139"/>
      <c r="EK291" s="139"/>
      <c r="EL291" s="139"/>
      <c r="EM291" s="139"/>
      <c r="EN291" s="139"/>
      <c r="EO291" s="139"/>
      <c r="EP291" s="139"/>
      <c r="EQ291" s="139"/>
      <c r="ER291" s="139"/>
      <c r="ES291" s="139"/>
      <c r="ET291" s="139"/>
      <c r="EU291" s="139"/>
      <c r="EV291" s="139"/>
      <c r="EW291" s="139"/>
      <c r="EX291" s="139"/>
      <c r="EY291" s="139"/>
      <c r="EZ291" s="139"/>
      <c r="FA291" s="139"/>
      <c r="FB291" s="139"/>
      <c r="FC291" s="139"/>
      <c r="FD291" s="139"/>
      <c r="FE291" s="139"/>
      <c r="FF291" s="139"/>
      <c r="FG291" s="139"/>
      <c r="FH291" s="139"/>
      <c r="FI291" s="139"/>
    </row>
    <row r="292" spans="1:165" s="31" customFormat="1" ht="15" customHeight="1">
      <c r="A292" s="1"/>
      <c r="B292" s="1"/>
      <c r="C292" s="1"/>
      <c r="D292" s="1"/>
      <c r="E292" s="1"/>
      <c r="F292" s="1"/>
      <c r="G292" s="1"/>
      <c r="H292" s="1"/>
      <c r="I292" s="1"/>
      <c r="J292" s="1"/>
      <c r="K292" s="1"/>
      <c r="L292" s="1"/>
      <c r="M292" s="1"/>
      <c r="N292" s="1"/>
      <c r="O292" s="1"/>
      <c r="P292"/>
      <c r="Q292" s="130"/>
      <c r="R292" s="1"/>
      <c r="S292" s="1"/>
      <c r="T292" s="1"/>
      <c r="U292" s="1"/>
      <c r="V292" s="1"/>
      <c r="W292" s="1"/>
      <c r="X292" s="1"/>
      <c r="Y292" s="1"/>
      <c r="Z292" s="1"/>
      <c r="AA292" s="1"/>
      <c r="AB292" s="1"/>
      <c r="AC292" s="1"/>
      <c r="AD292" s="1"/>
      <c r="AE292" s="1"/>
      <c r="AF292" s="1"/>
      <c r="AG292" s="1"/>
      <c r="AH292" s="1"/>
      <c r="AI292" s="1"/>
      <c r="AJ292" s="1"/>
      <c r="AK292" s="1"/>
      <c r="AL292" s="1"/>
      <c r="AM292" s="1"/>
      <c r="AN292"/>
      <c r="AO292" s="228"/>
      <c r="AP292" s="189"/>
      <c r="AQ292"/>
      <c r="AR292"/>
      <c r="AS292" s="228"/>
      <c r="AT292" s="139"/>
      <c r="AU292" s="139"/>
      <c r="AV292"/>
      <c r="AW292" s="262"/>
      <c r="AX292"/>
      <c r="AY292"/>
      <c r="AZ292"/>
      <c r="BA292"/>
      <c r="BB292" s="139"/>
      <c r="BC292" s="139"/>
      <c r="BD292" s="139"/>
      <c r="BE292" s="139"/>
      <c r="BF292"/>
      <c r="BG292" s="262"/>
      <c r="BI292" s="139"/>
      <c r="BJ292" s="262"/>
      <c r="BK292"/>
      <c r="BL292" s="139"/>
      <c r="BM292" s="108"/>
      <c r="BN292" s="139"/>
      <c r="BO292" s="139"/>
      <c r="BP292" s="139"/>
      <c r="BQ292"/>
      <c r="BR292" s="262"/>
      <c r="BS292"/>
      <c r="BT292" s="139"/>
      <c r="BU292"/>
      <c r="BX292"/>
      <c r="BY292" s="139"/>
      <c r="BZ292" s="139"/>
      <c r="CA292" s="139"/>
      <c r="CB292" s="139"/>
      <c r="CC292" s="139"/>
      <c r="CD292" s="141"/>
      <c r="CE292" s="139"/>
      <c r="CF292" s="139"/>
      <c r="CG292" s="139"/>
      <c r="CH292" s="139"/>
      <c r="CI292" s="139"/>
      <c r="CJ292" s="139"/>
      <c r="CK292"/>
      <c r="CL292" s="139"/>
      <c r="CM292"/>
      <c r="CN292" s="139"/>
      <c r="CO292"/>
      <c r="CP292"/>
      <c r="CQ292" s="143"/>
      <c r="CR292" s="143"/>
      <c r="CS292"/>
      <c r="CT292" s="262"/>
      <c r="CU292"/>
      <c r="CV292"/>
      <c r="CW292"/>
      <c r="CX292" s="143"/>
      <c r="CY292" s="143"/>
      <c r="CZ292" s="143"/>
      <c r="DA292" s="143"/>
      <c r="DB292"/>
      <c r="DC292"/>
      <c r="DD292" s="143"/>
      <c r="DE292"/>
      <c r="DF292" s="143"/>
      <c r="DG292"/>
      <c r="DH292"/>
      <c r="DI292"/>
      <c r="DJ292"/>
      <c r="DK292"/>
      <c r="DL292" s="139"/>
      <c r="DM292"/>
      <c r="DN292" s="26"/>
      <c r="DO292" s="26"/>
      <c r="DP292"/>
      <c r="DQ292" s="262"/>
      <c r="DR292"/>
      <c r="DS292"/>
      <c r="DT292"/>
      <c r="DU292" s="139"/>
      <c r="DV292" s="139"/>
      <c r="DW292" s="139"/>
      <c r="DX292" s="139"/>
      <c r="DY292" s="139"/>
      <c r="DZ292" s="139"/>
      <c r="EA292" s="139"/>
      <c r="EB292" s="139"/>
      <c r="EC292" s="139"/>
      <c r="ED292" s="139"/>
      <c r="EE292" s="139"/>
      <c r="EF292" s="139"/>
      <c r="EG292" s="139"/>
      <c r="EH292" s="139"/>
      <c r="EI292" s="139"/>
      <c r="EJ292" s="139"/>
      <c r="EK292" s="139"/>
      <c r="EL292" s="139"/>
      <c r="EM292" s="139"/>
      <c r="EN292" s="139"/>
      <c r="EO292" s="139"/>
      <c r="EP292" s="139"/>
      <c r="EQ292" s="139"/>
      <c r="ER292" s="139"/>
      <c r="ES292" s="139"/>
      <c r="ET292" s="139"/>
      <c r="EU292" s="139"/>
      <c r="EV292" s="139"/>
      <c r="EW292" s="139"/>
      <c r="EX292" s="139"/>
      <c r="EY292" s="139"/>
      <c r="EZ292" s="139"/>
      <c r="FA292" s="139"/>
      <c r="FB292" s="139"/>
      <c r="FC292" s="139"/>
      <c r="FD292" s="139"/>
      <c r="FE292" s="139"/>
      <c r="FF292" s="139"/>
      <c r="FG292" s="139"/>
      <c r="FH292" s="139"/>
      <c r="FI292" s="139"/>
    </row>
    <row r="293" spans="1:165" s="31" customFormat="1" ht="15" customHeight="1">
      <c r="A293" s="1"/>
      <c r="B293" s="1"/>
      <c r="C293" s="1"/>
      <c r="D293" s="1"/>
      <c r="E293" s="1"/>
      <c r="F293" s="1"/>
      <c r="G293" s="1"/>
      <c r="H293" s="1"/>
      <c r="I293" s="1"/>
      <c r="J293" s="1"/>
      <c r="K293" s="1"/>
      <c r="L293" s="1"/>
      <c r="M293" s="1"/>
      <c r="N293" s="1"/>
      <c r="O293" s="1"/>
      <c r="P293"/>
      <c r="Q293" s="130"/>
      <c r="R293" s="1"/>
      <c r="S293" s="1"/>
      <c r="T293" s="1"/>
      <c r="U293" s="1"/>
      <c r="V293" s="1"/>
      <c r="W293" s="1"/>
      <c r="X293" s="1"/>
      <c r="Y293" s="1"/>
      <c r="Z293" s="1"/>
      <c r="AA293" s="1"/>
      <c r="AB293" s="1"/>
      <c r="AC293" s="1"/>
      <c r="AD293" s="1"/>
      <c r="AE293" s="1"/>
      <c r="AF293" s="1"/>
      <c r="AG293" s="1"/>
      <c r="AH293" s="1"/>
      <c r="AI293" s="1"/>
      <c r="AJ293" s="1"/>
      <c r="AK293" s="1"/>
      <c r="AL293" s="1"/>
      <c r="AM293" s="1"/>
      <c r="AN293"/>
      <c r="AO293" s="228"/>
      <c r="AP293" s="189"/>
      <c r="AQ293"/>
      <c r="AR293"/>
      <c r="AS293" s="228"/>
      <c r="AT293" s="139"/>
      <c r="AU293" s="139"/>
      <c r="AV293"/>
      <c r="AW293" s="262"/>
      <c r="AX293"/>
      <c r="AY293"/>
      <c r="AZ293"/>
      <c r="BA293"/>
      <c r="BB293" s="139"/>
      <c r="BC293" s="139"/>
      <c r="BD293" s="139"/>
      <c r="BE293" s="139"/>
      <c r="BF293"/>
      <c r="BG293" s="262"/>
      <c r="BI293" s="139"/>
      <c r="BJ293" s="262"/>
      <c r="BK293"/>
      <c r="BL293" s="139"/>
      <c r="BM293" s="108"/>
      <c r="BN293" s="139"/>
      <c r="BO293" s="139"/>
      <c r="BP293" s="139"/>
      <c r="BQ293"/>
      <c r="BR293" s="262"/>
      <c r="BS293"/>
      <c r="BT293" s="139"/>
      <c r="BU293"/>
      <c r="BX293"/>
      <c r="BY293" s="139"/>
      <c r="BZ293" s="139"/>
      <c r="CA293" s="139"/>
      <c r="CB293" s="139"/>
      <c r="CC293" s="139"/>
      <c r="CD293" s="141"/>
      <c r="CE293" s="139"/>
      <c r="CF293" s="139"/>
      <c r="CG293" s="139"/>
      <c r="CH293" s="139"/>
      <c r="CI293" s="139"/>
      <c r="CJ293" s="139"/>
      <c r="CK293"/>
      <c r="CL293" s="139"/>
      <c r="CM293"/>
      <c r="CN293" s="139"/>
      <c r="CO293"/>
      <c r="CP293"/>
      <c r="CQ293" s="143"/>
      <c r="CR293" s="143"/>
      <c r="CS293"/>
      <c r="CT293" s="262"/>
      <c r="CU293"/>
      <c r="CV293"/>
      <c r="CW293"/>
      <c r="CX293" s="143"/>
      <c r="CY293" s="143"/>
      <c r="CZ293" s="143"/>
      <c r="DA293" s="143"/>
      <c r="DB293"/>
      <c r="DC293"/>
      <c r="DD293" s="143"/>
      <c r="DE293"/>
      <c r="DF293" s="143"/>
      <c r="DG293"/>
      <c r="DH293"/>
      <c r="DI293"/>
      <c r="DJ293"/>
      <c r="DK293"/>
      <c r="DL293" s="139"/>
      <c r="DM293"/>
      <c r="DN293" s="26"/>
      <c r="DO293" s="26"/>
      <c r="DP293"/>
      <c r="DQ293" s="262"/>
      <c r="DR293"/>
      <c r="DS293"/>
      <c r="DT293"/>
      <c r="DU293" s="139"/>
      <c r="DV293" s="139"/>
      <c r="DW293" s="139"/>
      <c r="DX293" s="139"/>
      <c r="DY293" s="139"/>
      <c r="DZ293" s="139"/>
      <c r="EA293" s="139"/>
      <c r="EB293" s="139"/>
      <c r="EC293" s="139"/>
      <c r="ED293" s="139"/>
      <c r="EE293" s="139"/>
      <c r="EF293" s="139"/>
      <c r="EG293" s="139"/>
      <c r="EH293" s="139"/>
      <c r="EI293" s="139"/>
      <c r="EJ293" s="139"/>
      <c r="EK293" s="139"/>
      <c r="EL293" s="139"/>
      <c r="EM293" s="139"/>
      <c r="EN293" s="139"/>
      <c r="EO293" s="139"/>
      <c r="EP293" s="139"/>
      <c r="EQ293" s="139"/>
      <c r="ER293" s="139"/>
      <c r="ES293" s="139"/>
      <c r="ET293" s="139"/>
      <c r="EU293" s="139"/>
      <c r="EV293" s="139"/>
      <c r="EW293" s="139"/>
      <c r="EX293" s="139"/>
      <c r="EY293" s="139"/>
      <c r="EZ293" s="139"/>
      <c r="FA293" s="139"/>
      <c r="FB293" s="139"/>
      <c r="FC293" s="139"/>
      <c r="FD293" s="139"/>
      <c r="FE293" s="139"/>
      <c r="FF293" s="139"/>
      <c r="FG293" s="139"/>
      <c r="FH293" s="139"/>
      <c r="FI293" s="139"/>
    </row>
    <row r="294" spans="1:165" s="31" customFormat="1" ht="15" customHeight="1">
      <c r="A294" s="1"/>
      <c r="B294" s="1"/>
      <c r="C294" s="1"/>
      <c r="D294" s="1"/>
      <c r="E294" s="1"/>
      <c r="F294" s="1"/>
      <c r="G294" s="1"/>
      <c r="H294" s="1"/>
      <c r="I294" s="1"/>
      <c r="J294" s="1"/>
      <c r="K294" s="1"/>
      <c r="L294" s="1"/>
      <c r="M294" s="1"/>
      <c r="N294" s="1"/>
      <c r="O294" s="1"/>
      <c r="P294"/>
      <c r="Q294" s="130"/>
      <c r="R294" s="1"/>
      <c r="S294" s="1"/>
      <c r="T294" s="1"/>
      <c r="U294" s="1"/>
      <c r="V294" s="1"/>
      <c r="W294" s="1"/>
      <c r="X294" s="1"/>
      <c r="Y294" s="1"/>
      <c r="Z294" s="1"/>
      <c r="AA294" s="1"/>
      <c r="AB294" s="1"/>
      <c r="AC294" s="1"/>
      <c r="AD294" s="1"/>
      <c r="AE294" s="1"/>
      <c r="AF294" s="1"/>
      <c r="AG294" s="1"/>
      <c r="AH294" s="1"/>
      <c r="AI294" s="1"/>
      <c r="AJ294" s="1"/>
      <c r="AK294" s="1"/>
      <c r="AL294" s="1"/>
      <c r="AM294" s="1"/>
      <c r="AN294"/>
      <c r="AO294" s="228"/>
      <c r="AP294" s="189"/>
      <c r="AQ294"/>
      <c r="AR294"/>
      <c r="AS294" s="228"/>
      <c r="AT294" s="139"/>
      <c r="AU294" s="139"/>
      <c r="AV294"/>
      <c r="AW294" s="262"/>
      <c r="AX294"/>
      <c r="AY294"/>
      <c r="AZ294"/>
      <c r="BA294"/>
      <c r="BB294" s="139"/>
      <c r="BC294" s="139"/>
      <c r="BD294" s="139"/>
      <c r="BE294" s="139"/>
      <c r="BF294"/>
      <c r="BG294" s="262"/>
      <c r="BI294" s="139"/>
      <c r="BJ294" s="262"/>
      <c r="BK294"/>
      <c r="BL294" s="139"/>
      <c r="BM294" s="108"/>
      <c r="BN294" s="139"/>
      <c r="BO294" s="139"/>
      <c r="BP294" s="139"/>
      <c r="BQ294"/>
      <c r="BR294" s="262"/>
      <c r="BS294"/>
      <c r="BT294" s="139"/>
      <c r="BU294"/>
      <c r="BX294"/>
      <c r="BY294" s="139"/>
      <c r="BZ294" s="139"/>
      <c r="CA294" s="139"/>
      <c r="CB294" s="139"/>
      <c r="CC294" s="139"/>
      <c r="CD294" s="141"/>
      <c r="CE294" s="139"/>
      <c r="CF294" s="139"/>
      <c r="CG294" s="139"/>
      <c r="CH294" s="139"/>
      <c r="CI294" s="139"/>
      <c r="CJ294" s="139"/>
      <c r="CK294"/>
      <c r="CL294" s="139"/>
      <c r="CM294"/>
      <c r="CN294" s="139"/>
      <c r="CO294"/>
      <c r="CP294"/>
      <c r="CQ294" s="143"/>
      <c r="CR294" s="143"/>
      <c r="CS294"/>
      <c r="CT294" s="262"/>
      <c r="CU294"/>
      <c r="CV294"/>
      <c r="CW294"/>
      <c r="CX294" s="143"/>
      <c r="CY294" s="143"/>
      <c r="CZ294" s="143"/>
      <c r="DA294" s="143"/>
      <c r="DB294"/>
      <c r="DC294"/>
      <c r="DD294" s="143"/>
      <c r="DE294"/>
      <c r="DF294" s="143"/>
      <c r="DG294"/>
      <c r="DH294"/>
      <c r="DI294"/>
      <c r="DJ294"/>
      <c r="DK294"/>
      <c r="DL294" s="139"/>
      <c r="DM294"/>
      <c r="DN294" s="26"/>
      <c r="DO294" s="26"/>
      <c r="DP294"/>
      <c r="DQ294" s="262"/>
      <c r="DR294"/>
      <c r="DS294"/>
      <c r="DT294"/>
      <c r="DU294" s="139"/>
      <c r="DV294" s="139"/>
      <c r="DW294" s="139"/>
      <c r="DX294" s="139"/>
      <c r="DY294" s="139"/>
      <c r="DZ294" s="139"/>
      <c r="EA294" s="139"/>
      <c r="EB294" s="139"/>
      <c r="EC294" s="139"/>
      <c r="ED294" s="139"/>
      <c r="EE294" s="139"/>
      <c r="EF294" s="139"/>
      <c r="EG294" s="139"/>
      <c r="EH294" s="139"/>
      <c r="EI294" s="139"/>
      <c r="EJ294" s="139"/>
      <c r="EK294" s="139"/>
      <c r="EL294" s="139"/>
      <c r="EM294" s="139"/>
      <c r="EN294" s="139"/>
      <c r="EO294" s="139"/>
      <c r="EP294" s="139"/>
      <c r="EQ294" s="139"/>
      <c r="ER294" s="139"/>
      <c r="ES294" s="139"/>
      <c r="ET294" s="139"/>
      <c r="EU294" s="139"/>
      <c r="EV294" s="139"/>
      <c r="EW294" s="139"/>
      <c r="EX294" s="139"/>
      <c r="EY294" s="139"/>
      <c r="EZ294" s="139"/>
      <c r="FA294" s="139"/>
      <c r="FB294" s="139"/>
      <c r="FC294" s="139"/>
      <c r="FD294" s="139"/>
      <c r="FE294" s="139"/>
      <c r="FF294" s="139"/>
      <c r="FG294" s="139"/>
      <c r="FH294" s="139"/>
      <c r="FI294" s="139"/>
    </row>
    <row r="295" spans="1:165" s="31" customFormat="1" ht="15" customHeight="1">
      <c r="A295" s="1"/>
      <c r="B295" s="1"/>
      <c r="C295" s="1"/>
      <c r="D295" s="1"/>
      <c r="E295" s="1"/>
      <c r="F295" s="1"/>
      <c r="G295" s="1"/>
      <c r="H295" s="1"/>
      <c r="I295" s="1"/>
      <c r="J295" s="1"/>
      <c r="K295" s="1"/>
      <c r="L295" s="1"/>
      <c r="M295" s="1"/>
      <c r="N295" s="1"/>
      <c r="O295" s="1"/>
      <c r="P295"/>
      <c r="Q295" s="130"/>
      <c r="R295" s="1"/>
      <c r="S295" s="1"/>
      <c r="T295" s="1"/>
      <c r="U295" s="1"/>
      <c r="V295" s="1"/>
      <c r="W295" s="1"/>
      <c r="X295" s="1"/>
      <c r="Y295" s="1"/>
      <c r="Z295" s="1"/>
      <c r="AA295" s="1"/>
      <c r="AB295" s="1"/>
      <c r="AC295" s="1"/>
      <c r="AD295" s="1"/>
      <c r="AE295" s="1"/>
      <c r="AF295" s="1"/>
      <c r="AG295" s="1"/>
      <c r="AH295" s="1"/>
      <c r="AI295" s="1"/>
      <c r="AJ295" s="1"/>
      <c r="AK295" s="1"/>
      <c r="AL295" s="1"/>
      <c r="AM295" s="1"/>
      <c r="AN295"/>
      <c r="AO295" s="228"/>
      <c r="AP295" s="189"/>
      <c r="AQ295"/>
      <c r="AR295"/>
      <c r="AS295" s="228"/>
      <c r="AT295" s="139"/>
      <c r="AU295" s="139"/>
      <c r="AV295"/>
      <c r="AW295" s="262"/>
      <c r="AX295"/>
      <c r="AY295"/>
      <c r="AZ295"/>
      <c r="BA295"/>
      <c r="BB295" s="139"/>
      <c r="BC295" s="139"/>
      <c r="BD295" s="139"/>
      <c r="BE295" s="139"/>
      <c r="BF295"/>
      <c r="BG295" s="262"/>
      <c r="BI295" s="139"/>
      <c r="BJ295" s="262"/>
      <c r="BK295"/>
      <c r="BL295" s="139"/>
      <c r="BM295" s="108"/>
      <c r="BN295" s="139"/>
      <c r="BO295" s="139"/>
      <c r="BP295" s="139"/>
      <c r="BQ295"/>
      <c r="BR295" s="262"/>
      <c r="BS295"/>
      <c r="BT295" s="139"/>
      <c r="BU295"/>
      <c r="BX295"/>
      <c r="BY295" s="139"/>
      <c r="BZ295" s="139"/>
      <c r="CA295" s="139"/>
      <c r="CB295" s="139"/>
      <c r="CC295" s="139"/>
      <c r="CD295" s="141"/>
      <c r="CE295" s="139"/>
      <c r="CF295" s="139"/>
      <c r="CG295" s="139"/>
      <c r="CH295" s="139"/>
      <c r="CI295" s="139"/>
      <c r="CJ295" s="139"/>
      <c r="CK295"/>
      <c r="CL295" s="139"/>
      <c r="CM295"/>
      <c r="CN295" s="139"/>
      <c r="CO295"/>
      <c r="CP295"/>
      <c r="CQ295" s="143"/>
      <c r="CR295" s="143"/>
      <c r="CS295"/>
      <c r="CT295" s="262"/>
      <c r="CU295"/>
      <c r="CV295"/>
      <c r="CW295"/>
      <c r="CX295" s="143"/>
      <c r="CY295" s="143"/>
      <c r="CZ295" s="143"/>
      <c r="DA295" s="143"/>
      <c r="DB295"/>
      <c r="DC295"/>
      <c r="DD295" s="143"/>
      <c r="DE295"/>
      <c r="DF295" s="143"/>
      <c r="DG295"/>
      <c r="DH295"/>
      <c r="DI295"/>
      <c r="DJ295"/>
      <c r="DK295"/>
      <c r="DL295" s="139"/>
      <c r="DM295"/>
      <c r="DN295" s="26"/>
      <c r="DO295" s="26"/>
      <c r="DP295"/>
      <c r="DQ295" s="262"/>
      <c r="DR295"/>
      <c r="DS295"/>
      <c r="DT295"/>
      <c r="DU295" s="139"/>
      <c r="DV295" s="139"/>
      <c r="DW295" s="139"/>
      <c r="DX295" s="139"/>
      <c r="DY295" s="139"/>
      <c r="DZ295" s="139"/>
      <c r="EA295" s="139"/>
      <c r="EB295" s="139"/>
      <c r="EC295" s="139"/>
      <c r="ED295" s="139"/>
      <c r="EE295" s="139"/>
      <c r="EF295" s="139"/>
      <c r="EG295" s="139"/>
      <c r="EH295" s="139"/>
      <c r="EI295" s="139"/>
      <c r="EJ295" s="139"/>
      <c r="EK295" s="139"/>
      <c r="EL295" s="139"/>
      <c r="EM295" s="139"/>
      <c r="EN295" s="139"/>
      <c r="EO295" s="139"/>
      <c r="EP295" s="139"/>
      <c r="EQ295" s="139"/>
      <c r="ER295" s="139"/>
      <c r="ES295" s="139"/>
      <c r="ET295" s="139"/>
      <c r="EU295" s="139"/>
      <c r="EV295" s="139"/>
      <c r="EW295" s="139"/>
      <c r="EX295" s="139"/>
      <c r="EY295" s="139"/>
      <c r="EZ295" s="139"/>
      <c r="FA295" s="139"/>
      <c r="FB295" s="139"/>
      <c r="FC295" s="139"/>
      <c r="FD295" s="139"/>
      <c r="FE295" s="139"/>
      <c r="FF295" s="139"/>
      <c r="FG295" s="139"/>
      <c r="FH295" s="139"/>
      <c r="FI295" s="139"/>
    </row>
    <row r="296" spans="1:165" ht="15" customHeight="1">
      <c r="BB296" s="139"/>
      <c r="BC296" s="139"/>
      <c r="BD296" s="139"/>
      <c r="BE296" s="139"/>
      <c r="BI296" s="139"/>
      <c r="BL296" s="139"/>
      <c r="BN296" s="139"/>
      <c r="BO296" s="139"/>
      <c r="BP296" s="139"/>
      <c r="BT296" s="139"/>
      <c r="BY296" s="139"/>
      <c r="BZ296" s="139"/>
      <c r="CA296" s="139"/>
      <c r="CB296" s="139"/>
      <c r="CC296" s="139"/>
      <c r="CE296" s="139"/>
      <c r="CF296" s="139"/>
      <c r="CG296" s="139"/>
      <c r="CH296" s="139"/>
      <c r="CI296" s="139"/>
      <c r="CJ296" s="139"/>
      <c r="CL296" s="139"/>
      <c r="CN296" s="139"/>
      <c r="DU296" s="139"/>
      <c r="DV296" s="139"/>
      <c r="DW296" s="139"/>
      <c r="DX296" s="139"/>
      <c r="DY296" s="139"/>
      <c r="DZ296" s="139"/>
      <c r="EA296" s="139"/>
      <c r="EB296" s="139"/>
      <c r="EC296" s="139"/>
      <c r="ED296" s="139"/>
      <c r="EE296" s="139"/>
      <c r="EF296" s="139"/>
      <c r="EG296" s="139"/>
      <c r="EH296" s="139"/>
      <c r="EI296" s="139"/>
      <c r="EJ296" s="139"/>
      <c r="EK296" s="139"/>
      <c r="EL296" s="139"/>
      <c r="EM296" s="139"/>
      <c r="EN296" s="139"/>
      <c r="EO296" s="139"/>
      <c r="EP296" s="139"/>
      <c r="EQ296" s="139"/>
      <c r="ER296" s="139"/>
      <c r="ES296" s="139"/>
      <c r="ET296" s="139"/>
      <c r="EU296" s="139"/>
      <c r="EV296" s="139"/>
      <c r="EW296" s="139"/>
      <c r="EX296" s="139"/>
      <c r="EY296" s="139"/>
      <c r="EZ296" s="139"/>
      <c r="FA296" s="139"/>
      <c r="FB296" s="139"/>
      <c r="FC296" s="139"/>
      <c r="FD296" s="139"/>
      <c r="FE296" s="139"/>
      <c r="FF296" s="139"/>
      <c r="FG296" s="139"/>
      <c r="FH296" s="139"/>
      <c r="FI296" s="139"/>
    </row>
    <row r="297" spans="1:165" ht="15" customHeight="1">
      <c r="BB297" s="139"/>
      <c r="BC297" s="139"/>
      <c r="BD297" s="139"/>
      <c r="BE297" s="139"/>
      <c r="BI297" s="139"/>
      <c r="BL297" s="139"/>
      <c r="BN297" s="139"/>
      <c r="BO297" s="139"/>
      <c r="BP297" s="139"/>
      <c r="BT297" s="139"/>
      <c r="BY297" s="139"/>
      <c r="BZ297" s="139"/>
      <c r="CA297" s="139"/>
      <c r="CB297" s="139"/>
      <c r="CC297" s="139"/>
      <c r="CE297" s="139"/>
      <c r="CF297" s="139"/>
      <c r="CG297" s="139"/>
      <c r="CH297" s="139"/>
      <c r="CI297" s="139"/>
      <c r="CJ297" s="139"/>
      <c r="CL297" s="139"/>
      <c r="CN297" s="139"/>
      <c r="DU297" s="139"/>
      <c r="DV297" s="139"/>
      <c r="DW297" s="139"/>
      <c r="DX297" s="139"/>
      <c r="DY297" s="139"/>
      <c r="DZ297" s="139"/>
      <c r="EA297" s="139"/>
      <c r="EB297" s="139"/>
      <c r="EC297" s="139"/>
      <c r="ED297" s="139"/>
      <c r="EE297" s="139"/>
      <c r="EF297" s="139"/>
      <c r="EG297" s="139"/>
      <c r="EH297" s="139"/>
      <c r="EI297" s="139"/>
      <c r="EJ297" s="139"/>
      <c r="EK297" s="139"/>
      <c r="EL297" s="139"/>
      <c r="EM297" s="139"/>
      <c r="EN297" s="139"/>
      <c r="EO297" s="139"/>
      <c r="EP297" s="139"/>
      <c r="EQ297" s="139"/>
      <c r="ER297" s="139"/>
      <c r="ES297" s="139"/>
      <c r="ET297" s="139"/>
      <c r="EU297" s="139"/>
      <c r="EV297" s="139"/>
      <c r="EW297" s="139"/>
      <c r="EX297" s="139"/>
      <c r="EY297" s="139"/>
      <c r="EZ297" s="139"/>
      <c r="FA297" s="139"/>
      <c r="FB297" s="139"/>
      <c r="FC297" s="139"/>
      <c r="FD297" s="139"/>
      <c r="FE297" s="139"/>
      <c r="FF297" s="139"/>
      <c r="FG297" s="139"/>
      <c r="FH297" s="139"/>
      <c r="FI297" s="139"/>
    </row>
    <row r="298" spans="1:165" ht="15" customHeight="1">
      <c r="BB298" s="139"/>
      <c r="BC298" s="139"/>
      <c r="BD298" s="139"/>
      <c r="BE298" s="139"/>
      <c r="BI298" s="139"/>
      <c r="BL298" s="139"/>
      <c r="BN298" s="139"/>
      <c r="BO298" s="139"/>
      <c r="BP298" s="139"/>
      <c r="BT298" s="139"/>
      <c r="BY298" s="139"/>
      <c r="BZ298" s="139"/>
      <c r="CA298" s="139"/>
      <c r="CB298" s="139"/>
      <c r="CC298" s="139"/>
      <c r="CE298" s="139"/>
      <c r="CF298" s="139"/>
      <c r="CG298" s="139"/>
      <c r="CH298" s="139"/>
      <c r="CI298" s="139"/>
      <c r="CJ298" s="139"/>
      <c r="CL298" s="139"/>
      <c r="CN298" s="139"/>
      <c r="DU298" s="139"/>
      <c r="DV298" s="139"/>
      <c r="DW298" s="139"/>
      <c r="DX298" s="139"/>
      <c r="DY298" s="139"/>
      <c r="DZ298" s="139"/>
      <c r="EA298" s="139"/>
      <c r="EB298" s="139"/>
      <c r="EC298" s="139"/>
      <c r="ED298" s="139"/>
      <c r="EE298" s="139"/>
      <c r="EF298" s="139"/>
      <c r="EG298" s="139"/>
      <c r="EH298" s="139"/>
      <c r="EI298" s="139"/>
      <c r="EJ298" s="139"/>
      <c r="EK298" s="139"/>
      <c r="EL298" s="139"/>
      <c r="EM298" s="139"/>
      <c r="EN298" s="139"/>
      <c r="EO298" s="139"/>
      <c r="EP298" s="139"/>
      <c r="EQ298" s="139"/>
      <c r="ER298" s="139"/>
      <c r="ES298" s="139"/>
      <c r="ET298" s="139"/>
      <c r="EU298" s="139"/>
      <c r="EV298" s="139"/>
      <c r="EW298" s="139"/>
      <c r="EX298" s="139"/>
      <c r="EY298" s="139"/>
      <c r="EZ298" s="139"/>
      <c r="FA298" s="139"/>
      <c r="FB298" s="139"/>
      <c r="FC298" s="139"/>
      <c r="FD298" s="139"/>
      <c r="FE298" s="139"/>
      <c r="FF298" s="139"/>
      <c r="FG298" s="139"/>
      <c r="FH298" s="139"/>
      <c r="FI298" s="139"/>
    </row>
    <row r="299" spans="1:165" ht="15.75" customHeight="1">
      <c r="BB299" s="139"/>
      <c r="BC299" s="139"/>
      <c r="BD299" s="139"/>
      <c r="BE299" s="139"/>
      <c r="BI299" s="139"/>
      <c r="BL299" s="139"/>
      <c r="BN299" s="139"/>
      <c r="BO299" s="139"/>
      <c r="BP299" s="139"/>
      <c r="BT299" s="139"/>
      <c r="BY299" s="139"/>
      <c r="BZ299" s="139"/>
      <c r="CA299" s="139"/>
      <c r="CB299" s="139"/>
      <c r="CC299" s="139"/>
      <c r="CE299" s="139"/>
      <c r="CF299" s="139"/>
      <c r="CG299" s="139"/>
      <c r="CH299" s="139"/>
      <c r="CI299" s="139"/>
      <c r="CJ299" s="139"/>
      <c r="CL299" s="139"/>
      <c r="CN299" s="139"/>
      <c r="DU299" s="139"/>
      <c r="DV299" s="139"/>
      <c r="DW299" s="139"/>
      <c r="DX299" s="139"/>
      <c r="DY299" s="139"/>
      <c r="DZ299" s="139"/>
      <c r="EA299" s="139"/>
      <c r="EB299" s="139"/>
      <c r="EC299" s="139"/>
      <c r="ED299" s="139"/>
      <c r="EE299" s="139"/>
      <c r="EF299" s="139"/>
      <c r="EG299" s="139"/>
      <c r="EH299" s="139"/>
      <c r="EI299" s="139"/>
      <c r="EJ299" s="139"/>
      <c r="EK299" s="139"/>
      <c r="EL299" s="139"/>
      <c r="EM299" s="139"/>
      <c r="EN299" s="139"/>
      <c r="EO299" s="139"/>
      <c r="EP299" s="139"/>
      <c r="EQ299" s="139"/>
      <c r="ER299" s="139"/>
      <c r="ES299" s="139"/>
      <c r="ET299" s="139"/>
      <c r="EU299" s="139"/>
      <c r="EV299" s="139"/>
      <c r="EW299" s="139"/>
      <c r="EX299" s="139"/>
      <c r="EY299" s="139"/>
      <c r="EZ299" s="139"/>
      <c r="FA299" s="139"/>
      <c r="FB299" s="139"/>
      <c r="FC299" s="139"/>
      <c r="FD299" s="139"/>
      <c r="FE299" s="139"/>
      <c r="FF299" s="139"/>
      <c r="FG299" s="139"/>
      <c r="FH299" s="139"/>
      <c r="FI299" s="139"/>
    </row>
    <row r="300" spans="1:165" ht="15.75" customHeight="1">
      <c r="BB300" s="139"/>
      <c r="BC300" s="139"/>
      <c r="BD300" s="139"/>
      <c r="BE300" s="139"/>
      <c r="BI300" s="139"/>
      <c r="BL300" s="139"/>
      <c r="BN300" s="139"/>
      <c r="BO300" s="139"/>
      <c r="BP300" s="139"/>
      <c r="BT300" s="139"/>
      <c r="BY300" s="139"/>
      <c r="BZ300" s="139"/>
      <c r="CA300" s="139"/>
      <c r="CB300" s="139"/>
      <c r="CC300" s="139"/>
      <c r="CE300" s="139"/>
      <c r="CF300" s="139"/>
      <c r="CG300" s="139"/>
      <c r="CH300" s="139"/>
      <c r="CI300" s="139"/>
      <c r="CJ300" s="139"/>
      <c r="CL300" s="139"/>
      <c r="CN300" s="139"/>
      <c r="DU300" s="139"/>
      <c r="DV300" s="139"/>
      <c r="DW300" s="139"/>
      <c r="DX300" s="139"/>
      <c r="DY300" s="139"/>
      <c r="DZ300" s="139"/>
      <c r="EA300" s="139"/>
      <c r="EB300" s="139"/>
      <c r="EC300" s="139"/>
      <c r="ED300" s="139"/>
      <c r="EE300" s="139"/>
      <c r="EF300" s="139"/>
      <c r="EG300" s="139"/>
      <c r="EH300" s="139"/>
      <c r="EI300" s="139"/>
      <c r="EJ300" s="139"/>
      <c r="EK300" s="139"/>
      <c r="EL300" s="139"/>
      <c r="EM300" s="139"/>
      <c r="EN300" s="139"/>
      <c r="EO300" s="139"/>
      <c r="EP300" s="139"/>
      <c r="EQ300" s="139"/>
      <c r="ER300" s="139"/>
      <c r="ES300" s="139"/>
      <c r="ET300" s="139"/>
      <c r="EU300" s="139"/>
      <c r="EV300" s="139"/>
      <c r="EW300" s="139"/>
      <c r="EX300" s="139"/>
      <c r="EY300" s="139"/>
      <c r="EZ300" s="139"/>
      <c r="FA300" s="139"/>
      <c r="FB300" s="139"/>
      <c r="FC300" s="139"/>
      <c r="FD300" s="139"/>
      <c r="FE300" s="139"/>
      <c r="FF300" s="139"/>
      <c r="FG300" s="139"/>
      <c r="FH300" s="139"/>
      <c r="FI300" s="139"/>
    </row>
    <row r="301" spans="1:165" ht="15.75" customHeight="1">
      <c r="BB301" s="139"/>
      <c r="BC301" s="139"/>
      <c r="BD301" s="139"/>
      <c r="BE301" s="139"/>
      <c r="BI301" s="139"/>
      <c r="BL301" s="139"/>
      <c r="BN301" s="139"/>
      <c r="BO301" s="139"/>
      <c r="BP301" s="139"/>
      <c r="BT301" s="139"/>
      <c r="BY301" s="139"/>
      <c r="BZ301" s="139"/>
      <c r="CA301" s="139"/>
      <c r="CB301" s="139"/>
      <c r="CC301" s="139"/>
      <c r="CE301" s="139"/>
      <c r="CF301" s="139"/>
      <c r="CG301" s="139"/>
      <c r="CH301" s="139"/>
      <c r="CI301" s="139"/>
      <c r="CJ301" s="139"/>
      <c r="CL301" s="139"/>
      <c r="CN301" s="139"/>
      <c r="DU301" s="139"/>
      <c r="DV301" s="139"/>
      <c r="DW301" s="139"/>
      <c r="DX301" s="139"/>
      <c r="DY301" s="139"/>
      <c r="DZ301" s="139"/>
      <c r="EA301" s="139"/>
      <c r="EB301" s="139"/>
      <c r="EC301" s="139"/>
      <c r="ED301" s="139"/>
      <c r="EE301" s="139"/>
      <c r="EF301" s="139"/>
      <c r="EG301" s="139"/>
      <c r="EH301" s="139"/>
      <c r="EI301" s="139"/>
      <c r="EJ301" s="139"/>
      <c r="EK301" s="139"/>
      <c r="EL301" s="139"/>
      <c r="EM301" s="139"/>
      <c r="EN301" s="139"/>
      <c r="EO301" s="139"/>
      <c r="EP301" s="139"/>
      <c r="EQ301" s="139"/>
      <c r="ER301" s="139"/>
      <c r="ES301" s="139"/>
      <c r="ET301" s="139"/>
      <c r="EU301" s="139"/>
      <c r="EV301" s="139"/>
      <c r="EW301" s="139"/>
      <c r="EX301" s="139"/>
      <c r="EY301" s="139"/>
      <c r="EZ301" s="139"/>
      <c r="FA301" s="139"/>
      <c r="FB301" s="139"/>
      <c r="FC301" s="139"/>
      <c r="FD301" s="139"/>
      <c r="FE301" s="139"/>
      <c r="FF301" s="139"/>
      <c r="FG301" s="139"/>
      <c r="FH301" s="139"/>
      <c r="FI301" s="139"/>
    </row>
    <row r="302" spans="1:165" ht="15.75" customHeight="1">
      <c r="BB302" s="139"/>
      <c r="BC302" s="139"/>
      <c r="BD302" s="139"/>
      <c r="BE302" s="139"/>
      <c r="BI302" s="139"/>
      <c r="BL302" s="139"/>
      <c r="BN302" s="139"/>
      <c r="BO302" s="139"/>
      <c r="BP302" s="139"/>
      <c r="BT302" s="139"/>
      <c r="BY302" s="139"/>
      <c r="BZ302" s="139"/>
      <c r="CA302" s="139"/>
      <c r="CB302" s="139"/>
      <c r="CC302" s="139"/>
      <c r="CE302" s="139"/>
      <c r="CF302" s="139"/>
      <c r="CG302" s="139"/>
      <c r="CH302" s="139"/>
      <c r="CI302" s="139"/>
      <c r="CJ302" s="139"/>
      <c r="CL302" s="139"/>
      <c r="CN302" s="139"/>
      <c r="DU302" s="139"/>
      <c r="DV302" s="139"/>
      <c r="DW302" s="139"/>
      <c r="DX302" s="139"/>
      <c r="DY302" s="139"/>
      <c r="DZ302" s="139"/>
      <c r="EA302" s="139"/>
      <c r="EB302" s="139"/>
      <c r="EC302" s="139"/>
      <c r="ED302" s="139"/>
      <c r="EE302" s="139"/>
      <c r="EF302" s="139"/>
      <c r="EG302" s="139"/>
      <c r="EH302" s="139"/>
      <c r="EI302" s="139"/>
      <c r="EJ302" s="139"/>
      <c r="EK302" s="139"/>
      <c r="EL302" s="139"/>
      <c r="EM302" s="139"/>
      <c r="EN302" s="139"/>
      <c r="EO302" s="139"/>
      <c r="EP302" s="139"/>
      <c r="EQ302" s="139"/>
      <c r="ER302" s="139"/>
      <c r="ES302" s="139"/>
      <c r="ET302" s="139"/>
      <c r="EU302" s="139"/>
      <c r="EV302" s="139"/>
      <c r="EW302" s="139"/>
      <c r="EX302" s="139"/>
      <c r="EY302" s="139"/>
      <c r="EZ302" s="139"/>
      <c r="FA302" s="139"/>
      <c r="FB302" s="139"/>
      <c r="FC302" s="139"/>
      <c r="FD302" s="139"/>
      <c r="FE302" s="139"/>
      <c r="FF302" s="139"/>
      <c r="FG302" s="139"/>
      <c r="FH302" s="139"/>
      <c r="FI302" s="139"/>
    </row>
    <row r="303" spans="1:165" ht="15.75" customHeight="1">
      <c r="BB303" s="139"/>
      <c r="BC303" s="139"/>
      <c r="BD303" s="139"/>
      <c r="BE303" s="139"/>
      <c r="BI303" s="139"/>
      <c r="BL303" s="139"/>
      <c r="BN303" s="139"/>
      <c r="BO303" s="139"/>
      <c r="BP303" s="139"/>
      <c r="BT303" s="139"/>
      <c r="BY303" s="139"/>
      <c r="BZ303" s="139"/>
      <c r="CA303" s="139"/>
      <c r="CB303" s="139"/>
      <c r="CC303" s="139"/>
      <c r="CE303" s="139"/>
      <c r="CF303" s="139"/>
      <c r="CG303" s="139"/>
      <c r="CH303" s="139"/>
      <c r="CI303" s="139"/>
      <c r="CJ303" s="139"/>
      <c r="CL303" s="139"/>
      <c r="CN303" s="139"/>
      <c r="DU303" s="139"/>
      <c r="DV303" s="139"/>
      <c r="DW303" s="139"/>
      <c r="DX303" s="139"/>
      <c r="DY303" s="139"/>
      <c r="DZ303" s="139"/>
      <c r="EA303" s="139"/>
      <c r="EB303" s="139"/>
      <c r="EC303" s="139"/>
      <c r="ED303" s="139"/>
      <c r="EE303" s="139"/>
      <c r="EF303" s="139"/>
      <c r="EG303" s="139"/>
      <c r="EH303" s="139"/>
      <c r="EI303" s="139"/>
      <c r="EJ303" s="139"/>
      <c r="EK303" s="139"/>
      <c r="EL303" s="139"/>
      <c r="EM303" s="139"/>
      <c r="EN303" s="139"/>
      <c r="EO303" s="139"/>
      <c r="EP303" s="139"/>
      <c r="EQ303" s="139"/>
      <c r="ER303" s="139"/>
      <c r="ES303" s="139"/>
      <c r="ET303" s="139"/>
      <c r="EU303" s="139"/>
      <c r="EV303" s="139"/>
      <c r="EW303" s="139"/>
      <c r="EX303" s="139"/>
      <c r="EY303" s="139"/>
      <c r="EZ303" s="139"/>
      <c r="FA303" s="139"/>
      <c r="FB303" s="139"/>
      <c r="FC303" s="139"/>
      <c r="FD303" s="139"/>
      <c r="FE303" s="139"/>
      <c r="FF303" s="139"/>
      <c r="FG303" s="139"/>
      <c r="FH303" s="139"/>
      <c r="FI303" s="139"/>
    </row>
    <row r="304" spans="1:165" ht="15.75" customHeight="1">
      <c r="BB304" s="139"/>
      <c r="BC304" s="139"/>
      <c r="BD304" s="139"/>
      <c r="BE304" s="139"/>
      <c r="BI304" s="139"/>
      <c r="BL304" s="139"/>
      <c r="BN304" s="139"/>
      <c r="BO304" s="139"/>
      <c r="BP304" s="139"/>
      <c r="BT304" s="139"/>
      <c r="BY304" s="139"/>
      <c r="BZ304" s="139"/>
      <c r="CA304" s="139"/>
      <c r="CB304" s="139"/>
      <c r="CC304" s="139"/>
      <c r="CE304" s="139"/>
      <c r="CF304" s="139"/>
      <c r="CG304" s="139"/>
      <c r="CH304" s="139"/>
      <c r="CI304" s="139"/>
      <c r="CJ304" s="139"/>
      <c r="CL304" s="139"/>
      <c r="CN304" s="139"/>
      <c r="DU304" s="139"/>
      <c r="DV304" s="139"/>
      <c r="DW304" s="139"/>
      <c r="DX304" s="139"/>
      <c r="DY304" s="139"/>
      <c r="DZ304" s="139"/>
      <c r="EA304" s="139"/>
      <c r="EB304" s="139"/>
      <c r="EC304" s="139"/>
      <c r="ED304" s="139"/>
      <c r="EE304" s="139"/>
      <c r="EF304" s="139"/>
      <c r="EG304" s="139"/>
      <c r="EH304" s="139"/>
      <c r="EI304" s="139"/>
      <c r="EJ304" s="139"/>
      <c r="EK304" s="139"/>
      <c r="EL304" s="139"/>
      <c r="EM304" s="139"/>
      <c r="EN304" s="139"/>
      <c r="EO304" s="139"/>
      <c r="EP304" s="139"/>
      <c r="EQ304" s="139"/>
      <c r="ER304" s="139"/>
      <c r="ES304" s="139"/>
      <c r="ET304" s="139"/>
      <c r="EU304" s="139"/>
      <c r="EV304" s="139"/>
      <c r="EW304" s="139"/>
      <c r="EX304" s="139"/>
      <c r="EY304" s="139"/>
      <c r="EZ304" s="139"/>
      <c r="FA304" s="139"/>
      <c r="FB304" s="139"/>
      <c r="FC304" s="139"/>
      <c r="FD304" s="139"/>
      <c r="FE304" s="139"/>
      <c r="FF304" s="139"/>
      <c r="FG304" s="139"/>
      <c r="FH304" s="139"/>
      <c r="FI304" s="139"/>
    </row>
    <row r="305" spans="1:165" ht="15.75" customHeight="1">
      <c r="BB305" s="139"/>
      <c r="BC305" s="139"/>
      <c r="BD305" s="139"/>
      <c r="BE305" s="139"/>
      <c r="BI305" s="139"/>
      <c r="BL305" s="139"/>
      <c r="BN305" s="139"/>
      <c r="BO305" s="139"/>
      <c r="BP305" s="139"/>
      <c r="BT305" s="139"/>
      <c r="BY305" s="139"/>
      <c r="BZ305" s="139"/>
      <c r="CA305" s="139"/>
      <c r="CB305" s="139"/>
      <c r="CC305" s="139"/>
      <c r="CE305" s="139"/>
      <c r="CF305" s="139"/>
      <c r="CG305" s="139"/>
      <c r="CH305" s="139"/>
      <c r="CI305" s="139"/>
      <c r="CJ305" s="139"/>
      <c r="CL305" s="139"/>
      <c r="CN305" s="139"/>
      <c r="DU305" s="139"/>
      <c r="DV305" s="139"/>
      <c r="DW305" s="139"/>
      <c r="DX305" s="139"/>
      <c r="DY305" s="139"/>
      <c r="DZ305" s="139"/>
      <c r="EA305" s="139"/>
      <c r="EB305" s="139"/>
      <c r="EC305" s="139"/>
      <c r="ED305" s="139"/>
      <c r="EE305" s="139"/>
      <c r="EF305" s="139"/>
      <c r="EG305" s="139"/>
      <c r="EH305" s="139"/>
      <c r="EI305" s="139"/>
      <c r="EJ305" s="139"/>
      <c r="EK305" s="139"/>
      <c r="EL305" s="139"/>
      <c r="EM305" s="139"/>
      <c r="EN305" s="139"/>
      <c r="EO305" s="139"/>
      <c r="EP305" s="139"/>
      <c r="EQ305" s="139"/>
      <c r="ER305" s="139"/>
      <c r="ES305" s="139"/>
      <c r="ET305" s="139"/>
      <c r="EU305" s="139"/>
      <c r="EV305" s="139"/>
      <c r="EW305" s="139"/>
      <c r="EX305" s="139"/>
      <c r="EY305" s="139"/>
      <c r="EZ305" s="139"/>
      <c r="FA305" s="139"/>
      <c r="FB305" s="139"/>
      <c r="FC305" s="139"/>
      <c r="FD305" s="139"/>
      <c r="FE305" s="139"/>
      <c r="FF305" s="139"/>
      <c r="FG305" s="139"/>
      <c r="FH305" s="139"/>
      <c r="FI305" s="139"/>
    </row>
    <row r="306" spans="1:165" ht="15.75" customHeight="1">
      <c r="BB306" s="139"/>
      <c r="BC306" s="139"/>
      <c r="BD306" s="139"/>
      <c r="BE306" s="139"/>
      <c r="BI306" s="139"/>
      <c r="BL306" s="139"/>
      <c r="BN306" s="139"/>
      <c r="BO306" s="139"/>
      <c r="BP306" s="139"/>
      <c r="BT306" s="139"/>
      <c r="BY306" s="139"/>
      <c r="BZ306" s="139"/>
      <c r="CA306" s="139"/>
      <c r="CB306" s="139"/>
      <c r="CC306" s="139"/>
      <c r="CE306" s="139"/>
      <c r="CF306" s="139"/>
      <c r="CG306" s="139"/>
      <c r="CH306" s="139"/>
      <c r="CI306" s="139"/>
      <c r="CJ306" s="139"/>
      <c r="CL306" s="139"/>
      <c r="CN306" s="139"/>
      <c r="DU306" s="139"/>
      <c r="DV306" s="139"/>
      <c r="DW306" s="139"/>
      <c r="DX306" s="139"/>
      <c r="DY306" s="139"/>
      <c r="DZ306" s="139"/>
      <c r="EA306" s="139"/>
      <c r="EB306" s="139"/>
      <c r="EC306" s="139"/>
      <c r="ED306" s="139"/>
      <c r="EE306" s="139"/>
      <c r="EF306" s="139"/>
      <c r="EG306" s="139"/>
      <c r="EH306" s="139"/>
      <c r="EI306" s="139"/>
      <c r="EJ306" s="139"/>
      <c r="EK306" s="139"/>
      <c r="EL306" s="139"/>
      <c r="EM306" s="139"/>
      <c r="EN306" s="139"/>
      <c r="EO306" s="139"/>
      <c r="EP306" s="139"/>
      <c r="EQ306" s="139"/>
      <c r="ER306" s="139"/>
      <c r="ES306" s="139"/>
      <c r="ET306" s="139"/>
      <c r="EU306" s="139"/>
      <c r="EV306" s="139"/>
      <c r="EW306" s="139"/>
      <c r="EX306" s="139"/>
      <c r="EY306" s="139"/>
      <c r="EZ306" s="139"/>
      <c r="FA306" s="139"/>
      <c r="FB306" s="139"/>
      <c r="FC306" s="139"/>
      <c r="FD306" s="139"/>
      <c r="FE306" s="139"/>
      <c r="FF306" s="139"/>
      <c r="FG306" s="139"/>
      <c r="FH306" s="139"/>
      <c r="FI306" s="139"/>
    </row>
    <row r="307" spans="1:165" s="31" customFormat="1" ht="15.75" customHeight="1">
      <c r="A307" s="1"/>
      <c r="B307" s="1"/>
      <c r="C307" s="1"/>
      <c r="D307" s="1"/>
      <c r="E307" s="1"/>
      <c r="F307" s="1"/>
      <c r="G307" s="1"/>
      <c r="H307" s="1"/>
      <c r="I307" s="1"/>
      <c r="J307" s="1"/>
      <c r="K307" s="1"/>
      <c r="L307" s="1"/>
      <c r="M307" s="1"/>
      <c r="N307" s="1"/>
      <c r="O307" s="1"/>
      <c r="P307"/>
      <c r="Q307" s="130"/>
      <c r="R307" s="1"/>
      <c r="S307" s="1"/>
      <c r="T307" s="1"/>
      <c r="U307" s="1"/>
      <c r="V307" s="1"/>
      <c r="W307" s="1"/>
      <c r="X307" s="1"/>
      <c r="Y307" s="1"/>
      <c r="Z307" s="1"/>
      <c r="AA307" s="1"/>
      <c r="AB307" s="1"/>
      <c r="AC307" s="1"/>
      <c r="AD307" s="1"/>
      <c r="AE307" s="1"/>
      <c r="AF307" s="1"/>
      <c r="AG307" s="1"/>
      <c r="AH307" s="1"/>
      <c r="AI307" s="1"/>
      <c r="AJ307" s="1"/>
      <c r="AK307" s="1"/>
      <c r="AL307" s="1"/>
      <c r="AM307" s="1"/>
      <c r="AN307"/>
      <c r="AO307" s="228"/>
      <c r="AP307" s="189"/>
      <c r="AQ307"/>
      <c r="AR307"/>
      <c r="AS307" s="228"/>
      <c r="AT307" s="139"/>
      <c r="AU307" s="139"/>
      <c r="AV307"/>
      <c r="AW307" s="262"/>
      <c r="AX307"/>
      <c r="AY307"/>
      <c r="AZ307"/>
      <c r="BA307"/>
      <c r="BB307" s="139"/>
      <c r="BC307" s="139"/>
      <c r="BD307" s="139"/>
      <c r="BE307" s="139"/>
      <c r="BF307"/>
      <c r="BG307" s="262"/>
      <c r="BI307" s="139"/>
      <c r="BJ307" s="262"/>
      <c r="BK307"/>
      <c r="BL307" s="139"/>
      <c r="BM307" s="108"/>
      <c r="BN307" s="139"/>
      <c r="BO307" s="139"/>
      <c r="BP307" s="139"/>
      <c r="BQ307"/>
      <c r="BR307" s="262"/>
      <c r="BS307"/>
      <c r="BT307" s="139"/>
      <c r="BU307"/>
      <c r="BX307"/>
      <c r="BY307" s="139"/>
      <c r="BZ307" s="139"/>
      <c r="CA307" s="139"/>
      <c r="CB307" s="139"/>
      <c r="CC307" s="139"/>
      <c r="CD307" s="141"/>
      <c r="CE307" s="139"/>
      <c r="CF307" s="139"/>
      <c r="CG307" s="139"/>
      <c r="CH307" s="139"/>
      <c r="CI307" s="139"/>
      <c r="CJ307" s="139"/>
      <c r="CK307"/>
      <c r="CL307" s="139"/>
      <c r="CM307"/>
      <c r="CN307" s="139"/>
      <c r="CO307"/>
      <c r="CP307"/>
      <c r="CQ307" s="143"/>
      <c r="CR307" s="143"/>
      <c r="CS307"/>
      <c r="CT307" s="262"/>
      <c r="CU307"/>
      <c r="CV307"/>
      <c r="CW307"/>
      <c r="CX307" s="143"/>
      <c r="CY307" s="143"/>
      <c r="CZ307" s="143"/>
      <c r="DA307" s="143"/>
      <c r="DB307"/>
      <c r="DC307"/>
      <c r="DD307" s="143"/>
      <c r="DE307"/>
      <c r="DF307" s="143"/>
      <c r="DG307"/>
      <c r="DH307"/>
      <c r="DI307"/>
      <c r="DJ307"/>
      <c r="DK307"/>
      <c r="DL307" s="139"/>
      <c r="DM307"/>
      <c r="DN307" s="26"/>
      <c r="DO307" s="26"/>
      <c r="DP307"/>
      <c r="DQ307" s="262"/>
      <c r="DR307"/>
      <c r="DS307"/>
      <c r="DT307"/>
      <c r="DU307" s="139"/>
      <c r="DV307" s="139"/>
      <c r="DW307" s="139"/>
      <c r="DX307" s="139"/>
      <c r="DY307" s="139"/>
      <c r="DZ307" s="139"/>
      <c r="EA307" s="139"/>
      <c r="EB307" s="139"/>
      <c r="EC307" s="139"/>
      <c r="ED307" s="139"/>
      <c r="EE307" s="139"/>
      <c r="EF307" s="139"/>
      <c r="EG307" s="139"/>
      <c r="EH307" s="139"/>
      <c r="EI307" s="139"/>
      <c r="EJ307" s="139"/>
      <c r="EK307" s="139"/>
      <c r="EL307" s="139"/>
      <c r="EM307" s="139"/>
      <c r="EN307" s="139"/>
      <c r="EO307" s="139"/>
      <c r="EP307" s="139"/>
      <c r="EQ307" s="139"/>
      <c r="ER307" s="139"/>
      <c r="ES307" s="139"/>
      <c r="ET307" s="139"/>
      <c r="EU307" s="139"/>
      <c r="EV307" s="139"/>
      <c r="EW307" s="139"/>
      <c r="EX307" s="139"/>
      <c r="EY307" s="139"/>
      <c r="EZ307" s="139"/>
      <c r="FA307" s="139"/>
      <c r="FB307" s="139"/>
      <c r="FC307" s="139"/>
      <c r="FD307" s="139"/>
      <c r="FE307" s="139"/>
      <c r="FF307" s="139"/>
      <c r="FG307" s="139"/>
      <c r="FH307" s="139"/>
      <c r="FI307" s="139"/>
    </row>
    <row r="308" spans="1:165" s="31" customFormat="1" ht="15.75" customHeight="1">
      <c r="A308" s="1"/>
      <c r="B308" s="1"/>
      <c r="C308" s="1"/>
      <c r="D308" s="1"/>
      <c r="E308" s="1"/>
      <c r="F308" s="1"/>
      <c r="G308" s="1"/>
      <c r="H308" s="1"/>
      <c r="I308" s="1"/>
      <c r="J308" s="1"/>
      <c r="K308" s="1"/>
      <c r="L308" s="1"/>
      <c r="M308" s="1"/>
      <c r="N308" s="1"/>
      <c r="O308" s="1"/>
      <c r="P308"/>
      <c r="Q308" s="130"/>
      <c r="R308" s="1"/>
      <c r="S308" s="1"/>
      <c r="T308" s="1"/>
      <c r="U308" s="1"/>
      <c r="V308" s="1"/>
      <c r="W308" s="1"/>
      <c r="X308" s="1"/>
      <c r="Y308" s="1"/>
      <c r="Z308" s="1"/>
      <c r="AA308" s="1"/>
      <c r="AB308" s="1"/>
      <c r="AC308" s="1"/>
      <c r="AD308" s="1"/>
      <c r="AE308" s="1"/>
      <c r="AF308" s="1"/>
      <c r="AG308" s="1"/>
      <c r="AH308" s="1"/>
      <c r="AI308" s="1"/>
      <c r="AJ308" s="1"/>
      <c r="AK308" s="1"/>
      <c r="AL308" s="1"/>
      <c r="AM308" s="1"/>
      <c r="AN308"/>
      <c r="AO308" s="228"/>
      <c r="AP308" s="189"/>
      <c r="AQ308"/>
      <c r="AR308"/>
      <c r="AS308" s="228"/>
      <c r="AT308" s="139"/>
      <c r="AU308" s="139"/>
      <c r="AV308"/>
      <c r="AW308" s="262"/>
      <c r="AX308"/>
      <c r="AY308"/>
      <c r="AZ308"/>
      <c r="BA308"/>
      <c r="BB308" s="139"/>
      <c r="BC308" s="139"/>
      <c r="BD308" s="139"/>
      <c r="BE308" s="139"/>
      <c r="BF308"/>
      <c r="BG308" s="262"/>
      <c r="BI308" s="139"/>
      <c r="BJ308" s="262"/>
      <c r="BK308"/>
      <c r="BL308" s="139"/>
      <c r="BM308" s="108"/>
      <c r="BN308" s="139"/>
      <c r="BO308" s="139"/>
      <c r="BP308" s="139"/>
      <c r="BQ308"/>
      <c r="BR308" s="262"/>
      <c r="BS308"/>
      <c r="BT308" s="139"/>
      <c r="BU308"/>
      <c r="BX308"/>
      <c r="BY308" s="139"/>
      <c r="BZ308" s="139"/>
      <c r="CA308" s="139"/>
      <c r="CB308" s="139"/>
      <c r="CC308" s="139"/>
      <c r="CD308" s="141"/>
      <c r="CE308" s="139"/>
      <c r="CF308" s="139"/>
      <c r="CG308" s="139"/>
      <c r="CH308" s="139"/>
      <c r="CI308" s="139"/>
      <c r="CJ308" s="139"/>
      <c r="CK308"/>
      <c r="CL308" s="139"/>
      <c r="CM308"/>
      <c r="CN308" s="139"/>
      <c r="CO308"/>
      <c r="CP308"/>
      <c r="CQ308" s="143"/>
      <c r="CR308" s="143"/>
      <c r="CS308"/>
      <c r="CT308" s="262"/>
      <c r="CU308"/>
      <c r="CV308"/>
      <c r="CW308"/>
      <c r="CX308" s="143"/>
      <c r="CY308" s="143"/>
      <c r="CZ308" s="143"/>
      <c r="DA308" s="143"/>
      <c r="DB308"/>
      <c r="DC308"/>
      <c r="DD308" s="143"/>
      <c r="DE308"/>
      <c r="DF308" s="143"/>
      <c r="DG308"/>
      <c r="DH308"/>
      <c r="DI308"/>
      <c r="DJ308"/>
      <c r="DK308"/>
      <c r="DL308" s="139"/>
      <c r="DM308"/>
      <c r="DN308" s="26"/>
      <c r="DO308" s="26"/>
      <c r="DP308"/>
      <c r="DQ308" s="262"/>
      <c r="DR308"/>
      <c r="DS308"/>
      <c r="DT308"/>
      <c r="DU308" s="139"/>
      <c r="DV308" s="139"/>
      <c r="DW308" s="139"/>
      <c r="DX308" s="139"/>
      <c r="DY308" s="139"/>
      <c r="DZ308" s="139"/>
      <c r="EA308" s="139"/>
      <c r="EB308" s="139"/>
      <c r="EC308" s="139"/>
      <c r="ED308" s="139"/>
      <c r="EE308" s="139"/>
      <c r="EF308" s="139"/>
      <c r="EG308" s="139"/>
      <c r="EH308" s="139"/>
      <c r="EI308" s="139"/>
      <c r="EJ308" s="139"/>
      <c r="EK308" s="139"/>
      <c r="EL308" s="139"/>
      <c r="EM308" s="139"/>
      <c r="EN308" s="139"/>
      <c r="EO308" s="139"/>
      <c r="EP308" s="139"/>
      <c r="EQ308" s="139"/>
      <c r="ER308" s="139"/>
      <c r="ES308" s="139"/>
      <c r="ET308" s="139"/>
      <c r="EU308" s="139"/>
      <c r="EV308" s="139"/>
      <c r="EW308" s="139"/>
      <c r="EX308" s="139"/>
      <c r="EY308" s="139"/>
      <c r="EZ308" s="139"/>
      <c r="FA308" s="139"/>
      <c r="FB308" s="139"/>
      <c r="FC308" s="139"/>
      <c r="FD308" s="139"/>
      <c r="FE308" s="139"/>
      <c r="FF308" s="139"/>
      <c r="FG308" s="139"/>
      <c r="FH308" s="139"/>
      <c r="FI308" s="139"/>
    </row>
    <row r="309" spans="1:165" s="31" customFormat="1" ht="15.75" customHeight="1">
      <c r="A309" s="1"/>
      <c r="B309" s="1"/>
      <c r="C309" s="1"/>
      <c r="D309" s="1"/>
      <c r="E309" s="1"/>
      <c r="F309" s="1"/>
      <c r="G309" s="1"/>
      <c r="H309" s="1"/>
      <c r="I309" s="1"/>
      <c r="J309" s="1"/>
      <c r="K309" s="1"/>
      <c r="L309" s="1"/>
      <c r="M309" s="1"/>
      <c r="N309" s="1"/>
      <c r="O309" s="1"/>
      <c r="P309"/>
      <c r="Q309" s="130"/>
      <c r="R309" s="1"/>
      <c r="S309" s="1"/>
      <c r="T309" s="1"/>
      <c r="U309" s="1"/>
      <c r="V309" s="1"/>
      <c r="W309" s="1"/>
      <c r="X309" s="1"/>
      <c r="Y309" s="1"/>
      <c r="Z309" s="1"/>
      <c r="AA309" s="1"/>
      <c r="AB309" s="1"/>
      <c r="AC309" s="1"/>
      <c r="AD309" s="1"/>
      <c r="AE309" s="1"/>
      <c r="AF309" s="1"/>
      <c r="AG309" s="1"/>
      <c r="AH309" s="1"/>
      <c r="AI309" s="1"/>
      <c r="AJ309" s="1"/>
      <c r="AK309" s="1"/>
      <c r="AL309" s="1"/>
      <c r="AM309" s="1"/>
      <c r="AN309"/>
      <c r="AO309" s="228"/>
      <c r="AP309" s="189"/>
      <c r="AQ309"/>
      <c r="AR309"/>
      <c r="AS309" s="228"/>
      <c r="AT309" s="139"/>
      <c r="AU309" s="139"/>
      <c r="AV309"/>
      <c r="AW309" s="262"/>
      <c r="AX309"/>
      <c r="AY309"/>
      <c r="AZ309"/>
      <c r="BA309"/>
      <c r="BB309" s="139"/>
      <c r="BC309" s="139"/>
      <c r="BD309" s="139"/>
      <c r="BE309" s="139"/>
      <c r="BF309"/>
      <c r="BG309" s="262"/>
      <c r="BI309" s="139"/>
      <c r="BJ309" s="262"/>
      <c r="BK309"/>
      <c r="BL309" s="139"/>
      <c r="BM309" s="108"/>
      <c r="BN309" s="139"/>
      <c r="BO309" s="139"/>
      <c r="BP309" s="139"/>
      <c r="BQ309"/>
      <c r="BR309" s="262"/>
      <c r="BS309"/>
      <c r="BT309" s="139"/>
      <c r="BU309"/>
      <c r="BX309"/>
      <c r="BY309" s="139"/>
      <c r="BZ309" s="139"/>
      <c r="CA309" s="139"/>
      <c r="CB309" s="139"/>
      <c r="CC309" s="139"/>
      <c r="CD309" s="141"/>
      <c r="CE309" s="139"/>
      <c r="CF309" s="139"/>
      <c r="CG309" s="139"/>
      <c r="CH309" s="139"/>
      <c r="CI309" s="139"/>
      <c r="CJ309" s="139"/>
      <c r="CK309"/>
      <c r="CL309" s="139"/>
      <c r="CM309"/>
      <c r="CN309" s="139"/>
      <c r="CO309"/>
      <c r="CP309"/>
      <c r="CQ309" s="143"/>
      <c r="CR309" s="143"/>
      <c r="CS309"/>
      <c r="CT309" s="262"/>
      <c r="CU309"/>
      <c r="CV309"/>
      <c r="CW309"/>
      <c r="CX309" s="143"/>
      <c r="CY309" s="143"/>
      <c r="CZ309" s="143"/>
      <c r="DA309" s="143"/>
      <c r="DB309"/>
      <c r="DC309"/>
      <c r="DD309" s="143"/>
      <c r="DE309"/>
      <c r="DF309" s="143"/>
      <c r="DG309"/>
      <c r="DH309"/>
      <c r="DI309"/>
      <c r="DJ309"/>
      <c r="DK309"/>
      <c r="DL309" s="139"/>
      <c r="DM309"/>
      <c r="DN309" s="26"/>
      <c r="DO309" s="26"/>
      <c r="DP309"/>
      <c r="DQ309" s="262"/>
      <c r="DR309"/>
      <c r="DS309"/>
      <c r="DT309"/>
      <c r="DU309" s="139"/>
      <c r="DV309" s="139"/>
      <c r="DW309" s="139"/>
      <c r="DX309" s="139"/>
      <c r="DY309" s="139"/>
      <c r="DZ309" s="139"/>
      <c r="EA309" s="139"/>
      <c r="EB309" s="139"/>
      <c r="EC309" s="139"/>
      <c r="ED309" s="139"/>
      <c r="EE309" s="139"/>
      <c r="EF309" s="139"/>
      <c r="EG309" s="139"/>
      <c r="EH309" s="139"/>
      <c r="EI309" s="139"/>
      <c r="EJ309" s="139"/>
      <c r="EK309" s="139"/>
      <c r="EL309" s="139"/>
      <c r="EM309" s="139"/>
      <c r="EN309" s="139"/>
      <c r="EO309" s="139"/>
      <c r="EP309" s="139"/>
      <c r="EQ309" s="139"/>
      <c r="ER309" s="139"/>
      <c r="ES309" s="139"/>
      <c r="ET309" s="139"/>
      <c r="EU309" s="139"/>
      <c r="EV309" s="139"/>
      <c r="EW309" s="139"/>
      <c r="EX309" s="139"/>
      <c r="EY309" s="139"/>
      <c r="EZ309" s="139"/>
      <c r="FA309" s="139"/>
      <c r="FB309" s="139"/>
      <c r="FC309" s="139"/>
      <c r="FD309" s="139"/>
      <c r="FE309" s="139"/>
      <c r="FF309" s="139"/>
      <c r="FG309" s="139"/>
      <c r="FH309" s="139"/>
      <c r="FI309" s="139"/>
    </row>
    <row r="310" spans="1:165" s="31" customFormat="1" ht="15.75" customHeight="1">
      <c r="A310" s="1"/>
      <c r="B310" s="1"/>
      <c r="C310" s="1"/>
      <c r="D310" s="1"/>
      <c r="E310" s="1"/>
      <c r="F310" s="1"/>
      <c r="G310" s="1"/>
      <c r="H310" s="1"/>
      <c r="I310" s="1"/>
      <c r="J310" s="1"/>
      <c r="K310" s="1"/>
      <c r="L310" s="1"/>
      <c r="M310" s="1"/>
      <c r="N310" s="1"/>
      <c r="O310" s="1"/>
      <c r="P310"/>
      <c r="Q310" s="130"/>
      <c r="R310" s="1"/>
      <c r="S310" s="1"/>
      <c r="T310" s="1"/>
      <c r="U310" s="1"/>
      <c r="V310" s="1"/>
      <c r="W310" s="1"/>
      <c r="X310" s="1"/>
      <c r="Y310" s="1"/>
      <c r="Z310" s="1"/>
      <c r="AA310" s="1"/>
      <c r="AB310" s="1"/>
      <c r="AC310" s="1"/>
      <c r="AD310" s="1"/>
      <c r="AE310" s="1"/>
      <c r="AF310" s="1"/>
      <c r="AG310" s="1"/>
      <c r="AH310" s="1"/>
      <c r="AI310" s="1"/>
      <c r="AJ310" s="1"/>
      <c r="AK310" s="1"/>
      <c r="AL310" s="1"/>
      <c r="AM310" s="1"/>
      <c r="AN310"/>
      <c r="AO310" s="228"/>
      <c r="AP310" s="189"/>
      <c r="AQ310"/>
      <c r="AR310"/>
      <c r="AS310" s="228"/>
      <c r="AT310" s="139"/>
      <c r="AU310" s="139"/>
      <c r="AV310"/>
      <c r="AW310" s="262"/>
      <c r="AX310"/>
      <c r="AY310"/>
      <c r="AZ310"/>
      <c r="BA310"/>
      <c r="BB310" s="139"/>
      <c r="BC310" s="139"/>
      <c r="BD310" s="139"/>
      <c r="BE310" s="139"/>
      <c r="BF310"/>
      <c r="BG310" s="262"/>
      <c r="BI310" s="139"/>
      <c r="BJ310" s="262"/>
      <c r="BK310"/>
      <c r="BL310" s="139"/>
      <c r="BM310" s="108"/>
      <c r="BN310" s="139"/>
      <c r="BO310" s="139"/>
      <c r="BP310" s="139"/>
      <c r="BQ310"/>
      <c r="BR310" s="262"/>
      <c r="BS310"/>
      <c r="BT310" s="139"/>
      <c r="BU310"/>
      <c r="BX310"/>
      <c r="BY310" s="139"/>
      <c r="BZ310" s="139"/>
      <c r="CA310" s="139"/>
      <c r="CB310" s="139"/>
      <c r="CC310" s="139"/>
      <c r="CD310" s="141"/>
      <c r="CE310" s="139"/>
      <c r="CF310" s="139"/>
      <c r="CG310" s="139"/>
      <c r="CH310" s="139"/>
      <c r="CI310" s="139"/>
      <c r="CJ310" s="139"/>
      <c r="CK310"/>
      <c r="CL310" s="139"/>
      <c r="CM310"/>
      <c r="CN310" s="139"/>
      <c r="CO310"/>
      <c r="CP310"/>
      <c r="CQ310" s="143"/>
      <c r="CR310" s="143"/>
      <c r="CS310"/>
      <c r="CT310" s="262"/>
      <c r="CU310"/>
      <c r="CV310"/>
      <c r="CW310"/>
      <c r="CX310" s="143"/>
      <c r="CY310" s="143"/>
      <c r="CZ310" s="143"/>
      <c r="DA310" s="143"/>
      <c r="DB310"/>
      <c r="DC310"/>
      <c r="DD310" s="143"/>
      <c r="DE310"/>
      <c r="DF310" s="143"/>
      <c r="DG310"/>
      <c r="DH310"/>
      <c r="DI310"/>
      <c r="DJ310"/>
      <c r="DK310"/>
      <c r="DL310" s="139"/>
      <c r="DM310"/>
      <c r="DN310" s="26"/>
      <c r="DO310" s="26"/>
      <c r="DP310"/>
      <c r="DQ310" s="262"/>
      <c r="DR310"/>
      <c r="DS310"/>
      <c r="DT310"/>
      <c r="DU310" s="139"/>
      <c r="DV310" s="139"/>
      <c r="DW310" s="139"/>
      <c r="DX310" s="139"/>
      <c r="DY310" s="139"/>
      <c r="DZ310" s="139"/>
      <c r="EA310" s="139"/>
      <c r="EB310" s="139"/>
      <c r="EC310" s="139"/>
      <c r="ED310" s="139"/>
      <c r="EE310" s="139"/>
      <c r="EF310" s="139"/>
      <c r="EG310" s="139"/>
      <c r="EH310" s="139"/>
      <c r="EI310" s="139"/>
      <c r="EJ310" s="139"/>
      <c r="EK310" s="139"/>
      <c r="EL310" s="139"/>
      <c r="EM310" s="139"/>
      <c r="EN310" s="139"/>
      <c r="EO310" s="139"/>
      <c r="EP310" s="139"/>
      <c r="EQ310" s="139"/>
      <c r="ER310" s="139"/>
      <c r="ES310" s="139"/>
      <c r="ET310" s="139"/>
      <c r="EU310" s="139"/>
      <c r="EV310" s="139"/>
      <c r="EW310" s="139"/>
      <c r="EX310" s="139"/>
      <c r="EY310" s="139"/>
      <c r="EZ310" s="139"/>
      <c r="FA310" s="139"/>
      <c r="FB310" s="139"/>
      <c r="FC310" s="139"/>
      <c r="FD310" s="139"/>
      <c r="FE310" s="139"/>
      <c r="FF310" s="139"/>
      <c r="FG310" s="139"/>
      <c r="FH310" s="139"/>
      <c r="FI310" s="139"/>
    </row>
    <row r="311" spans="1:165" s="31" customFormat="1" ht="15.75" customHeight="1">
      <c r="A311" s="1"/>
      <c r="B311" s="1"/>
      <c r="C311" s="1"/>
      <c r="D311" s="1"/>
      <c r="E311" s="1"/>
      <c r="F311" s="1"/>
      <c r="G311" s="1"/>
      <c r="H311" s="1"/>
      <c r="I311" s="1"/>
      <c r="J311" s="1"/>
      <c r="K311" s="1"/>
      <c r="L311" s="1"/>
      <c r="M311" s="1"/>
      <c r="N311" s="1"/>
      <c r="O311" s="1"/>
      <c r="P311"/>
      <c r="Q311" s="130"/>
      <c r="R311" s="1"/>
      <c r="S311" s="1"/>
      <c r="T311" s="1"/>
      <c r="U311" s="1"/>
      <c r="V311" s="1"/>
      <c r="W311" s="1"/>
      <c r="X311" s="1"/>
      <c r="Y311" s="1"/>
      <c r="Z311" s="1"/>
      <c r="AA311" s="1"/>
      <c r="AB311" s="1"/>
      <c r="AC311" s="1"/>
      <c r="AD311" s="1"/>
      <c r="AE311" s="1"/>
      <c r="AF311" s="1"/>
      <c r="AG311" s="1"/>
      <c r="AH311" s="1"/>
      <c r="AI311" s="1"/>
      <c r="AJ311" s="1"/>
      <c r="AK311" s="1"/>
      <c r="AL311" s="1"/>
      <c r="AM311" s="1"/>
      <c r="AN311"/>
      <c r="AO311" s="228"/>
      <c r="AP311" s="189"/>
      <c r="AQ311"/>
      <c r="AR311"/>
      <c r="AS311" s="228"/>
      <c r="AT311" s="139"/>
      <c r="AU311" s="139"/>
      <c r="AV311"/>
      <c r="AW311" s="262"/>
      <c r="AX311"/>
      <c r="AY311"/>
      <c r="AZ311"/>
      <c r="BA311"/>
      <c r="BB311" s="139"/>
      <c r="BC311" s="139"/>
      <c r="BD311" s="139"/>
      <c r="BE311" s="139"/>
      <c r="BF311"/>
      <c r="BG311" s="262"/>
      <c r="BI311" s="139"/>
      <c r="BJ311" s="262"/>
      <c r="BK311"/>
      <c r="BL311" s="139"/>
      <c r="BM311" s="108"/>
      <c r="BN311" s="139"/>
      <c r="BO311" s="139"/>
      <c r="BP311" s="139"/>
      <c r="BQ311"/>
      <c r="BR311" s="262"/>
      <c r="BS311"/>
      <c r="BT311" s="139"/>
      <c r="BU311"/>
      <c r="BX311"/>
      <c r="BY311" s="139"/>
      <c r="BZ311" s="139"/>
      <c r="CA311" s="139"/>
      <c r="CB311" s="139"/>
      <c r="CC311" s="139"/>
      <c r="CD311" s="141"/>
      <c r="CE311" s="139"/>
      <c r="CF311" s="139"/>
      <c r="CG311" s="139"/>
      <c r="CH311" s="139"/>
      <c r="CI311" s="139"/>
      <c r="CJ311" s="139"/>
      <c r="CK311"/>
      <c r="CL311" s="139"/>
      <c r="CM311"/>
      <c r="CN311" s="139"/>
      <c r="CO311"/>
      <c r="CP311"/>
      <c r="CQ311" s="143"/>
      <c r="CR311" s="143"/>
      <c r="CS311"/>
      <c r="CT311" s="262"/>
      <c r="CU311"/>
      <c r="CV311"/>
      <c r="CW311"/>
      <c r="CX311" s="143"/>
      <c r="CY311" s="143"/>
      <c r="CZ311" s="143"/>
      <c r="DA311" s="143"/>
      <c r="DB311"/>
      <c r="DC311"/>
      <c r="DD311" s="143"/>
      <c r="DE311"/>
      <c r="DF311" s="143"/>
      <c r="DG311"/>
      <c r="DH311"/>
      <c r="DI311"/>
      <c r="DJ311"/>
      <c r="DK311"/>
      <c r="DL311" s="139"/>
      <c r="DM311"/>
      <c r="DN311" s="26"/>
      <c r="DO311" s="26"/>
      <c r="DP311"/>
      <c r="DQ311" s="262"/>
      <c r="DR311"/>
      <c r="DS311"/>
      <c r="DT311"/>
      <c r="DU311" s="139"/>
      <c r="DV311" s="139"/>
      <c r="DW311" s="139"/>
      <c r="DX311" s="139"/>
      <c r="DY311" s="139"/>
      <c r="DZ311" s="139"/>
      <c r="EA311" s="139"/>
      <c r="EB311" s="139"/>
      <c r="EC311" s="139"/>
      <c r="ED311" s="139"/>
      <c r="EE311" s="139"/>
      <c r="EF311" s="139"/>
      <c r="EG311" s="139"/>
      <c r="EH311" s="139"/>
      <c r="EI311" s="139"/>
      <c r="EJ311" s="139"/>
      <c r="EK311" s="139"/>
      <c r="EL311" s="139"/>
      <c r="EM311" s="139"/>
      <c r="EN311" s="139"/>
      <c r="EO311" s="139"/>
      <c r="EP311" s="139"/>
      <c r="EQ311" s="139"/>
      <c r="ER311" s="139"/>
      <c r="ES311" s="139"/>
      <c r="ET311" s="139"/>
      <c r="EU311" s="139"/>
      <c r="EV311" s="139"/>
      <c r="EW311" s="139"/>
      <c r="EX311" s="139"/>
      <c r="EY311" s="139"/>
      <c r="EZ311" s="139"/>
      <c r="FA311" s="139"/>
      <c r="FB311" s="139"/>
      <c r="FC311" s="139"/>
      <c r="FD311" s="139"/>
      <c r="FE311" s="139"/>
      <c r="FF311" s="139"/>
      <c r="FG311" s="139"/>
      <c r="FH311" s="139"/>
      <c r="FI311" s="139"/>
    </row>
    <row r="312" spans="1:165" s="31" customFormat="1" ht="15.75" customHeight="1">
      <c r="A312" s="1"/>
      <c r="B312" s="1"/>
      <c r="C312" s="1"/>
      <c r="D312" s="1"/>
      <c r="E312" s="1"/>
      <c r="F312" s="1"/>
      <c r="G312" s="1"/>
      <c r="H312" s="1"/>
      <c r="I312" s="1"/>
      <c r="J312" s="1"/>
      <c r="K312" s="1"/>
      <c r="L312" s="1"/>
      <c r="M312" s="1"/>
      <c r="N312" s="1"/>
      <c r="O312" s="1"/>
      <c r="P312"/>
      <c r="Q312" s="130"/>
      <c r="R312" s="1"/>
      <c r="S312" s="1"/>
      <c r="T312" s="1"/>
      <c r="U312" s="1"/>
      <c r="V312" s="1"/>
      <c r="W312" s="1"/>
      <c r="X312" s="1"/>
      <c r="Y312" s="1"/>
      <c r="Z312" s="1"/>
      <c r="AA312" s="1"/>
      <c r="AB312" s="1"/>
      <c r="AC312" s="1"/>
      <c r="AD312" s="1"/>
      <c r="AE312" s="1"/>
      <c r="AF312" s="1"/>
      <c r="AG312" s="1"/>
      <c r="AH312" s="1"/>
      <c r="AI312" s="1"/>
      <c r="AJ312" s="1"/>
      <c r="AK312" s="1"/>
      <c r="AL312" s="1"/>
      <c r="AM312" s="1"/>
      <c r="AN312"/>
      <c r="AO312" s="228"/>
      <c r="AP312" s="189"/>
      <c r="AQ312"/>
      <c r="AR312"/>
      <c r="AS312" s="228"/>
      <c r="AT312" s="139"/>
      <c r="AU312" s="139"/>
      <c r="AV312"/>
      <c r="AW312" s="262"/>
      <c r="AX312"/>
      <c r="AY312"/>
      <c r="AZ312"/>
      <c r="BA312"/>
      <c r="BB312" s="139"/>
      <c r="BC312" s="139"/>
      <c r="BD312" s="139"/>
      <c r="BE312" s="139"/>
      <c r="BF312"/>
      <c r="BG312" s="262"/>
      <c r="BI312" s="139"/>
      <c r="BJ312" s="262"/>
      <c r="BK312"/>
      <c r="BL312" s="139"/>
      <c r="BM312" s="108"/>
      <c r="BN312" s="139"/>
      <c r="BO312" s="139"/>
      <c r="BP312" s="139"/>
      <c r="BQ312"/>
      <c r="BR312" s="262"/>
      <c r="BS312"/>
      <c r="BT312" s="139"/>
      <c r="BU312"/>
      <c r="BX312"/>
      <c r="BY312" s="139"/>
      <c r="BZ312" s="139"/>
      <c r="CA312" s="139"/>
      <c r="CB312" s="139"/>
      <c r="CC312" s="139"/>
      <c r="CD312" s="141"/>
      <c r="CE312" s="139"/>
      <c r="CF312" s="139"/>
      <c r="CG312" s="139"/>
      <c r="CH312" s="139"/>
      <c r="CI312" s="139"/>
      <c r="CJ312" s="139"/>
      <c r="CK312"/>
      <c r="CL312" s="139"/>
      <c r="CM312"/>
      <c r="CN312" s="139"/>
      <c r="CO312"/>
      <c r="CP312"/>
      <c r="CQ312" s="143"/>
      <c r="CR312" s="143"/>
      <c r="CS312"/>
      <c r="CT312" s="262"/>
      <c r="CU312"/>
      <c r="CV312"/>
      <c r="CW312"/>
      <c r="CX312" s="143"/>
      <c r="CY312" s="143"/>
      <c r="CZ312" s="143"/>
      <c r="DA312" s="143"/>
      <c r="DB312"/>
      <c r="DC312"/>
      <c r="DD312" s="143"/>
      <c r="DE312"/>
      <c r="DF312" s="143"/>
      <c r="DG312"/>
      <c r="DH312"/>
      <c r="DI312"/>
      <c r="DJ312"/>
      <c r="DK312"/>
      <c r="DL312" s="139"/>
      <c r="DM312"/>
      <c r="DN312" s="26"/>
      <c r="DO312" s="26"/>
      <c r="DP312"/>
      <c r="DQ312" s="262"/>
      <c r="DR312"/>
      <c r="DS312"/>
      <c r="DT312"/>
      <c r="DU312" s="139"/>
      <c r="DV312" s="139"/>
      <c r="DW312" s="139"/>
      <c r="DX312" s="139"/>
      <c r="DY312" s="139"/>
      <c r="DZ312" s="139"/>
      <c r="EA312" s="139"/>
      <c r="EB312" s="139"/>
      <c r="EC312" s="139"/>
      <c r="ED312" s="139"/>
      <c r="EE312" s="139"/>
      <c r="EF312" s="139"/>
      <c r="EG312" s="139"/>
      <c r="EH312" s="139"/>
      <c r="EI312" s="139"/>
      <c r="EJ312" s="139"/>
      <c r="EK312" s="139"/>
      <c r="EL312" s="139"/>
      <c r="EM312" s="139"/>
      <c r="EN312" s="139"/>
      <c r="EO312" s="139"/>
      <c r="EP312" s="139"/>
      <c r="EQ312" s="139"/>
      <c r="ER312" s="139"/>
      <c r="ES312" s="139"/>
      <c r="ET312" s="139"/>
      <c r="EU312" s="139"/>
      <c r="EV312" s="139"/>
      <c r="EW312" s="139"/>
      <c r="EX312" s="139"/>
      <c r="EY312" s="139"/>
      <c r="EZ312" s="139"/>
      <c r="FA312" s="139"/>
      <c r="FB312" s="139"/>
      <c r="FC312" s="139"/>
      <c r="FD312" s="139"/>
      <c r="FE312" s="139"/>
      <c r="FF312" s="139"/>
      <c r="FG312" s="139"/>
      <c r="FH312" s="139"/>
      <c r="FI312" s="139"/>
    </row>
    <row r="313" spans="1:165" s="31" customFormat="1" ht="15.75" customHeight="1">
      <c r="A313" s="1"/>
      <c r="B313" s="1"/>
      <c r="C313" s="1"/>
      <c r="D313" s="1"/>
      <c r="E313" s="1"/>
      <c r="F313" s="1"/>
      <c r="G313" s="1"/>
      <c r="H313" s="1"/>
      <c r="I313" s="1"/>
      <c r="J313" s="1"/>
      <c r="K313" s="1"/>
      <c r="L313" s="1"/>
      <c r="M313" s="1"/>
      <c r="N313" s="1"/>
      <c r="O313" s="1"/>
      <c r="P313"/>
      <c r="Q313" s="130"/>
      <c r="R313" s="1"/>
      <c r="S313" s="1"/>
      <c r="T313" s="1"/>
      <c r="U313" s="1"/>
      <c r="V313" s="1"/>
      <c r="W313" s="1"/>
      <c r="X313" s="1"/>
      <c r="Y313" s="1"/>
      <c r="Z313" s="1"/>
      <c r="AA313" s="1"/>
      <c r="AB313" s="1"/>
      <c r="AC313" s="1"/>
      <c r="AD313" s="1"/>
      <c r="AE313" s="1"/>
      <c r="AF313" s="1"/>
      <c r="AG313" s="1"/>
      <c r="AH313" s="1"/>
      <c r="AI313" s="1"/>
      <c r="AJ313" s="1"/>
      <c r="AK313" s="1"/>
      <c r="AL313" s="1"/>
      <c r="AM313" s="1"/>
      <c r="AN313"/>
      <c r="AO313" s="228"/>
      <c r="AP313" s="189"/>
      <c r="AQ313"/>
      <c r="AR313"/>
      <c r="AS313" s="228"/>
      <c r="AT313" s="139"/>
      <c r="AU313" s="139"/>
      <c r="AV313"/>
      <c r="AW313" s="262"/>
      <c r="AX313"/>
      <c r="AY313"/>
      <c r="AZ313"/>
      <c r="BA313"/>
      <c r="BB313" s="139"/>
      <c r="BC313" s="139"/>
      <c r="BD313" s="139"/>
      <c r="BE313" s="139"/>
      <c r="BF313"/>
      <c r="BG313" s="262"/>
      <c r="BI313" s="139"/>
      <c r="BJ313" s="262"/>
      <c r="BK313"/>
      <c r="BL313" s="139"/>
      <c r="BM313" s="108"/>
      <c r="BN313" s="139"/>
      <c r="BO313" s="139"/>
      <c r="BP313" s="139"/>
      <c r="BQ313"/>
      <c r="BR313" s="262"/>
      <c r="BS313"/>
      <c r="BT313" s="139"/>
      <c r="BU313"/>
      <c r="BX313"/>
      <c r="BY313" s="139"/>
      <c r="BZ313" s="139"/>
      <c r="CA313" s="139"/>
      <c r="CB313" s="139"/>
      <c r="CC313" s="139"/>
      <c r="CD313" s="141"/>
      <c r="CE313" s="139"/>
      <c r="CF313" s="139"/>
      <c r="CG313" s="139"/>
      <c r="CH313" s="139"/>
      <c r="CI313" s="139"/>
      <c r="CJ313" s="139"/>
      <c r="CK313"/>
      <c r="CL313" s="139"/>
      <c r="CM313"/>
      <c r="CN313" s="139"/>
      <c r="CO313"/>
      <c r="CP313"/>
      <c r="CQ313" s="143"/>
      <c r="CR313" s="143"/>
      <c r="CS313"/>
      <c r="CT313" s="262"/>
      <c r="CU313"/>
      <c r="CV313"/>
      <c r="CW313"/>
      <c r="CX313" s="143"/>
      <c r="CY313" s="143"/>
      <c r="CZ313" s="143"/>
      <c r="DA313" s="143"/>
      <c r="DB313"/>
      <c r="DC313"/>
      <c r="DD313" s="143"/>
      <c r="DE313"/>
      <c r="DF313" s="143"/>
      <c r="DG313"/>
      <c r="DH313"/>
      <c r="DI313"/>
      <c r="DJ313"/>
      <c r="DK313"/>
      <c r="DL313" s="139"/>
      <c r="DM313"/>
      <c r="DN313" s="26"/>
      <c r="DO313" s="26"/>
      <c r="DP313"/>
      <c r="DQ313" s="262"/>
      <c r="DR313"/>
      <c r="DS313"/>
      <c r="DT313"/>
      <c r="DU313" s="139"/>
      <c r="DV313" s="139"/>
      <c r="DW313" s="139"/>
      <c r="DX313" s="139"/>
      <c r="DY313" s="139"/>
      <c r="DZ313" s="139"/>
      <c r="EA313" s="139"/>
      <c r="EB313" s="139"/>
      <c r="EC313" s="139"/>
      <c r="ED313" s="139"/>
      <c r="EE313" s="139"/>
      <c r="EF313" s="139"/>
      <c r="EG313" s="139"/>
      <c r="EH313" s="139"/>
      <c r="EI313" s="139"/>
      <c r="EJ313" s="139"/>
      <c r="EK313" s="139"/>
      <c r="EL313" s="139"/>
      <c r="EM313" s="139"/>
      <c r="EN313" s="139"/>
      <c r="EO313" s="139"/>
      <c r="EP313" s="139"/>
      <c r="EQ313" s="139"/>
      <c r="ER313" s="139"/>
      <c r="ES313" s="139"/>
      <c r="ET313" s="139"/>
      <c r="EU313" s="139"/>
      <c r="EV313" s="139"/>
      <c r="EW313" s="139"/>
      <c r="EX313" s="139"/>
      <c r="EY313" s="139"/>
      <c r="EZ313" s="139"/>
      <c r="FA313" s="139"/>
      <c r="FB313" s="139"/>
      <c r="FC313" s="139"/>
      <c r="FD313" s="139"/>
      <c r="FE313" s="139"/>
      <c r="FF313" s="139"/>
      <c r="FG313" s="139"/>
      <c r="FH313" s="139"/>
      <c r="FI313" s="139"/>
    </row>
    <row r="314" spans="1:165" s="31" customFormat="1" ht="15.75" customHeight="1">
      <c r="A314" s="1"/>
      <c r="B314" s="1"/>
      <c r="C314" s="1"/>
      <c r="D314" s="1"/>
      <c r="E314" s="1"/>
      <c r="F314" s="1"/>
      <c r="G314" s="1"/>
      <c r="H314" s="1"/>
      <c r="I314" s="1"/>
      <c r="J314" s="1"/>
      <c r="K314" s="1"/>
      <c r="L314" s="1"/>
      <c r="M314" s="1"/>
      <c r="N314" s="1"/>
      <c r="O314" s="1"/>
      <c r="P314"/>
      <c r="Q314" s="130"/>
      <c r="R314" s="1"/>
      <c r="S314" s="1"/>
      <c r="T314" s="1"/>
      <c r="U314" s="1"/>
      <c r="V314" s="1"/>
      <c r="W314" s="1"/>
      <c r="X314" s="1"/>
      <c r="Y314" s="1"/>
      <c r="Z314" s="1"/>
      <c r="AA314" s="1"/>
      <c r="AB314" s="1"/>
      <c r="AC314" s="1"/>
      <c r="AD314" s="1"/>
      <c r="AE314" s="1"/>
      <c r="AF314" s="1"/>
      <c r="AG314" s="1"/>
      <c r="AH314" s="1"/>
      <c r="AI314" s="1"/>
      <c r="AJ314" s="1"/>
      <c r="AK314" s="1"/>
      <c r="AL314" s="1"/>
      <c r="AM314" s="1"/>
      <c r="AN314"/>
      <c r="AO314" s="228"/>
      <c r="AP314" s="189"/>
      <c r="AQ314"/>
      <c r="AR314"/>
      <c r="AS314" s="228"/>
      <c r="AT314" s="139"/>
      <c r="AU314" s="139"/>
      <c r="AV314"/>
      <c r="AW314" s="262"/>
      <c r="AX314"/>
      <c r="AY314"/>
      <c r="AZ314"/>
      <c r="BA314"/>
      <c r="BB314" s="139"/>
      <c r="BC314" s="139"/>
      <c r="BD314" s="139"/>
      <c r="BE314" s="139"/>
      <c r="BF314"/>
      <c r="BG314" s="262"/>
      <c r="BI314" s="139"/>
      <c r="BJ314" s="262"/>
      <c r="BK314"/>
      <c r="BL314" s="139"/>
      <c r="BM314" s="108"/>
      <c r="BN314" s="139"/>
      <c r="BO314" s="139"/>
      <c r="BP314" s="139"/>
      <c r="BQ314"/>
      <c r="BR314" s="262"/>
      <c r="BS314"/>
      <c r="BT314" s="139"/>
      <c r="BU314"/>
      <c r="BX314"/>
      <c r="BY314" s="139"/>
      <c r="BZ314" s="139"/>
      <c r="CA314" s="139"/>
      <c r="CB314" s="139"/>
      <c r="CC314" s="139"/>
      <c r="CD314" s="141"/>
      <c r="CE314" s="139"/>
      <c r="CF314" s="139"/>
      <c r="CG314" s="139"/>
      <c r="CH314" s="139"/>
      <c r="CI314" s="139"/>
      <c r="CJ314" s="139"/>
      <c r="CK314"/>
      <c r="CL314" s="139"/>
      <c r="CM314"/>
      <c r="CN314" s="139"/>
      <c r="CO314"/>
      <c r="CP314"/>
      <c r="CQ314" s="143"/>
      <c r="CR314" s="143"/>
      <c r="CS314"/>
      <c r="CT314" s="262"/>
      <c r="CU314"/>
      <c r="CV314"/>
      <c r="CW314"/>
      <c r="CX314" s="143"/>
      <c r="CY314" s="143"/>
      <c r="CZ314" s="143"/>
      <c r="DA314" s="143"/>
      <c r="DB314"/>
      <c r="DC314"/>
      <c r="DD314" s="143"/>
      <c r="DE314"/>
      <c r="DF314" s="143"/>
      <c r="DG314"/>
      <c r="DH314"/>
      <c r="DI314"/>
      <c r="DJ314"/>
      <c r="DK314"/>
      <c r="DL314" s="139"/>
      <c r="DM314"/>
      <c r="DN314" s="26"/>
      <c r="DO314" s="26"/>
      <c r="DP314"/>
      <c r="DQ314" s="262"/>
      <c r="DR314"/>
      <c r="DS314"/>
      <c r="DT314"/>
      <c r="DU314" s="139"/>
      <c r="DV314" s="139"/>
      <c r="DW314" s="139"/>
      <c r="DX314" s="139"/>
      <c r="DY314" s="139"/>
      <c r="DZ314" s="139"/>
      <c r="EA314" s="139"/>
      <c r="EB314" s="139"/>
      <c r="EC314" s="139"/>
      <c r="ED314" s="139"/>
      <c r="EE314" s="139"/>
      <c r="EF314" s="139"/>
      <c r="EG314" s="139"/>
      <c r="EH314" s="139"/>
      <c r="EI314" s="139"/>
      <c r="EJ314" s="139"/>
      <c r="EK314" s="139"/>
      <c r="EL314" s="139"/>
      <c r="EM314" s="139"/>
      <c r="EN314" s="139"/>
      <c r="EO314" s="139"/>
      <c r="EP314" s="139"/>
      <c r="EQ314" s="139"/>
      <c r="ER314" s="139"/>
      <c r="ES314" s="139"/>
      <c r="ET314" s="139"/>
      <c r="EU314" s="139"/>
      <c r="EV314" s="139"/>
      <c r="EW314" s="139"/>
      <c r="EX314" s="139"/>
      <c r="EY314" s="139"/>
      <c r="EZ314" s="139"/>
      <c r="FA314" s="139"/>
      <c r="FB314" s="139"/>
      <c r="FC314" s="139"/>
      <c r="FD314" s="139"/>
      <c r="FE314" s="139"/>
      <c r="FF314" s="139"/>
      <c r="FG314" s="139"/>
      <c r="FH314" s="139"/>
      <c r="FI314" s="139"/>
    </row>
    <row r="315" spans="1:165" ht="15.75" customHeight="1">
      <c r="BB315" s="139"/>
      <c r="BC315" s="139"/>
      <c r="BD315" s="139"/>
      <c r="BE315" s="139"/>
      <c r="BI315" s="139"/>
      <c r="BL315" s="139"/>
      <c r="BN315" s="139"/>
      <c r="BO315" s="139"/>
      <c r="BP315" s="139"/>
      <c r="BT315" s="139"/>
      <c r="BY315" s="139"/>
      <c r="BZ315" s="139"/>
      <c r="CA315" s="139"/>
      <c r="CB315" s="139"/>
      <c r="CC315" s="139"/>
      <c r="CE315" s="139"/>
      <c r="CF315" s="139"/>
      <c r="CG315" s="139"/>
      <c r="CH315" s="139"/>
      <c r="CI315" s="139"/>
      <c r="CJ315" s="139"/>
      <c r="CL315" s="139"/>
      <c r="CN315" s="139"/>
      <c r="DU315" s="139"/>
      <c r="DV315" s="139"/>
      <c r="DW315" s="139"/>
      <c r="DX315" s="139"/>
      <c r="DY315" s="139"/>
      <c r="DZ315" s="139"/>
      <c r="EA315" s="139"/>
      <c r="EB315" s="139"/>
      <c r="EC315" s="139"/>
      <c r="ED315" s="139"/>
      <c r="EE315" s="139"/>
      <c r="EF315" s="139"/>
      <c r="EG315" s="139"/>
      <c r="EH315" s="139"/>
      <c r="EI315" s="139"/>
      <c r="EJ315" s="139"/>
      <c r="EK315" s="139"/>
      <c r="EL315" s="139"/>
      <c r="EM315" s="139"/>
      <c r="EN315" s="139"/>
      <c r="EO315" s="139"/>
      <c r="EP315" s="139"/>
      <c r="EQ315" s="139"/>
      <c r="ER315" s="139"/>
      <c r="ES315" s="139"/>
      <c r="ET315" s="139"/>
      <c r="EU315" s="139"/>
      <c r="EV315" s="139"/>
      <c r="EW315" s="139"/>
      <c r="EX315" s="139"/>
      <c r="EY315" s="139"/>
      <c r="EZ315" s="139"/>
      <c r="FA315" s="139"/>
      <c r="FB315" s="139"/>
      <c r="FC315" s="139"/>
      <c r="FD315" s="139"/>
      <c r="FE315" s="139"/>
      <c r="FF315" s="139"/>
      <c r="FG315" s="139"/>
      <c r="FH315" s="139"/>
      <c r="FI315" s="139"/>
    </row>
    <row r="316" spans="1:165" ht="15.75" customHeight="1">
      <c r="BB316" s="139"/>
      <c r="BC316" s="139"/>
      <c r="BD316" s="139"/>
      <c r="BE316" s="139"/>
      <c r="BI316" s="139"/>
      <c r="BL316" s="139"/>
      <c r="BN316" s="139"/>
      <c r="BO316" s="139"/>
      <c r="BP316" s="139"/>
      <c r="BT316" s="139"/>
      <c r="BY316" s="139"/>
      <c r="BZ316" s="139"/>
      <c r="CA316" s="139"/>
      <c r="CB316" s="139"/>
      <c r="CC316" s="139"/>
      <c r="CE316" s="139"/>
      <c r="CF316" s="139"/>
      <c r="CG316" s="139"/>
      <c r="CH316" s="139"/>
      <c r="CI316" s="139"/>
      <c r="CJ316" s="139"/>
      <c r="CL316" s="139"/>
      <c r="CN316" s="139"/>
      <c r="DU316" s="139"/>
      <c r="DV316" s="139"/>
      <c r="DW316" s="139"/>
      <c r="DX316" s="139"/>
      <c r="DY316" s="139"/>
      <c r="DZ316" s="139"/>
      <c r="EA316" s="139"/>
      <c r="EB316" s="139"/>
      <c r="EC316" s="139"/>
      <c r="ED316" s="139"/>
      <c r="EE316" s="139"/>
      <c r="EF316" s="139"/>
      <c r="EG316" s="139"/>
      <c r="EH316" s="139"/>
      <c r="EI316" s="139"/>
      <c r="EJ316" s="139"/>
      <c r="EK316" s="139"/>
      <c r="EL316" s="139"/>
      <c r="EM316" s="139"/>
      <c r="EN316" s="139"/>
      <c r="EO316" s="139"/>
      <c r="EP316" s="139"/>
      <c r="EQ316" s="139"/>
      <c r="ER316" s="139"/>
      <c r="ES316" s="139"/>
      <c r="ET316" s="139"/>
      <c r="EU316" s="139"/>
      <c r="EV316" s="139"/>
      <c r="EW316" s="139"/>
      <c r="EX316" s="139"/>
      <c r="EY316" s="139"/>
      <c r="EZ316" s="139"/>
      <c r="FA316" s="139"/>
      <c r="FB316" s="139"/>
      <c r="FC316" s="139"/>
      <c r="FD316" s="139"/>
      <c r="FE316" s="139"/>
      <c r="FF316" s="139"/>
      <c r="FG316" s="139"/>
      <c r="FH316" s="139"/>
      <c r="FI316" s="139"/>
    </row>
    <row r="317" spans="1:165" ht="15.75" customHeight="1">
      <c r="BB317" s="139"/>
      <c r="BC317" s="139"/>
      <c r="BD317" s="139"/>
      <c r="BE317" s="139"/>
      <c r="BI317" s="139"/>
      <c r="BL317" s="139"/>
      <c r="BN317" s="139"/>
      <c r="BO317" s="139"/>
      <c r="BP317" s="139"/>
      <c r="BT317" s="139"/>
      <c r="BY317" s="139"/>
      <c r="BZ317" s="139"/>
      <c r="CA317" s="139"/>
      <c r="CB317" s="139"/>
      <c r="CC317" s="139"/>
      <c r="CE317" s="139"/>
      <c r="CF317" s="139"/>
      <c r="CG317" s="139"/>
      <c r="CH317" s="139"/>
      <c r="CI317" s="139"/>
      <c r="CJ317" s="139"/>
      <c r="CL317" s="139"/>
      <c r="CN317" s="139"/>
      <c r="DU317" s="139"/>
      <c r="DV317" s="139"/>
      <c r="DW317" s="139"/>
      <c r="DX317" s="139"/>
      <c r="DY317" s="139"/>
      <c r="DZ317" s="139"/>
      <c r="EA317" s="139"/>
      <c r="EB317" s="139"/>
      <c r="EC317" s="139"/>
      <c r="ED317" s="139"/>
      <c r="EE317" s="139"/>
      <c r="EF317" s="139"/>
      <c r="EG317" s="139"/>
      <c r="EH317" s="139"/>
      <c r="EI317" s="139"/>
      <c r="EJ317" s="139"/>
      <c r="EK317" s="139"/>
      <c r="EL317" s="139"/>
      <c r="EM317" s="139"/>
      <c r="EN317" s="139"/>
      <c r="EO317" s="139"/>
      <c r="EP317" s="139"/>
      <c r="EQ317" s="139"/>
      <c r="ER317" s="139"/>
      <c r="ES317" s="139"/>
      <c r="ET317" s="139"/>
      <c r="EU317" s="139"/>
      <c r="EV317" s="139"/>
      <c r="EW317" s="139"/>
      <c r="EX317" s="139"/>
      <c r="EY317" s="139"/>
      <c r="EZ317" s="139"/>
      <c r="FA317" s="139"/>
      <c r="FB317" s="139"/>
      <c r="FC317" s="139"/>
      <c r="FD317" s="139"/>
      <c r="FE317" s="139"/>
      <c r="FF317" s="139"/>
      <c r="FG317" s="139"/>
      <c r="FH317" s="139"/>
      <c r="FI317" s="139"/>
    </row>
    <row r="318" spans="1:165" ht="15.75" customHeight="1">
      <c r="BB318" s="139"/>
      <c r="BC318" s="139"/>
      <c r="BD318" s="139"/>
      <c r="BE318" s="139"/>
      <c r="BI318" s="139"/>
      <c r="BL318" s="139"/>
      <c r="BN318" s="139"/>
      <c r="BO318" s="139"/>
      <c r="BP318" s="139"/>
      <c r="BT318" s="139"/>
      <c r="BY318" s="139"/>
      <c r="BZ318" s="139"/>
      <c r="CA318" s="139"/>
      <c r="CB318" s="139"/>
      <c r="CC318" s="139"/>
      <c r="CE318" s="139"/>
      <c r="CF318" s="139"/>
      <c r="CG318" s="139"/>
      <c r="CH318" s="139"/>
      <c r="CI318" s="139"/>
      <c r="CJ318" s="139"/>
      <c r="CL318" s="139"/>
      <c r="CN318" s="139"/>
      <c r="DU318" s="139"/>
      <c r="DV318" s="139"/>
      <c r="DW318" s="139"/>
      <c r="DX318" s="139"/>
      <c r="DY318" s="139"/>
      <c r="DZ318" s="139"/>
      <c r="EA318" s="139"/>
      <c r="EB318" s="139"/>
      <c r="EC318" s="139"/>
      <c r="ED318" s="139"/>
      <c r="EE318" s="139"/>
      <c r="EF318" s="139"/>
      <c r="EG318" s="139"/>
      <c r="EH318" s="139"/>
      <c r="EI318" s="139"/>
      <c r="EJ318" s="139"/>
      <c r="EK318" s="139"/>
      <c r="EL318" s="139"/>
      <c r="EM318" s="139"/>
      <c r="EN318" s="139"/>
      <c r="EO318" s="139"/>
      <c r="EP318" s="139"/>
      <c r="EQ318" s="139"/>
      <c r="ER318" s="139"/>
      <c r="ES318" s="139"/>
      <c r="ET318" s="139"/>
      <c r="EU318" s="139"/>
      <c r="EV318" s="139"/>
      <c r="EW318" s="139"/>
      <c r="EX318" s="139"/>
      <c r="EY318" s="139"/>
      <c r="EZ318" s="139"/>
      <c r="FA318" s="139"/>
      <c r="FB318" s="139"/>
      <c r="FC318" s="139"/>
      <c r="FD318" s="139"/>
      <c r="FE318" s="139"/>
      <c r="FF318" s="139"/>
      <c r="FG318" s="139"/>
      <c r="FH318" s="139"/>
      <c r="FI318" s="139"/>
    </row>
    <row r="319" spans="1:165" ht="15.75" customHeight="1">
      <c r="BB319" s="139"/>
      <c r="BC319" s="139"/>
      <c r="BD319" s="139"/>
      <c r="BE319" s="139"/>
      <c r="BI319" s="139"/>
      <c r="BL319" s="139"/>
      <c r="BN319" s="139"/>
      <c r="BO319" s="139"/>
      <c r="BP319" s="139"/>
      <c r="BT319" s="139"/>
      <c r="BY319" s="139"/>
      <c r="BZ319" s="139"/>
      <c r="CA319" s="139"/>
      <c r="CB319" s="139"/>
      <c r="CC319" s="139"/>
      <c r="CE319" s="139"/>
      <c r="CF319" s="139"/>
      <c r="CG319" s="139"/>
      <c r="CH319" s="139"/>
      <c r="CI319" s="139"/>
      <c r="CJ319" s="139"/>
      <c r="CL319" s="139"/>
      <c r="CN319" s="139"/>
      <c r="DU319" s="139"/>
      <c r="DV319" s="139"/>
      <c r="DW319" s="139"/>
      <c r="DX319" s="139"/>
      <c r="DY319" s="139"/>
      <c r="DZ319" s="139"/>
      <c r="EA319" s="139"/>
      <c r="EB319" s="139"/>
      <c r="EC319" s="139"/>
      <c r="ED319" s="139"/>
      <c r="EE319" s="139"/>
      <c r="EF319" s="139"/>
      <c r="EG319" s="139"/>
      <c r="EH319" s="139"/>
      <c r="EI319" s="139"/>
      <c r="EJ319" s="139"/>
      <c r="EK319" s="139"/>
      <c r="EL319" s="139"/>
      <c r="EM319" s="139"/>
      <c r="EN319" s="139"/>
      <c r="EO319" s="139"/>
      <c r="EP319" s="139"/>
      <c r="EQ319" s="139"/>
      <c r="ER319" s="139"/>
      <c r="ES319" s="139"/>
      <c r="ET319" s="139"/>
      <c r="EU319" s="139"/>
      <c r="EV319" s="139"/>
      <c r="EW319" s="139"/>
      <c r="EX319" s="139"/>
      <c r="EY319" s="139"/>
      <c r="EZ319" s="139"/>
      <c r="FA319" s="139"/>
      <c r="FB319" s="139"/>
      <c r="FC319" s="139"/>
      <c r="FD319" s="139"/>
      <c r="FE319" s="139"/>
      <c r="FF319" s="139"/>
      <c r="FG319" s="139"/>
      <c r="FH319" s="139"/>
      <c r="FI319" s="139"/>
    </row>
    <row r="320" spans="1:165" ht="15.75" customHeight="1">
      <c r="BB320" s="139"/>
      <c r="BC320" s="139"/>
      <c r="BD320" s="139"/>
      <c r="BE320" s="139"/>
      <c r="BI320" s="139"/>
      <c r="BL320" s="139"/>
      <c r="BN320" s="139"/>
      <c r="BO320" s="139"/>
      <c r="BP320" s="139"/>
      <c r="BT320" s="139"/>
      <c r="BY320" s="139"/>
      <c r="BZ320" s="139"/>
      <c r="CA320" s="139"/>
      <c r="CB320" s="139"/>
      <c r="CC320" s="139"/>
      <c r="CE320" s="139"/>
      <c r="CF320" s="139"/>
      <c r="CG320" s="139"/>
      <c r="CH320" s="139"/>
      <c r="CI320" s="139"/>
      <c r="CJ320" s="139"/>
      <c r="CL320" s="139"/>
      <c r="CN320" s="139"/>
      <c r="DU320" s="139"/>
      <c r="DV320" s="139"/>
      <c r="DW320" s="139"/>
      <c r="DX320" s="139"/>
      <c r="DY320" s="139"/>
      <c r="DZ320" s="139"/>
      <c r="EA320" s="139"/>
      <c r="EB320" s="139"/>
      <c r="EC320" s="139"/>
      <c r="ED320" s="139"/>
      <c r="EE320" s="139"/>
      <c r="EF320" s="139"/>
      <c r="EG320" s="139"/>
      <c r="EH320" s="139"/>
      <c r="EI320" s="139"/>
      <c r="EJ320" s="139"/>
      <c r="EK320" s="139"/>
      <c r="EL320" s="139"/>
      <c r="EM320" s="139"/>
      <c r="EN320" s="139"/>
      <c r="EO320" s="139"/>
      <c r="EP320" s="139"/>
      <c r="EQ320" s="139"/>
      <c r="ER320" s="139"/>
      <c r="ES320" s="139"/>
      <c r="ET320" s="139"/>
      <c r="EU320" s="139"/>
      <c r="EV320" s="139"/>
      <c r="EW320" s="139"/>
      <c r="EX320" s="139"/>
      <c r="EY320" s="139"/>
      <c r="EZ320" s="139"/>
      <c r="FA320" s="139"/>
      <c r="FB320" s="139"/>
      <c r="FC320" s="139"/>
      <c r="FD320" s="139"/>
      <c r="FE320" s="139"/>
      <c r="FF320" s="139"/>
      <c r="FG320" s="139"/>
      <c r="FH320" s="139"/>
      <c r="FI320" s="139"/>
    </row>
    <row r="321" spans="1:165" ht="15.75" customHeight="1">
      <c r="BB321" s="139"/>
      <c r="BC321" s="139"/>
      <c r="BD321" s="139"/>
      <c r="BE321" s="139"/>
      <c r="BI321" s="139"/>
      <c r="BL321" s="139"/>
      <c r="BN321" s="139"/>
      <c r="BO321" s="139"/>
      <c r="BP321" s="139"/>
      <c r="BT321" s="139"/>
      <c r="BY321" s="139"/>
      <c r="BZ321" s="139"/>
      <c r="CA321" s="139"/>
      <c r="CB321" s="139"/>
      <c r="CC321" s="139"/>
      <c r="CE321" s="139"/>
      <c r="CF321" s="139"/>
      <c r="CG321" s="139"/>
      <c r="CH321" s="139"/>
      <c r="CI321" s="139"/>
      <c r="CJ321" s="139"/>
      <c r="CL321" s="139"/>
      <c r="CN321" s="139"/>
      <c r="DU321" s="139"/>
      <c r="DV321" s="139"/>
      <c r="DW321" s="139"/>
      <c r="DX321" s="139"/>
      <c r="DY321" s="139"/>
      <c r="DZ321" s="139"/>
      <c r="EA321" s="139"/>
      <c r="EB321" s="139"/>
      <c r="EC321" s="139"/>
      <c r="ED321" s="139"/>
      <c r="EE321" s="139"/>
      <c r="EF321" s="139"/>
      <c r="EG321" s="139"/>
      <c r="EH321" s="139"/>
      <c r="EI321" s="139"/>
      <c r="EJ321" s="139"/>
      <c r="EK321" s="139"/>
      <c r="EL321" s="139"/>
      <c r="EM321" s="139"/>
      <c r="EN321" s="139"/>
      <c r="EO321" s="139"/>
      <c r="EP321" s="139"/>
      <c r="EQ321" s="139"/>
      <c r="ER321" s="139"/>
      <c r="ES321" s="139"/>
      <c r="ET321" s="139"/>
      <c r="EU321" s="139"/>
      <c r="EV321" s="139"/>
      <c r="EW321" s="139"/>
      <c r="EX321" s="139"/>
      <c r="EY321" s="139"/>
      <c r="EZ321" s="139"/>
      <c r="FA321" s="139"/>
      <c r="FB321" s="139"/>
      <c r="FC321" s="139"/>
      <c r="FD321" s="139"/>
      <c r="FE321" s="139"/>
      <c r="FF321" s="139"/>
      <c r="FG321" s="139"/>
      <c r="FH321" s="139"/>
      <c r="FI321" s="139"/>
    </row>
    <row r="322" spans="1:165" ht="15.75" customHeight="1">
      <c r="BB322" s="139"/>
      <c r="BC322" s="139"/>
      <c r="BD322" s="139"/>
      <c r="BE322" s="139"/>
      <c r="BI322" s="139"/>
      <c r="BL322" s="139"/>
      <c r="BN322" s="139"/>
      <c r="BO322" s="139"/>
      <c r="BP322" s="139"/>
      <c r="BT322" s="139"/>
      <c r="BY322" s="139"/>
      <c r="BZ322" s="139"/>
      <c r="CA322" s="139"/>
      <c r="CB322" s="139"/>
      <c r="CC322" s="139"/>
      <c r="CE322" s="139"/>
      <c r="CF322" s="139"/>
      <c r="CG322" s="139"/>
      <c r="CH322" s="139"/>
      <c r="CI322" s="139"/>
      <c r="CJ322" s="139"/>
      <c r="CL322" s="139"/>
      <c r="CN322" s="139"/>
      <c r="DU322" s="139"/>
      <c r="DV322" s="139"/>
      <c r="DW322" s="139"/>
      <c r="DX322" s="139"/>
      <c r="DY322" s="139"/>
      <c r="DZ322" s="139"/>
      <c r="EA322" s="139"/>
      <c r="EB322" s="139"/>
      <c r="EC322" s="139"/>
      <c r="ED322" s="139"/>
      <c r="EE322" s="139"/>
      <c r="EF322" s="139"/>
      <c r="EG322" s="139"/>
      <c r="EH322" s="139"/>
      <c r="EI322" s="139"/>
      <c r="EJ322" s="139"/>
      <c r="EK322" s="139"/>
      <c r="EL322" s="139"/>
      <c r="EM322" s="139"/>
      <c r="EN322" s="139"/>
      <c r="EO322" s="139"/>
      <c r="EP322" s="139"/>
      <c r="EQ322" s="139"/>
      <c r="ER322" s="139"/>
      <c r="ES322" s="139"/>
      <c r="ET322" s="139"/>
      <c r="EU322" s="139"/>
      <c r="EV322" s="139"/>
      <c r="EW322" s="139"/>
      <c r="EX322" s="139"/>
      <c r="EY322" s="139"/>
      <c r="EZ322" s="139"/>
      <c r="FA322" s="139"/>
      <c r="FB322" s="139"/>
      <c r="FC322" s="139"/>
      <c r="FD322" s="139"/>
      <c r="FE322" s="139"/>
      <c r="FF322" s="139"/>
      <c r="FG322" s="139"/>
      <c r="FH322" s="139"/>
      <c r="FI322" s="139"/>
    </row>
    <row r="323" spans="1:165" ht="15.75" customHeight="1">
      <c r="BB323" s="139"/>
      <c r="BC323" s="139"/>
      <c r="BD323" s="139"/>
      <c r="BE323" s="139"/>
      <c r="BI323" s="139"/>
      <c r="BL323" s="139"/>
      <c r="BN323" s="139"/>
      <c r="BO323" s="139"/>
      <c r="BP323" s="139"/>
      <c r="BT323" s="139"/>
      <c r="BY323" s="139"/>
      <c r="BZ323" s="139"/>
      <c r="CA323" s="139"/>
      <c r="CB323" s="139"/>
      <c r="CC323" s="139"/>
      <c r="CE323" s="139"/>
      <c r="CF323" s="139"/>
      <c r="CG323" s="139"/>
      <c r="CH323" s="139"/>
      <c r="CI323" s="139"/>
      <c r="CJ323" s="139"/>
      <c r="CL323" s="139"/>
      <c r="CN323" s="139"/>
      <c r="DU323" s="139"/>
      <c r="DV323" s="139"/>
      <c r="DW323" s="139"/>
      <c r="DX323" s="139"/>
      <c r="DY323" s="139"/>
      <c r="DZ323" s="139"/>
      <c r="EA323" s="139"/>
      <c r="EB323" s="139"/>
      <c r="EC323" s="139"/>
      <c r="ED323" s="139"/>
      <c r="EE323" s="139"/>
      <c r="EF323" s="139"/>
      <c r="EG323" s="139"/>
      <c r="EH323" s="139"/>
      <c r="EI323" s="139"/>
      <c r="EJ323" s="139"/>
      <c r="EK323" s="139"/>
      <c r="EL323" s="139"/>
      <c r="EM323" s="139"/>
      <c r="EN323" s="139"/>
      <c r="EO323" s="139"/>
      <c r="EP323" s="139"/>
      <c r="EQ323" s="139"/>
      <c r="ER323" s="139"/>
      <c r="ES323" s="139"/>
      <c r="ET323" s="139"/>
      <c r="EU323" s="139"/>
      <c r="EV323" s="139"/>
      <c r="EW323" s="139"/>
      <c r="EX323" s="139"/>
      <c r="EY323" s="139"/>
      <c r="EZ323" s="139"/>
      <c r="FA323" s="139"/>
      <c r="FB323" s="139"/>
      <c r="FC323" s="139"/>
      <c r="FD323" s="139"/>
      <c r="FE323" s="139"/>
      <c r="FF323" s="139"/>
      <c r="FG323" s="139"/>
      <c r="FH323" s="139"/>
      <c r="FI323" s="139"/>
    </row>
    <row r="324" spans="1:165" ht="15.75" customHeight="1">
      <c r="BB324" s="139"/>
      <c r="BC324" s="139"/>
      <c r="BD324" s="139"/>
      <c r="BE324" s="139"/>
      <c r="BI324" s="139"/>
      <c r="BL324" s="139"/>
      <c r="BN324" s="139"/>
      <c r="BO324" s="139"/>
      <c r="BP324" s="139"/>
      <c r="BT324" s="139"/>
      <c r="BY324" s="139"/>
      <c r="BZ324" s="139"/>
      <c r="CA324" s="139"/>
      <c r="CB324" s="139"/>
      <c r="CC324" s="139"/>
      <c r="CE324" s="139"/>
      <c r="CF324" s="139"/>
      <c r="CG324" s="139"/>
      <c r="CH324" s="139"/>
      <c r="CI324" s="139"/>
      <c r="CJ324" s="139"/>
      <c r="CL324" s="139"/>
      <c r="CN324" s="139"/>
      <c r="DU324" s="139"/>
      <c r="DV324" s="139"/>
      <c r="DW324" s="139"/>
      <c r="DX324" s="139"/>
      <c r="DY324" s="139"/>
      <c r="DZ324" s="139"/>
      <c r="EA324" s="139"/>
      <c r="EB324" s="139"/>
      <c r="EC324" s="139"/>
      <c r="ED324" s="139"/>
      <c r="EE324" s="139"/>
      <c r="EF324" s="139"/>
      <c r="EG324" s="139"/>
      <c r="EH324" s="139"/>
      <c r="EI324" s="139"/>
      <c r="EJ324" s="139"/>
      <c r="EK324" s="139"/>
      <c r="EL324" s="139"/>
      <c r="EM324" s="139"/>
      <c r="EN324" s="139"/>
      <c r="EO324" s="139"/>
      <c r="EP324" s="139"/>
      <c r="EQ324" s="139"/>
      <c r="ER324" s="139"/>
      <c r="ES324" s="139"/>
      <c r="ET324" s="139"/>
      <c r="EU324" s="139"/>
      <c r="EV324" s="139"/>
      <c r="EW324" s="139"/>
      <c r="EX324" s="139"/>
      <c r="EY324" s="139"/>
      <c r="EZ324" s="139"/>
      <c r="FA324" s="139"/>
      <c r="FB324" s="139"/>
      <c r="FC324" s="139"/>
      <c r="FD324" s="139"/>
      <c r="FE324" s="139"/>
      <c r="FF324" s="139"/>
      <c r="FG324" s="139"/>
      <c r="FH324" s="139"/>
      <c r="FI324" s="139"/>
    </row>
    <row r="325" spans="1:165" ht="15.75" customHeight="1">
      <c r="BB325" s="139"/>
      <c r="BC325" s="139"/>
      <c r="BD325" s="139"/>
      <c r="BE325" s="139"/>
      <c r="BI325" s="139"/>
      <c r="BL325" s="139"/>
      <c r="BN325" s="139"/>
      <c r="BO325" s="139"/>
      <c r="BP325" s="139"/>
      <c r="BT325" s="139"/>
      <c r="BY325" s="139"/>
      <c r="BZ325" s="139"/>
      <c r="CA325" s="139"/>
      <c r="CB325" s="139"/>
      <c r="CC325" s="139"/>
      <c r="CE325" s="139"/>
      <c r="CF325" s="139"/>
      <c r="CG325" s="139"/>
      <c r="CH325" s="139"/>
      <c r="CI325" s="139"/>
      <c r="CJ325" s="139"/>
      <c r="CL325" s="139"/>
      <c r="CN325" s="139"/>
      <c r="DU325" s="139"/>
      <c r="DV325" s="139"/>
      <c r="DW325" s="139"/>
      <c r="DX325" s="139"/>
      <c r="DY325" s="139"/>
      <c r="DZ325" s="139"/>
      <c r="EA325" s="139"/>
      <c r="EB325" s="139"/>
      <c r="EC325" s="139"/>
      <c r="ED325" s="139"/>
      <c r="EE325" s="139"/>
      <c r="EF325" s="139"/>
      <c r="EG325" s="139"/>
      <c r="EH325" s="139"/>
      <c r="EI325" s="139"/>
      <c r="EJ325" s="139"/>
      <c r="EK325" s="139"/>
      <c r="EL325" s="139"/>
      <c r="EM325" s="139"/>
      <c r="EN325" s="139"/>
      <c r="EO325" s="139"/>
      <c r="EP325" s="139"/>
      <c r="EQ325" s="139"/>
      <c r="ER325" s="139"/>
      <c r="ES325" s="139"/>
      <c r="ET325" s="139"/>
      <c r="EU325" s="139"/>
      <c r="EV325" s="139"/>
      <c r="EW325" s="139"/>
      <c r="EX325" s="139"/>
      <c r="EY325" s="139"/>
      <c r="EZ325" s="139"/>
      <c r="FA325" s="139"/>
      <c r="FB325" s="139"/>
      <c r="FC325" s="139"/>
      <c r="FD325" s="139"/>
      <c r="FE325" s="139"/>
      <c r="FF325" s="139"/>
      <c r="FG325" s="139"/>
      <c r="FH325" s="139"/>
      <c r="FI325" s="139"/>
    </row>
    <row r="326" spans="1:165" ht="15.75" customHeight="1">
      <c r="BB326" s="139"/>
      <c r="BC326" s="139"/>
      <c r="BD326" s="139"/>
      <c r="BE326" s="139"/>
      <c r="BI326" s="139"/>
      <c r="BL326" s="139"/>
      <c r="BN326" s="139"/>
      <c r="BO326" s="139"/>
      <c r="BP326" s="139"/>
      <c r="BT326" s="139"/>
      <c r="BY326" s="139"/>
      <c r="BZ326" s="139"/>
      <c r="CA326" s="139"/>
      <c r="CB326" s="139"/>
      <c r="CC326" s="139"/>
      <c r="CE326" s="139"/>
      <c r="CF326" s="139"/>
      <c r="CG326" s="139"/>
      <c r="CH326" s="139"/>
      <c r="CI326" s="139"/>
      <c r="CJ326" s="139"/>
      <c r="CL326" s="139"/>
      <c r="CN326" s="139"/>
      <c r="DU326" s="139"/>
      <c r="DV326" s="139"/>
      <c r="DW326" s="139"/>
      <c r="DX326" s="139"/>
      <c r="DY326" s="139"/>
      <c r="DZ326" s="139"/>
      <c r="EA326" s="139"/>
      <c r="EB326" s="139"/>
      <c r="EC326" s="139"/>
      <c r="ED326" s="139"/>
      <c r="EE326" s="139"/>
      <c r="EF326" s="139"/>
      <c r="EG326" s="139"/>
      <c r="EH326" s="139"/>
      <c r="EI326" s="139"/>
      <c r="EJ326" s="139"/>
      <c r="EK326" s="139"/>
      <c r="EL326" s="139"/>
      <c r="EM326" s="139"/>
      <c r="EN326" s="139"/>
      <c r="EO326" s="139"/>
      <c r="EP326" s="139"/>
      <c r="EQ326" s="139"/>
      <c r="ER326" s="139"/>
      <c r="ES326" s="139"/>
      <c r="ET326" s="139"/>
      <c r="EU326" s="139"/>
      <c r="EV326" s="139"/>
      <c r="EW326" s="139"/>
      <c r="EX326" s="139"/>
      <c r="EY326" s="139"/>
      <c r="EZ326" s="139"/>
      <c r="FA326" s="139"/>
      <c r="FB326" s="139"/>
      <c r="FC326" s="139"/>
      <c r="FD326" s="139"/>
      <c r="FE326" s="139"/>
      <c r="FF326" s="139"/>
      <c r="FG326" s="139"/>
      <c r="FH326" s="139"/>
      <c r="FI326" s="139"/>
    </row>
    <row r="327" spans="1:165" ht="15.75" customHeight="1">
      <c r="BB327" s="139"/>
      <c r="BC327" s="139"/>
      <c r="BD327" s="139"/>
      <c r="BE327" s="139"/>
      <c r="BI327" s="139"/>
      <c r="BL327" s="139"/>
      <c r="BN327" s="139"/>
      <c r="BO327" s="139"/>
      <c r="BP327" s="139"/>
      <c r="BT327" s="139"/>
      <c r="BY327" s="139"/>
      <c r="BZ327" s="139"/>
      <c r="CA327" s="139"/>
      <c r="CB327" s="139"/>
      <c r="CC327" s="139"/>
      <c r="CE327" s="139"/>
      <c r="CF327" s="139"/>
      <c r="CG327" s="139"/>
      <c r="CH327" s="139"/>
      <c r="CI327" s="139"/>
      <c r="CJ327" s="139"/>
      <c r="CL327" s="139"/>
      <c r="CN327" s="139"/>
      <c r="DU327" s="139"/>
      <c r="DV327" s="139"/>
      <c r="DW327" s="139"/>
      <c r="DX327" s="139"/>
      <c r="DY327" s="139"/>
      <c r="DZ327" s="139"/>
      <c r="EA327" s="139"/>
      <c r="EB327" s="139"/>
      <c r="EC327" s="139"/>
      <c r="ED327" s="139"/>
      <c r="EE327" s="139"/>
      <c r="EF327" s="139"/>
      <c r="EG327" s="139"/>
      <c r="EH327" s="139"/>
      <c r="EI327" s="139"/>
      <c r="EJ327" s="139"/>
      <c r="EK327" s="139"/>
      <c r="EL327" s="139"/>
      <c r="EM327" s="139"/>
      <c r="EN327" s="139"/>
      <c r="EO327" s="139"/>
      <c r="EP327" s="139"/>
      <c r="EQ327" s="139"/>
      <c r="ER327" s="139"/>
      <c r="ES327" s="139"/>
      <c r="ET327" s="139"/>
      <c r="EU327" s="139"/>
      <c r="EV327" s="139"/>
      <c r="EW327" s="139"/>
      <c r="EX327" s="139"/>
      <c r="EY327" s="139"/>
      <c r="EZ327" s="139"/>
      <c r="FA327" s="139"/>
      <c r="FB327" s="139"/>
      <c r="FC327" s="139"/>
      <c r="FD327" s="139"/>
      <c r="FE327" s="139"/>
      <c r="FF327" s="139"/>
      <c r="FG327" s="139"/>
      <c r="FH327" s="139"/>
      <c r="FI327" s="139"/>
    </row>
    <row r="328" spans="1:165" ht="15.75" customHeight="1">
      <c r="BB328" s="139"/>
      <c r="BC328" s="139"/>
      <c r="BD328" s="139"/>
      <c r="BE328" s="139"/>
      <c r="BI328" s="139"/>
      <c r="BL328" s="139"/>
      <c r="BN328" s="139"/>
      <c r="BO328" s="139"/>
      <c r="BP328" s="139"/>
      <c r="BT328" s="139"/>
      <c r="BY328" s="139"/>
      <c r="BZ328" s="139"/>
      <c r="CA328" s="139"/>
      <c r="CB328" s="139"/>
      <c r="CC328" s="139"/>
      <c r="CE328" s="139"/>
      <c r="CF328" s="139"/>
      <c r="CG328" s="139"/>
      <c r="CH328" s="139"/>
      <c r="CI328" s="139"/>
      <c r="CJ328" s="139"/>
      <c r="CL328" s="139"/>
      <c r="CN328" s="139"/>
      <c r="DU328" s="139"/>
      <c r="DV328" s="139"/>
      <c r="DW328" s="139"/>
      <c r="DX328" s="139"/>
      <c r="DY328" s="139"/>
      <c r="DZ328" s="139"/>
      <c r="EA328" s="139"/>
      <c r="EB328" s="139"/>
      <c r="EC328" s="139"/>
      <c r="ED328" s="139"/>
      <c r="EE328" s="139"/>
      <c r="EF328" s="139"/>
      <c r="EG328" s="139"/>
      <c r="EH328" s="139"/>
      <c r="EI328" s="139"/>
      <c r="EJ328" s="139"/>
      <c r="EK328" s="139"/>
      <c r="EL328" s="139"/>
      <c r="EM328" s="139"/>
      <c r="EN328" s="139"/>
      <c r="EO328" s="139"/>
      <c r="EP328" s="139"/>
      <c r="EQ328" s="139"/>
      <c r="ER328" s="139"/>
      <c r="ES328" s="139"/>
      <c r="ET328" s="139"/>
      <c r="EU328" s="139"/>
      <c r="EV328" s="139"/>
      <c r="EW328" s="139"/>
      <c r="EX328" s="139"/>
      <c r="EY328" s="139"/>
      <c r="EZ328" s="139"/>
      <c r="FA328" s="139"/>
      <c r="FB328" s="139"/>
      <c r="FC328" s="139"/>
      <c r="FD328" s="139"/>
      <c r="FE328" s="139"/>
      <c r="FF328" s="139"/>
      <c r="FG328" s="139"/>
      <c r="FH328" s="139"/>
      <c r="FI328" s="139"/>
    </row>
    <row r="329" spans="1:165" s="31" customFormat="1" ht="15.75" customHeight="1">
      <c r="A329" s="1"/>
      <c r="B329" s="1"/>
      <c r="C329" s="1"/>
      <c r="D329" s="1"/>
      <c r="E329" s="1"/>
      <c r="F329" s="1"/>
      <c r="G329" s="1"/>
      <c r="H329" s="1"/>
      <c r="I329" s="1"/>
      <c r="J329" s="1"/>
      <c r="K329" s="1"/>
      <c r="L329" s="1"/>
      <c r="M329" s="1"/>
      <c r="N329" s="1"/>
      <c r="O329" s="1"/>
      <c r="P329"/>
      <c r="Q329" s="130"/>
      <c r="R329" s="1"/>
      <c r="S329" s="1"/>
      <c r="T329" s="1"/>
      <c r="U329" s="1"/>
      <c r="V329" s="1"/>
      <c r="W329" s="1"/>
      <c r="X329" s="1"/>
      <c r="Y329" s="1"/>
      <c r="Z329" s="1"/>
      <c r="AA329" s="1"/>
      <c r="AB329" s="1"/>
      <c r="AC329" s="1"/>
      <c r="AD329" s="1"/>
      <c r="AE329" s="1"/>
      <c r="AF329" s="1"/>
      <c r="AG329" s="1"/>
      <c r="AH329" s="1"/>
      <c r="AI329" s="1"/>
      <c r="AJ329" s="1"/>
      <c r="AK329" s="1"/>
      <c r="AL329" s="1"/>
      <c r="AM329" s="1"/>
      <c r="AN329"/>
      <c r="AO329" s="228"/>
      <c r="AP329" s="189"/>
      <c r="AQ329"/>
      <c r="AR329"/>
      <c r="AS329" s="228"/>
      <c r="AT329" s="139"/>
      <c r="AU329" s="139"/>
      <c r="AV329"/>
      <c r="AW329" s="262"/>
      <c r="AX329"/>
      <c r="AY329"/>
      <c r="AZ329"/>
      <c r="BA329"/>
      <c r="BB329" s="139"/>
      <c r="BC329" s="139"/>
      <c r="BD329" s="139"/>
      <c r="BE329" s="139"/>
      <c r="BF329"/>
      <c r="BG329" s="262"/>
      <c r="BI329" s="139"/>
      <c r="BJ329" s="262"/>
      <c r="BK329"/>
      <c r="BL329" s="139"/>
      <c r="BM329" s="108"/>
      <c r="BN329" s="139"/>
      <c r="BO329" s="139"/>
      <c r="BP329" s="139"/>
      <c r="BQ329"/>
      <c r="BR329" s="262"/>
      <c r="BS329"/>
      <c r="BT329" s="139"/>
      <c r="BU329"/>
      <c r="BX329"/>
      <c r="BY329" s="139"/>
      <c r="BZ329" s="139"/>
      <c r="CA329" s="139"/>
      <c r="CB329" s="139"/>
      <c r="CC329" s="139"/>
      <c r="CD329" s="141"/>
      <c r="CE329" s="139"/>
      <c r="CF329" s="139"/>
      <c r="CG329" s="139"/>
      <c r="CH329" s="139"/>
      <c r="CI329" s="139"/>
      <c r="CJ329" s="139"/>
      <c r="CK329"/>
      <c r="CL329" s="139"/>
      <c r="CM329"/>
      <c r="CN329" s="139"/>
      <c r="CO329"/>
      <c r="CP329"/>
      <c r="CQ329" s="143"/>
      <c r="CR329" s="143"/>
      <c r="CS329"/>
      <c r="CT329" s="262"/>
      <c r="CU329"/>
      <c r="CV329"/>
      <c r="CW329"/>
      <c r="CX329" s="143"/>
      <c r="CY329" s="143"/>
      <c r="CZ329" s="143"/>
      <c r="DA329" s="143"/>
      <c r="DB329"/>
      <c r="DC329"/>
      <c r="DD329" s="143"/>
      <c r="DE329"/>
      <c r="DF329" s="143"/>
      <c r="DG329"/>
      <c r="DH329"/>
      <c r="DI329"/>
      <c r="DJ329"/>
      <c r="DK329"/>
      <c r="DL329" s="139"/>
      <c r="DM329"/>
      <c r="DN329" s="26"/>
      <c r="DO329" s="26"/>
      <c r="DP329"/>
      <c r="DQ329" s="262"/>
      <c r="DR329"/>
      <c r="DS329"/>
      <c r="DT329"/>
      <c r="DU329" s="139"/>
      <c r="DV329" s="139"/>
      <c r="DW329" s="139"/>
      <c r="DX329" s="139"/>
      <c r="DY329" s="139"/>
      <c r="DZ329" s="139"/>
      <c r="EA329" s="139"/>
      <c r="EB329" s="139"/>
      <c r="EC329" s="139"/>
      <c r="ED329" s="139"/>
      <c r="EE329" s="139"/>
      <c r="EF329" s="139"/>
      <c r="EG329" s="139"/>
      <c r="EH329" s="139"/>
      <c r="EI329" s="139"/>
      <c r="EJ329" s="139"/>
      <c r="EK329" s="139"/>
      <c r="EL329" s="139"/>
      <c r="EM329" s="139"/>
      <c r="EN329" s="139"/>
      <c r="EO329" s="139"/>
      <c r="EP329" s="139"/>
      <c r="EQ329" s="139"/>
      <c r="ER329" s="139"/>
      <c r="ES329" s="139"/>
      <c r="ET329" s="139"/>
      <c r="EU329" s="139"/>
      <c r="EV329" s="139"/>
      <c r="EW329" s="139"/>
      <c r="EX329" s="139"/>
      <c r="EY329" s="139"/>
      <c r="EZ329" s="139"/>
      <c r="FA329" s="139"/>
      <c r="FB329" s="139"/>
      <c r="FC329" s="139"/>
      <c r="FD329" s="139"/>
      <c r="FE329" s="139"/>
      <c r="FF329" s="139"/>
      <c r="FG329" s="139"/>
      <c r="FH329" s="139"/>
      <c r="FI329" s="139"/>
    </row>
    <row r="330" spans="1:165" s="31" customFormat="1" ht="15.75" customHeight="1">
      <c r="A330" s="1"/>
      <c r="B330" s="1"/>
      <c r="C330" s="1"/>
      <c r="D330" s="1"/>
      <c r="E330" s="1"/>
      <c r="F330" s="1"/>
      <c r="G330" s="1"/>
      <c r="H330" s="1"/>
      <c r="I330" s="1"/>
      <c r="J330" s="1"/>
      <c r="K330" s="1"/>
      <c r="L330" s="1"/>
      <c r="M330" s="1"/>
      <c r="N330" s="1"/>
      <c r="O330" s="1"/>
      <c r="P330"/>
      <c r="Q330" s="130"/>
      <c r="R330" s="1"/>
      <c r="S330" s="1"/>
      <c r="T330" s="1"/>
      <c r="U330" s="1"/>
      <c r="V330" s="1"/>
      <c r="W330" s="1"/>
      <c r="X330" s="1"/>
      <c r="Y330" s="1"/>
      <c r="Z330" s="1"/>
      <c r="AA330" s="1"/>
      <c r="AB330" s="1"/>
      <c r="AC330" s="1"/>
      <c r="AD330" s="1"/>
      <c r="AE330" s="1"/>
      <c r="AF330" s="1"/>
      <c r="AG330" s="1"/>
      <c r="AH330" s="1"/>
      <c r="AI330" s="1"/>
      <c r="AJ330" s="1"/>
      <c r="AK330" s="1"/>
      <c r="AL330" s="1"/>
      <c r="AM330" s="1"/>
      <c r="AN330"/>
      <c r="AO330" s="228"/>
      <c r="AP330" s="189"/>
      <c r="AQ330"/>
      <c r="AR330"/>
      <c r="AS330" s="228"/>
      <c r="AT330" s="139"/>
      <c r="AU330" s="139"/>
      <c r="AV330"/>
      <c r="AW330" s="262"/>
      <c r="AX330"/>
      <c r="AY330"/>
      <c r="AZ330"/>
      <c r="BA330"/>
      <c r="BB330" s="139"/>
      <c r="BC330" s="139"/>
      <c r="BD330" s="139"/>
      <c r="BE330" s="139"/>
      <c r="BF330"/>
      <c r="BG330" s="262"/>
      <c r="BI330" s="139"/>
      <c r="BJ330" s="262"/>
      <c r="BK330"/>
      <c r="BL330" s="139"/>
      <c r="BM330" s="108"/>
      <c r="BN330" s="139"/>
      <c r="BO330" s="139"/>
      <c r="BP330" s="139"/>
      <c r="BQ330"/>
      <c r="BR330" s="262"/>
      <c r="BS330"/>
      <c r="BT330" s="139"/>
      <c r="BU330"/>
      <c r="BX330"/>
      <c r="BY330" s="139"/>
      <c r="BZ330" s="139"/>
      <c r="CA330" s="139"/>
      <c r="CB330" s="139"/>
      <c r="CC330" s="139"/>
      <c r="CD330" s="141"/>
      <c r="CE330" s="139"/>
      <c r="CF330" s="139"/>
      <c r="CG330" s="139"/>
      <c r="CH330" s="139"/>
      <c r="CI330" s="139"/>
      <c r="CJ330" s="139"/>
      <c r="CK330"/>
      <c r="CL330" s="139"/>
      <c r="CM330"/>
      <c r="CN330" s="139"/>
      <c r="CO330"/>
      <c r="CP330"/>
      <c r="CQ330" s="143"/>
      <c r="CR330" s="143"/>
      <c r="CS330"/>
      <c r="CT330" s="262"/>
      <c r="CU330"/>
      <c r="CV330"/>
      <c r="CW330"/>
      <c r="CX330" s="143"/>
      <c r="CY330" s="143"/>
      <c r="CZ330" s="143"/>
      <c r="DA330" s="143"/>
      <c r="DB330"/>
      <c r="DC330"/>
      <c r="DD330" s="143"/>
      <c r="DE330"/>
      <c r="DF330" s="143"/>
      <c r="DG330"/>
      <c r="DH330"/>
      <c r="DI330"/>
      <c r="DJ330"/>
      <c r="DK330"/>
      <c r="DL330" s="139"/>
      <c r="DM330"/>
      <c r="DN330" s="26"/>
      <c r="DO330" s="26"/>
      <c r="DP330"/>
      <c r="DQ330" s="262"/>
      <c r="DR330"/>
      <c r="DS330"/>
      <c r="DT330"/>
      <c r="DU330" s="139"/>
      <c r="DV330" s="139"/>
      <c r="DW330" s="139"/>
      <c r="DX330" s="139"/>
      <c r="DY330" s="139"/>
      <c r="DZ330" s="139"/>
      <c r="EA330" s="139"/>
      <c r="EB330" s="139"/>
      <c r="EC330" s="139"/>
      <c r="ED330" s="139"/>
      <c r="EE330" s="139"/>
      <c r="EF330" s="139"/>
      <c r="EG330" s="139"/>
      <c r="EH330" s="139"/>
      <c r="EI330" s="139"/>
      <c r="EJ330" s="139"/>
      <c r="EK330" s="139"/>
      <c r="EL330" s="139"/>
      <c r="EM330" s="139"/>
      <c r="EN330" s="139"/>
      <c r="EO330" s="139"/>
      <c r="EP330" s="139"/>
      <c r="EQ330" s="139"/>
      <c r="ER330" s="139"/>
      <c r="ES330" s="139"/>
      <c r="ET330" s="139"/>
      <c r="EU330" s="139"/>
      <c r="EV330" s="139"/>
      <c r="EW330" s="139"/>
      <c r="EX330" s="139"/>
      <c r="EY330" s="139"/>
      <c r="EZ330" s="139"/>
      <c r="FA330" s="139"/>
      <c r="FB330" s="139"/>
      <c r="FC330" s="139"/>
      <c r="FD330" s="139"/>
      <c r="FE330" s="139"/>
      <c r="FF330" s="139"/>
      <c r="FG330" s="139"/>
      <c r="FH330" s="139"/>
      <c r="FI330" s="139"/>
    </row>
    <row r="331" spans="1:165" ht="15.75" customHeight="1">
      <c r="BB331" s="139"/>
      <c r="BC331" s="139"/>
      <c r="BD331" s="139"/>
      <c r="BE331" s="139"/>
      <c r="BI331" s="139"/>
      <c r="BL331" s="139"/>
      <c r="BN331" s="139"/>
      <c r="BO331" s="139"/>
      <c r="BP331" s="139"/>
      <c r="BT331" s="139"/>
      <c r="BY331" s="139"/>
      <c r="BZ331" s="139"/>
      <c r="CA331" s="139"/>
      <c r="CB331" s="139"/>
      <c r="CC331" s="139"/>
      <c r="CE331" s="139"/>
      <c r="CF331" s="139"/>
      <c r="CG331" s="139"/>
      <c r="CH331" s="139"/>
      <c r="CI331" s="139"/>
      <c r="CJ331" s="139"/>
      <c r="CL331" s="139"/>
      <c r="CN331" s="139"/>
      <c r="DU331" s="139"/>
      <c r="DV331" s="139"/>
      <c r="DW331" s="139"/>
      <c r="DX331" s="139"/>
      <c r="DY331" s="139"/>
      <c r="DZ331" s="139"/>
      <c r="EA331" s="139"/>
      <c r="EB331" s="139"/>
      <c r="EC331" s="139"/>
      <c r="ED331" s="139"/>
      <c r="EE331" s="139"/>
      <c r="EF331" s="139"/>
      <c r="EG331" s="139"/>
      <c r="EH331" s="139"/>
      <c r="EI331" s="139"/>
      <c r="EJ331" s="139"/>
      <c r="EK331" s="139"/>
      <c r="EL331" s="139"/>
      <c r="EM331" s="139"/>
      <c r="EN331" s="139"/>
      <c r="EO331" s="139"/>
      <c r="EP331" s="139"/>
      <c r="EQ331" s="139"/>
      <c r="ER331" s="139"/>
      <c r="ES331" s="139"/>
      <c r="ET331" s="139"/>
      <c r="EU331" s="139"/>
      <c r="EV331" s="139"/>
      <c r="EW331" s="139"/>
      <c r="EX331" s="139"/>
      <c r="EY331" s="139"/>
      <c r="EZ331" s="139"/>
      <c r="FA331" s="139"/>
      <c r="FB331" s="139"/>
      <c r="FC331" s="139"/>
      <c r="FD331" s="139"/>
      <c r="FE331" s="139"/>
      <c r="FF331" s="139"/>
      <c r="FG331" s="139"/>
      <c r="FH331" s="139"/>
      <c r="FI331" s="139"/>
    </row>
    <row r="332" spans="1:165" ht="15.75" customHeight="1">
      <c r="BB332" s="139"/>
      <c r="BC332" s="139"/>
      <c r="BD332" s="139"/>
      <c r="BE332" s="139"/>
      <c r="BI332" s="139"/>
      <c r="BL332" s="139"/>
      <c r="BN332" s="139"/>
      <c r="BO332" s="139"/>
      <c r="BP332" s="139"/>
      <c r="BT332" s="139"/>
      <c r="BY332" s="139"/>
      <c r="BZ332" s="139"/>
      <c r="CA332" s="139"/>
      <c r="CB332" s="139"/>
      <c r="CC332" s="139"/>
      <c r="CE332" s="139"/>
      <c r="CF332" s="139"/>
      <c r="CG332" s="139"/>
      <c r="CH332" s="139"/>
      <c r="CI332" s="139"/>
      <c r="CJ332" s="139"/>
      <c r="CL332" s="139"/>
      <c r="CN332" s="139"/>
      <c r="DU332" s="139"/>
      <c r="DV332" s="139"/>
      <c r="DW332" s="139"/>
      <c r="DX332" s="139"/>
      <c r="DY332" s="139"/>
      <c r="DZ332" s="139"/>
      <c r="EA332" s="139"/>
      <c r="EB332" s="139"/>
      <c r="EC332" s="139"/>
      <c r="ED332" s="139"/>
      <c r="EE332" s="139"/>
      <c r="EF332" s="139"/>
      <c r="EG332" s="139"/>
      <c r="EH332" s="139"/>
      <c r="EI332" s="139"/>
      <c r="EJ332" s="139"/>
      <c r="EK332" s="139"/>
      <c r="EL332" s="139"/>
      <c r="EM332" s="139"/>
      <c r="EN332" s="139"/>
      <c r="EO332" s="139"/>
      <c r="EP332" s="139"/>
      <c r="EQ332" s="139"/>
      <c r="ER332" s="139"/>
      <c r="ES332" s="139"/>
      <c r="ET332" s="139"/>
      <c r="EU332" s="139"/>
      <c r="EV332" s="139"/>
      <c r="EW332" s="139"/>
      <c r="EX332" s="139"/>
      <c r="EY332" s="139"/>
      <c r="EZ332" s="139"/>
      <c r="FA332" s="139"/>
      <c r="FB332" s="139"/>
      <c r="FC332" s="139"/>
      <c r="FD332" s="139"/>
      <c r="FE332" s="139"/>
      <c r="FF332" s="139"/>
      <c r="FG332" s="139"/>
      <c r="FH332" s="139"/>
      <c r="FI332" s="139"/>
    </row>
    <row r="333" spans="1:165" s="31" customFormat="1" ht="15.75" customHeight="1">
      <c r="A333" s="1"/>
      <c r="B333" s="1"/>
      <c r="C333" s="1"/>
      <c r="D333" s="1"/>
      <c r="E333" s="1"/>
      <c r="F333" s="1"/>
      <c r="G333" s="1"/>
      <c r="H333" s="1"/>
      <c r="I333" s="1"/>
      <c r="J333" s="1"/>
      <c r="K333" s="1"/>
      <c r="L333" s="1"/>
      <c r="M333" s="1"/>
      <c r="N333" s="1"/>
      <c r="O333" s="1"/>
      <c r="P333"/>
      <c r="Q333" s="130"/>
      <c r="R333" s="1"/>
      <c r="S333" s="1"/>
      <c r="T333" s="1"/>
      <c r="U333" s="1"/>
      <c r="V333" s="1"/>
      <c r="W333" s="1"/>
      <c r="X333" s="1"/>
      <c r="Y333" s="1"/>
      <c r="Z333" s="1"/>
      <c r="AA333" s="1"/>
      <c r="AB333" s="1"/>
      <c r="AC333" s="1"/>
      <c r="AD333" s="1"/>
      <c r="AE333" s="1"/>
      <c r="AF333" s="1"/>
      <c r="AG333" s="1"/>
      <c r="AH333" s="1"/>
      <c r="AI333" s="1"/>
      <c r="AJ333" s="1"/>
      <c r="AK333" s="1"/>
      <c r="AL333" s="1"/>
      <c r="AM333" s="1"/>
      <c r="AN333"/>
      <c r="AO333" s="228"/>
      <c r="AP333" s="189"/>
      <c r="AQ333"/>
      <c r="AR333"/>
      <c r="AS333" s="228"/>
      <c r="AT333" s="139"/>
      <c r="AU333" s="139"/>
      <c r="AV333"/>
      <c r="AW333" s="262"/>
      <c r="AX333"/>
      <c r="AY333"/>
      <c r="AZ333"/>
      <c r="BA333"/>
      <c r="BB333" s="139"/>
      <c r="BC333" s="139"/>
      <c r="BD333" s="139"/>
      <c r="BE333" s="139"/>
      <c r="BF333"/>
      <c r="BG333" s="262"/>
      <c r="BI333" s="139"/>
      <c r="BJ333" s="262"/>
      <c r="BK333"/>
      <c r="BL333" s="139"/>
      <c r="BM333" s="108"/>
      <c r="BN333" s="139"/>
      <c r="BO333" s="139"/>
      <c r="BP333" s="139"/>
      <c r="BQ333"/>
      <c r="BR333" s="262"/>
      <c r="BS333"/>
      <c r="BT333" s="139"/>
      <c r="BU333"/>
      <c r="BX333"/>
      <c r="BY333" s="139"/>
      <c r="BZ333" s="139"/>
      <c r="CA333" s="139"/>
      <c r="CB333" s="139"/>
      <c r="CC333" s="139"/>
      <c r="CD333" s="141"/>
      <c r="CE333" s="139"/>
      <c r="CF333" s="139"/>
      <c r="CG333" s="139"/>
      <c r="CH333" s="139"/>
      <c r="CI333" s="139"/>
      <c r="CJ333" s="139"/>
      <c r="CK333"/>
      <c r="CL333" s="139"/>
      <c r="CM333"/>
      <c r="CN333" s="139"/>
      <c r="CO333"/>
      <c r="CP333"/>
      <c r="CQ333" s="143"/>
      <c r="CR333" s="143"/>
      <c r="CS333"/>
      <c r="CT333" s="262"/>
      <c r="CU333"/>
      <c r="CV333"/>
      <c r="CW333"/>
      <c r="CX333" s="143"/>
      <c r="CY333" s="143"/>
      <c r="CZ333" s="143"/>
      <c r="DA333" s="143"/>
      <c r="DB333"/>
      <c r="DC333"/>
      <c r="DD333" s="143"/>
      <c r="DE333"/>
      <c r="DF333" s="143"/>
      <c r="DG333"/>
      <c r="DH333"/>
      <c r="DI333"/>
      <c r="DJ333"/>
      <c r="DK333"/>
      <c r="DL333" s="139"/>
      <c r="DM333"/>
      <c r="DN333" s="26"/>
      <c r="DO333" s="26"/>
      <c r="DP333"/>
      <c r="DQ333" s="262"/>
      <c r="DR333"/>
      <c r="DS333"/>
      <c r="DT333"/>
      <c r="DU333" s="139"/>
      <c r="DV333" s="139"/>
      <c r="DW333" s="139"/>
      <c r="DX333" s="139"/>
      <c r="DY333" s="139"/>
      <c r="DZ333" s="139"/>
      <c r="EA333" s="139"/>
      <c r="EB333" s="139"/>
      <c r="EC333" s="139"/>
      <c r="ED333" s="139"/>
      <c r="EE333" s="139"/>
      <c r="EF333" s="139"/>
      <c r="EG333" s="139"/>
      <c r="EH333" s="139"/>
      <c r="EI333" s="139"/>
      <c r="EJ333" s="139"/>
      <c r="EK333" s="139"/>
      <c r="EL333" s="139"/>
      <c r="EM333" s="139"/>
      <c r="EN333" s="139"/>
      <c r="EO333" s="139"/>
      <c r="EP333" s="139"/>
      <c r="EQ333" s="139"/>
      <c r="ER333" s="139"/>
      <c r="ES333" s="139"/>
      <c r="ET333" s="139"/>
      <c r="EU333" s="139"/>
      <c r="EV333" s="139"/>
      <c r="EW333" s="139"/>
      <c r="EX333" s="139"/>
      <c r="EY333" s="139"/>
      <c r="EZ333" s="139"/>
      <c r="FA333" s="139"/>
      <c r="FB333" s="139"/>
      <c r="FC333" s="139"/>
      <c r="FD333" s="139"/>
      <c r="FE333" s="139"/>
      <c r="FF333" s="139"/>
      <c r="FG333" s="139"/>
      <c r="FH333" s="139"/>
      <c r="FI333" s="139"/>
    </row>
    <row r="334" spans="1:165" s="31" customFormat="1" ht="15.75" customHeight="1">
      <c r="A334" s="1"/>
      <c r="B334" s="1"/>
      <c r="C334" s="1"/>
      <c r="D334" s="1"/>
      <c r="E334" s="1"/>
      <c r="F334" s="1"/>
      <c r="G334" s="1"/>
      <c r="H334" s="1"/>
      <c r="I334" s="1"/>
      <c r="J334" s="1"/>
      <c r="K334" s="1"/>
      <c r="L334" s="1"/>
      <c r="M334" s="1"/>
      <c r="N334" s="1"/>
      <c r="O334" s="1"/>
      <c r="P334"/>
      <c r="Q334" s="130"/>
      <c r="R334" s="1"/>
      <c r="S334" s="1"/>
      <c r="T334" s="1"/>
      <c r="U334" s="1"/>
      <c r="V334" s="1"/>
      <c r="W334" s="1"/>
      <c r="X334" s="1"/>
      <c r="Y334" s="1"/>
      <c r="Z334" s="1"/>
      <c r="AA334" s="1"/>
      <c r="AB334" s="1"/>
      <c r="AC334" s="1"/>
      <c r="AD334" s="1"/>
      <c r="AE334" s="1"/>
      <c r="AF334" s="1"/>
      <c r="AG334" s="1"/>
      <c r="AH334" s="1"/>
      <c r="AI334" s="1"/>
      <c r="AJ334" s="1"/>
      <c r="AK334" s="1"/>
      <c r="AL334" s="1"/>
      <c r="AM334" s="1"/>
      <c r="AN334"/>
      <c r="AO334" s="228"/>
      <c r="AP334" s="189"/>
      <c r="AQ334"/>
      <c r="AR334"/>
      <c r="AS334" s="228"/>
      <c r="AT334" s="139"/>
      <c r="AU334" s="139"/>
      <c r="AV334"/>
      <c r="AW334" s="262"/>
      <c r="AX334"/>
      <c r="AY334"/>
      <c r="AZ334"/>
      <c r="BA334"/>
      <c r="BB334" s="139"/>
      <c r="BC334" s="139"/>
      <c r="BD334" s="139"/>
      <c r="BE334" s="139"/>
      <c r="BF334"/>
      <c r="BG334" s="262"/>
      <c r="BI334" s="139"/>
      <c r="BJ334" s="262"/>
      <c r="BK334"/>
      <c r="BL334" s="139"/>
      <c r="BM334" s="108"/>
      <c r="BN334" s="139"/>
      <c r="BO334" s="139"/>
      <c r="BP334" s="139"/>
      <c r="BQ334"/>
      <c r="BR334" s="262"/>
      <c r="BS334"/>
      <c r="BT334" s="139"/>
      <c r="BU334"/>
      <c r="BX334"/>
      <c r="BY334" s="139"/>
      <c r="BZ334" s="139"/>
      <c r="CA334" s="139"/>
      <c r="CB334" s="139"/>
      <c r="CC334" s="139"/>
      <c r="CD334" s="141"/>
      <c r="CE334" s="139"/>
      <c r="CF334" s="139"/>
      <c r="CG334" s="139"/>
      <c r="CH334" s="139"/>
      <c r="CI334" s="139"/>
      <c r="CJ334" s="139"/>
      <c r="CK334"/>
      <c r="CL334" s="139"/>
      <c r="CM334"/>
      <c r="CN334" s="139"/>
      <c r="CO334"/>
      <c r="CP334"/>
      <c r="CQ334" s="143"/>
      <c r="CR334" s="143"/>
      <c r="CS334"/>
      <c r="CT334" s="262"/>
      <c r="CU334"/>
      <c r="CV334"/>
      <c r="CW334"/>
      <c r="CX334" s="143"/>
      <c r="CY334" s="143"/>
      <c r="CZ334" s="143"/>
      <c r="DA334" s="143"/>
      <c r="DB334"/>
      <c r="DC334"/>
      <c r="DD334" s="143"/>
      <c r="DE334"/>
      <c r="DF334" s="143"/>
      <c r="DG334"/>
      <c r="DH334"/>
      <c r="DI334"/>
      <c r="DJ334"/>
      <c r="DK334"/>
      <c r="DL334" s="139"/>
      <c r="DM334"/>
      <c r="DN334" s="26"/>
      <c r="DO334" s="26"/>
      <c r="DP334"/>
      <c r="DQ334" s="262"/>
      <c r="DR334"/>
      <c r="DS334"/>
      <c r="DT334"/>
      <c r="DU334" s="139"/>
      <c r="DV334" s="139"/>
      <c r="DW334" s="139"/>
      <c r="DX334" s="139"/>
      <c r="DY334" s="139"/>
      <c r="DZ334" s="139"/>
      <c r="EA334" s="139"/>
      <c r="EB334" s="139"/>
      <c r="EC334" s="139"/>
      <c r="ED334" s="139"/>
      <c r="EE334" s="139"/>
      <c r="EF334" s="139"/>
      <c r="EG334" s="139"/>
      <c r="EH334" s="139"/>
      <c r="EI334" s="139"/>
      <c r="EJ334" s="139"/>
      <c r="EK334" s="139"/>
      <c r="EL334" s="139"/>
      <c r="EM334" s="139"/>
      <c r="EN334" s="139"/>
      <c r="EO334" s="139"/>
      <c r="EP334" s="139"/>
      <c r="EQ334" s="139"/>
      <c r="ER334" s="139"/>
      <c r="ES334" s="139"/>
      <c r="ET334" s="139"/>
      <c r="EU334" s="139"/>
      <c r="EV334" s="139"/>
      <c r="EW334" s="139"/>
      <c r="EX334" s="139"/>
      <c r="EY334" s="139"/>
      <c r="EZ334" s="139"/>
      <c r="FA334" s="139"/>
      <c r="FB334" s="139"/>
      <c r="FC334" s="139"/>
      <c r="FD334" s="139"/>
      <c r="FE334" s="139"/>
      <c r="FF334" s="139"/>
      <c r="FG334" s="139"/>
      <c r="FH334" s="139"/>
      <c r="FI334" s="139"/>
    </row>
    <row r="335" spans="1:165" ht="15.75" customHeight="1">
      <c r="BB335" s="139"/>
      <c r="BC335" s="139"/>
      <c r="BD335" s="139"/>
      <c r="BE335" s="139"/>
      <c r="BI335" s="139"/>
      <c r="BL335" s="139"/>
      <c r="BN335" s="139"/>
      <c r="BO335" s="139"/>
      <c r="BP335" s="139"/>
      <c r="BT335" s="139"/>
      <c r="BY335" s="139"/>
      <c r="BZ335" s="139"/>
      <c r="CA335" s="139"/>
      <c r="CB335" s="139"/>
      <c r="CC335" s="139"/>
      <c r="CE335" s="139"/>
      <c r="CF335" s="139"/>
      <c r="CG335" s="139"/>
      <c r="CH335" s="139"/>
      <c r="CI335" s="139"/>
      <c r="CJ335" s="139"/>
      <c r="CL335" s="139"/>
      <c r="CN335" s="139"/>
      <c r="DU335" s="139"/>
      <c r="DV335" s="139"/>
      <c r="DW335" s="139"/>
      <c r="DX335" s="139"/>
      <c r="DY335" s="139"/>
      <c r="DZ335" s="139"/>
      <c r="EA335" s="139"/>
      <c r="EB335" s="139"/>
      <c r="EC335" s="139"/>
      <c r="ED335" s="139"/>
      <c r="EE335" s="139"/>
      <c r="EF335" s="139"/>
      <c r="EG335" s="139"/>
      <c r="EH335" s="139"/>
      <c r="EI335" s="139"/>
      <c r="EJ335" s="139"/>
      <c r="EK335" s="139"/>
      <c r="EL335" s="139"/>
      <c r="EM335" s="139"/>
      <c r="EN335" s="139"/>
      <c r="EO335" s="139"/>
      <c r="EP335" s="139"/>
      <c r="EQ335" s="139"/>
      <c r="ER335" s="139"/>
      <c r="ES335" s="139"/>
      <c r="ET335" s="139"/>
      <c r="EU335" s="139"/>
      <c r="EV335" s="139"/>
      <c r="EW335" s="139"/>
      <c r="EX335" s="139"/>
      <c r="EY335" s="139"/>
      <c r="EZ335" s="139"/>
      <c r="FA335" s="139"/>
      <c r="FB335" s="139"/>
      <c r="FC335" s="139"/>
      <c r="FD335" s="139"/>
      <c r="FE335" s="139"/>
      <c r="FF335" s="139"/>
      <c r="FG335" s="139"/>
      <c r="FH335" s="139"/>
      <c r="FI335" s="139"/>
    </row>
    <row r="336" spans="1:165" ht="15.75" customHeight="1">
      <c r="BB336" s="139"/>
      <c r="BC336" s="139"/>
      <c r="BD336" s="139"/>
      <c r="BE336" s="139"/>
      <c r="BI336" s="139"/>
      <c r="BL336" s="139"/>
      <c r="BN336" s="139"/>
      <c r="BO336" s="139"/>
      <c r="BP336" s="139"/>
      <c r="BT336" s="139"/>
      <c r="BY336" s="139"/>
      <c r="BZ336" s="139"/>
      <c r="CA336" s="139"/>
      <c r="CB336" s="139"/>
      <c r="CC336" s="139"/>
      <c r="CE336" s="139"/>
      <c r="CF336" s="139"/>
      <c r="CG336" s="139"/>
      <c r="CH336" s="139"/>
      <c r="CI336" s="139"/>
      <c r="CJ336" s="139"/>
      <c r="CL336" s="139"/>
      <c r="CN336" s="139"/>
      <c r="DU336" s="139"/>
      <c r="DV336" s="139"/>
      <c r="DW336" s="139"/>
      <c r="DX336" s="139"/>
      <c r="DY336" s="139"/>
      <c r="DZ336" s="139"/>
      <c r="EA336" s="139"/>
      <c r="EB336" s="139"/>
      <c r="EC336" s="139"/>
      <c r="ED336" s="139"/>
      <c r="EE336" s="139"/>
      <c r="EF336" s="139"/>
      <c r="EG336" s="139"/>
      <c r="EH336" s="139"/>
      <c r="EI336" s="139"/>
      <c r="EJ336" s="139"/>
      <c r="EK336" s="139"/>
      <c r="EL336" s="139"/>
      <c r="EM336" s="139"/>
      <c r="EN336" s="139"/>
      <c r="EO336" s="139"/>
      <c r="EP336" s="139"/>
      <c r="EQ336" s="139"/>
      <c r="ER336" s="139"/>
      <c r="ES336" s="139"/>
      <c r="ET336" s="139"/>
      <c r="EU336" s="139"/>
      <c r="EV336" s="139"/>
      <c r="EW336" s="139"/>
      <c r="EX336" s="139"/>
      <c r="EY336" s="139"/>
      <c r="EZ336" s="139"/>
      <c r="FA336" s="139"/>
      <c r="FB336" s="139"/>
      <c r="FC336" s="139"/>
      <c r="FD336" s="139"/>
      <c r="FE336" s="139"/>
      <c r="FF336" s="139"/>
      <c r="FG336" s="139"/>
      <c r="FH336" s="139"/>
      <c r="FI336" s="139"/>
    </row>
    <row r="337" spans="54:165" ht="15.75" customHeight="1">
      <c r="BB337" s="139"/>
      <c r="BC337" s="139"/>
      <c r="BD337" s="139"/>
      <c r="BE337" s="139"/>
      <c r="BI337" s="139"/>
      <c r="BL337" s="139"/>
      <c r="BN337" s="139"/>
      <c r="BO337" s="139"/>
      <c r="BP337" s="139"/>
      <c r="BT337" s="139"/>
      <c r="BY337" s="139"/>
      <c r="BZ337" s="139"/>
      <c r="CA337" s="139"/>
      <c r="CB337" s="139"/>
      <c r="CC337" s="139"/>
      <c r="CE337" s="139"/>
      <c r="CF337" s="139"/>
      <c r="CG337" s="139"/>
      <c r="CH337" s="139"/>
      <c r="CI337" s="139"/>
      <c r="CJ337" s="139"/>
      <c r="CL337" s="139"/>
      <c r="CN337" s="139"/>
      <c r="DU337" s="139"/>
      <c r="DV337" s="139"/>
      <c r="DW337" s="139"/>
      <c r="DX337" s="139"/>
      <c r="DY337" s="139"/>
      <c r="DZ337" s="139"/>
      <c r="EA337" s="139"/>
      <c r="EB337" s="139"/>
      <c r="EC337" s="139"/>
      <c r="ED337" s="139"/>
      <c r="EE337" s="139"/>
      <c r="EF337" s="139"/>
      <c r="EG337" s="139"/>
      <c r="EH337" s="139"/>
      <c r="EI337" s="139"/>
      <c r="EJ337" s="139"/>
      <c r="EK337" s="139"/>
      <c r="EL337" s="139"/>
      <c r="EM337" s="139"/>
      <c r="EN337" s="139"/>
      <c r="EO337" s="139"/>
      <c r="EP337" s="139"/>
      <c r="EQ337" s="139"/>
      <c r="ER337" s="139"/>
      <c r="ES337" s="139"/>
      <c r="ET337" s="139"/>
      <c r="EU337" s="139"/>
      <c r="EV337" s="139"/>
      <c r="EW337" s="139"/>
      <c r="EX337" s="139"/>
      <c r="EY337" s="139"/>
      <c r="EZ337" s="139"/>
      <c r="FA337" s="139"/>
      <c r="FB337" s="139"/>
      <c r="FC337" s="139"/>
      <c r="FD337" s="139"/>
      <c r="FE337" s="139"/>
      <c r="FF337" s="139"/>
      <c r="FG337" s="139"/>
      <c r="FH337" s="139"/>
      <c r="FI337" s="139"/>
    </row>
    <row r="338" spans="54:165" ht="15.75" customHeight="1">
      <c r="BB338" s="139"/>
      <c r="BC338" s="139"/>
      <c r="BD338" s="139"/>
      <c r="BE338" s="139"/>
      <c r="BI338" s="139"/>
      <c r="BL338" s="139"/>
      <c r="BN338" s="139"/>
      <c r="BO338" s="139"/>
      <c r="BP338" s="139"/>
      <c r="BT338" s="139"/>
      <c r="BY338" s="139"/>
      <c r="BZ338" s="139"/>
      <c r="CA338" s="139"/>
      <c r="CB338" s="139"/>
      <c r="CC338" s="139"/>
      <c r="CE338" s="139"/>
      <c r="CF338" s="139"/>
      <c r="CG338" s="139"/>
      <c r="CH338" s="139"/>
      <c r="CI338" s="139"/>
      <c r="CJ338" s="139"/>
      <c r="CL338" s="139"/>
      <c r="CN338" s="139"/>
      <c r="DU338" s="139"/>
      <c r="DV338" s="139"/>
      <c r="DW338" s="139"/>
      <c r="DX338" s="139"/>
      <c r="DY338" s="139"/>
      <c r="DZ338" s="139"/>
      <c r="EA338" s="139"/>
      <c r="EB338" s="139"/>
      <c r="EC338" s="139"/>
      <c r="ED338" s="139"/>
      <c r="EE338" s="139"/>
      <c r="EF338" s="139"/>
      <c r="EG338" s="139"/>
      <c r="EH338" s="139"/>
      <c r="EI338" s="139"/>
      <c r="EJ338" s="139"/>
      <c r="EK338" s="139"/>
      <c r="EL338" s="139"/>
      <c r="EM338" s="139"/>
      <c r="EN338" s="139"/>
      <c r="EO338" s="139"/>
      <c r="EP338" s="139"/>
      <c r="EQ338" s="139"/>
      <c r="ER338" s="139"/>
      <c r="ES338" s="139"/>
      <c r="ET338" s="139"/>
      <c r="EU338" s="139"/>
      <c r="EV338" s="139"/>
      <c r="EW338" s="139"/>
      <c r="EX338" s="139"/>
      <c r="EY338" s="139"/>
      <c r="EZ338" s="139"/>
      <c r="FA338" s="139"/>
      <c r="FB338" s="139"/>
      <c r="FC338" s="139"/>
      <c r="FD338" s="139"/>
      <c r="FE338" s="139"/>
      <c r="FF338" s="139"/>
      <c r="FG338" s="139"/>
      <c r="FH338" s="139"/>
      <c r="FI338" s="139"/>
    </row>
    <row r="339" spans="54:165" ht="15.75" customHeight="1">
      <c r="BB339" s="139"/>
      <c r="BC339" s="139"/>
      <c r="BD339" s="139"/>
      <c r="BE339" s="139"/>
      <c r="BI339" s="139"/>
      <c r="BL339" s="139"/>
      <c r="BN339" s="139"/>
      <c r="BO339" s="139"/>
      <c r="BP339" s="139"/>
      <c r="BT339" s="139"/>
      <c r="BY339" s="139"/>
      <c r="BZ339" s="139"/>
      <c r="CA339" s="139"/>
      <c r="CB339" s="139"/>
      <c r="CC339" s="139"/>
      <c r="CE339" s="139"/>
      <c r="CF339" s="139"/>
      <c r="CG339" s="139"/>
      <c r="CH339" s="139"/>
      <c r="CI339" s="139"/>
      <c r="CJ339" s="139"/>
      <c r="CL339" s="139"/>
      <c r="CN339" s="139"/>
      <c r="DU339" s="139"/>
      <c r="DV339" s="139"/>
      <c r="DW339" s="139"/>
      <c r="DX339" s="139"/>
      <c r="DY339" s="139"/>
      <c r="DZ339" s="139"/>
      <c r="EA339" s="139"/>
      <c r="EB339" s="139"/>
      <c r="EC339" s="139"/>
      <c r="ED339" s="139"/>
      <c r="EE339" s="139"/>
      <c r="EF339" s="139"/>
      <c r="EG339" s="139"/>
      <c r="EH339" s="139"/>
      <c r="EI339" s="139"/>
      <c r="EJ339" s="139"/>
      <c r="EK339" s="139"/>
      <c r="EL339" s="139"/>
      <c r="EM339" s="139"/>
      <c r="EN339" s="139"/>
      <c r="EO339" s="139"/>
      <c r="EP339" s="139"/>
      <c r="EQ339" s="139"/>
      <c r="ER339" s="139"/>
      <c r="ES339" s="139"/>
      <c r="ET339" s="139"/>
      <c r="EU339" s="139"/>
      <c r="EV339" s="139"/>
      <c r="EW339" s="139"/>
      <c r="EX339" s="139"/>
      <c r="EY339" s="139"/>
      <c r="EZ339" s="139"/>
      <c r="FA339" s="139"/>
      <c r="FB339" s="139"/>
      <c r="FC339" s="139"/>
      <c r="FD339" s="139"/>
      <c r="FE339" s="139"/>
      <c r="FF339" s="139"/>
      <c r="FG339" s="139"/>
      <c r="FH339" s="139"/>
      <c r="FI339" s="139"/>
    </row>
    <row r="340" spans="54:165" ht="15.75" customHeight="1">
      <c r="BB340" s="139"/>
      <c r="BC340" s="139"/>
      <c r="BD340" s="139"/>
      <c r="BE340" s="139"/>
      <c r="BI340" s="139"/>
      <c r="BL340" s="139"/>
      <c r="BN340" s="139"/>
      <c r="BO340" s="139"/>
      <c r="BP340" s="139"/>
      <c r="BT340" s="139"/>
      <c r="BY340" s="139"/>
      <c r="BZ340" s="139"/>
      <c r="CA340" s="139"/>
      <c r="CB340" s="139"/>
      <c r="CC340" s="139"/>
      <c r="CE340" s="139"/>
      <c r="CF340" s="139"/>
      <c r="CG340" s="139"/>
      <c r="CH340" s="139"/>
      <c r="CI340" s="139"/>
      <c r="CJ340" s="139"/>
      <c r="CL340" s="139"/>
      <c r="CN340" s="139"/>
      <c r="DU340" s="139"/>
      <c r="DV340" s="139"/>
      <c r="DW340" s="139"/>
      <c r="DX340" s="139"/>
      <c r="DY340" s="139"/>
      <c r="DZ340" s="139"/>
      <c r="EA340" s="139"/>
      <c r="EB340" s="139"/>
      <c r="EC340" s="139"/>
      <c r="ED340" s="139"/>
      <c r="EE340" s="139"/>
      <c r="EF340" s="139"/>
      <c r="EG340" s="139"/>
      <c r="EH340" s="139"/>
      <c r="EI340" s="139"/>
      <c r="EJ340" s="139"/>
      <c r="EK340" s="139"/>
      <c r="EL340" s="139"/>
      <c r="EM340" s="139"/>
      <c r="EN340" s="139"/>
      <c r="EO340" s="139"/>
      <c r="EP340" s="139"/>
      <c r="EQ340" s="139"/>
      <c r="ER340" s="139"/>
      <c r="ES340" s="139"/>
      <c r="ET340" s="139"/>
      <c r="EU340" s="139"/>
      <c r="EV340" s="139"/>
      <c r="EW340" s="139"/>
      <c r="EX340" s="139"/>
      <c r="EY340" s="139"/>
      <c r="EZ340" s="139"/>
      <c r="FA340" s="139"/>
      <c r="FB340" s="139"/>
      <c r="FC340" s="139"/>
      <c r="FD340" s="139"/>
      <c r="FE340" s="139"/>
      <c r="FF340" s="139"/>
      <c r="FG340" s="139"/>
      <c r="FH340" s="139"/>
      <c r="FI340" s="139"/>
    </row>
    <row r="341" spans="54:165" ht="15.75" customHeight="1">
      <c r="BB341" s="139"/>
      <c r="BC341" s="139"/>
      <c r="BD341" s="139"/>
      <c r="BE341" s="139"/>
      <c r="BI341" s="139"/>
      <c r="BL341" s="139"/>
      <c r="BN341" s="139"/>
      <c r="BO341" s="139"/>
      <c r="BP341" s="139"/>
      <c r="BT341" s="139"/>
      <c r="BY341" s="139"/>
      <c r="BZ341" s="139"/>
      <c r="CA341" s="139"/>
      <c r="CB341" s="139"/>
      <c r="CC341" s="139"/>
      <c r="CE341" s="139"/>
      <c r="CF341" s="139"/>
      <c r="CG341" s="139"/>
      <c r="CH341" s="139"/>
      <c r="CI341" s="139"/>
      <c r="CJ341" s="139"/>
      <c r="CL341" s="139"/>
      <c r="CN341" s="139"/>
      <c r="DU341" s="139"/>
      <c r="DV341" s="139"/>
      <c r="DW341" s="139"/>
      <c r="DX341" s="139"/>
      <c r="DY341" s="139"/>
      <c r="DZ341" s="139"/>
      <c r="EA341" s="139"/>
      <c r="EB341" s="139"/>
      <c r="EC341" s="139"/>
      <c r="ED341" s="139"/>
      <c r="EE341" s="139"/>
      <c r="EF341" s="139"/>
      <c r="EG341" s="139"/>
      <c r="EH341" s="139"/>
      <c r="EI341" s="139"/>
      <c r="EJ341" s="139"/>
      <c r="EK341" s="139"/>
      <c r="EL341" s="139"/>
      <c r="EM341" s="139"/>
      <c r="EN341" s="139"/>
      <c r="EO341" s="139"/>
      <c r="EP341" s="139"/>
      <c r="EQ341" s="139"/>
      <c r="ER341" s="139"/>
      <c r="ES341" s="139"/>
      <c r="ET341" s="139"/>
      <c r="EU341" s="139"/>
      <c r="EV341" s="139"/>
      <c r="EW341" s="139"/>
      <c r="EX341" s="139"/>
      <c r="EY341" s="139"/>
      <c r="EZ341" s="139"/>
      <c r="FA341" s="139"/>
      <c r="FB341" s="139"/>
      <c r="FC341" s="139"/>
      <c r="FD341" s="139"/>
      <c r="FE341" s="139"/>
      <c r="FF341" s="139"/>
      <c r="FG341" s="139"/>
      <c r="FH341" s="139"/>
      <c r="FI341" s="139"/>
    </row>
    <row r="342" spans="54:165" ht="15.75" customHeight="1">
      <c r="BB342" s="139"/>
      <c r="BC342" s="139"/>
      <c r="BD342" s="139"/>
      <c r="BE342" s="139"/>
      <c r="BI342" s="139"/>
      <c r="BL342" s="139"/>
      <c r="BN342" s="139"/>
      <c r="BO342" s="139"/>
      <c r="BP342" s="139"/>
      <c r="BT342" s="139"/>
      <c r="BY342" s="139"/>
      <c r="BZ342" s="139"/>
      <c r="CA342" s="139"/>
      <c r="CB342" s="139"/>
      <c r="CC342" s="139"/>
      <c r="CE342" s="139"/>
      <c r="CF342" s="139"/>
      <c r="CG342" s="139"/>
      <c r="CH342" s="139"/>
      <c r="CI342" s="139"/>
      <c r="CJ342" s="139"/>
      <c r="CL342" s="139"/>
      <c r="CN342" s="139"/>
      <c r="DU342" s="139"/>
      <c r="DV342" s="139"/>
      <c r="DW342" s="139"/>
      <c r="DX342" s="139"/>
      <c r="DY342" s="139"/>
      <c r="DZ342" s="139"/>
      <c r="EA342" s="139"/>
      <c r="EB342" s="139"/>
      <c r="EC342" s="139"/>
      <c r="ED342" s="139"/>
      <c r="EE342" s="139"/>
      <c r="EF342" s="139"/>
      <c r="EG342" s="139"/>
      <c r="EH342" s="139"/>
      <c r="EI342" s="139"/>
      <c r="EJ342" s="139"/>
      <c r="EK342" s="139"/>
      <c r="EL342" s="139"/>
      <c r="EM342" s="139"/>
      <c r="EN342" s="139"/>
      <c r="EO342" s="139"/>
      <c r="EP342" s="139"/>
      <c r="EQ342" s="139"/>
      <c r="ER342" s="139"/>
      <c r="ES342" s="139"/>
      <c r="ET342" s="139"/>
      <c r="EU342" s="139"/>
      <c r="EV342" s="139"/>
      <c r="EW342" s="139"/>
      <c r="EX342" s="139"/>
      <c r="EY342" s="139"/>
      <c r="EZ342" s="139"/>
      <c r="FA342" s="139"/>
      <c r="FB342" s="139"/>
      <c r="FC342" s="139"/>
      <c r="FD342" s="139"/>
      <c r="FE342" s="139"/>
      <c r="FF342" s="139"/>
      <c r="FG342" s="139"/>
      <c r="FH342" s="139"/>
      <c r="FI342" s="139"/>
    </row>
    <row r="343" spans="54:165" ht="15.75" customHeight="1">
      <c r="BB343" s="139"/>
      <c r="BC343" s="139"/>
      <c r="BD343" s="139"/>
      <c r="BE343" s="139"/>
      <c r="BI343" s="139"/>
      <c r="BL343" s="139"/>
      <c r="BN343" s="139"/>
      <c r="BO343" s="139"/>
      <c r="BP343" s="139"/>
      <c r="BT343" s="139"/>
      <c r="BY343" s="139"/>
      <c r="BZ343" s="139"/>
      <c r="CA343" s="139"/>
      <c r="CB343" s="139"/>
      <c r="CC343" s="139"/>
      <c r="CE343" s="139"/>
      <c r="CF343" s="139"/>
      <c r="CG343" s="139"/>
      <c r="CH343" s="139"/>
      <c r="CI343" s="139"/>
      <c r="CJ343" s="139"/>
      <c r="CL343" s="139"/>
      <c r="CN343" s="139"/>
      <c r="DU343" s="139"/>
      <c r="DV343" s="139"/>
      <c r="DW343" s="139"/>
      <c r="DX343" s="139"/>
      <c r="DY343" s="139"/>
      <c r="DZ343" s="139"/>
      <c r="EA343" s="139"/>
      <c r="EB343" s="139"/>
      <c r="EC343" s="139"/>
      <c r="ED343" s="139"/>
      <c r="EE343" s="139"/>
      <c r="EF343" s="139"/>
      <c r="EG343" s="139"/>
      <c r="EH343" s="139"/>
      <c r="EI343" s="139"/>
      <c r="EJ343" s="139"/>
      <c r="EK343" s="139"/>
      <c r="EL343" s="139"/>
      <c r="EM343" s="139"/>
      <c r="EN343" s="139"/>
      <c r="EO343" s="139"/>
      <c r="EP343" s="139"/>
      <c r="EQ343" s="139"/>
      <c r="ER343" s="139"/>
      <c r="ES343" s="139"/>
      <c r="ET343" s="139"/>
      <c r="EU343" s="139"/>
      <c r="EV343" s="139"/>
      <c r="EW343" s="139"/>
      <c r="EX343" s="139"/>
      <c r="EY343" s="139"/>
      <c r="EZ343" s="139"/>
      <c r="FA343" s="139"/>
      <c r="FB343" s="139"/>
      <c r="FC343" s="139"/>
      <c r="FD343" s="139"/>
      <c r="FE343" s="139"/>
      <c r="FF343" s="139"/>
      <c r="FG343" s="139"/>
      <c r="FH343" s="139"/>
      <c r="FI343" s="139"/>
    </row>
    <row r="344" spans="54:165" ht="15.75" customHeight="1">
      <c r="BB344" s="139"/>
      <c r="BC344" s="139"/>
      <c r="BD344" s="139"/>
      <c r="BE344" s="139"/>
      <c r="BI344" s="139"/>
      <c r="BL344" s="139"/>
      <c r="BN344" s="139"/>
      <c r="BO344" s="139"/>
      <c r="BP344" s="139"/>
      <c r="BT344" s="139"/>
      <c r="BY344" s="139"/>
      <c r="BZ344" s="139"/>
      <c r="CA344" s="139"/>
      <c r="CB344" s="139"/>
      <c r="CC344" s="139"/>
      <c r="CE344" s="139"/>
      <c r="CF344" s="139"/>
      <c r="CG344" s="139"/>
      <c r="CH344" s="139"/>
      <c r="CI344" s="139"/>
      <c r="CJ344" s="139"/>
      <c r="CL344" s="139"/>
      <c r="CN344" s="139"/>
      <c r="DU344" s="139"/>
      <c r="DV344" s="139"/>
      <c r="DW344" s="139"/>
      <c r="DX344" s="139"/>
      <c r="DY344" s="139"/>
      <c r="DZ344" s="139"/>
      <c r="EA344" s="139"/>
      <c r="EB344" s="139"/>
      <c r="EC344" s="139"/>
      <c r="ED344" s="139"/>
      <c r="EE344" s="139"/>
      <c r="EF344" s="139"/>
      <c r="EG344" s="139"/>
      <c r="EH344" s="139"/>
      <c r="EI344" s="139"/>
      <c r="EJ344" s="139"/>
      <c r="EK344" s="139"/>
      <c r="EL344" s="139"/>
      <c r="EM344" s="139"/>
      <c r="EN344" s="139"/>
      <c r="EO344" s="139"/>
      <c r="EP344" s="139"/>
      <c r="EQ344" s="139"/>
      <c r="ER344" s="139"/>
      <c r="ES344" s="139"/>
      <c r="ET344" s="139"/>
      <c r="EU344" s="139"/>
      <c r="EV344" s="139"/>
      <c r="EW344" s="139"/>
      <c r="EX344" s="139"/>
      <c r="EY344" s="139"/>
      <c r="EZ344" s="139"/>
      <c r="FA344" s="139"/>
      <c r="FB344" s="139"/>
      <c r="FC344" s="139"/>
      <c r="FD344" s="139"/>
      <c r="FE344" s="139"/>
      <c r="FF344" s="139"/>
      <c r="FG344" s="139"/>
      <c r="FH344" s="139"/>
      <c r="FI344" s="139"/>
    </row>
    <row r="345" spans="54:165" ht="15.75" customHeight="1">
      <c r="BB345" s="139"/>
      <c r="BC345" s="139"/>
      <c r="BD345" s="139"/>
      <c r="BE345" s="139"/>
      <c r="BI345" s="139"/>
      <c r="BL345" s="139"/>
      <c r="BN345" s="139"/>
      <c r="BO345" s="139"/>
      <c r="BP345" s="139"/>
      <c r="BT345" s="139"/>
      <c r="BY345" s="139"/>
      <c r="BZ345" s="139"/>
      <c r="CA345" s="139"/>
      <c r="CB345" s="139"/>
      <c r="CC345" s="139"/>
      <c r="CE345" s="139"/>
      <c r="CF345" s="139"/>
      <c r="CG345" s="139"/>
      <c r="CH345" s="139"/>
      <c r="CI345" s="139"/>
      <c r="CJ345" s="139"/>
      <c r="CL345" s="139"/>
      <c r="CN345" s="139"/>
      <c r="DU345" s="139"/>
      <c r="DV345" s="139"/>
      <c r="DW345" s="139"/>
      <c r="DX345" s="139"/>
      <c r="DY345" s="139"/>
      <c r="DZ345" s="139"/>
      <c r="EA345" s="139"/>
      <c r="EB345" s="139"/>
      <c r="EC345" s="139"/>
      <c r="ED345" s="139"/>
      <c r="EE345" s="139"/>
      <c r="EF345" s="139"/>
      <c r="EG345" s="139"/>
      <c r="EH345" s="139"/>
      <c r="EI345" s="139"/>
      <c r="EJ345" s="139"/>
      <c r="EK345" s="139"/>
      <c r="EL345" s="139"/>
      <c r="EM345" s="139"/>
      <c r="EN345" s="139"/>
      <c r="EO345" s="139"/>
      <c r="EP345" s="139"/>
      <c r="EQ345" s="139"/>
      <c r="ER345" s="139"/>
      <c r="ES345" s="139"/>
      <c r="ET345" s="139"/>
      <c r="EU345" s="139"/>
      <c r="EV345" s="139"/>
      <c r="EW345" s="139"/>
      <c r="EX345" s="139"/>
      <c r="EY345" s="139"/>
      <c r="EZ345" s="139"/>
      <c r="FA345" s="139"/>
      <c r="FB345" s="139"/>
      <c r="FC345" s="139"/>
      <c r="FD345" s="139"/>
      <c r="FE345" s="139"/>
      <c r="FF345" s="139"/>
      <c r="FG345" s="139"/>
      <c r="FH345" s="139"/>
      <c r="FI345" s="139"/>
    </row>
    <row r="346" spans="54:165" ht="15.75" customHeight="1">
      <c r="BB346" s="139"/>
      <c r="BC346" s="139"/>
      <c r="BD346" s="139"/>
      <c r="BE346" s="139"/>
      <c r="BI346" s="139"/>
      <c r="BL346" s="139"/>
      <c r="BN346" s="139"/>
      <c r="BO346" s="139"/>
      <c r="BP346" s="139"/>
      <c r="BT346" s="139"/>
      <c r="BY346" s="139"/>
      <c r="BZ346" s="139"/>
      <c r="CA346" s="139"/>
      <c r="CB346" s="139"/>
      <c r="CC346" s="139"/>
      <c r="CE346" s="139"/>
      <c r="CF346" s="139"/>
      <c r="CG346" s="139"/>
      <c r="CH346" s="139"/>
      <c r="CI346" s="139"/>
      <c r="CJ346" s="139"/>
      <c r="CL346" s="139"/>
      <c r="CN346" s="139"/>
      <c r="DU346" s="139"/>
      <c r="DV346" s="139"/>
      <c r="DW346" s="139"/>
      <c r="DX346" s="139"/>
      <c r="DY346" s="139"/>
      <c r="DZ346" s="139"/>
      <c r="EA346" s="139"/>
      <c r="EB346" s="139"/>
      <c r="EC346" s="139"/>
      <c r="ED346" s="139"/>
      <c r="EE346" s="139"/>
      <c r="EF346" s="139"/>
      <c r="EG346" s="139"/>
      <c r="EH346" s="139"/>
      <c r="EI346" s="139"/>
      <c r="EJ346" s="139"/>
      <c r="EK346" s="139"/>
      <c r="EL346" s="139"/>
      <c r="EM346" s="139"/>
      <c r="EN346" s="139"/>
      <c r="EO346" s="139"/>
      <c r="EP346" s="139"/>
      <c r="EQ346" s="139"/>
      <c r="ER346" s="139"/>
      <c r="ES346" s="139"/>
      <c r="ET346" s="139"/>
      <c r="EU346" s="139"/>
      <c r="EV346" s="139"/>
      <c r="EW346" s="139"/>
      <c r="EX346" s="139"/>
      <c r="EY346" s="139"/>
      <c r="EZ346" s="139"/>
      <c r="FA346" s="139"/>
      <c r="FB346" s="139"/>
      <c r="FC346" s="139"/>
      <c r="FD346" s="139"/>
      <c r="FE346" s="139"/>
      <c r="FF346" s="139"/>
      <c r="FG346" s="139"/>
      <c r="FH346" s="139"/>
      <c r="FI346" s="139"/>
    </row>
    <row r="347" spans="54:165" ht="15.75" customHeight="1">
      <c r="BB347" s="139"/>
      <c r="BC347" s="139"/>
      <c r="BD347" s="139"/>
      <c r="BE347" s="139"/>
      <c r="BI347" s="139"/>
      <c r="BL347" s="139"/>
      <c r="BN347" s="139"/>
      <c r="BO347" s="139"/>
      <c r="BP347" s="139"/>
      <c r="BT347" s="139"/>
      <c r="BY347" s="139"/>
      <c r="BZ347" s="139"/>
      <c r="CA347" s="139"/>
      <c r="CB347" s="139"/>
      <c r="CC347" s="139"/>
      <c r="CE347" s="139"/>
      <c r="CF347" s="139"/>
      <c r="CG347" s="139"/>
      <c r="CH347" s="139"/>
      <c r="CI347" s="139"/>
      <c r="CJ347" s="139"/>
      <c r="CL347" s="139"/>
      <c r="CN347" s="139"/>
      <c r="DU347" s="139"/>
      <c r="DV347" s="139"/>
      <c r="DW347" s="139"/>
      <c r="DX347" s="139"/>
      <c r="DY347" s="139"/>
      <c r="DZ347" s="139"/>
      <c r="EA347" s="139"/>
      <c r="EB347" s="139"/>
      <c r="EC347" s="139"/>
      <c r="ED347" s="139"/>
      <c r="EE347" s="139"/>
      <c r="EF347" s="139"/>
      <c r="EG347" s="139"/>
      <c r="EH347" s="139"/>
      <c r="EI347" s="139"/>
      <c r="EJ347" s="139"/>
      <c r="EK347" s="139"/>
      <c r="EL347" s="139"/>
      <c r="EM347" s="139"/>
      <c r="EN347" s="139"/>
      <c r="EO347" s="139"/>
      <c r="EP347" s="139"/>
      <c r="EQ347" s="139"/>
      <c r="ER347" s="139"/>
      <c r="ES347" s="139"/>
      <c r="ET347" s="139"/>
      <c r="EU347" s="139"/>
      <c r="EV347" s="139"/>
      <c r="EW347" s="139"/>
      <c r="EX347" s="139"/>
      <c r="EY347" s="139"/>
      <c r="EZ347" s="139"/>
      <c r="FA347" s="139"/>
      <c r="FB347" s="139"/>
      <c r="FC347" s="139"/>
      <c r="FD347" s="139"/>
      <c r="FE347" s="139"/>
      <c r="FF347" s="139"/>
      <c r="FG347" s="139"/>
      <c r="FH347" s="139"/>
      <c r="FI347" s="139"/>
    </row>
    <row r="348" spans="54:165" ht="15.75" customHeight="1">
      <c r="BB348" s="139"/>
      <c r="BC348" s="139"/>
      <c r="BD348" s="139"/>
      <c r="BE348" s="139"/>
      <c r="BI348" s="139"/>
      <c r="BL348" s="139"/>
      <c r="BN348" s="139"/>
      <c r="BO348" s="139"/>
      <c r="BP348" s="139"/>
      <c r="BT348" s="139"/>
      <c r="BY348" s="139"/>
      <c r="BZ348" s="139"/>
      <c r="CA348" s="139"/>
      <c r="CB348" s="139"/>
      <c r="CC348" s="139"/>
      <c r="CE348" s="139"/>
      <c r="CF348" s="139"/>
      <c r="CG348" s="139"/>
      <c r="CH348" s="139"/>
      <c r="CI348" s="139"/>
      <c r="CJ348" s="139"/>
      <c r="CL348" s="139"/>
      <c r="CN348" s="139"/>
      <c r="DU348" s="139"/>
      <c r="DV348" s="139"/>
      <c r="DW348" s="139"/>
      <c r="DX348" s="139"/>
      <c r="DY348" s="139"/>
      <c r="DZ348" s="139"/>
      <c r="EA348" s="139"/>
      <c r="EB348" s="139"/>
      <c r="EC348" s="139"/>
      <c r="ED348" s="139"/>
      <c r="EE348" s="139"/>
      <c r="EF348" s="139"/>
      <c r="EG348" s="139"/>
      <c r="EH348" s="139"/>
      <c r="EI348" s="139"/>
      <c r="EJ348" s="139"/>
      <c r="EK348" s="139"/>
      <c r="EL348" s="139"/>
      <c r="EM348" s="139"/>
      <c r="EN348" s="139"/>
      <c r="EO348" s="139"/>
      <c r="EP348" s="139"/>
      <c r="EQ348" s="139"/>
      <c r="ER348" s="139"/>
      <c r="ES348" s="139"/>
      <c r="ET348" s="139"/>
      <c r="EU348" s="139"/>
      <c r="EV348" s="139"/>
      <c r="EW348" s="139"/>
      <c r="EX348" s="139"/>
      <c r="EY348" s="139"/>
      <c r="EZ348" s="139"/>
      <c r="FA348" s="139"/>
      <c r="FB348" s="139"/>
      <c r="FC348" s="139"/>
      <c r="FD348" s="139"/>
      <c r="FE348" s="139"/>
      <c r="FF348" s="139"/>
      <c r="FG348" s="139"/>
      <c r="FH348" s="139"/>
      <c r="FI348" s="139"/>
    </row>
    <row r="349" spans="54:165" ht="15" customHeight="1">
      <c r="BB349" s="139"/>
      <c r="BC349" s="139"/>
      <c r="BD349" s="139"/>
      <c r="BE349" s="139"/>
      <c r="BI349" s="139"/>
      <c r="BL349" s="139"/>
      <c r="BN349" s="139"/>
      <c r="BO349" s="139"/>
      <c r="BP349" s="139"/>
      <c r="BT349" s="139"/>
      <c r="BY349" s="139"/>
      <c r="BZ349" s="139"/>
      <c r="CA349" s="139"/>
      <c r="CB349" s="139"/>
      <c r="CC349" s="139"/>
      <c r="CE349" s="139"/>
      <c r="CF349" s="139"/>
      <c r="CG349" s="139"/>
      <c r="CH349" s="139"/>
      <c r="CI349" s="139"/>
      <c r="CJ349" s="139"/>
      <c r="CL349" s="139"/>
      <c r="CN349" s="139"/>
      <c r="DU349" s="139"/>
      <c r="DV349" s="139"/>
      <c r="DW349" s="139"/>
      <c r="DX349" s="139"/>
      <c r="DY349" s="139"/>
      <c r="DZ349" s="139"/>
      <c r="EA349" s="139"/>
      <c r="EB349" s="139"/>
      <c r="EC349" s="139"/>
      <c r="ED349" s="139"/>
      <c r="EE349" s="139"/>
      <c r="EF349" s="139"/>
      <c r="EG349" s="139"/>
      <c r="EH349" s="139"/>
      <c r="EI349" s="139"/>
      <c r="EJ349" s="139"/>
      <c r="EK349" s="139"/>
      <c r="EL349" s="139"/>
      <c r="EM349" s="139"/>
      <c r="EN349" s="139"/>
      <c r="EO349" s="139"/>
      <c r="EP349" s="139"/>
      <c r="EQ349" s="139"/>
      <c r="ER349" s="139"/>
      <c r="ES349" s="139"/>
      <c r="ET349" s="139"/>
      <c r="EU349" s="139"/>
      <c r="EV349" s="139"/>
      <c r="EW349" s="139"/>
      <c r="EX349" s="139"/>
      <c r="EY349" s="139"/>
      <c r="EZ349" s="139"/>
      <c r="FA349" s="139"/>
      <c r="FB349" s="139"/>
      <c r="FC349" s="139"/>
      <c r="FD349" s="139"/>
      <c r="FE349" s="139"/>
      <c r="FF349" s="139"/>
      <c r="FG349" s="139"/>
      <c r="FH349" s="139"/>
      <c r="FI349" s="139"/>
    </row>
    <row r="350" spans="54:165" ht="15" customHeight="1">
      <c r="BB350" s="139"/>
      <c r="BC350" s="139"/>
      <c r="BD350" s="139"/>
      <c r="BE350" s="139"/>
      <c r="BI350" s="139"/>
      <c r="BL350" s="139"/>
      <c r="BN350" s="139"/>
      <c r="BO350" s="139"/>
      <c r="BP350" s="139"/>
      <c r="BT350" s="139"/>
      <c r="BY350" s="139"/>
      <c r="BZ350" s="139"/>
      <c r="CA350" s="139"/>
      <c r="CB350" s="139"/>
      <c r="CC350" s="139"/>
      <c r="CE350" s="139"/>
      <c r="CF350" s="139"/>
      <c r="CG350" s="139"/>
      <c r="CH350" s="139"/>
      <c r="CI350" s="139"/>
      <c r="CJ350" s="139"/>
      <c r="CL350" s="139"/>
      <c r="CN350" s="139"/>
      <c r="DU350" s="139"/>
      <c r="DV350" s="139"/>
      <c r="DW350" s="139"/>
      <c r="DX350" s="139"/>
      <c r="DY350" s="139"/>
      <c r="EA350" s="139"/>
      <c r="EB350" s="139"/>
      <c r="EC350" s="139"/>
      <c r="ED350" s="139"/>
      <c r="EE350" s="139"/>
      <c r="EF350" s="139"/>
      <c r="EG350" s="139"/>
      <c r="EH350" s="139"/>
      <c r="EI350" s="139"/>
      <c r="EJ350" s="139"/>
      <c r="EK350" s="139"/>
      <c r="EL350" s="139"/>
      <c r="EM350" s="139"/>
      <c r="EN350" s="139"/>
      <c r="EO350" s="139"/>
      <c r="EP350" s="139"/>
      <c r="EQ350" s="139"/>
      <c r="ER350" s="139"/>
      <c r="ES350" s="139"/>
      <c r="ET350" s="139"/>
      <c r="EU350" s="139"/>
      <c r="EV350" s="139"/>
      <c r="EW350" s="139"/>
      <c r="EX350" s="139"/>
      <c r="EY350" s="139"/>
      <c r="EZ350" s="139"/>
      <c r="FA350" s="139"/>
      <c r="FB350" s="139"/>
      <c r="FC350" s="139"/>
      <c r="FD350" s="139"/>
      <c r="FE350" s="139"/>
      <c r="FF350" s="139"/>
      <c r="FG350" s="139"/>
      <c r="FH350" s="139"/>
      <c r="FI350" s="139"/>
    </row>
    <row r="351" spans="54:165" ht="15" customHeight="1">
      <c r="BB351" s="139"/>
      <c r="BC351" s="139"/>
      <c r="BD351" s="139"/>
      <c r="BE351" s="139"/>
      <c r="BI351" s="139"/>
      <c r="BL351" s="139"/>
      <c r="BN351" s="139"/>
      <c r="BO351" s="139"/>
      <c r="BP351" s="139"/>
      <c r="BT351" s="139"/>
      <c r="BY351" s="139"/>
      <c r="BZ351" s="139"/>
      <c r="CA351" s="139"/>
      <c r="CB351" s="139"/>
      <c r="CC351" s="139"/>
      <c r="CE351" s="139"/>
      <c r="CF351" s="139"/>
      <c r="CG351" s="139"/>
      <c r="CH351" s="139"/>
      <c r="CI351" s="139"/>
      <c r="CJ351" s="139"/>
      <c r="CL351" s="139"/>
      <c r="CN351" s="139"/>
      <c r="DU351" s="139"/>
      <c r="DV351" s="139"/>
      <c r="DW351" s="139"/>
      <c r="DX351" s="139"/>
      <c r="DY351" s="139"/>
      <c r="DZ351" s="31"/>
      <c r="EA351" s="139"/>
      <c r="EB351" s="139"/>
      <c r="EC351" s="139"/>
      <c r="ED351" s="139"/>
      <c r="EE351" s="139"/>
      <c r="EF351" s="139"/>
      <c r="EG351" s="139"/>
      <c r="EH351" s="139"/>
      <c r="EI351" s="139"/>
      <c r="EJ351" s="139"/>
      <c r="EK351" s="139"/>
      <c r="EL351" s="139"/>
      <c r="EM351" s="139"/>
      <c r="EN351" s="139"/>
      <c r="EO351" s="139"/>
      <c r="EP351" s="139"/>
      <c r="EQ351" s="139"/>
      <c r="ER351" s="139"/>
      <c r="ES351" s="139"/>
      <c r="ET351" s="139"/>
      <c r="EU351" s="139"/>
      <c r="EV351" s="139"/>
      <c r="EW351" s="139"/>
      <c r="EX351" s="139"/>
      <c r="EY351" s="139"/>
      <c r="EZ351" s="139"/>
      <c r="FA351" s="139"/>
      <c r="FB351" s="139"/>
      <c r="FC351" s="139"/>
      <c r="FD351" s="139"/>
      <c r="FE351" s="139"/>
      <c r="FF351" s="139"/>
      <c r="FG351" s="139"/>
      <c r="FH351" s="139"/>
      <c r="FI351" s="139"/>
    </row>
    <row r="352" spans="54:165" ht="15" customHeight="1">
      <c r="BB352" s="139"/>
      <c r="BC352" s="139"/>
      <c r="BD352" s="139"/>
      <c r="BE352" s="139"/>
      <c r="BI352" s="139"/>
      <c r="BL352" s="139"/>
      <c r="BN352" s="139"/>
      <c r="BO352" s="139"/>
      <c r="BP352" s="139"/>
      <c r="BT352" s="139"/>
      <c r="BY352" s="139"/>
      <c r="BZ352" s="139"/>
      <c r="CA352" s="139"/>
      <c r="CB352" s="139"/>
      <c r="CC352" s="139"/>
      <c r="CE352" s="139"/>
      <c r="CF352" s="139"/>
      <c r="CG352" s="139"/>
      <c r="CH352" s="139"/>
      <c r="CI352" s="139"/>
      <c r="CJ352" s="139"/>
      <c r="CL352" s="139"/>
      <c r="CN352" s="139"/>
      <c r="EA352" s="139"/>
    </row>
    <row r="353" spans="1:165" ht="15" customHeight="1">
      <c r="BB353" s="139"/>
      <c r="BC353" s="139"/>
      <c r="BD353" s="139"/>
      <c r="BE353" s="139"/>
      <c r="BI353" s="139"/>
      <c r="BL353" s="139"/>
      <c r="BN353" s="139"/>
      <c r="BO353" s="139"/>
      <c r="BP353" s="139"/>
      <c r="BT353" s="139"/>
      <c r="BY353" s="139"/>
      <c r="BZ353" s="139"/>
      <c r="CA353" s="139"/>
      <c r="CB353" s="139"/>
      <c r="CC353" s="139"/>
      <c r="CE353" s="139"/>
      <c r="CF353" s="139"/>
      <c r="CG353" s="139"/>
      <c r="CH353" s="139"/>
      <c r="CI353" s="139"/>
      <c r="CJ353" s="139"/>
      <c r="CL353" s="139"/>
      <c r="CN353" s="139"/>
      <c r="DU353" s="31"/>
      <c r="DV353" s="31"/>
      <c r="DW353" s="31"/>
      <c r="DX353" s="31"/>
      <c r="DY353" s="31"/>
      <c r="EB353" s="31"/>
      <c r="EC353" s="31"/>
      <c r="ED353" s="31"/>
      <c r="EE353" s="31"/>
      <c r="EF353" s="31"/>
      <c r="EG353" s="31"/>
      <c r="EH353" s="31"/>
      <c r="EI353" s="31"/>
      <c r="EJ353" s="31"/>
      <c r="EK353" s="31"/>
      <c r="EL353" s="31"/>
      <c r="EM353" s="31"/>
      <c r="EN353" s="31"/>
      <c r="EO353" s="31"/>
      <c r="EP353" s="31"/>
      <c r="EQ353" s="31"/>
      <c r="ER353" s="31"/>
      <c r="ES353" s="31"/>
      <c r="ET353" s="31"/>
      <c r="EU353" s="31"/>
      <c r="EV353" s="31"/>
      <c r="EW353" s="31"/>
      <c r="EX353" s="31"/>
      <c r="EY353" s="31"/>
      <c r="EZ353" s="31"/>
      <c r="FA353" s="31"/>
      <c r="FB353" s="31"/>
      <c r="FC353" s="31"/>
      <c r="FD353" s="31"/>
      <c r="FE353" s="31"/>
      <c r="FF353" s="31"/>
      <c r="FG353" s="31"/>
      <c r="FH353" s="31"/>
      <c r="FI353" s="31"/>
    </row>
    <row r="354" spans="1:165" ht="15" customHeight="1">
      <c r="BB354" s="139"/>
      <c r="BC354" s="139"/>
      <c r="BD354" s="139"/>
      <c r="BE354" s="139"/>
      <c r="BI354" s="139"/>
      <c r="BL354" s="139"/>
      <c r="BN354" s="139"/>
      <c r="BO354" s="139"/>
      <c r="BP354" s="139"/>
      <c r="BT354" s="139"/>
      <c r="BY354" s="139"/>
      <c r="BZ354" s="139"/>
      <c r="CA354" s="139"/>
      <c r="CB354" s="139"/>
      <c r="CC354" s="139"/>
      <c r="CE354" s="139"/>
      <c r="CF354" s="139"/>
      <c r="CG354" s="139"/>
      <c r="CH354" s="139"/>
      <c r="CI354" s="139"/>
      <c r="CJ354" s="139"/>
      <c r="CL354" s="139"/>
      <c r="CN354" s="139"/>
      <c r="DZ354" s="31"/>
      <c r="EA354" s="31"/>
    </row>
    <row r="355" spans="1:165" ht="15" customHeight="1">
      <c r="BB355" s="139"/>
      <c r="BC355" s="139"/>
      <c r="BD355" s="139"/>
      <c r="BE355" s="139"/>
      <c r="BI355" s="139"/>
      <c r="BL355" s="139"/>
      <c r="BN355" s="139"/>
      <c r="BO355" s="139"/>
      <c r="BP355" s="139"/>
      <c r="BT355" s="139"/>
      <c r="BY355" s="139"/>
      <c r="BZ355" s="139"/>
      <c r="CA355" s="139"/>
      <c r="CB355" s="139"/>
      <c r="CC355" s="139"/>
      <c r="CE355" s="139"/>
      <c r="CF355" s="139"/>
      <c r="CG355" s="139"/>
      <c r="CH355" s="139"/>
      <c r="CI355" s="139"/>
      <c r="CJ355" s="139"/>
      <c r="CL355" s="139"/>
      <c r="CN355" s="139"/>
      <c r="DZ355" s="31"/>
    </row>
    <row r="356" spans="1:165" ht="15" customHeight="1">
      <c r="BB356" s="139"/>
      <c r="BC356" s="139"/>
      <c r="BD356" s="139"/>
      <c r="BE356" s="139"/>
      <c r="BI356" s="139"/>
      <c r="BL356" s="139"/>
      <c r="BN356" s="139"/>
      <c r="BO356" s="139"/>
      <c r="BP356" s="139"/>
      <c r="BT356" s="139"/>
      <c r="BY356" s="139"/>
      <c r="BZ356" s="139"/>
      <c r="CA356" s="139"/>
      <c r="CB356" s="139"/>
      <c r="CC356" s="139"/>
      <c r="CE356" s="139"/>
      <c r="CF356" s="139"/>
      <c r="CG356" s="139"/>
      <c r="CH356" s="139"/>
      <c r="CI356" s="139"/>
      <c r="CJ356" s="139"/>
      <c r="CL356" s="139"/>
      <c r="CN356" s="139"/>
      <c r="DU356" s="31"/>
      <c r="DV356" s="31"/>
      <c r="DW356" s="31"/>
      <c r="DX356" s="31"/>
      <c r="DY356" s="31"/>
      <c r="EB356" s="31"/>
      <c r="EC356" s="31"/>
      <c r="ED356" s="31"/>
      <c r="EE356" s="31"/>
      <c r="EF356" s="31"/>
      <c r="EG356" s="31"/>
      <c r="EH356" s="31"/>
      <c r="EI356" s="31"/>
      <c r="EJ356" s="31"/>
      <c r="EK356" s="31"/>
      <c r="EL356" s="31"/>
      <c r="EM356" s="31"/>
      <c r="EN356" s="31"/>
      <c r="EO356" s="31"/>
      <c r="EP356" s="31"/>
      <c r="EQ356" s="31"/>
      <c r="ER356" s="31"/>
      <c r="ES356" s="31"/>
      <c r="ET356" s="31"/>
      <c r="EU356" s="31"/>
      <c r="EV356" s="31"/>
      <c r="EW356" s="31"/>
      <c r="EX356" s="31"/>
      <c r="EY356" s="31"/>
      <c r="EZ356" s="31"/>
      <c r="FA356" s="31"/>
      <c r="FB356" s="31"/>
      <c r="FC356" s="31"/>
      <c r="FD356" s="31"/>
      <c r="FE356" s="31"/>
      <c r="FF356" s="31"/>
      <c r="FG356" s="31"/>
      <c r="FH356" s="31"/>
      <c r="FI356" s="31"/>
    </row>
    <row r="357" spans="1:165" ht="15" customHeight="1">
      <c r="BB357" s="139"/>
      <c r="BC357" s="139"/>
      <c r="BD357" s="139"/>
      <c r="BE357" s="139"/>
      <c r="BI357" s="139"/>
      <c r="BL357" s="139"/>
      <c r="BN357" s="139"/>
      <c r="BO357" s="139"/>
      <c r="BP357" s="139"/>
      <c r="BT357" s="139"/>
      <c r="BY357" s="139"/>
      <c r="BZ357" s="139"/>
      <c r="CA357" s="139"/>
      <c r="CB357" s="139"/>
      <c r="CC357" s="139"/>
      <c r="CE357" s="139"/>
      <c r="CF357" s="139"/>
      <c r="CG357" s="139"/>
      <c r="CH357" s="139"/>
      <c r="CI357" s="139"/>
      <c r="CJ357" s="139"/>
      <c r="CL357" s="139"/>
      <c r="CN357" s="139"/>
      <c r="DU357" s="31"/>
      <c r="DV357" s="31"/>
      <c r="DW357" s="31"/>
      <c r="DX357" s="31"/>
      <c r="DY357" s="31"/>
      <c r="EA357" s="31"/>
      <c r="EB357" s="31"/>
      <c r="EC357" s="31"/>
      <c r="ED357" s="31"/>
      <c r="EE357" s="31"/>
      <c r="EF357" s="31"/>
      <c r="EG357" s="31"/>
      <c r="EH357" s="31"/>
      <c r="EI357" s="31"/>
      <c r="EJ357" s="31"/>
      <c r="EK357" s="31"/>
      <c r="EL357" s="31"/>
      <c r="EM357" s="31"/>
      <c r="EN357" s="31"/>
      <c r="EO357" s="31"/>
      <c r="EP357" s="31"/>
      <c r="EQ357" s="31"/>
      <c r="ER357" s="31"/>
      <c r="ES357" s="31"/>
      <c r="ET357" s="31"/>
      <c r="EU357" s="31"/>
      <c r="EV357" s="31"/>
      <c r="EW357" s="31"/>
      <c r="EX357" s="31"/>
      <c r="EY357" s="31"/>
      <c r="EZ357" s="31"/>
      <c r="FA357" s="31"/>
      <c r="FB357" s="31"/>
      <c r="FC357" s="31"/>
      <c r="FD357" s="31"/>
      <c r="FE357" s="31"/>
      <c r="FF357" s="31"/>
      <c r="FG357" s="31"/>
      <c r="FH357" s="31"/>
      <c r="FI357" s="31"/>
    </row>
    <row r="358" spans="1:165" ht="15" customHeight="1">
      <c r="EA358" s="31"/>
    </row>
    <row r="359" spans="1:165" ht="15" customHeight="1">
      <c r="BB359" s="31"/>
      <c r="BC359" s="31"/>
      <c r="BD359" s="31"/>
      <c r="BE359" s="31"/>
      <c r="BI359" s="31"/>
      <c r="BL359" s="31"/>
      <c r="BN359" s="31"/>
      <c r="BO359" s="31"/>
      <c r="BP359" s="31"/>
      <c r="BT359" s="31"/>
      <c r="BY359" s="31"/>
      <c r="BZ359" s="31"/>
      <c r="CA359" s="31"/>
      <c r="CB359" s="31"/>
      <c r="CC359" s="31"/>
      <c r="CE359" s="31"/>
      <c r="CF359" s="31"/>
      <c r="CG359" s="31"/>
      <c r="CH359" s="31"/>
      <c r="CI359" s="31"/>
      <c r="CJ359" s="31"/>
      <c r="CL359" s="31"/>
      <c r="CN359" s="31"/>
    </row>
    <row r="360" spans="1:165" s="31" customFormat="1" ht="15.75" customHeight="1">
      <c r="A360" s="1"/>
      <c r="B360" s="1"/>
      <c r="C360" s="1"/>
      <c r="D360" s="1"/>
      <c r="E360" s="1"/>
      <c r="F360" s="1"/>
      <c r="G360" s="1"/>
      <c r="H360" s="1"/>
      <c r="I360" s="1"/>
      <c r="J360" s="1"/>
      <c r="K360" s="1"/>
      <c r="L360" s="1"/>
      <c r="M360" s="1"/>
      <c r="N360" s="1"/>
      <c r="O360" s="1"/>
      <c r="P360"/>
      <c r="Q360" s="130"/>
      <c r="R360" s="1"/>
      <c r="S360" s="1"/>
      <c r="T360" s="1"/>
      <c r="U360" s="1"/>
      <c r="V360" s="1"/>
      <c r="W360" s="1"/>
      <c r="X360" s="1"/>
      <c r="Y360" s="1"/>
      <c r="Z360" s="1"/>
      <c r="AA360" s="1"/>
      <c r="AB360" s="1"/>
      <c r="AC360" s="1"/>
      <c r="AD360" s="1"/>
      <c r="AE360" s="1"/>
      <c r="AF360" s="1"/>
      <c r="AG360" s="1"/>
      <c r="AH360" s="1"/>
      <c r="AI360" s="1"/>
      <c r="AJ360" s="1"/>
      <c r="AK360" s="1"/>
      <c r="AL360" s="1"/>
      <c r="AM360" s="1"/>
      <c r="AN360"/>
      <c r="AO360" s="228"/>
      <c r="AP360" s="189"/>
      <c r="AQ360"/>
      <c r="AR360"/>
      <c r="AS360" s="228"/>
      <c r="AT360" s="139"/>
      <c r="AU360" s="139"/>
      <c r="AV360"/>
      <c r="AW360" s="262"/>
      <c r="AX360"/>
      <c r="AY360"/>
      <c r="AZ360"/>
      <c r="BA360"/>
      <c r="BB360"/>
      <c r="BC360"/>
      <c r="BD360"/>
      <c r="BE360"/>
      <c r="BF360"/>
      <c r="BG360" s="262"/>
      <c r="BI360"/>
      <c r="BJ360" s="262"/>
      <c r="BK360"/>
      <c r="BL360"/>
      <c r="BM360" s="108"/>
      <c r="BN360"/>
      <c r="BO360"/>
      <c r="BP360"/>
      <c r="BQ360"/>
      <c r="BR360" s="262"/>
      <c r="BS360"/>
      <c r="BT360"/>
      <c r="BU360"/>
      <c r="BX360"/>
      <c r="BY360"/>
      <c r="BZ360"/>
      <c r="CA360"/>
      <c r="CB360"/>
      <c r="CC360"/>
      <c r="CD360" s="141"/>
      <c r="CE360"/>
      <c r="CF360"/>
      <c r="CG360"/>
      <c r="CH360"/>
      <c r="CI360"/>
      <c r="CJ360"/>
      <c r="CK360"/>
      <c r="CL360"/>
      <c r="CM360"/>
      <c r="CN360"/>
      <c r="CO360"/>
      <c r="CP360"/>
      <c r="CQ360" s="143"/>
      <c r="CR360" s="143"/>
      <c r="CS360"/>
      <c r="CT360" s="262"/>
      <c r="CU360"/>
      <c r="CV360"/>
      <c r="CW360"/>
      <c r="CX360" s="143"/>
      <c r="CY360" s="143"/>
      <c r="CZ360" s="143"/>
      <c r="DA360" s="143"/>
      <c r="DB360"/>
      <c r="DC360"/>
      <c r="DD360" s="143"/>
      <c r="DE360"/>
      <c r="DF360" s="143"/>
      <c r="DG360"/>
      <c r="DH360"/>
      <c r="DI360"/>
      <c r="DJ360"/>
      <c r="DK360"/>
      <c r="DL360" s="139"/>
      <c r="DM360"/>
      <c r="DN360" s="26"/>
      <c r="DO360" s="26"/>
      <c r="DP360"/>
      <c r="DQ360" s="262"/>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row>
    <row r="361" spans="1:165" s="31" customFormat="1" ht="15.75" customHeight="1">
      <c r="A361" s="1"/>
      <c r="B361" s="1"/>
      <c r="C361" s="1"/>
      <c r="D361" s="1"/>
      <c r="E361" s="1"/>
      <c r="F361" s="1"/>
      <c r="G361" s="1"/>
      <c r="H361" s="1"/>
      <c r="I361" s="1"/>
      <c r="J361" s="1"/>
      <c r="K361" s="1"/>
      <c r="L361" s="1"/>
      <c r="M361" s="1"/>
      <c r="N361" s="1"/>
      <c r="O361" s="1"/>
      <c r="P361"/>
      <c r="Q361" s="130"/>
      <c r="R361" s="1"/>
      <c r="S361" s="1"/>
      <c r="T361" s="1"/>
      <c r="U361" s="1"/>
      <c r="V361" s="1"/>
      <c r="W361" s="1"/>
      <c r="X361" s="1"/>
      <c r="Y361" s="1"/>
      <c r="Z361" s="1"/>
      <c r="AA361" s="1"/>
      <c r="AB361" s="1"/>
      <c r="AC361" s="1"/>
      <c r="AD361" s="1"/>
      <c r="AE361" s="1"/>
      <c r="AF361" s="1"/>
      <c r="AG361" s="1"/>
      <c r="AH361" s="1"/>
      <c r="AI361" s="1"/>
      <c r="AJ361" s="1"/>
      <c r="AK361" s="1"/>
      <c r="AL361" s="1"/>
      <c r="AM361" s="1"/>
      <c r="AN361"/>
      <c r="AO361" s="228"/>
      <c r="AP361" s="189"/>
      <c r="AQ361"/>
      <c r="AR361"/>
      <c r="AS361" s="228"/>
      <c r="AT361" s="139"/>
      <c r="AU361" s="139"/>
      <c r="AV361"/>
      <c r="AW361" s="262"/>
      <c r="AX361"/>
      <c r="AY361"/>
      <c r="AZ361"/>
      <c r="BA361"/>
      <c r="BB361"/>
      <c r="BC361"/>
      <c r="BD361"/>
      <c r="BE361"/>
      <c r="BF361"/>
      <c r="BG361" s="262"/>
      <c r="BI361"/>
      <c r="BJ361" s="262"/>
      <c r="BK361"/>
      <c r="BL361"/>
      <c r="BM361" s="108"/>
      <c r="BN361"/>
      <c r="BO361"/>
      <c r="BP361"/>
      <c r="BQ361"/>
      <c r="BR361" s="262"/>
      <c r="BS361"/>
      <c r="BT361"/>
      <c r="BU361"/>
      <c r="BX361"/>
      <c r="BY361"/>
      <c r="BZ361"/>
      <c r="CA361"/>
      <c r="CB361"/>
      <c r="CC361"/>
      <c r="CD361" s="141"/>
      <c r="CE361"/>
      <c r="CF361"/>
      <c r="CG361"/>
      <c r="CH361"/>
      <c r="CI361"/>
      <c r="CJ361"/>
      <c r="CK361"/>
      <c r="CL361"/>
      <c r="CM361"/>
      <c r="CN361"/>
      <c r="CO361"/>
      <c r="CP361"/>
      <c r="CQ361" s="143"/>
      <c r="CR361" s="143"/>
      <c r="CS361"/>
      <c r="CT361" s="262"/>
      <c r="CU361"/>
      <c r="CV361"/>
      <c r="CW361"/>
      <c r="CX361" s="143"/>
      <c r="CY361" s="143"/>
      <c r="CZ361" s="143"/>
      <c r="DA361" s="143"/>
      <c r="DB361"/>
      <c r="DC361"/>
      <c r="DD361" s="143"/>
      <c r="DE361"/>
      <c r="DF361" s="143"/>
      <c r="DG361"/>
      <c r="DH361"/>
      <c r="DI361"/>
      <c r="DJ361"/>
      <c r="DK361"/>
      <c r="DL361" s="139"/>
      <c r="DM361"/>
      <c r="DN361" s="26"/>
      <c r="DO361" s="26"/>
      <c r="DP361"/>
      <c r="DQ361" s="262"/>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row>
    <row r="362" spans="1:165" s="31" customFormat="1" ht="15.75" customHeight="1">
      <c r="A362" s="1"/>
      <c r="B362" s="1"/>
      <c r="C362" s="1"/>
      <c r="D362" s="1"/>
      <c r="E362" s="1"/>
      <c r="F362" s="1"/>
      <c r="G362" s="1"/>
      <c r="H362" s="1"/>
      <c r="I362" s="1"/>
      <c r="J362" s="1"/>
      <c r="K362" s="1"/>
      <c r="L362" s="1"/>
      <c r="M362" s="1"/>
      <c r="N362" s="1"/>
      <c r="O362" s="1"/>
      <c r="P362"/>
      <c r="Q362" s="130"/>
      <c r="R362" s="1"/>
      <c r="S362" s="1"/>
      <c r="T362" s="1"/>
      <c r="U362" s="1"/>
      <c r="V362" s="1"/>
      <c r="W362" s="1"/>
      <c r="X362" s="1"/>
      <c r="Y362" s="1"/>
      <c r="Z362" s="1"/>
      <c r="AA362" s="1"/>
      <c r="AB362" s="1"/>
      <c r="AC362" s="1"/>
      <c r="AD362" s="1"/>
      <c r="AE362" s="1"/>
      <c r="AF362" s="1"/>
      <c r="AG362" s="1"/>
      <c r="AH362" s="1"/>
      <c r="AI362" s="1"/>
      <c r="AJ362" s="1"/>
      <c r="AK362" s="1"/>
      <c r="AL362" s="1"/>
      <c r="AM362" s="1"/>
      <c r="AN362"/>
      <c r="AO362" s="228"/>
      <c r="AP362" s="189"/>
      <c r="AQ362"/>
      <c r="AR362"/>
      <c r="AS362" s="228"/>
      <c r="AT362" s="139"/>
      <c r="AU362" s="139"/>
      <c r="AV362"/>
      <c r="AW362" s="262"/>
      <c r="AX362"/>
      <c r="AY362"/>
      <c r="AZ362"/>
      <c r="BA362"/>
      <c r="BF362"/>
      <c r="BG362" s="262"/>
      <c r="BJ362" s="262"/>
      <c r="BK362"/>
      <c r="BM362" s="108"/>
      <c r="BQ362"/>
      <c r="BR362" s="262"/>
      <c r="BS362"/>
      <c r="BU362"/>
      <c r="BX362"/>
      <c r="CD362" s="141"/>
      <c r="CK362"/>
      <c r="CM362"/>
      <c r="CO362"/>
      <c r="CP362"/>
      <c r="CQ362" s="143"/>
      <c r="CR362" s="143"/>
      <c r="CS362"/>
      <c r="CT362" s="262"/>
      <c r="CU362"/>
      <c r="CV362"/>
      <c r="CW362"/>
      <c r="CX362" s="143"/>
      <c r="CY362" s="143"/>
      <c r="CZ362" s="143"/>
      <c r="DA362" s="143"/>
      <c r="DB362"/>
      <c r="DC362"/>
      <c r="DD362" s="143"/>
      <c r="DE362"/>
      <c r="DF362" s="143"/>
      <c r="DG362"/>
      <c r="DH362"/>
      <c r="DI362"/>
      <c r="DJ362"/>
      <c r="DK362"/>
      <c r="DL362" s="139"/>
      <c r="DM362"/>
      <c r="DN362" s="26"/>
      <c r="DO362" s="26"/>
      <c r="DP362"/>
      <c r="DQ362" s="2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row>
    <row r="363" spans="1:165" s="31" customFormat="1" ht="15.75" customHeight="1">
      <c r="A363" s="1"/>
      <c r="B363" s="1"/>
      <c r="C363" s="1"/>
      <c r="D363" s="1"/>
      <c r="E363" s="1"/>
      <c r="F363" s="1"/>
      <c r="G363" s="1"/>
      <c r="H363" s="1"/>
      <c r="I363" s="1"/>
      <c r="J363" s="1"/>
      <c r="K363" s="1"/>
      <c r="L363" s="1"/>
      <c r="M363" s="1"/>
      <c r="N363" s="1"/>
      <c r="O363" s="1"/>
      <c r="P363"/>
      <c r="Q363" s="130"/>
      <c r="R363" s="1"/>
      <c r="S363" s="1"/>
      <c r="T363" s="1"/>
      <c r="U363" s="1"/>
      <c r="V363" s="1"/>
      <c r="W363" s="1"/>
      <c r="X363" s="1"/>
      <c r="Y363" s="1"/>
      <c r="Z363" s="1"/>
      <c r="AA363" s="1"/>
      <c r="AB363" s="1"/>
      <c r="AC363" s="1"/>
      <c r="AD363" s="1"/>
      <c r="AE363" s="1"/>
      <c r="AF363" s="1"/>
      <c r="AG363" s="1"/>
      <c r="AH363" s="1"/>
      <c r="AI363" s="1"/>
      <c r="AJ363" s="1"/>
      <c r="AK363" s="1"/>
      <c r="AL363" s="1"/>
      <c r="AM363" s="1"/>
      <c r="AN363"/>
      <c r="AO363" s="228"/>
      <c r="AP363" s="189"/>
      <c r="AQ363"/>
      <c r="AR363"/>
      <c r="AS363" s="228"/>
      <c r="AT363" s="139"/>
      <c r="AU363" s="139"/>
      <c r="AV363"/>
      <c r="AW363" s="262"/>
      <c r="AX363"/>
      <c r="AY363"/>
      <c r="AZ363"/>
      <c r="BA363"/>
      <c r="BF363"/>
      <c r="BG363" s="262"/>
      <c r="BJ363" s="262"/>
      <c r="BK363"/>
      <c r="BM363" s="108"/>
      <c r="BQ363"/>
      <c r="BR363" s="262"/>
      <c r="BS363"/>
      <c r="BU363"/>
      <c r="BX363"/>
      <c r="CD363" s="141"/>
      <c r="CK363"/>
      <c r="CM363"/>
      <c r="CO363"/>
      <c r="CP363"/>
      <c r="CQ363" s="143"/>
      <c r="CR363" s="143"/>
      <c r="CS363"/>
      <c r="CT363" s="262"/>
      <c r="CU363"/>
      <c r="CV363"/>
      <c r="CW363"/>
      <c r="CX363" s="143"/>
      <c r="CY363" s="143"/>
      <c r="CZ363" s="143"/>
      <c r="DA363" s="143"/>
      <c r="DB363"/>
      <c r="DC363"/>
      <c r="DD363" s="143"/>
      <c r="DE363"/>
      <c r="DF363" s="143"/>
      <c r="DG363"/>
      <c r="DH363"/>
      <c r="DI363"/>
      <c r="DJ363"/>
      <c r="DK363"/>
      <c r="DL363" s="139"/>
      <c r="DM363"/>
      <c r="DN363" s="26"/>
      <c r="DO363" s="26"/>
      <c r="DP363"/>
      <c r="DQ363" s="262"/>
      <c r="DR363"/>
      <c r="DS363"/>
      <c r="DT363"/>
      <c r="DU363"/>
      <c r="DV363"/>
      <c r="DW363"/>
      <c r="DX363"/>
      <c r="DY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row>
    <row r="364" spans="1:165" s="31" customFormat="1" ht="15.75" customHeight="1">
      <c r="A364" s="1"/>
      <c r="B364" s="1"/>
      <c r="C364" s="1"/>
      <c r="D364" s="1"/>
      <c r="E364" s="1"/>
      <c r="F364" s="1"/>
      <c r="G364" s="1"/>
      <c r="H364" s="1"/>
      <c r="I364" s="1"/>
      <c r="J364" s="1"/>
      <c r="K364" s="1"/>
      <c r="L364" s="1"/>
      <c r="M364" s="1"/>
      <c r="N364" s="1"/>
      <c r="O364" s="1"/>
      <c r="P364"/>
      <c r="Q364" s="130"/>
      <c r="R364" s="1"/>
      <c r="S364" s="1"/>
      <c r="T364" s="1"/>
      <c r="U364" s="1"/>
      <c r="V364" s="1"/>
      <c r="W364" s="1"/>
      <c r="X364" s="1"/>
      <c r="Y364" s="1"/>
      <c r="Z364" s="1"/>
      <c r="AA364" s="1"/>
      <c r="AB364" s="1"/>
      <c r="AC364" s="1"/>
      <c r="AD364" s="1"/>
      <c r="AE364" s="1"/>
      <c r="AF364" s="1"/>
      <c r="AG364" s="1"/>
      <c r="AH364" s="1"/>
      <c r="AI364" s="1"/>
      <c r="AJ364" s="1"/>
      <c r="AK364" s="1"/>
      <c r="AL364" s="1"/>
      <c r="AM364" s="1"/>
      <c r="AN364"/>
      <c r="AO364" s="228"/>
      <c r="AP364" s="189"/>
      <c r="AQ364"/>
      <c r="AR364"/>
      <c r="AS364" s="228"/>
      <c r="AT364" s="139"/>
      <c r="AU364" s="139"/>
      <c r="AV364"/>
      <c r="AW364" s="262"/>
      <c r="AX364"/>
      <c r="AY364"/>
      <c r="AZ364"/>
      <c r="BA364"/>
      <c r="BB364"/>
      <c r="BC364"/>
      <c r="BD364"/>
      <c r="BE364"/>
      <c r="BF364"/>
      <c r="BG364" s="262"/>
      <c r="BI364"/>
      <c r="BJ364" s="262"/>
      <c r="BK364"/>
      <c r="BL364"/>
      <c r="BM364" s="108"/>
      <c r="BN364"/>
      <c r="BO364"/>
      <c r="BP364"/>
      <c r="BQ364"/>
      <c r="BR364" s="262"/>
      <c r="BS364"/>
      <c r="BT364"/>
      <c r="BU364"/>
      <c r="BX364"/>
      <c r="BY364"/>
      <c r="BZ364"/>
      <c r="CA364"/>
      <c r="CB364"/>
      <c r="CC364"/>
      <c r="CD364" s="141"/>
      <c r="CE364"/>
      <c r="CF364"/>
      <c r="CG364"/>
      <c r="CH364"/>
      <c r="CI364"/>
      <c r="CJ364"/>
      <c r="CK364"/>
      <c r="CL364"/>
      <c r="CM364"/>
      <c r="CN364"/>
      <c r="CO364"/>
      <c r="CP364"/>
      <c r="CQ364" s="143"/>
      <c r="CR364" s="143"/>
      <c r="CS364"/>
      <c r="CT364" s="262"/>
      <c r="CU364"/>
      <c r="CV364"/>
      <c r="CW364"/>
      <c r="CX364" s="143"/>
      <c r="CY364" s="143"/>
      <c r="CZ364" s="143"/>
      <c r="DA364" s="143"/>
      <c r="DB364"/>
      <c r="DC364"/>
      <c r="DD364" s="143"/>
      <c r="DE364"/>
      <c r="DF364" s="143"/>
      <c r="DG364"/>
      <c r="DH364"/>
      <c r="DI364"/>
      <c r="DJ364"/>
      <c r="DK364"/>
      <c r="DL364" s="139"/>
      <c r="DM364"/>
      <c r="DN364" s="26"/>
      <c r="DO364" s="26"/>
      <c r="DP364"/>
      <c r="DQ364" s="262"/>
      <c r="DR364"/>
      <c r="DS364"/>
      <c r="DT364"/>
      <c r="DU364"/>
      <c r="DV364"/>
      <c r="DW364"/>
      <c r="DX364"/>
      <c r="DY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row>
    <row r="365" spans="1:165" s="31" customFormat="1" ht="15.75" customHeight="1">
      <c r="A365" s="1"/>
      <c r="B365" s="1"/>
      <c r="C365" s="1"/>
      <c r="D365" s="1"/>
      <c r="E365" s="1"/>
      <c r="F365" s="1"/>
      <c r="G365" s="1"/>
      <c r="H365" s="1"/>
      <c r="I365" s="1"/>
      <c r="J365" s="1"/>
      <c r="K365" s="1"/>
      <c r="L365" s="1"/>
      <c r="M365" s="1"/>
      <c r="N365" s="1"/>
      <c r="O365" s="1"/>
      <c r="P365"/>
      <c r="Q365" s="130"/>
      <c r="R365" s="1"/>
      <c r="S365" s="1"/>
      <c r="T365" s="1"/>
      <c r="U365" s="1"/>
      <c r="V365" s="1"/>
      <c r="W365" s="1"/>
      <c r="X365" s="1"/>
      <c r="Y365" s="1"/>
      <c r="Z365" s="1"/>
      <c r="AA365" s="1"/>
      <c r="AB365" s="1"/>
      <c r="AC365" s="1"/>
      <c r="AD365" s="1"/>
      <c r="AE365" s="1"/>
      <c r="AF365" s="1"/>
      <c r="AG365" s="1"/>
      <c r="AH365" s="1"/>
      <c r="AI365" s="1"/>
      <c r="AJ365" s="1"/>
      <c r="AK365" s="1"/>
      <c r="AL365" s="1"/>
      <c r="AM365" s="1"/>
      <c r="AN365"/>
      <c r="AO365" s="228"/>
      <c r="AP365" s="189"/>
      <c r="AQ365"/>
      <c r="AR365"/>
      <c r="AS365" s="228"/>
      <c r="AT365" s="139"/>
      <c r="AU365" s="139"/>
      <c r="AV365"/>
      <c r="AW365" s="262"/>
      <c r="AX365"/>
      <c r="AY365"/>
      <c r="AZ365"/>
      <c r="BA365"/>
      <c r="BB365"/>
      <c r="BC365"/>
      <c r="BD365"/>
      <c r="BE365"/>
      <c r="BF365"/>
      <c r="BG365" s="262"/>
      <c r="BI365"/>
      <c r="BJ365" s="262"/>
      <c r="BK365"/>
      <c r="BL365"/>
      <c r="BM365" s="108"/>
      <c r="BN365"/>
      <c r="BO365"/>
      <c r="BP365"/>
      <c r="BQ365"/>
      <c r="BR365" s="262"/>
      <c r="BS365"/>
      <c r="BT365"/>
      <c r="BU365"/>
      <c r="BX365"/>
      <c r="BY365"/>
      <c r="BZ365"/>
      <c r="CA365"/>
      <c r="CB365"/>
      <c r="CC365"/>
      <c r="CD365" s="141"/>
      <c r="CE365"/>
      <c r="CF365"/>
      <c r="CG365"/>
      <c r="CH365"/>
      <c r="CI365"/>
      <c r="CJ365"/>
      <c r="CK365"/>
      <c r="CL365"/>
      <c r="CM365"/>
      <c r="CN365"/>
      <c r="CO365"/>
      <c r="CP365"/>
      <c r="CQ365" s="143"/>
      <c r="CR365" s="143"/>
      <c r="CS365"/>
      <c r="CT365" s="262"/>
      <c r="CU365"/>
      <c r="CV365"/>
      <c r="CW365"/>
      <c r="CX365" s="143"/>
      <c r="CY365" s="143"/>
      <c r="CZ365" s="143"/>
      <c r="DA365" s="143"/>
      <c r="DB365"/>
      <c r="DC365"/>
      <c r="DD365" s="143"/>
      <c r="DE365"/>
      <c r="DF365" s="143"/>
      <c r="DG365"/>
      <c r="DH365"/>
      <c r="DI365"/>
      <c r="DJ365"/>
      <c r="DK365"/>
      <c r="DL365" s="139"/>
      <c r="DM365"/>
      <c r="DN365" s="26"/>
      <c r="DO365" s="26"/>
      <c r="DP365"/>
      <c r="DQ365" s="262"/>
      <c r="DR365"/>
      <c r="DS365"/>
      <c r="DT365"/>
      <c r="EA365"/>
    </row>
    <row r="366" spans="1:165" s="31" customFormat="1" ht="15.75" customHeight="1">
      <c r="A366" s="1"/>
      <c r="B366" s="1"/>
      <c r="C366" s="1"/>
      <c r="D366" s="1"/>
      <c r="E366" s="1"/>
      <c r="F366" s="1"/>
      <c r="G366" s="1"/>
      <c r="H366" s="1"/>
      <c r="I366" s="1"/>
      <c r="J366" s="1"/>
      <c r="K366" s="1"/>
      <c r="L366" s="1"/>
      <c r="M366" s="1"/>
      <c r="N366" s="1"/>
      <c r="O366" s="1"/>
      <c r="P366"/>
      <c r="Q366" s="130"/>
      <c r="R366" s="1"/>
      <c r="S366" s="1"/>
      <c r="T366" s="1"/>
      <c r="U366" s="1"/>
      <c r="V366" s="1"/>
      <c r="W366" s="1"/>
      <c r="X366" s="1"/>
      <c r="Y366" s="1"/>
      <c r="Z366" s="1"/>
      <c r="AA366" s="1"/>
      <c r="AB366" s="1"/>
      <c r="AC366" s="1"/>
      <c r="AD366" s="1"/>
      <c r="AE366" s="1"/>
      <c r="AF366" s="1"/>
      <c r="AG366" s="1"/>
      <c r="AH366" s="1"/>
      <c r="AI366" s="1"/>
      <c r="AJ366" s="1"/>
      <c r="AK366" s="1"/>
      <c r="AL366" s="1"/>
      <c r="AM366" s="1"/>
      <c r="AN366"/>
      <c r="AO366" s="228"/>
      <c r="AP366" s="189"/>
      <c r="AQ366"/>
      <c r="AR366"/>
      <c r="AS366" s="228"/>
      <c r="AT366" s="139"/>
      <c r="AU366" s="139"/>
      <c r="AV366"/>
      <c r="AW366" s="262"/>
      <c r="AX366"/>
      <c r="AY366"/>
      <c r="AZ366"/>
      <c r="BA366"/>
      <c r="BB366"/>
      <c r="BC366"/>
      <c r="BD366"/>
      <c r="BE366"/>
      <c r="BF366"/>
      <c r="BG366" s="262"/>
      <c r="BI366"/>
      <c r="BJ366" s="262"/>
      <c r="BK366"/>
      <c r="BL366"/>
      <c r="BM366" s="108"/>
      <c r="BN366"/>
      <c r="BO366"/>
      <c r="BP366"/>
      <c r="BQ366"/>
      <c r="BR366" s="262"/>
      <c r="BS366"/>
      <c r="BT366"/>
      <c r="BU366"/>
      <c r="BX366"/>
      <c r="BY366"/>
      <c r="BZ366"/>
      <c r="CA366"/>
      <c r="CB366"/>
      <c r="CC366"/>
      <c r="CD366" s="141"/>
      <c r="CE366"/>
      <c r="CF366"/>
      <c r="CG366"/>
      <c r="CH366"/>
      <c r="CI366"/>
      <c r="CJ366"/>
      <c r="CK366"/>
      <c r="CL366"/>
      <c r="CM366"/>
      <c r="CN366"/>
      <c r="CO366"/>
      <c r="CP366"/>
      <c r="CQ366" s="143"/>
      <c r="CR366" s="143"/>
      <c r="CS366"/>
      <c r="CT366" s="262"/>
      <c r="CU366"/>
      <c r="CV366"/>
      <c r="CW366"/>
      <c r="CX366" s="143"/>
      <c r="CY366" s="143"/>
      <c r="CZ366" s="143"/>
      <c r="DA366" s="143"/>
      <c r="DB366"/>
      <c r="DC366"/>
      <c r="DD366" s="143"/>
      <c r="DE366"/>
      <c r="DF366" s="143"/>
      <c r="DG366"/>
      <c r="DH366"/>
      <c r="DI366"/>
      <c r="DJ366"/>
      <c r="DK366"/>
      <c r="DL366" s="139"/>
      <c r="DM366"/>
      <c r="DN366" s="26"/>
      <c r="DO366" s="26"/>
      <c r="DP366"/>
      <c r="DQ366" s="262"/>
      <c r="DR366"/>
      <c r="DS366"/>
      <c r="DT366"/>
    </row>
    <row r="367" spans="1:165" s="31" customFormat="1" ht="15.75" customHeight="1">
      <c r="A367" s="1"/>
      <c r="B367" s="1"/>
      <c r="C367" s="1"/>
      <c r="D367" s="1"/>
      <c r="E367" s="1"/>
      <c r="F367" s="1"/>
      <c r="G367" s="1"/>
      <c r="H367" s="1"/>
      <c r="I367" s="1"/>
      <c r="J367" s="1"/>
      <c r="K367" s="1"/>
      <c r="L367" s="1"/>
      <c r="M367" s="1"/>
      <c r="N367" s="1"/>
      <c r="O367" s="1"/>
      <c r="P367"/>
      <c r="Q367" s="130"/>
      <c r="R367" s="1"/>
      <c r="S367" s="1"/>
      <c r="T367" s="1"/>
      <c r="U367" s="1"/>
      <c r="V367" s="1"/>
      <c r="W367" s="1"/>
      <c r="X367" s="1"/>
      <c r="Y367" s="1"/>
      <c r="Z367" s="1"/>
      <c r="AA367" s="1"/>
      <c r="AB367" s="1"/>
      <c r="AC367" s="1"/>
      <c r="AD367" s="1"/>
      <c r="AE367" s="1"/>
      <c r="AF367" s="1"/>
      <c r="AG367" s="1"/>
      <c r="AH367" s="1"/>
      <c r="AI367" s="1"/>
      <c r="AJ367" s="1"/>
      <c r="AK367" s="1"/>
      <c r="AL367" s="1"/>
      <c r="AM367" s="1"/>
      <c r="AN367"/>
      <c r="AO367" s="228"/>
      <c r="AP367" s="189"/>
      <c r="AQ367"/>
      <c r="AR367"/>
      <c r="AS367" s="228"/>
      <c r="AT367" s="139"/>
      <c r="AU367" s="139"/>
      <c r="AV367"/>
      <c r="AW367" s="262"/>
      <c r="AX367"/>
      <c r="AY367"/>
      <c r="AZ367"/>
      <c r="BA367"/>
      <c r="BB367"/>
      <c r="BC367"/>
      <c r="BD367"/>
      <c r="BE367"/>
      <c r="BF367"/>
      <c r="BG367" s="262"/>
      <c r="BI367"/>
      <c r="BJ367" s="262"/>
      <c r="BK367"/>
      <c r="BL367"/>
      <c r="BM367" s="108"/>
      <c r="BN367"/>
      <c r="BO367"/>
      <c r="BP367"/>
      <c r="BQ367"/>
      <c r="BR367" s="262"/>
      <c r="BS367"/>
      <c r="BT367"/>
      <c r="BU367"/>
      <c r="BX367"/>
      <c r="BY367"/>
      <c r="BZ367"/>
      <c r="CA367"/>
      <c r="CB367"/>
      <c r="CC367"/>
      <c r="CD367" s="141"/>
      <c r="CE367"/>
      <c r="CF367"/>
      <c r="CG367"/>
      <c r="CH367"/>
      <c r="CI367"/>
      <c r="CJ367"/>
      <c r="CK367"/>
      <c r="CL367"/>
      <c r="CM367"/>
      <c r="CN367"/>
      <c r="CO367"/>
      <c r="CP367"/>
      <c r="CQ367" s="143"/>
      <c r="CR367" s="143"/>
      <c r="CS367"/>
      <c r="CT367" s="262"/>
      <c r="CU367"/>
      <c r="CV367"/>
      <c r="CW367"/>
      <c r="CX367" s="143"/>
      <c r="CY367" s="143"/>
      <c r="CZ367" s="143"/>
      <c r="DA367" s="143"/>
      <c r="DB367"/>
      <c r="DC367"/>
      <c r="DD367" s="143"/>
      <c r="DE367"/>
      <c r="DF367" s="143"/>
      <c r="DG367"/>
      <c r="DH367"/>
      <c r="DI367"/>
      <c r="DJ367"/>
      <c r="DK367"/>
      <c r="DL367" s="139"/>
      <c r="DM367"/>
      <c r="DN367" s="26"/>
      <c r="DO367" s="26"/>
      <c r="DP367"/>
      <c r="DQ367" s="262"/>
      <c r="DR367"/>
      <c r="DS367"/>
      <c r="DT367"/>
      <c r="DZ367"/>
    </row>
    <row r="368" spans="1:165" s="31" customFormat="1" ht="15.75" customHeight="1">
      <c r="A368" s="1"/>
      <c r="B368" s="1"/>
      <c r="C368" s="1"/>
      <c r="D368" s="1"/>
      <c r="E368" s="1"/>
      <c r="F368" s="1"/>
      <c r="G368" s="1"/>
      <c r="H368" s="1"/>
      <c r="I368" s="1"/>
      <c r="J368" s="1"/>
      <c r="K368" s="1"/>
      <c r="L368" s="1"/>
      <c r="M368" s="1"/>
      <c r="N368" s="1"/>
      <c r="O368" s="1"/>
      <c r="P368"/>
      <c r="Q368" s="130"/>
      <c r="R368" s="1"/>
      <c r="S368" s="1"/>
      <c r="T368" s="1"/>
      <c r="U368" s="1"/>
      <c r="V368" s="1"/>
      <c r="W368" s="1"/>
      <c r="X368" s="1"/>
      <c r="Y368" s="1"/>
      <c r="Z368" s="1"/>
      <c r="AA368" s="1"/>
      <c r="AB368" s="1"/>
      <c r="AC368" s="1"/>
      <c r="AD368" s="1"/>
      <c r="AE368" s="1"/>
      <c r="AF368" s="1"/>
      <c r="AG368" s="1"/>
      <c r="AH368" s="1"/>
      <c r="AI368" s="1"/>
      <c r="AJ368" s="1"/>
      <c r="AK368" s="1"/>
      <c r="AL368" s="1"/>
      <c r="AM368" s="1"/>
      <c r="AN368"/>
      <c r="AO368" s="228"/>
      <c r="AP368" s="189"/>
      <c r="AQ368"/>
      <c r="AR368"/>
      <c r="AS368" s="228"/>
      <c r="AT368" s="139"/>
      <c r="AU368" s="139"/>
      <c r="AV368"/>
      <c r="AW368" s="262"/>
      <c r="AX368"/>
      <c r="AY368"/>
      <c r="AZ368"/>
      <c r="BA368"/>
      <c r="BB368"/>
      <c r="BC368"/>
      <c r="BD368"/>
      <c r="BE368"/>
      <c r="BF368"/>
      <c r="BG368" s="262"/>
      <c r="BI368"/>
      <c r="BJ368" s="262"/>
      <c r="BK368"/>
      <c r="BL368"/>
      <c r="BM368" s="108"/>
      <c r="BN368"/>
      <c r="BO368"/>
      <c r="BP368"/>
      <c r="BQ368"/>
      <c r="BR368" s="262"/>
      <c r="BS368"/>
      <c r="BT368"/>
      <c r="BU368"/>
      <c r="BX368"/>
      <c r="BY368"/>
      <c r="BZ368"/>
      <c r="CA368"/>
      <c r="CB368"/>
      <c r="CC368"/>
      <c r="CD368" s="141"/>
      <c r="CE368"/>
      <c r="CF368"/>
      <c r="CG368"/>
      <c r="CH368"/>
      <c r="CI368"/>
      <c r="CJ368"/>
      <c r="CK368"/>
      <c r="CL368"/>
      <c r="CM368"/>
      <c r="CN368"/>
      <c r="CO368"/>
      <c r="CP368"/>
      <c r="CQ368" s="143"/>
      <c r="CR368" s="143"/>
      <c r="CS368"/>
      <c r="CT368" s="262"/>
      <c r="CU368"/>
      <c r="CV368"/>
      <c r="CW368"/>
      <c r="CX368" s="143"/>
      <c r="CY368" s="143"/>
      <c r="CZ368" s="143"/>
      <c r="DA368" s="143"/>
      <c r="DB368"/>
      <c r="DC368"/>
      <c r="DD368" s="143"/>
      <c r="DE368"/>
      <c r="DF368" s="143"/>
      <c r="DG368"/>
      <c r="DH368"/>
      <c r="DI368"/>
      <c r="DJ368"/>
      <c r="DK368"/>
      <c r="DL368" s="139"/>
      <c r="DM368"/>
      <c r="DN368" s="26"/>
      <c r="DO368" s="26"/>
      <c r="DP368"/>
      <c r="DQ368" s="262"/>
      <c r="DR368"/>
      <c r="DS368"/>
      <c r="DT368"/>
      <c r="DZ368"/>
    </row>
    <row r="369" spans="1:165" s="31" customFormat="1" ht="15.75" customHeight="1">
      <c r="A369" s="1"/>
      <c r="B369" s="1"/>
      <c r="C369" s="1"/>
      <c r="D369" s="1"/>
      <c r="E369" s="1"/>
      <c r="F369" s="1"/>
      <c r="G369" s="1"/>
      <c r="H369" s="1"/>
      <c r="I369" s="1"/>
      <c r="J369" s="1"/>
      <c r="K369" s="1"/>
      <c r="L369" s="1"/>
      <c r="M369" s="1"/>
      <c r="N369" s="1"/>
      <c r="O369" s="1"/>
      <c r="P369"/>
      <c r="Q369" s="130"/>
      <c r="R369" s="1"/>
      <c r="S369" s="1"/>
      <c r="T369" s="1"/>
      <c r="U369" s="1"/>
      <c r="V369" s="1"/>
      <c r="W369" s="1"/>
      <c r="X369" s="1"/>
      <c r="Y369" s="1"/>
      <c r="Z369" s="1"/>
      <c r="AA369" s="1"/>
      <c r="AB369" s="1"/>
      <c r="AC369" s="1"/>
      <c r="AD369" s="1"/>
      <c r="AE369" s="1"/>
      <c r="AF369" s="1"/>
      <c r="AG369" s="1"/>
      <c r="AH369" s="1"/>
      <c r="AI369" s="1"/>
      <c r="AJ369" s="1"/>
      <c r="AK369" s="1"/>
      <c r="AL369" s="1"/>
      <c r="AM369" s="1"/>
      <c r="AN369"/>
      <c r="AO369" s="228"/>
      <c r="AP369" s="189"/>
      <c r="AQ369"/>
      <c r="AR369"/>
      <c r="AS369" s="228"/>
      <c r="AT369" s="139"/>
      <c r="AU369" s="139"/>
      <c r="AV369"/>
      <c r="AW369" s="262"/>
      <c r="AX369"/>
      <c r="AY369"/>
      <c r="AZ369"/>
      <c r="BA369"/>
      <c r="BB369"/>
      <c r="BC369"/>
      <c r="BD369"/>
      <c r="BE369"/>
      <c r="BF369"/>
      <c r="BG369" s="262"/>
      <c r="BI369"/>
      <c r="BJ369" s="262"/>
      <c r="BK369"/>
      <c r="BL369"/>
      <c r="BM369" s="108"/>
      <c r="BN369"/>
      <c r="BO369"/>
      <c r="BP369"/>
      <c r="BQ369"/>
      <c r="BR369" s="262"/>
      <c r="BS369"/>
      <c r="BT369"/>
      <c r="BU369"/>
      <c r="BX369"/>
      <c r="BY369"/>
      <c r="BZ369"/>
      <c r="CA369"/>
      <c r="CB369"/>
      <c r="CC369"/>
      <c r="CD369" s="141"/>
      <c r="CE369"/>
      <c r="CF369"/>
      <c r="CG369"/>
      <c r="CH369"/>
      <c r="CI369"/>
      <c r="CJ369"/>
      <c r="CK369"/>
      <c r="CL369"/>
      <c r="CM369"/>
      <c r="CN369"/>
      <c r="CO369"/>
      <c r="CP369"/>
      <c r="CQ369" s="143"/>
      <c r="CR369" s="143"/>
      <c r="CS369"/>
      <c r="CT369" s="262"/>
      <c r="CU369"/>
      <c r="CV369"/>
      <c r="CW369"/>
      <c r="CX369" s="143"/>
      <c r="CY369" s="143"/>
      <c r="CZ369" s="143"/>
      <c r="DA369" s="143"/>
      <c r="DB369"/>
      <c r="DC369"/>
      <c r="DD369" s="143"/>
      <c r="DE369"/>
      <c r="DF369" s="143"/>
      <c r="DG369"/>
      <c r="DH369"/>
      <c r="DI369"/>
      <c r="DJ369"/>
      <c r="DK369"/>
      <c r="DL369" s="139"/>
      <c r="DM369"/>
      <c r="DN369" s="26"/>
      <c r="DO369" s="26"/>
      <c r="DP369"/>
      <c r="DQ369" s="262"/>
      <c r="DR369"/>
      <c r="DS369"/>
      <c r="DT369"/>
      <c r="DU369"/>
      <c r="DV369"/>
      <c r="DW369"/>
      <c r="DX369"/>
      <c r="DY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row>
    <row r="370" spans="1:165" s="31" customFormat="1" ht="15.75" customHeight="1">
      <c r="A370" s="1"/>
      <c r="B370" s="1"/>
      <c r="C370" s="1"/>
      <c r="D370" s="1"/>
      <c r="E370" s="1"/>
      <c r="F370" s="1"/>
      <c r="G370" s="1"/>
      <c r="H370" s="1"/>
      <c r="I370" s="1"/>
      <c r="J370" s="1"/>
      <c r="K370" s="1"/>
      <c r="L370" s="1"/>
      <c r="M370" s="1"/>
      <c r="N370" s="1"/>
      <c r="O370" s="1"/>
      <c r="P370"/>
      <c r="Q370" s="130"/>
      <c r="R370" s="1"/>
      <c r="S370" s="1"/>
      <c r="T370" s="1"/>
      <c r="U370" s="1"/>
      <c r="V370" s="1"/>
      <c r="W370" s="1"/>
      <c r="X370" s="1"/>
      <c r="Y370" s="1"/>
      <c r="Z370" s="1"/>
      <c r="AA370" s="1"/>
      <c r="AB370" s="1"/>
      <c r="AC370" s="1"/>
      <c r="AD370" s="1"/>
      <c r="AE370" s="1"/>
      <c r="AF370" s="1"/>
      <c r="AG370" s="1"/>
      <c r="AH370" s="1"/>
      <c r="AI370" s="1"/>
      <c r="AJ370" s="1"/>
      <c r="AK370" s="1"/>
      <c r="AL370" s="1"/>
      <c r="AM370" s="1"/>
      <c r="AN370"/>
      <c r="AO370" s="228"/>
      <c r="AP370" s="189"/>
      <c r="AQ370"/>
      <c r="AR370"/>
      <c r="AS370" s="228"/>
      <c r="AT370" s="139"/>
      <c r="AU370" s="139"/>
      <c r="AV370"/>
      <c r="AW370" s="262"/>
      <c r="AX370"/>
      <c r="AY370"/>
      <c r="AZ370"/>
      <c r="BA370"/>
      <c r="BB370"/>
      <c r="BC370"/>
      <c r="BD370"/>
      <c r="BE370"/>
      <c r="BF370"/>
      <c r="BG370" s="262"/>
      <c r="BI370"/>
      <c r="BJ370" s="262"/>
      <c r="BK370"/>
      <c r="BL370"/>
      <c r="BM370" s="108"/>
      <c r="BN370"/>
      <c r="BO370"/>
      <c r="BP370"/>
      <c r="BQ370"/>
      <c r="BR370" s="262"/>
      <c r="BS370"/>
      <c r="BT370"/>
      <c r="BU370"/>
      <c r="BX370"/>
      <c r="BY370"/>
      <c r="BZ370"/>
      <c r="CA370"/>
      <c r="CB370"/>
      <c r="CC370"/>
      <c r="CD370" s="141"/>
      <c r="CE370"/>
      <c r="CF370"/>
      <c r="CG370"/>
      <c r="CH370"/>
      <c r="CI370"/>
      <c r="CJ370"/>
      <c r="CK370"/>
      <c r="CL370"/>
      <c r="CM370"/>
      <c r="CN370"/>
      <c r="CO370"/>
      <c r="CP370"/>
      <c r="CQ370" s="143"/>
      <c r="CR370" s="143"/>
      <c r="CS370"/>
      <c r="CT370" s="262"/>
      <c r="CU370"/>
      <c r="CV370"/>
      <c r="CW370"/>
      <c r="CX370" s="143"/>
      <c r="CY370" s="143"/>
      <c r="CZ370" s="143"/>
      <c r="DA370" s="143"/>
      <c r="DB370"/>
      <c r="DC370"/>
      <c r="DD370" s="143"/>
      <c r="DE370"/>
      <c r="DF370" s="143"/>
      <c r="DG370"/>
      <c r="DH370"/>
      <c r="DI370"/>
      <c r="DJ370"/>
      <c r="DK370"/>
      <c r="DL370" s="139"/>
      <c r="DM370"/>
      <c r="DN370" s="26"/>
      <c r="DO370" s="26"/>
      <c r="DP370"/>
      <c r="DQ370" s="262"/>
      <c r="DR370"/>
      <c r="DS370"/>
      <c r="DT370"/>
      <c r="DU370"/>
      <c r="DV370"/>
      <c r="DW370"/>
      <c r="DX370"/>
      <c r="DY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row>
    <row r="371" spans="1:165" s="31" customFormat="1" ht="15.75" customHeight="1">
      <c r="A371" s="1"/>
      <c r="B371" s="1"/>
      <c r="C371" s="1"/>
      <c r="D371" s="1"/>
      <c r="E371" s="1"/>
      <c r="F371" s="1"/>
      <c r="G371" s="1"/>
      <c r="H371" s="1"/>
      <c r="I371" s="1"/>
      <c r="J371" s="1"/>
      <c r="K371" s="1"/>
      <c r="L371" s="1"/>
      <c r="M371" s="1"/>
      <c r="N371" s="1"/>
      <c r="O371" s="1"/>
      <c r="P371"/>
      <c r="Q371" s="130"/>
      <c r="R371" s="1"/>
      <c r="S371" s="1"/>
      <c r="T371" s="1"/>
      <c r="U371" s="1"/>
      <c r="V371" s="1"/>
      <c r="W371" s="1"/>
      <c r="X371" s="1"/>
      <c r="Y371" s="1"/>
      <c r="Z371" s="1"/>
      <c r="AA371" s="1"/>
      <c r="AB371" s="1"/>
      <c r="AC371" s="1"/>
      <c r="AD371" s="1"/>
      <c r="AE371" s="1"/>
      <c r="AF371" s="1"/>
      <c r="AG371" s="1"/>
      <c r="AH371" s="1"/>
      <c r="AI371" s="1"/>
      <c r="AJ371" s="1"/>
      <c r="AK371" s="1"/>
      <c r="AL371" s="1"/>
      <c r="AM371" s="1"/>
      <c r="AN371"/>
      <c r="AO371" s="228"/>
      <c r="AP371" s="189"/>
      <c r="AQ371"/>
      <c r="AR371"/>
      <c r="AS371" s="228"/>
      <c r="AT371" s="139"/>
      <c r="AU371" s="139"/>
      <c r="AV371"/>
      <c r="AW371" s="262"/>
      <c r="AX371"/>
      <c r="AY371"/>
      <c r="AZ371"/>
      <c r="BA371"/>
      <c r="BF371"/>
      <c r="BG371" s="262"/>
      <c r="BJ371" s="262"/>
      <c r="BK371"/>
      <c r="BM371" s="108"/>
      <c r="BQ371"/>
      <c r="BR371" s="262"/>
      <c r="BS371"/>
      <c r="BU371"/>
      <c r="BX371"/>
      <c r="CD371" s="141"/>
      <c r="CK371"/>
      <c r="CM371"/>
      <c r="CO371"/>
      <c r="CP371"/>
      <c r="CQ371" s="143"/>
      <c r="CR371" s="143"/>
      <c r="CS371"/>
      <c r="CT371" s="262"/>
      <c r="CU371"/>
      <c r="CV371"/>
      <c r="CW371"/>
      <c r="CX371" s="143"/>
      <c r="CY371" s="143"/>
      <c r="CZ371" s="143"/>
      <c r="DA371" s="143"/>
      <c r="DB371"/>
      <c r="DC371"/>
      <c r="DD371" s="143"/>
      <c r="DE371"/>
      <c r="DF371" s="143"/>
      <c r="DG371"/>
      <c r="DH371"/>
      <c r="DI371"/>
      <c r="DJ371"/>
      <c r="DK371"/>
      <c r="DL371" s="139"/>
      <c r="DM371"/>
      <c r="DN371" s="26"/>
      <c r="DO371" s="26"/>
      <c r="DP371"/>
      <c r="DQ371" s="262"/>
      <c r="DR371"/>
      <c r="DS371"/>
      <c r="DT371"/>
      <c r="EA371"/>
    </row>
    <row r="372" spans="1:165" s="31" customFormat="1" ht="15.75" customHeight="1">
      <c r="A372" s="1"/>
      <c r="B372" s="1"/>
      <c r="C372" s="1"/>
      <c r="D372" s="1"/>
      <c r="E372" s="1"/>
      <c r="F372" s="1"/>
      <c r="G372" s="1"/>
      <c r="H372" s="1"/>
      <c r="I372" s="1"/>
      <c r="J372" s="1"/>
      <c r="K372" s="1"/>
      <c r="L372" s="1"/>
      <c r="M372" s="1"/>
      <c r="N372" s="1"/>
      <c r="O372" s="1"/>
      <c r="P372"/>
      <c r="Q372" s="130"/>
      <c r="R372" s="1"/>
      <c r="S372" s="1"/>
      <c r="T372" s="1"/>
      <c r="U372" s="1"/>
      <c r="V372" s="1"/>
      <c r="W372" s="1"/>
      <c r="X372" s="1"/>
      <c r="Y372" s="1"/>
      <c r="Z372" s="1"/>
      <c r="AA372" s="1"/>
      <c r="AB372" s="1"/>
      <c r="AC372" s="1"/>
      <c r="AD372" s="1"/>
      <c r="AE372" s="1"/>
      <c r="AF372" s="1"/>
      <c r="AG372" s="1"/>
      <c r="AH372" s="1"/>
      <c r="AI372" s="1"/>
      <c r="AJ372" s="1"/>
      <c r="AK372" s="1"/>
      <c r="AL372" s="1"/>
      <c r="AM372" s="1"/>
      <c r="AN372"/>
      <c r="AO372" s="228"/>
      <c r="AP372" s="189"/>
      <c r="AQ372"/>
      <c r="AR372"/>
      <c r="AS372" s="228"/>
      <c r="AT372" s="139"/>
      <c r="AU372" s="139"/>
      <c r="AV372"/>
      <c r="AW372" s="262"/>
      <c r="AX372"/>
      <c r="AY372"/>
      <c r="AZ372"/>
      <c r="BA372"/>
      <c r="BF372"/>
      <c r="BG372" s="262"/>
      <c r="BJ372" s="262"/>
      <c r="BK372"/>
      <c r="BM372" s="108"/>
      <c r="BQ372"/>
      <c r="BR372" s="262"/>
      <c r="BS372"/>
      <c r="BU372"/>
      <c r="BX372"/>
      <c r="CD372" s="141"/>
      <c r="CK372"/>
      <c r="CM372"/>
      <c r="CO372"/>
      <c r="CP372"/>
      <c r="CQ372" s="143"/>
      <c r="CR372" s="143"/>
      <c r="CS372"/>
      <c r="CT372" s="262"/>
      <c r="CU372"/>
      <c r="CV372"/>
      <c r="CW372"/>
      <c r="CX372" s="143"/>
      <c r="CY372" s="143"/>
      <c r="CZ372" s="143"/>
      <c r="DA372" s="143"/>
      <c r="DB372"/>
      <c r="DC372"/>
      <c r="DD372" s="143"/>
      <c r="DE372"/>
      <c r="DF372" s="143"/>
      <c r="DG372"/>
      <c r="DH372"/>
      <c r="DI372"/>
      <c r="DJ372"/>
      <c r="DK372"/>
      <c r="DL372" s="139"/>
      <c r="DM372"/>
      <c r="DN372" s="26"/>
      <c r="DO372" s="26"/>
      <c r="DP372"/>
      <c r="DQ372" s="262"/>
      <c r="DR372"/>
      <c r="DS372"/>
      <c r="DT372"/>
    </row>
    <row r="373" spans="1:165" s="31" customFormat="1" ht="15.75" customHeight="1">
      <c r="A373" s="1"/>
      <c r="B373" s="1"/>
      <c r="C373" s="1"/>
      <c r="D373" s="1"/>
      <c r="E373" s="1"/>
      <c r="F373" s="1"/>
      <c r="G373" s="1"/>
      <c r="H373" s="1"/>
      <c r="I373" s="1"/>
      <c r="J373" s="1"/>
      <c r="K373" s="1"/>
      <c r="L373" s="1"/>
      <c r="M373" s="1"/>
      <c r="N373" s="1"/>
      <c r="O373" s="1"/>
      <c r="P373"/>
      <c r="Q373" s="130"/>
      <c r="R373" s="1"/>
      <c r="S373" s="1"/>
      <c r="T373" s="1"/>
      <c r="U373" s="1"/>
      <c r="V373" s="1"/>
      <c r="W373" s="1"/>
      <c r="X373" s="1"/>
      <c r="Y373" s="1"/>
      <c r="Z373" s="1"/>
      <c r="AA373" s="1"/>
      <c r="AB373" s="1"/>
      <c r="AC373" s="1"/>
      <c r="AD373" s="1"/>
      <c r="AE373" s="1"/>
      <c r="AF373" s="1"/>
      <c r="AG373" s="1"/>
      <c r="AH373" s="1"/>
      <c r="AI373" s="1"/>
      <c r="AJ373" s="1"/>
      <c r="AK373" s="1"/>
      <c r="AL373" s="1"/>
      <c r="AM373" s="1"/>
      <c r="AN373"/>
      <c r="AO373" s="228"/>
      <c r="AP373" s="189"/>
      <c r="AQ373"/>
      <c r="AR373"/>
      <c r="AS373" s="228"/>
      <c r="AT373" s="139"/>
      <c r="AU373" s="139"/>
      <c r="AV373"/>
      <c r="AW373" s="262"/>
      <c r="AX373"/>
      <c r="AY373"/>
      <c r="AZ373"/>
      <c r="BA373"/>
      <c r="BF373"/>
      <c r="BG373" s="262"/>
      <c r="BJ373" s="262"/>
      <c r="BK373"/>
      <c r="BM373" s="108"/>
      <c r="BQ373"/>
      <c r="BR373" s="262"/>
      <c r="BS373"/>
      <c r="BU373"/>
      <c r="BX373"/>
      <c r="CD373" s="141"/>
      <c r="CK373"/>
      <c r="CM373"/>
      <c r="CO373"/>
      <c r="CP373"/>
      <c r="CQ373" s="143"/>
      <c r="CR373" s="143"/>
      <c r="CS373"/>
      <c r="CT373" s="262"/>
      <c r="CU373"/>
      <c r="CV373"/>
      <c r="CW373"/>
      <c r="CX373" s="143"/>
      <c r="CY373" s="143"/>
      <c r="CZ373" s="143"/>
      <c r="DA373" s="143"/>
      <c r="DB373"/>
      <c r="DC373"/>
      <c r="DD373" s="143"/>
      <c r="DE373"/>
      <c r="DF373" s="143"/>
      <c r="DG373"/>
      <c r="DH373"/>
      <c r="DI373"/>
      <c r="DJ373"/>
      <c r="DK373"/>
      <c r="DL373" s="139"/>
      <c r="DM373"/>
      <c r="DN373" s="26"/>
      <c r="DO373" s="26"/>
      <c r="DP373"/>
      <c r="DQ373" s="262"/>
      <c r="DR373"/>
      <c r="DS373"/>
      <c r="DT373"/>
    </row>
    <row r="374" spans="1:165" s="31" customFormat="1" ht="15.75" customHeight="1">
      <c r="A374" s="1"/>
      <c r="B374" s="1"/>
      <c r="C374" s="1"/>
      <c r="D374" s="1"/>
      <c r="E374" s="1"/>
      <c r="F374" s="1"/>
      <c r="G374" s="1"/>
      <c r="H374" s="1"/>
      <c r="I374" s="1"/>
      <c r="J374" s="1"/>
      <c r="K374" s="1"/>
      <c r="L374" s="1"/>
      <c r="M374" s="1"/>
      <c r="N374" s="1"/>
      <c r="O374" s="1"/>
      <c r="P374"/>
      <c r="Q374" s="130"/>
      <c r="R374" s="1"/>
      <c r="S374" s="1"/>
      <c r="T374" s="1"/>
      <c r="U374" s="1"/>
      <c r="V374" s="1"/>
      <c r="W374" s="1"/>
      <c r="X374" s="1"/>
      <c r="Y374" s="1"/>
      <c r="Z374" s="1"/>
      <c r="AA374" s="1"/>
      <c r="AB374" s="1"/>
      <c r="AC374" s="1"/>
      <c r="AD374" s="1"/>
      <c r="AE374" s="1"/>
      <c r="AF374" s="1"/>
      <c r="AG374" s="1"/>
      <c r="AH374" s="1"/>
      <c r="AI374" s="1"/>
      <c r="AJ374" s="1"/>
      <c r="AK374" s="1"/>
      <c r="AL374" s="1"/>
      <c r="AM374" s="1"/>
      <c r="AN374"/>
      <c r="AO374" s="228"/>
      <c r="AP374" s="189"/>
      <c r="AQ374"/>
      <c r="AR374"/>
      <c r="AS374" s="228"/>
      <c r="AT374" s="139"/>
      <c r="AU374" s="139"/>
      <c r="AV374"/>
      <c r="AW374" s="262"/>
      <c r="AX374"/>
      <c r="AY374"/>
      <c r="AZ374"/>
      <c r="BA374"/>
      <c r="BF374"/>
      <c r="BG374" s="262"/>
      <c r="BJ374" s="262"/>
      <c r="BK374"/>
      <c r="BM374" s="108"/>
      <c r="BQ374"/>
      <c r="BR374" s="262"/>
      <c r="BS374"/>
      <c r="BU374"/>
      <c r="BX374"/>
      <c r="CD374" s="141"/>
      <c r="CK374"/>
      <c r="CM374"/>
      <c r="CO374"/>
      <c r="CP374"/>
      <c r="CQ374" s="143"/>
      <c r="CR374" s="143"/>
      <c r="CS374"/>
      <c r="CT374" s="262"/>
      <c r="CU374"/>
      <c r="CV374"/>
      <c r="CW374"/>
      <c r="CX374" s="143"/>
      <c r="CY374" s="143"/>
      <c r="CZ374" s="143"/>
      <c r="DA374" s="143"/>
      <c r="DB374"/>
      <c r="DC374"/>
      <c r="DD374" s="143"/>
      <c r="DE374"/>
      <c r="DF374" s="143"/>
      <c r="DG374"/>
      <c r="DH374"/>
      <c r="DI374"/>
      <c r="DJ374"/>
      <c r="DK374"/>
      <c r="DL374" s="139"/>
      <c r="DM374"/>
      <c r="DN374" s="26"/>
      <c r="DO374" s="26"/>
      <c r="DP374"/>
      <c r="DQ374" s="262"/>
      <c r="DR374"/>
      <c r="DS374"/>
      <c r="DT374"/>
    </row>
    <row r="375" spans="1:165" s="31" customFormat="1" ht="15.75" customHeight="1">
      <c r="A375" s="1"/>
      <c r="B375" s="1"/>
      <c r="C375" s="1"/>
      <c r="D375" s="1"/>
      <c r="E375" s="1"/>
      <c r="F375" s="1"/>
      <c r="G375" s="1"/>
      <c r="H375" s="1"/>
      <c r="I375" s="1"/>
      <c r="J375" s="1"/>
      <c r="K375" s="1"/>
      <c r="L375" s="1"/>
      <c r="M375" s="1"/>
      <c r="N375" s="1"/>
      <c r="O375" s="1"/>
      <c r="P375"/>
      <c r="Q375" s="130"/>
      <c r="R375" s="1"/>
      <c r="S375" s="1"/>
      <c r="T375" s="1"/>
      <c r="U375" s="1"/>
      <c r="V375" s="1"/>
      <c r="W375" s="1"/>
      <c r="X375" s="1"/>
      <c r="Y375" s="1"/>
      <c r="Z375" s="1"/>
      <c r="AA375" s="1"/>
      <c r="AB375" s="1"/>
      <c r="AC375" s="1"/>
      <c r="AD375" s="1"/>
      <c r="AE375" s="1"/>
      <c r="AF375" s="1"/>
      <c r="AG375" s="1"/>
      <c r="AH375" s="1"/>
      <c r="AI375" s="1"/>
      <c r="AJ375" s="1"/>
      <c r="AK375" s="1"/>
      <c r="AL375" s="1"/>
      <c r="AM375" s="1"/>
      <c r="AN375"/>
      <c r="AO375" s="228"/>
      <c r="AP375" s="189"/>
      <c r="AQ375"/>
      <c r="AR375"/>
      <c r="AS375" s="228"/>
      <c r="AT375" s="139"/>
      <c r="AU375" s="139"/>
      <c r="AV375"/>
      <c r="AW375" s="262"/>
      <c r="AX375"/>
      <c r="AY375"/>
      <c r="AZ375"/>
      <c r="BA375"/>
      <c r="BB375"/>
      <c r="BC375"/>
      <c r="BD375"/>
      <c r="BE375"/>
      <c r="BF375"/>
      <c r="BG375" s="262"/>
      <c r="BI375"/>
      <c r="BJ375" s="262"/>
      <c r="BK375"/>
      <c r="BL375"/>
      <c r="BM375" s="108"/>
      <c r="BN375"/>
      <c r="BO375"/>
      <c r="BP375"/>
      <c r="BQ375"/>
      <c r="BR375" s="262"/>
      <c r="BS375"/>
      <c r="BT375"/>
      <c r="BU375"/>
      <c r="BX375"/>
      <c r="BY375"/>
      <c r="BZ375"/>
      <c r="CA375"/>
      <c r="CB375"/>
      <c r="CC375"/>
      <c r="CD375" s="141"/>
      <c r="CE375"/>
      <c r="CF375"/>
      <c r="CG375"/>
      <c r="CH375"/>
      <c r="CI375"/>
      <c r="CJ375"/>
      <c r="CK375"/>
      <c r="CL375"/>
      <c r="CM375"/>
      <c r="CN375"/>
      <c r="CO375"/>
      <c r="CP375"/>
      <c r="CQ375" s="143"/>
      <c r="CR375" s="143"/>
      <c r="CS375"/>
      <c r="CT375" s="262"/>
      <c r="CU375"/>
      <c r="CV375"/>
      <c r="CW375"/>
      <c r="CX375" s="143"/>
      <c r="CY375" s="143"/>
      <c r="CZ375" s="143"/>
      <c r="DA375" s="143"/>
      <c r="DB375"/>
      <c r="DC375"/>
      <c r="DD375" s="143"/>
      <c r="DE375"/>
      <c r="DF375" s="143"/>
      <c r="DG375"/>
      <c r="DH375"/>
      <c r="DI375"/>
      <c r="DJ375"/>
      <c r="DK375"/>
      <c r="DL375" s="139"/>
      <c r="DM375"/>
      <c r="DN375" s="26"/>
      <c r="DO375" s="26"/>
      <c r="DP375"/>
      <c r="DQ375" s="262"/>
      <c r="DR375"/>
      <c r="DS375"/>
      <c r="DT375"/>
    </row>
    <row r="376" spans="1:165" s="31" customFormat="1" ht="15.75" customHeight="1">
      <c r="A376" s="1"/>
      <c r="B376" s="1"/>
      <c r="C376" s="1"/>
      <c r="D376" s="1"/>
      <c r="E376" s="1"/>
      <c r="F376" s="1"/>
      <c r="G376" s="1"/>
      <c r="H376" s="1"/>
      <c r="I376" s="1"/>
      <c r="J376" s="1"/>
      <c r="K376" s="1"/>
      <c r="L376" s="1"/>
      <c r="M376" s="1"/>
      <c r="N376" s="1"/>
      <c r="O376" s="1"/>
      <c r="P376"/>
      <c r="Q376" s="130"/>
      <c r="R376" s="1"/>
      <c r="S376" s="1"/>
      <c r="T376" s="1"/>
      <c r="U376" s="1"/>
      <c r="V376" s="1"/>
      <c r="W376" s="1"/>
      <c r="X376" s="1"/>
      <c r="Y376" s="1"/>
      <c r="Z376" s="1"/>
      <c r="AA376" s="1"/>
      <c r="AB376" s="1"/>
      <c r="AC376" s="1"/>
      <c r="AD376" s="1"/>
      <c r="AE376" s="1"/>
      <c r="AF376" s="1"/>
      <c r="AG376" s="1"/>
      <c r="AH376" s="1"/>
      <c r="AI376" s="1"/>
      <c r="AJ376" s="1"/>
      <c r="AK376" s="1"/>
      <c r="AL376" s="1"/>
      <c r="AM376" s="1"/>
      <c r="AN376"/>
      <c r="AO376" s="228"/>
      <c r="AP376" s="189"/>
      <c r="AQ376"/>
      <c r="AR376"/>
      <c r="AS376" s="228"/>
      <c r="AT376" s="139"/>
      <c r="AU376" s="139"/>
      <c r="AV376"/>
      <c r="AW376" s="262"/>
      <c r="AX376"/>
      <c r="AY376"/>
      <c r="AZ376"/>
      <c r="BA376"/>
      <c r="BB376"/>
      <c r="BC376"/>
      <c r="BD376"/>
      <c r="BE376"/>
      <c r="BF376"/>
      <c r="BG376" s="262"/>
      <c r="BI376"/>
      <c r="BJ376" s="262"/>
      <c r="BK376"/>
      <c r="BL376"/>
      <c r="BM376" s="108"/>
      <c r="BN376"/>
      <c r="BO376"/>
      <c r="BP376"/>
      <c r="BQ376"/>
      <c r="BR376" s="262"/>
      <c r="BS376"/>
      <c r="BT376"/>
      <c r="BU376"/>
      <c r="BX376"/>
      <c r="BY376"/>
      <c r="BZ376"/>
      <c r="CA376"/>
      <c r="CB376"/>
      <c r="CC376"/>
      <c r="CD376" s="141"/>
      <c r="CE376"/>
      <c r="CF376"/>
      <c r="CG376"/>
      <c r="CH376"/>
      <c r="CI376"/>
      <c r="CJ376"/>
      <c r="CK376"/>
      <c r="CL376"/>
      <c r="CM376"/>
      <c r="CN376"/>
      <c r="CO376"/>
      <c r="CP376"/>
      <c r="CQ376" s="143"/>
      <c r="CR376" s="143"/>
      <c r="CS376"/>
      <c r="CT376" s="262"/>
      <c r="CU376"/>
      <c r="CV376"/>
      <c r="CW376"/>
      <c r="CX376" s="143"/>
      <c r="CY376" s="143"/>
      <c r="CZ376" s="143"/>
      <c r="DA376" s="143"/>
      <c r="DB376"/>
      <c r="DC376"/>
      <c r="DD376" s="143"/>
      <c r="DE376"/>
      <c r="DF376" s="143"/>
      <c r="DG376"/>
      <c r="DH376"/>
      <c r="DI376"/>
      <c r="DJ376"/>
      <c r="DK376"/>
      <c r="DL376" s="139"/>
      <c r="DM376"/>
      <c r="DN376" s="26"/>
      <c r="DO376" s="26"/>
      <c r="DP376"/>
      <c r="DQ376" s="262"/>
      <c r="DR376"/>
      <c r="DS376"/>
      <c r="DT376"/>
    </row>
    <row r="377" spans="1:165" s="31" customFormat="1" ht="15.75" customHeight="1">
      <c r="A377" s="1"/>
      <c r="B377" s="1"/>
      <c r="C377" s="1"/>
      <c r="D377" s="1"/>
      <c r="E377" s="1"/>
      <c r="F377" s="1"/>
      <c r="G377" s="1"/>
      <c r="H377" s="1"/>
      <c r="I377" s="1"/>
      <c r="J377" s="1"/>
      <c r="K377" s="1"/>
      <c r="L377" s="1"/>
      <c r="M377" s="1"/>
      <c r="N377" s="1"/>
      <c r="O377" s="1"/>
      <c r="P377"/>
      <c r="Q377" s="130"/>
      <c r="R377" s="1"/>
      <c r="S377" s="1"/>
      <c r="T377" s="1"/>
      <c r="U377" s="1"/>
      <c r="V377" s="1"/>
      <c r="W377" s="1"/>
      <c r="X377" s="1"/>
      <c r="Y377" s="1"/>
      <c r="Z377" s="1"/>
      <c r="AA377" s="1"/>
      <c r="AB377" s="1"/>
      <c r="AC377" s="1"/>
      <c r="AD377" s="1"/>
      <c r="AE377" s="1"/>
      <c r="AF377" s="1"/>
      <c r="AG377" s="1"/>
      <c r="AH377" s="1"/>
      <c r="AI377" s="1"/>
      <c r="AJ377" s="1"/>
      <c r="AK377" s="1"/>
      <c r="AL377" s="1"/>
      <c r="AM377" s="1"/>
      <c r="AN377"/>
      <c r="AO377" s="228"/>
      <c r="AP377" s="189"/>
      <c r="AQ377"/>
      <c r="AR377"/>
      <c r="AS377" s="228"/>
      <c r="AT377" s="139"/>
      <c r="AU377" s="139"/>
      <c r="AV377"/>
      <c r="AW377" s="262"/>
      <c r="AX377"/>
      <c r="AY377"/>
      <c r="AZ377"/>
      <c r="BA377"/>
      <c r="BF377"/>
      <c r="BG377" s="262"/>
      <c r="BJ377" s="262"/>
      <c r="BK377"/>
      <c r="BM377" s="108"/>
      <c r="BQ377"/>
      <c r="BR377" s="262"/>
      <c r="BS377"/>
      <c r="BU377"/>
      <c r="BX377"/>
      <c r="CD377" s="141"/>
      <c r="CK377"/>
      <c r="CM377"/>
      <c r="CO377"/>
      <c r="CP377"/>
      <c r="CQ377" s="143"/>
      <c r="CR377" s="143"/>
      <c r="CS377"/>
      <c r="CT377" s="262"/>
      <c r="CU377"/>
      <c r="CV377"/>
      <c r="CW377"/>
      <c r="CX377" s="143"/>
      <c r="CY377" s="143"/>
      <c r="CZ377" s="143"/>
      <c r="DA377" s="143"/>
      <c r="DB377"/>
      <c r="DC377"/>
      <c r="DD377" s="143"/>
      <c r="DE377"/>
      <c r="DF377" s="143"/>
      <c r="DG377"/>
      <c r="DH377"/>
      <c r="DI377"/>
      <c r="DJ377"/>
      <c r="DK377"/>
      <c r="DL377" s="139"/>
      <c r="DM377"/>
      <c r="DN377" s="26"/>
      <c r="DO377" s="26"/>
      <c r="DP377"/>
      <c r="DQ377" s="262"/>
      <c r="DR377"/>
      <c r="DS377"/>
      <c r="DT377"/>
    </row>
    <row r="378" spans="1:165" s="31" customFormat="1" ht="15.75" customHeight="1">
      <c r="A378" s="1"/>
      <c r="B378" s="1"/>
      <c r="C378" s="1"/>
      <c r="D378" s="1"/>
      <c r="E378" s="1"/>
      <c r="F378" s="1"/>
      <c r="G378" s="1"/>
      <c r="H378" s="1"/>
      <c r="I378" s="1"/>
      <c r="J378" s="1"/>
      <c r="K378" s="1"/>
      <c r="L378" s="1"/>
      <c r="M378" s="1"/>
      <c r="N378" s="1"/>
      <c r="O378" s="1"/>
      <c r="P378"/>
      <c r="Q378" s="130"/>
      <c r="R378" s="1"/>
      <c r="S378" s="1"/>
      <c r="T378" s="1"/>
      <c r="U378" s="1"/>
      <c r="V378" s="1"/>
      <c r="W378" s="1"/>
      <c r="X378" s="1"/>
      <c r="Y378" s="1"/>
      <c r="Z378" s="1"/>
      <c r="AA378" s="1"/>
      <c r="AB378" s="1"/>
      <c r="AC378" s="1"/>
      <c r="AD378" s="1"/>
      <c r="AE378" s="1"/>
      <c r="AF378" s="1"/>
      <c r="AG378" s="1"/>
      <c r="AH378" s="1"/>
      <c r="AI378" s="1"/>
      <c r="AJ378" s="1"/>
      <c r="AK378" s="1"/>
      <c r="AL378" s="1"/>
      <c r="AM378" s="1"/>
      <c r="AN378"/>
      <c r="AO378" s="228"/>
      <c r="AP378" s="189"/>
      <c r="AQ378"/>
      <c r="AR378"/>
      <c r="AS378" s="228"/>
      <c r="AT378" s="139"/>
      <c r="AU378" s="139"/>
      <c r="AV378"/>
      <c r="AW378" s="262"/>
      <c r="AX378"/>
      <c r="AY378"/>
      <c r="AZ378"/>
      <c r="BA378"/>
      <c r="BF378"/>
      <c r="BG378" s="262"/>
      <c r="BJ378" s="262"/>
      <c r="BK378"/>
      <c r="BM378" s="108"/>
      <c r="BQ378"/>
      <c r="BR378" s="262"/>
      <c r="BS378"/>
      <c r="BU378"/>
      <c r="BX378"/>
      <c r="CD378" s="141"/>
      <c r="CK378"/>
      <c r="CM378"/>
      <c r="CO378"/>
      <c r="CP378"/>
      <c r="CQ378" s="143"/>
      <c r="CR378" s="143"/>
      <c r="CS378"/>
      <c r="CT378" s="262"/>
      <c r="CU378"/>
      <c r="CV378"/>
      <c r="CW378"/>
      <c r="CX378" s="143"/>
      <c r="CY378" s="143"/>
      <c r="CZ378" s="143"/>
      <c r="DA378" s="143"/>
      <c r="DB378"/>
      <c r="DC378"/>
      <c r="DD378" s="143"/>
      <c r="DE378"/>
      <c r="DF378" s="143"/>
      <c r="DG378"/>
      <c r="DH378"/>
      <c r="DI378"/>
      <c r="DJ378"/>
      <c r="DK378"/>
      <c r="DL378" s="139"/>
      <c r="DM378"/>
      <c r="DN378" s="26"/>
      <c r="DO378" s="26"/>
      <c r="DP378"/>
      <c r="DQ378" s="262"/>
      <c r="DR378"/>
      <c r="DS378"/>
      <c r="DT378"/>
    </row>
    <row r="379" spans="1:165" s="31" customFormat="1" ht="15.75" customHeight="1">
      <c r="A379" s="1"/>
      <c r="B379" s="1"/>
      <c r="C379" s="1"/>
      <c r="D379" s="1"/>
      <c r="E379" s="1"/>
      <c r="F379" s="1"/>
      <c r="G379" s="1"/>
      <c r="H379" s="1"/>
      <c r="I379" s="1"/>
      <c r="J379" s="1"/>
      <c r="K379" s="1"/>
      <c r="L379" s="1"/>
      <c r="M379" s="1"/>
      <c r="N379" s="1"/>
      <c r="O379" s="1"/>
      <c r="P379"/>
      <c r="Q379" s="130"/>
      <c r="R379" s="1"/>
      <c r="S379" s="1"/>
      <c r="T379" s="1"/>
      <c r="U379" s="1"/>
      <c r="V379" s="1"/>
      <c r="W379" s="1"/>
      <c r="X379" s="1"/>
      <c r="Y379" s="1"/>
      <c r="Z379" s="1"/>
      <c r="AA379" s="1"/>
      <c r="AB379" s="1"/>
      <c r="AC379" s="1"/>
      <c r="AD379" s="1"/>
      <c r="AE379" s="1"/>
      <c r="AF379" s="1"/>
      <c r="AG379" s="1"/>
      <c r="AH379" s="1"/>
      <c r="AI379" s="1"/>
      <c r="AJ379" s="1"/>
      <c r="AK379" s="1"/>
      <c r="AL379" s="1"/>
      <c r="AM379" s="1"/>
      <c r="AN379"/>
      <c r="AO379" s="228"/>
      <c r="AP379" s="189"/>
      <c r="AQ379"/>
      <c r="AR379"/>
      <c r="AS379" s="228"/>
      <c r="AT379" s="139"/>
      <c r="AU379" s="139"/>
      <c r="AV379"/>
      <c r="AW379" s="262"/>
      <c r="AX379"/>
      <c r="AY379"/>
      <c r="AZ379"/>
      <c r="BA379"/>
      <c r="BF379"/>
      <c r="BG379" s="262"/>
      <c r="BJ379" s="262"/>
      <c r="BK379"/>
      <c r="BM379" s="108"/>
      <c r="BQ379"/>
      <c r="BR379" s="262"/>
      <c r="BS379"/>
      <c r="BU379"/>
      <c r="BX379"/>
      <c r="CD379" s="141"/>
      <c r="CK379"/>
      <c r="CM379"/>
      <c r="CO379"/>
      <c r="CP379"/>
      <c r="CQ379" s="143"/>
      <c r="CR379" s="143"/>
      <c r="CS379"/>
      <c r="CT379" s="262"/>
      <c r="CU379"/>
      <c r="CV379"/>
      <c r="CW379"/>
      <c r="CX379" s="143"/>
      <c r="CY379" s="143"/>
      <c r="CZ379" s="143"/>
      <c r="DA379" s="143"/>
      <c r="DB379"/>
      <c r="DC379"/>
      <c r="DD379" s="143"/>
      <c r="DE379"/>
      <c r="DF379" s="143"/>
      <c r="DG379"/>
      <c r="DH379"/>
      <c r="DI379"/>
      <c r="DJ379"/>
      <c r="DK379"/>
      <c r="DL379" s="139"/>
      <c r="DM379"/>
      <c r="DN379" s="26"/>
      <c r="DO379" s="26"/>
      <c r="DP379"/>
      <c r="DQ379" s="262"/>
      <c r="DR379"/>
      <c r="DS379"/>
      <c r="DT379"/>
    </row>
    <row r="380" spans="1:165" s="31" customFormat="1" ht="15.75" customHeight="1">
      <c r="A380" s="1"/>
      <c r="B380" s="1"/>
      <c r="C380" s="1"/>
      <c r="D380" s="1"/>
      <c r="E380" s="1"/>
      <c r="F380" s="1"/>
      <c r="G380" s="1"/>
      <c r="H380" s="1"/>
      <c r="I380" s="1"/>
      <c r="J380" s="1"/>
      <c r="K380" s="1"/>
      <c r="L380" s="1"/>
      <c r="M380" s="1"/>
      <c r="N380" s="1"/>
      <c r="O380" s="1"/>
      <c r="P380"/>
      <c r="Q380" s="130"/>
      <c r="R380" s="1"/>
      <c r="S380" s="1"/>
      <c r="T380" s="1"/>
      <c r="U380" s="1"/>
      <c r="V380" s="1"/>
      <c r="W380" s="1"/>
      <c r="X380" s="1"/>
      <c r="Y380" s="1"/>
      <c r="Z380" s="1"/>
      <c r="AA380" s="1"/>
      <c r="AB380" s="1"/>
      <c r="AC380" s="1"/>
      <c r="AD380" s="1"/>
      <c r="AE380" s="1"/>
      <c r="AF380" s="1"/>
      <c r="AG380" s="1"/>
      <c r="AH380" s="1"/>
      <c r="AI380" s="1"/>
      <c r="AJ380" s="1"/>
      <c r="AK380" s="1"/>
      <c r="AL380" s="1"/>
      <c r="AM380" s="1"/>
      <c r="AN380"/>
      <c r="AO380" s="228"/>
      <c r="AP380" s="189"/>
      <c r="AQ380"/>
      <c r="AR380"/>
      <c r="AS380" s="228"/>
      <c r="AT380" s="139"/>
      <c r="AU380" s="139"/>
      <c r="AV380"/>
      <c r="AW380" s="262"/>
      <c r="AX380"/>
      <c r="AY380"/>
      <c r="AZ380"/>
      <c r="BA380"/>
      <c r="BF380"/>
      <c r="BG380" s="262"/>
      <c r="BJ380" s="262"/>
      <c r="BK380"/>
      <c r="BM380" s="108"/>
      <c r="BQ380"/>
      <c r="BR380" s="262"/>
      <c r="BS380"/>
      <c r="BU380"/>
      <c r="BX380"/>
      <c r="CD380" s="141"/>
      <c r="CK380"/>
      <c r="CM380"/>
      <c r="CO380"/>
      <c r="CP380"/>
      <c r="CQ380" s="143"/>
      <c r="CR380" s="143"/>
      <c r="CS380"/>
      <c r="CT380" s="262"/>
      <c r="CU380"/>
      <c r="CV380"/>
      <c r="CW380"/>
      <c r="CX380" s="143"/>
      <c r="CY380" s="143"/>
      <c r="CZ380" s="143"/>
      <c r="DA380" s="143"/>
      <c r="DB380"/>
      <c r="DC380"/>
      <c r="DD380" s="143"/>
      <c r="DE380"/>
      <c r="DF380" s="143"/>
      <c r="DG380"/>
      <c r="DH380"/>
      <c r="DI380"/>
      <c r="DJ380"/>
      <c r="DK380"/>
      <c r="DL380" s="139"/>
      <c r="DM380"/>
      <c r="DN380" s="26"/>
      <c r="DO380" s="26"/>
      <c r="DP380"/>
      <c r="DQ380" s="262"/>
      <c r="DR380"/>
      <c r="DS380"/>
      <c r="DT380"/>
    </row>
    <row r="381" spans="1:165" s="31" customFormat="1" ht="15.75" customHeight="1">
      <c r="A381" s="1"/>
      <c r="B381" s="1"/>
      <c r="C381" s="1"/>
      <c r="D381" s="1"/>
      <c r="E381" s="1"/>
      <c r="F381" s="1"/>
      <c r="G381" s="1"/>
      <c r="H381" s="1"/>
      <c r="I381" s="1"/>
      <c r="J381" s="1"/>
      <c r="K381" s="1"/>
      <c r="L381" s="1"/>
      <c r="M381" s="1"/>
      <c r="N381" s="1"/>
      <c r="O381" s="1"/>
      <c r="P381"/>
      <c r="Q381" s="130"/>
      <c r="R381" s="1"/>
      <c r="S381" s="1"/>
      <c r="T381" s="1"/>
      <c r="U381" s="1"/>
      <c r="V381" s="1"/>
      <c r="W381" s="1"/>
      <c r="X381" s="1"/>
      <c r="Y381" s="1"/>
      <c r="Z381" s="1"/>
      <c r="AA381" s="1"/>
      <c r="AB381" s="1"/>
      <c r="AC381" s="1"/>
      <c r="AD381" s="1"/>
      <c r="AE381" s="1"/>
      <c r="AF381" s="1"/>
      <c r="AG381" s="1"/>
      <c r="AH381" s="1"/>
      <c r="AI381" s="1"/>
      <c r="AJ381" s="1"/>
      <c r="AK381" s="1"/>
      <c r="AL381" s="1"/>
      <c r="AM381" s="1"/>
      <c r="AN381"/>
      <c r="AO381" s="228"/>
      <c r="AP381" s="189"/>
      <c r="AQ381"/>
      <c r="AR381"/>
      <c r="AS381" s="228"/>
      <c r="AT381" s="139"/>
      <c r="AU381" s="139"/>
      <c r="AV381"/>
      <c r="AW381" s="262"/>
      <c r="AX381"/>
      <c r="AY381"/>
      <c r="AZ381"/>
      <c r="BA381"/>
      <c r="BF381"/>
      <c r="BG381" s="262"/>
      <c r="BJ381" s="262"/>
      <c r="BK381"/>
      <c r="BM381" s="108"/>
      <c r="BQ381"/>
      <c r="BR381" s="262"/>
      <c r="BS381"/>
      <c r="BU381"/>
      <c r="BX381"/>
      <c r="CD381" s="141"/>
      <c r="CK381"/>
      <c r="CM381"/>
      <c r="CO381"/>
      <c r="CP381"/>
      <c r="CQ381" s="143"/>
      <c r="CR381" s="143"/>
      <c r="CS381"/>
      <c r="CT381" s="262"/>
      <c r="CU381"/>
      <c r="CV381"/>
      <c r="CW381"/>
      <c r="CX381" s="143"/>
      <c r="CY381" s="143"/>
      <c r="CZ381" s="143"/>
      <c r="DA381" s="143"/>
      <c r="DB381"/>
      <c r="DC381"/>
      <c r="DD381" s="143"/>
      <c r="DE381"/>
      <c r="DF381" s="143"/>
      <c r="DG381"/>
      <c r="DH381"/>
      <c r="DI381"/>
      <c r="DJ381"/>
      <c r="DK381"/>
      <c r="DL381" s="139"/>
      <c r="DM381"/>
      <c r="DN381" s="26"/>
      <c r="DO381" s="26"/>
      <c r="DP381"/>
      <c r="DQ381" s="262"/>
      <c r="DR381"/>
      <c r="DS381"/>
      <c r="DT381"/>
    </row>
    <row r="382" spans="1:165" s="31" customFormat="1" ht="15.75" customHeight="1">
      <c r="A382" s="1"/>
      <c r="B382" s="1"/>
      <c r="C382" s="1"/>
      <c r="D382" s="1"/>
      <c r="E382" s="1"/>
      <c r="F382" s="1"/>
      <c r="G382" s="1"/>
      <c r="H382" s="1"/>
      <c r="I382" s="1"/>
      <c r="J382" s="1"/>
      <c r="K382" s="1"/>
      <c r="L382" s="1"/>
      <c r="M382" s="1"/>
      <c r="N382" s="1"/>
      <c r="O382" s="1"/>
      <c r="P382"/>
      <c r="Q382" s="130"/>
      <c r="R382" s="1"/>
      <c r="S382" s="1"/>
      <c r="T382" s="1"/>
      <c r="U382" s="1"/>
      <c r="V382" s="1"/>
      <c r="W382" s="1"/>
      <c r="X382" s="1"/>
      <c r="Y382" s="1"/>
      <c r="Z382" s="1"/>
      <c r="AA382" s="1"/>
      <c r="AB382" s="1"/>
      <c r="AC382" s="1"/>
      <c r="AD382" s="1"/>
      <c r="AE382" s="1"/>
      <c r="AF382" s="1"/>
      <c r="AG382" s="1"/>
      <c r="AH382" s="1"/>
      <c r="AI382" s="1"/>
      <c r="AJ382" s="1"/>
      <c r="AK382" s="1"/>
      <c r="AL382" s="1"/>
      <c r="AM382" s="1"/>
      <c r="AN382"/>
      <c r="AO382" s="228"/>
      <c r="AP382" s="189"/>
      <c r="AQ382"/>
      <c r="AR382"/>
      <c r="AS382" s="228"/>
      <c r="AT382" s="139"/>
      <c r="AU382" s="139"/>
      <c r="AV382"/>
      <c r="AW382" s="262"/>
      <c r="AX382"/>
      <c r="AY382"/>
      <c r="AZ382"/>
      <c r="BA382"/>
      <c r="BF382"/>
      <c r="BG382" s="262"/>
      <c r="BJ382" s="262"/>
      <c r="BK382"/>
      <c r="BM382" s="108"/>
      <c r="BQ382"/>
      <c r="BR382" s="262"/>
      <c r="BS382"/>
      <c r="BU382"/>
      <c r="BX382"/>
      <c r="CD382" s="141"/>
      <c r="CK382"/>
      <c r="CM382"/>
      <c r="CO382"/>
      <c r="CP382"/>
      <c r="CQ382" s="143"/>
      <c r="CR382" s="143"/>
      <c r="CS382"/>
      <c r="CT382" s="262"/>
      <c r="CU382"/>
      <c r="CV382"/>
      <c r="CW382"/>
      <c r="CX382" s="143"/>
      <c r="CY382" s="143"/>
      <c r="CZ382" s="143"/>
      <c r="DA382" s="143"/>
      <c r="DB382"/>
      <c r="DC382"/>
      <c r="DD382" s="143"/>
      <c r="DE382"/>
      <c r="DF382" s="143"/>
      <c r="DG382"/>
      <c r="DH382"/>
      <c r="DI382"/>
      <c r="DJ382"/>
      <c r="DK382"/>
      <c r="DL382" s="139"/>
      <c r="DM382"/>
      <c r="DN382" s="26"/>
      <c r="DO382" s="26"/>
      <c r="DP382"/>
      <c r="DQ382" s="262"/>
      <c r="DR382"/>
      <c r="DS382"/>
      <c r="DT382"/>
      <c r="DZ382"/>
    </row>
    <row r="383" spans="1:165" s="31" customFormat="1" ht="15.75" customHeight="1">
      <c r="A383" s="1"/>
      <c r="B383" s="1"/>
      <c r="C383" s="1"/>
      <c r="D383" s="1"/>
      <c r="E383" s="1"/>
      <c r="F383" s="1"/>
      <c r="G383" s="1"/>
      <c r="H383" s="1"/>
      <c r="I383" s="1"/>
      <c r="J383" s="1"/>
      <c r="K383" s="1"/>
      <c r="L383" s="1"/>
      <c r="M383" s="1"/>
      <c r="N383" s="1"/>
      <c r="O383" s="1"/>
      <c r="P383"/>
      <c r="Q383" s="130"/>
      <c r="R383" s="1"/>
      <c r="S383" s="1"/>
      <c r="T383" s="1"/>
      <c r="U383" s="1"/>
      <c r="V383" s="1"/>
      <c r="W383" s="1"/>
      <c r="X383" s="1"/>
      <c r="Y383" s="1"/>
      <c r="Z383" s="1"/>
      <c r="AA383" s="1"/>
      <c r="AB383" s="1"/>
      <c r="AC383" s="1"/>
      <c r="AD383" s="1"/>
      <c r="AE383" s="1"/>
      <c r="AF383" s="1"/>
      <c r="AG383" s="1"/>
      <c r="AH383" s="1"/>
      <c r="AI383" s="1"/>
      <c r="AJ383" s="1"/>
      <c r="AK383" s="1"/>
      <c r="AL383" s="1"/>
      <c r="AM383" s="1"/>
      <c r="AN383"/>
      <c r="AO383" s="228"/>
      <c r="AP383" s="189"/>
      <c r="AQ383"/>
      <c r="AR383"/>
      <c r="AS383" s="228"/>
      <c r="AT383" s="139"/>
      <c r="AU383" s="139"/>
      <c r="AV383"/>
      <c r="AW383" s="262"/>
      <c r="AX383"/>
      <c r="AY383"/>
      <c r="AZ383"/>
      <c r="BA383"/>
      <c r="BF383"/>
      <c r="BG383" s="262"/>
      <c r="BJ383" s="262"/>
      <c r="BK383"/>
      <c r="BM383" s="108"/>
      <c r="BQ383"/>
      <c r="BR383" s="262"/>
      <c r="BS383"/>
      <c r="BU383"/>
      <c r="BX383"/>
      <c r="CD383" s="141"/>
      <c r="CK383"/>
      <c r="CM383"/>
      <c r="CO383"/>
      <c r="CP383"/>
      <c r="CQ383" s="143"/>
      <c r="CR383" s="143"/>
      <c r="CS383"/>
      <c r="CT383" s="262"/>
      <c r="CU383"/>
      <c r="CV383"/>
      <c r="CW383"/>
      <c r="CX383" s="143"/>
      <c r="CY383" s="143"/>
      <c r="CZ383" s="143"/>
      <c r="DA383" s="143"/>
      <c r="DB383"/>
      <c r="DC383"/>
      <c r="DD383" s="143"/>
      <c r="DE383"/>
      <c r="DF383" s="143"/>
      <c r="DG383"/>
      <c r="DH383"/>
      <c r="DI383"/>
      <c r="DJ383"/>
      <c r="DK383"/>
      <c r="DL383" s="139"/>
      <c r="DM383"/>
      <c r="DN383" s="26"/>
      <c r="DO383" s="26"/>
      <c r="DP383"/>
      <c r="DQ383" s="262"/>
      <c r="DR383"/>
      <c r="DS383"/>
      <c r="DT383"/>
      <c r="DZ383"/>
    </row>
    <row r="384" spans="1:165" s="31" customFormat="1" ht="15.75" customHeight="1">
      <c r="A384" s="1"/>
      <c r="B384" s="1"/>
      <c r="C384" s="1"/>
      <c r="D384" s="1"/>
      <c r="E384" s="1"/>
      <c r="F384" s="1"/>
      <c r="G384" s="1"/>
      <c r="H384" s="1"/>
      <c r="I384" s="1"/>
      <c r="J384" s="1"/>
      <c r="K384" s="1"/>
      <c r="L384" s="1"/>
      <c r="M384" s="1"/>
      <c r="N384" s="1"/>
      <c r="O384" s="1"/>
      <c r="P384"/>
      <c r="Q384" s="130"/>
      <c r="R384" s="1"/>
      <c r="S384" s="1"/>
      <c r="T384" s="1"/>
      <c r="U384" s="1"/>
      <c r="V384" s="1"/>
      <c r="W384" s="1"/>
      <c r="X384" s="1"/>
      <c r="Y384" s="1"/>
      <c r="Z384" s="1"/>
      <c r="AA384" s="1"/>
      <c r="AB384" s="1"/>
      <c r="AC384" s="1"/>
      <c r="AD384" s="1"/>
      <c r="AE384" s="1"/>
      <c r="AF384" s="1"/>
      <c r="AG384" s="1"/>
      <c r="AH384" s="1"/>
      <c r="AI384" s="1"/>
      <c r="AJ384" s="1"/>
      <c r="AK384" s="1"/>
      <c r="AL384" s="1"/>
      <c r="AM384" s="1"/>
      <c r="AN384"/>
      <c r="AO384" s="228"/>
      <c r="AP384" s="189"/>
      <c r="AQ384"/>
      <c r="AR384"/>
      <c r="AS384" s="228"/>
      <c r="AT384" s="139"/>
      <c r="AU384" s="139"/>
      <c r="AV384"/>
      <c r="AW384" s="262"/>
      <c r="AX384"/>
      <c r="AY384"/>
      <c r="AZ384"/>
      <c r="BA384"/>
      <c r="BF384"/>
      <c r="BG384" s="262"/>
      <c r="BJ384" s="262"/>
      <c r="BK384"/>
      <c r="BM384" s="108"/>
      <c r="BQ384"/>
      <c r="BR384" s="262"/>
      <c r="BS384"/>
      <c r="BU384"/>
      <c r="BX384"/>
      <c r="CD384" s="141"/>
      <c r="CK384"/>
      <c r="CM384"/>
      <c r="CO384"/>
      <c r="CP384"/>
      <c r="CQ384" s="143"/>
      <c r="CR384" s="143"/>
      <c r="CS384"/>
      <c r="CT384" s="262"/>
      <c r="CU384"/>
      <c r="CV384"/>
      <c r="CW384"/>
      <c r="CX384" s="143"/>
      <c r="CY384" s="143"/>
      <c r="CZ384" s="143"/>
      <c r="DA384" s="143"/>
      <c r="DB384"/>
      <c r="DC384"/>
      <c r="DD384" s="143"/>
      <c r="DE384"/>
      <c r="DF384" s="143"/>
      <c r="DG384"/>
      <c r="DH384"/>
      <c r="DI384"/>
      <c r="DJ384"/>
      <c r="DK384"/>
      <c r="DL384" s="139"/>
      <c r="DM384"/>
      <c r="DN384" s="26"/>
      <c r="DO384" s="26"/>
      <c r="DP384"/>
      <c r="DQ384" s="262"/>
      <c r="DR384"/>
      <c r="DS384"/>
      <c r="DT384"/>
      <c r="DU384"/>
      <c r="DV384"/>
      <c r="DW384"/>
      <c r="DX384"/>
      <c r="DY384"/>
      <c r="DZ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row>
    <row r="385" spans="1:165" s="31" customFormat="1" ht="15.75" customHeight="1">
      <c r="A385" s="1"/>
      <c r="B385" s="1"/>
      <c r="C385" s="1"/>
      <c r="D385" s="1"/>
      <c r="E385" s="1"/>
      <c r="F385" s="1"/>
      <c r="G385" s="1"/>
      <c r="H385" s="1"/>
      <c r="I385" s="1"/>
      <c r="J385" s="1"/>
      <c r="K385" s="1"/>
      <c r="L385" s="1"/>
      <c r="M385" s="1"/>
      <c r="N385" s="1"/>
      <c r="O385" s="1"/>
      <c r="P385"/>
      <c r="Q385" s="130"/>
      <c r="R385" s="1"/>
      <c r="S385" s="1"/>
      <c r="T385" s="1"/>
      <c r="U385" s="1"/>
      <c r="V385" s="1"/>
      <c r="W385" s="1"/>
      <c r="X385" s="1"/>
      <c r="Y385" s="1"/>
      <c r="Z385" s="1"/>
      <c r="AA385" s="1"/>
      <c r="AB385" s="1"/>
      <c r="AC385" s="1"/>
      <c r="AD385" s="1"/>
      <c r="AE385" s="1"/>
      <c r="AF385" s="1"/>
      <c r="AG385" s="1"/>
      <c r="AH385" s="1"/>
      <c r="AI385" s="1"/>
      <c r="AJ385" s="1"/>
      <c r="AK385" s="1"/>
      <c r="AL385" s="1"/>
      <c r="AM385" s="1"/>
      <c r="AN385"/>
      <c r="AO385" s="228"/>
      <c r="AP385" s="189"/>
      <c r="AQ385"/>
      <c r="AR385"/>
      <c r="AS385" s="228"/>
      <c r="AT385" s="139"/>
      <c r="AU385" s="139"/>
      <c r="AV385"/>
      <c r="AW385" s="262"/>
      <c r="AX385"/>
      <c r="AY385"/>
      <c r="AZ385"/>
      <c r="BA385"/>
      <c r="BF385"/>
      <c r="BG385" s="262"/>
      <c r="BJ385" s="262"/>
      <c r="BK385"/>
      <c r="BM385" s="108"/>
      <c r="BQ385"/>
      <c r="BR385" s="262"/>
      <c r="BS385"/>
      <c r="BU385"/>
      <c r="BX385"/>
      <c r="CD385" s="141"/>
      <c r="CK385"/>
      <c r="CM385"/>
      <c r="CO385"/>
      <c r="CP385"/>
      <c r="CQ385" s="143"/>
      <c r="CR385" s="143"/>
      <c r="CS385"/>
      <c r="CT385" s="262"/>
      <c r="CU385"/>
      <c r="CV385"/>
      <c r="CW385"/>
      <c r="CX385" s="143"/>
      <c r="CY385" s="143"/>
      <c r="CZ385" s="143"/>
      <c r="DA385" s="143"/>
      <c r="DB385"/>
      <c r="DC385"/>
      <c r="DD385" s="143"/>
      <c r="DE385"/>
      <c r="DF385" s="143"/>
      <c r="DG385"/>
      <c r="DH385"/>
      <c r="DI385"/>
      <c r="DJ385"/>
      <c r="DK385"/>
      <c r="DL385" s="139"/>
      <c r="DM385"/>
      <c r="DN385" s="26"/>
      <c r="DO385" s="26"/>
      <c r="DP385"/>
      <c r="DQ385" s="262"/>
      <c r="DR385"/>
      <c r="DS385"/>
      <c r="DT385"/>
      <c r="DU385"/>
      <c r="DV385"/>
      <c r="DW385"/>
      <c r="DX385"/>
      <c r="DY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row>
    <row r="386" spans="1:165" s="31" customFormat="1" ht="15.75" customHeight="1">
      <c r="A386" s="1"/>
      <c r="B386" s="1"/>
      <c r="C386" s="1"/>
      <c r="D386" s="1"/>
      <c r="E386" s="1"/>
      <c r="F386" s="1"/>
      <c r="G386" s="1"/>
      <c r="H386" s="1"/>
      <c r="I386" s="1"/>
      <c r="J386" s="1"/>
      <c r="K386" s="1"/>
      <c r="L386" s="1"/>
      <c r="M386" s="1"/>
      <c r="N386" s="1"/>
      <c r="O386" s="1"/>
      <c r="P386"/>
      <c r="Q386" s="130"/>
      <c r="R386" s="1"/>
      <c r="S386" s="1"/>
      <c r="T386" s="1"/>
      <c r="U386" s="1"/>
      <c r="V386" s="1"/>
      <c r="W386" s="1"/>
      <c r="X386" s="1"/>
      <c r="Y386" s="1"/>
      <c r="Z386" s="1"/>
      <c r="AA386" s="1"/>
      <c r="AB386" s="1"/>
      <c r="AC386" s="1"/>
      <c r="AD386" s="1"/>
      <c r="AE386" s="1"/>
      <c r="AF386" s="1"/>
      <c r="AG386" s="1"/>
      <c r="AH386" s="1"/>
      <c r="AI386" s="1"/>
      <c r="AJ386" s="1"/>
      <c r="AK386" s="1"/>
      <c r="AL386" s="1"/>
      <c r="AM386" s="1"/>
      <c r="AN386"/>
      <c r="AO386" s="228"/>
      <c r="AP386" s="189"/>
      <c r="AQ386"/>
      <c r="AR386"/>
      <c r="AS386" s="228"/>
      <c r="AT386" s="139"/>
      <c r="AU386" s="139"/>
      <c r="AV386"/>
      <c r="AW386" s="262"/>
      <c r="AX386"/>
      <c r="AY386"/>
      <c r="AZ386"/>
      <c r="BA386"/>
      <c r="BF386"/>
      <c r="BG386" s="262"/>
      <c r="BJ386" s="262"/>
      <c r="BK386"/>
      <c r="BM386" s="108"/>
      <c r="BQ386"/>
      <c r="BR386" s="262"/>
      <c r="BS386"/>
      <c r="BU386"/>
      <c r="BX386"/>
      <c r="CD386" s="141"/>
      <c r="CK386"/>
      <c r="CM386"/>
      <c r="CO386"/>
      <c r="CP386"/>
      <c r="CQ386" s="143"/>
      <c r="CR386" s="143"/>
      <c r="CS386"/>
      <c r="CT386" s="262"/>
      <c r="CU386"/>
      <c r="CV386"/>
      <c r="CW386"/>
      <c r="CX386" s="143"/>
      <c r="CY386" s="143"/>
      <c r="CZ386" s="143"/>
      <c r="DA386" s="143"/>
      <c r="DB386"/>
      <c r="DC386"/>
      <c r="DD386" s="143"/>
      <c r="DE386"/>
      <c r="DF386" s="143"/>
      <c r="DG386"/>
      <c r="DH386"/>
      <c r="DI386"/>
      <c r="DJ386"/>
      <c r="DK386"/>
      <c r="DL386" s="139"/>
      <c r="DM386"/>
      <c r="DN386" s="26"/>
      <c r="DO386" s="26"/>
      <c r="DP386"/>
      <c r="DQ386" s="262"/>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row>
    <row r="387" spans="1:165" s="31" customFormat="1" ht="15.75" customHeight="1">
      <c r="A387" s="1"/>
      <c r="B387" s="1"/>
      <c r="C387" s="1"/>
      <c r="D387" s="1"/>
      <c r="E387" s="1"/>
      <c r="F387" s="1"/>
      <c r="G387" s="1"/>
      <c r="H387" s="1"/>
      <c r="I387" s="1"/>
      <c r="J387" s="1"/>
      <c r="K387" s="1"/>
      <c r="L387" s="1"/>
      <c r="M387" s="1"/>
      <c r="N387" s="1"/>
      <c r="O387" s="1"/>
      <c r="P387"/>
      <c r="Q387" s="130"/>
      <c r="R387" s="1"/>
      <c r="S387" s="1"/>
      <c r="T387" s="1"/>
      <c r="U387" s="1"/>
      <c r="V387" s="1"/>
      <c r="W387" s="1"/>
      <c r="X387" s="1"/>
      <c r="Y387" s="1"/>
      <c r="Z387" s="1"/>
      <c r="AA387" s="1"/>
      <c r="AB387" s="1"/>
      <c r="AC387" s="1"/>
      <c r="AD387" s="1"/>
      <c r="AE387" s="1"/>
      <c r="AF387" s="1"/>
      <c r="AG387" s="1"/>
      <c r="AH387" s="1"/>
      <c r="AI387" s="1"/>
      <c r="AJ387" s="1"/>
      <c r="AK387" s="1"/>
      <c r="AL387" s="1"/>
      <c r="AM387" s="1"/>
      <c r="AN387"/>
      <c r="AO387" s="228"/>
      <c r="AP387" s="189"/>
      <c r="AQ387"/>
      <c r="AR387"/>
      <c r="AS387" s="228"/>
      <c r="AT387" s="139"/>
      <c r="AU387" s="139"/>
      <c r="AV387"/>
      <c r="AW387" s="262"/>
      <c r="AX387"/>
      <c r="AY387"/>
      <c r="AZ387"/>
      <c r="BA387"/>
      <c r="BF387"/>
      <c r="BG387" s="262"/>
      <c r="BJ387" s="262"/>
      <c r="BK387"/>
      <c r="BM387" s="108"/>
      <c r="BQ387"/>
      <c r="BR387" s="262"/>
      <c r="BS387"/>
      <c r="BU387"/>
      <c r="BX387"/>
      <c r="CD387" s="141"/>
      <c r="CK387"/>
      <c r="CM387"/>
      <c r="CO387"/>
      <c r="CP387"/>
      <c r="CQ387" s="143"/>
      <c r="CR387" s="143"/>
      <c r="CS387"/>
      <c r="CT387" s="262"/>
      <c r="CU387"/>
      <c r="CV387"/>
      <c r="CW387"/>
      <c r="CX387" s="143"/>
      <c r="CY387" s="143"/>
      <c r="CZ387" s="143"/>
      <c r="DA387" s="143"/>
      <c r="DB387"/>
      <c r="DC387"/>
      <c r="DD387" s="143"/>
      <c r="DE387"/>
      <c r="DF387" s="143"/>
      <c r="DG387"/>
      <c r="DH387"/>
      <c r="DI387"/>
      <c r="DJ387"/>
      <c r="DK387"/>
      <c r="DL387" s="139"/>
      <c r="DM387"/>
      <c r="DN387" s="26"/>
      <c r="DO387" s="26"/>
      <c r="DP387"/>
      <c r="DQ387" s="262"/>
      <c r="DR387"/>
      <c r="DS387"/>
      <c r="DT387"/>
      <c r="DZ387"/>
      <c r="EA387"/>
    </row>
    <row r="388" spans="1:165" s="31" customFormat="1" ht="15.75" customHeight="1">
      <c r="A388" s="1"/>
      <c r="B388" s="1"/>
      <c r="C388" s="1"/>
      <c r="D388" s="1"/>
      <c r="E388" s="1"/>
      <c r="F388" s="1"/>
      <c r="G388" s="1"/>
      <c r="H388" s="1"/>
      <c r="I388" s="1"/>
      <c r="J388" s="1"/>
      <c r="K388" s="1"/>
      <c r="L388" s="1"/>
      <c r="M388" s="1"/>
      <c r="N388" s="1"/>
      <c r="O388" s="1"/>
      <c r="P388"/>
      <c r="Q388" s="130"/>
      <c r="R388" s="1"/>
      <c r="S388" s="1"/>
      <c r="T388" s="1"/>
      <c r="U388" s="1"/>
      <c r="V388" s="1"/>
      <c r="W388" s="1"/>
      <c r="X388" s="1"/>
      <c r="Y388" s="1"/>
      <c r="Z388" s="1"/>
      <c r="AA388" s="1"/>
      <c r="AB388" s="1"/>
      <c r="AC388" s="1"/>
      <c r="AD388" s="1"/>
      <c r="AE388" s="1"/>
      <c r="AF388" s="1"/>
      <c r="AG388" s="1"/>
      <c r="AH388" s="1"/>
      <c r="AI388" s="1"/>
      <c r="AJ388" s="1"/>
      <c r="AK388" s="1"/>
      <c r="AL388" s="1"/>
      <c r="AM388" s="1"/>
      <c r="AN388"/>
      <c r="AO388" s="228"/>
      <c r="AP388" s="189"/>
      <c r="AQ388"/>
      <c r="AR388"/>
      <c r="AS388" s="228"/>
      <c r="AT388" s="139"/>
      <c r="AU388" s="139"/>
      <c r="AV388"/>
      <c r="AW388" s="262"/>
      <c r="AX388"/>
      <c r="AY388"/>
      <c r="AZ388"/>
      <c r="BA388"/>
      <c r="BF388"/>
      <c r="BG388" s="262"/>
      <c r="BJ388" s="262"/>
      <c r="BK388"/>
      <c r="BM388" s="108"/>
      <c r="BQ388"/>
      <c r="BR388" s="262"/>
      <c r="BS388"/>
      <c r="BU388"/>
      <c r="BX388"/>
      <c r="CD388" s="141"/>
      <c r="CK388"/>
      <c r="CM388"/>
      <c r="CO388"/>
      <c r="CP388"/>
      <c r="CQ388" s="143"/>
      <c r="CR388" s="143"/>
      <c r="CS388"/>
      <c r="CT388" s="262"/>
      <c r="CU388"/>
      <c r="CV388"/>
      <c r="CW388"/>
      <c r="CX388" s="143"/>
      <c r="CY388" s="143"/>
      <c r="CZ388" s="143"/>
      <c r="DA388" s="143"/>
      <c r="DB388"/>
      <c r="DC388"/>
      <c r="DD388" s="143"/>
      <c r="DE388"/>
      <c r="DF388" s="143"/>
      <c r="DG388"/>
      <c r="DH388"/>
      <c r="DI388"/>
      <c r="DJ388"/>
      <c r="DK388"/>
      <c r="DL388" s="139"/>
      <c r="DM388"/>
      <c r="DN388" s="26"/>
      <c r="DO388" s="26"/>
      <c r="DP388"/>
      <c r="DQ388" s="262"/>
      <c r="DR388"/>
      <c r="DS388"/>
      <c r="DT388"/>
      <c r="DU388"/>
      <c r="DV388"/>
      <c r="DW388"/>
      <c r="DX388"/>
      <c r="DY388"/>
      <c r="DZ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row>
    <row r="389" spans="1:165" s="31" customFormat="1" ht="15.75" customHeight="1">
      <c r="A389" s="1"/>
      <c r="B389" s="1"/>
      <c r="C389" s="1"/>
      <c r="D389" s="1"/>
      <c r="E389" s="1"/>
      <c r="F389" s="1"/>
      <c r="G389" s="1"/>
      <c r="H389" s="1"/>
      <c r="I389" s="1"/>
      <c r="J389" s="1"/>
      <c r="K389" s="1"/>
      <c r="L389" s="1"/>
      <c r="M389" s="1"/>
      <c r="N389" s="1"/>
      <c r="O389" s="1"/>
      <c r="P389"/>
      <c r="Q389" s="130"/>
      <c r="R389" s="1"/>
      <c r="S389" s="1"/>
      <c r="T389" s="1"/>
      <c r="U389" s="1"/>
      <c r="V389" s="1"/>
      <c r="W389" s="1"/>
      <c r="X389" s="1"/>
      <c r="Y389" s="1"/>
      <c r="Z389" s="1"/>
      <c r="AA389" s="1"/>
      <c r="AB389" s="1"/>
      <c r="AC389" s="1"/>
      <c r="AD389" s="1"/>
      <c r="AE389" s="1"/>
      <c r="AF389" s="1"/>
      <c r="AG389" s="1"/>
      <c r="AH389" s="1"/>
      <c r="AI389" s="1"/>
      <c r="AJ389" s="1"/>
      <c r="AK389" s="1"/>
      <c r="AL389" s="1"/>
      <c r="AM389" s="1"/>
      <c r="AN389"/>
      <c r="AO389" s="228"/>
      <c r="AP389" s="189"/>
      <c r="AQ389"/>
      <c r="AR389"/>
      <c r="AS389" s="228"/>
      <c r="AT389" s="139"/>
      <c r="AU389" s="139"/>
      <c r="AV389"/>
      <c r="AW389" s="262"/>
      <c r="AX389"/>
      <c r="AY389"/>
      <c r="AZ389"/>
      <c r="BA389"/>
      <c r="BF389"/>
      <c r="BG389" s="262"/>
      <c r="BJ389" s="262"/>
      <c r="BK389"/>
      <c r="BM389" s="108"/>
      <c r="BQ389"/>
      <c r="BR389" s="262"/>
      <c r="BS389"/>
      <c r="BU389"/>
      <c r="BX389"/>
      <c r="CD389" s="141"/>
      <c r="CK389"/>
      <c r="CM389"/>
      <c r="CO389"/>
      <c r="CP389"/>
      <c r="CQ389" s="143"/>
      <c r="CR389" s="143"/>
      <c r="CS389"/>
      <c r="CT389" s="262"/>
      <c r="CU389"/>
      <c r="CV389"/>
      <c r="CW389"/>
      <c r="CX389" s="143"/>
      <c r="CY389" s="143"/>
      <c r="CZ389" s="143"/>
      <c r="DA389" s="143"/>
      <c r="DB389"/>
      <c r="DC389"/>
      <c r="DD389" s="143"/>
      <c r="DE389"/>
      <c r="DF389" s="143"/>
      <c r="DG389"/>
      <c r="DH389"/>
      <c r="DI389"/>
      <c r="DJ389"/>
      <c r="DK389"/>
      <c r="DL389" s="139"/>
      <c r="DM389"/>
      <c r="DN389" s="26"/>
      <c r="DO389" s="26"/>
      <c r="DP389"/>
      <c r="DQ389" s="262"/>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row>
    <row r="390" spans="1:165" s="31" customFormat="1" ht="15.75" customHeight="1">
      <c r="A390" s="1"/>
      <c r="B390" s="1"/>
      <c r="C390" s="1"/>
      <c r="D390" s="1"/>
      <c r="E390" s="1"/>
      <c r="F390" s="1"/>
      <c r="G390" s="1"/>
      <c r="H390" s="1"/>
      <c r="I390" s="1"/>
      <c r="J390" s="1"/>
      <c r="K390" s="1"/>
      <c r="L390" s="1"/>
      <c r="M390" s="1"/>
      <c r="N390" s="1"/>
      <c r="O390" s="1"/>
      <c r="P390"/>
      <c r="Q390" s="130"/>
      <c r="R390" s="1"/>
      <c r="S390" s="1"/>
      <c r="T390" s="1"/>
      <c r="U390" s="1"/>
      <c r="V390" s="1"/>
      <c r="W390" s="1"/>
      <c r="X390" s="1"/>
      <c r="Y390" s="1"/>
      <c r="Z390" s="1"/>
      <c r="AA390" s="1"/>
      <c r="AB390" s="1"/>
      <c r="AC390" s="1"/>
      <c r="AD390" s="1"/>
      <c r="AE390" s="1"/>
      <c r="AF390" s="1"/>
      <c r="AG390" s="1"/>
      <c r="AH390" s="1"/>
      <c r="AI390" s="1"/>
      <c r="AJ390" s="1"/>
      <c r="AK390" s="1"/>
      <c r="AL390" s="1"/>
      <c r="AM390" s="1"/>
      <c r="AN390"/>
      <c r="AO390" s="228"/>
      <c r="AP390" s="189"/>
      <c r="AQ390"/>
      <c r="AR390"/>
      <c r="AS390" s="228"/>
      <c r="AT390" s="139"/>
      <c r="AU390" s="139"/>
      <c r="AV390"/>
      <c r="AW390" s="262"/>
      <c r="AX390"/>
      <c r="AY390"/>
      <c r="AZ390"/>
      <c r="BA390"/>
      <c r="BB390"/>
      <c r="BC390"/>
      <c r="BD390"/>
      <c r="BE390"/>
      <c r="BF390"/>
      <c r="BG390" s="262"/>
      <c r="BI390"/>
      <c r="BJ390" s="262"/>
      <c r="BK390"/>
      <c r="BL390"/>
      <c r="BM390" s="108"/>
      <c r="BN390"/>
      <c r="BO390"/>
      <c r="BP390"/>
      <c r="BQ390"/>
      <c r="BR390" s="262"/>
      <c r="BS390"/>
      <c r="BT390"/>
      <c r="BU390"/>
      <c r="BX390"/>
      <c r="BY390"/>
      <c r="BZ390"/>
      <c r="CA390"/>
      <c r="CB390"/>
      <c r="CC390"/>
      <c r="CD390" s="141"/>
      <c r="CE390"/>
      <c r="CF390"/>
      <c r="CG390"/>
      <c r="CH390"/>
      <c r="CI390"/>
      <c r="CJ390"/>
      <c r="CK390"/>
      <c r="CL390"/>
      <c r="CM390"/>
      <c r="CN390"/>
      <c r="CO390"/>
      <c r="CP390"/>
      <c r="CQ390" s="143"/>
      <c r="CR390" s="143"/>
      <c r="CS390"/>
      <c r="CT390" s="262"/>
      <c r="CU390"/>
      <c r="CV390"/>
      <c r="CW390"/>
      <c r="CX390" s="143"/>
      <c r="CY390" s="143"/>
      <c r="CZ390" s="143"/>
      <c r="DA390" s="143"/>
      <c r="DB390"/>
      <c r="DC390"/>
      <c r="DD390" s="143"/>
      <c r="DE390"/>
      <c r="DF390" s="143"/>
      <c r="DG390"/>
      <c r="DH390"/>
      <c r="DI390"/>
      <c r="DJ390"/>
      <c r="DK390"/>
      <c r="DL390" s="139"/>
      <c r="DM390"/>
      <c r="DN390" s="26"/>
      <c r="DO390" s="26"/>
      <c r="DP390"/>
      <c r="DQ390" s="262"/>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row>
    <row r="391" spans="1:165" s="31" customFormat="1" ht="15.75" customHeight="1">
      <c r="A391" s="1"/>
      <c r="B391" s="1"/>
      <c r="C391" s="1"/>
      <c r="D391" s="1"/>
      <c r="E391" s="1"/>
      <c r="F391" s="1"/>
      <c r="G391" s="1"/>
      <c r="H391" s="1"/>
      <c r="I391" s="1"/>
      <c r="J391" s="1"/>
      <c r="K391" s="1"/>
      <c r="L391" s="1"/>
      <c r="M391" s="1"/>
      <c r="N391" s="1"/>
      <c r="O391" s="1"/>
      <c r="P391"/>
      <c r="Q391" s="130"/>
      <c r="R391" s="1"/>
      <c r="S391" s="1"/>
      <c r="T391" s="1"/>
      <c r="U391" s="1"/>
      <c r="V391" s="1"/>
      <c r="W391" s="1"/>
      <c r="X391" s="1"/>
      <c r="Y391" s="1"/>
      <c r="Z391" s="1"/>
      <c r="AA391" s="1"/>
      <c r="AB391" s="1"/>
      <c r="AC391" s="1"/>
      <c r="AD391" s="1"/>
      <c r="AE391" s="1"/>
      <c r="AF391" s="1"/>
      <c r="AG391" s="1"/>
      <c r="AH391" s="1"/>
      <c r="AI391" s="1"/>
      <c r="AJ391" s="1"/>
      <c r="AK391" s="1"/>
      <c r="AL391" s="1"/>
      <c r="AM391" s="1"/>
      <c r="AN391"/>
      <c r="AO391" s="228"/>
      <c r="AP391" s="189"/>
      <c r="AQ391"/>
      <c r="AR391"/>
      <c r="AS391" s="228"/>
      <c r="AT391" s="139"/>
      <c r="AU391" s="139"/>
      <c r="AV391"/>
      <c r="AW391" s="262"/>
      <c r="AX391"/>
      <c r="AY391"/>
      <c r="AZ391"/>
      <c r="BA391"/>
      <c r="BB391"/>
      <c r="BC391"/>
      <c r="BD391"/>
      <c r="BE391"/>
      <c r="BF391"/>
      <c r="BG391" s="262"/>
      <c r="BI391"/>
      <c r="BJ391" s="262"/>
      <c r="BK391"/>
      <c r="BL391"/>
      <c r="BM391" s="108"/>
      <c r="BN391"/>
      <c r="BO391"/>
      <c r="BP391"/>
      <c r="BQ391"/>
      <c r="BR391" s="262"/>
      <c r="BS391"/>
      <c r="BT391"/>
      <c r="BU391"/>
      <c r="BX391"/>
      <c r="BY391"/>
      <c r="BZ391"/>
      <c r="CA391"/>
      <c r="CB391"/>
      <c r="CC391"/>
      <c r="CD391" s="141"/>
      <c r="CE391"/>
      <c r="CF391"/>
      <c r="CG391"/>
      <c r="CH391"/>
      <c r="CI391"/>
      <c r="CJ391"/>
      <c r="CK391"/>
      <c r="CL391"/>
      <c r="CM391"/>
      <c r="CN391"/>
      <c r="CO391"/>
      <c r="CP391"/>
      <c r="CQ391" s="143"/>
      <c r="CR391" s="143"/>
      <c r="CS391"/>
      <c r="CT391" s="262"/>
      <c r="CU391"/>
      <c r="CV391"/>
      <c r="CW391"/>
      <c r="CX391" s="143"/>
      <c r="CY391" s="143"/>
      <c r="CZ391" s="143"/>
      <c r="DA391" s="143"/>
      <c r="DB391"/>
      <c r="DC391"/>
      <c r="DD391" s="143"/>
      <c r="DE391"/>
      <c r="DF391" s="143"/>
      <c r="DG391"/>
      <c r="DH391"/>
      <c r="DI391"/>
      <c r="DJ391"/>
      <c r="DK391"/>
      <c r="DL391" s="139"/>
      <c r="DM391"/>
      <c r="DN391" s="26"/>
      <c r="DO391" s="26"/>
      <c r="DP391"/>
      <c r="DQ391" s="262"/>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row>
    <row r="392" spans="1:165" s="31" customFormat="1" ht="15.75" customHeight="1">
      <c r="A392" s="1"/>
      <c r="B392" s="1"/>
      <c r="C392" s="1"/>
      <c r="D392" s="1"/>
      <c r="E392" s="1"/>
      <c r="F392" s="1"/>
      <c r="G392" s="1"/>
      <c r="H392" s="1"/>
      <c r="I392" s="1"/>
      <c r="J392" s="1"/>
      <c r="K392" s="1"/>
      <c r="L392" s="1"/>
      <c r="M392" s="1"/>
      <c r="N392" s="1"/>
      <c r="O392" s="1"/>
      <c r="P392"/>
      <c r="Q392" s="130"/>
      <c r="R392" s="1"/>
      <c r="S392" s="1"/>
      <c r="T392" s="1"/>
      <c r="U392" s="1"/>
      <c r="V392" s="1"/>
      <c r="W392" s="1"/>
      <c r="X392" s="1"/>
      <c r="Y392" s="1"/>
      <c r="Z392" s="1"/>
      <c r="AA392" s="1"/>
      <c r="AB392" s="1"/>
      <c r="AC392" s="1"/>
      <c r="AD392" s="1"/>
      <c r="AE392" s="1"/>
      <c r="AF392" s="1"/>
      <c r="AG392" s="1"/>
      <c r="AH392" s="1"/>
      <c r="AI392" s="1"/>
      <c r="AJ392" s="1"/>
      <c r="AK392" s="1"/>
      <c r="AL392" s="1"/>
      <c r="AM392" s="1"/>
      <c r="AN392"/>
      <c r="AO392" s="228"/>
      <c r="AP392" s="189"/>
      <c r="AQ392"/>
      <c r="AR392"/>
      <c r="AS392" s="228"/>
      <c r="AT392" s="139"/>
      <c r="AU392" s="139"/>
      <c r="AV392"/>
      <c r="AW392" s="262"/>
      <c r="AX392"/>
      <c r="AY392"/>
      <c r="AZ392"/>
      <c r="BA392"/>
      <c r="BB392"/>
      <c r="BC392"/>
      <c r="BD392"/>
      <c r="BE392"/>
      <c r="BF392"/>
      <c r="BG392" s="262"/>
      <c r="BI392"/>
      <c r="BJ392" s="262"/>
      <c r="BK392"/>
      <c r="BL392"/>
      <c r="BM392" s="108"/>
      <c r="BN392"/>
      <c r="BO392"/>
      <c r="BP392"/>
      <c r="BQ392"/>
      <c r="BR392" s="262"/>
      <c r="BS392"/>
      <c r="BT392"/>
      <c r="BU392"/>
      <c r="BX392"/>
      <c r="BY392"/>
      <c r="BZ392"/>
      <c r="CA392"/>
      <c r="CB392"/>
      <c r="CC392"/>
      <c r="CD392" s="141"/>
      <c r="CE392"/>
      <c r="CF392"/>
      <c r="CG392"/>
      <c r="CH392"/>
      <c r="CI392"/>
      <c r="CJ392"/>
      <c r="CK392"/>
      <c r="CL392"/>
      <c r="CM392"/>
      <c r="CN392"/>
      <c r="CO392"/>
      <c r="CP392"/>
      <c r="CQ392" s="143"/>
      <c r="CR392" s="143"/>
      <c r="CS392"/>
      <c r="CT392" s="262"/>
      <c r="CU392"/>
      <c r="CV392"/>
      <c r="CW392"/>
      <c r="CX392" s="143"/>
      <c r="CY392" s="143"/>
      <c r="CZ392" s="143"/>
      <c r="DA392" s="143"/>
      <c r="DB392"/>
      <c r="DC392"/>
      <c r="DD392" s="143"/>
      <c r="DE392"/>
      <c r="DF392" s="143"/>
      <c r="DG392"/>
      <c r="DH392"/>
      <c r="DI392"/>
      <c r="DJ392"/>
      <c r="DK392"/>
      <c r="DL392" s="139"/>
      <c r="DM392"/>
      <c r="DN392" s="26"/>
      <c r="DO392" s="26"/>
      <c r="DP392"/>
      <c r="DQ392" s="26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row>
    <row r="393" spans="1:165" s="31" customFormat="1" ht="15.75" customHeight="1">
      <c r="A393" s="1"/>
      <c r="B393" s="1"/>
      <c r="C393" s="1"/>
      <c r="D393" s="1"/>
      <c r="E393" s="1"/>
      <c r="F393" s="1"/>
      <c r="G393" s="1"/>
      <c r="H393" s="1"/>
      <c r="I393" s="1"/>
      <c r="J393" s="1"/>
      <c r="K393" s="1"/>
      <c r="L393" s="1"/>
      <c r="M393" s="1"/>
      <c r="N393" s="1"/>
      <c r="O393" s="1"/>
      <c r="P393"/>
      <c r="Q393" s="130"/>
      <c r="R393" s="1"/>
      <c r="S393" s="1"/>
      <c r="T393" s="1"/>
      <c r="U393" s="1"/>
      <c r="V393" s="1"/>
      <c r="W393" s="1"/>
      <c r="X393" s="1"/>
      <c r="Y393" s="1"/>
      <c r="Z393" s="1"/>
      <c r="AA393" s="1"/>
      <c r="AB393" s="1"/>
      <c r="AC393" s="1"/>
      <c r="AD393" s="1"/>
      <c r="AE393" s="1"/>
      <c r="AF393" s="1"/>
      <c r="AG393" s="1"/>
      <c r="AH393" s="1"/>
      <c r="AI393" s="1"/>
      <c r="AJ393" s="1"/>
      <c r="AK393" s="1"/>
      <c r="AL393" s="1"/>
      <c r="AM393" s="1"/>
      <c r="AN393"/>
      <c r="AO393" s="228"/>
      <c r="AP393" s="189"/>
      <c r="AQ393"/>
      <c r="AR393"/>
      <c r="AS393" s="228"/>
      <c r="AT393" s="139"/>
      <c r="AU393" s="139"/>
      <c r="AV393"/>
      <c r="AW393" s="262"/>
      <c r="AX393"/>
      <c r="AY393"/>
      <c r="AZ393"/>
      <c r="BA393"/>
      <c r="BF393"/>
      <c r="BG393" s="262"/>
      <c r="BJ393" s="262"/>
      <c r="BK393"/>
      <c r="BM393" s="108"/>
      <c r="BQ393"/>
      <c r="BR393" s="262"/>
      <c r="BS393"/>
      <c r="BU393"/>
      <c r="BX393"/>
      <c r="CD393" s="141"/>
      <c r="CK393"/>
      <c r="CM393"/>
      <c r="CO393"/>
      <c r="CP393"/>
      <c r="CQ393" s="143"/>
      <c r="CR393" s="143"/>
      <c r="CS393"/>
      <c r="CT393" s="262"/>
      <c r="CU393"/>
      <c r="CV393"/>
      <c r="CW393"/>
      <c r="CX393" s="143"/>
      <c r="CY393" s="143"/>
      <c r="CZ393" s="143"/>
      <c r="DA393" s="143"/>
      <c r="DB393"/>
      <c r="DC393"/>
      <c r="DD393" s="143"/>
      <c r="DE393"/>
      <c r="DF393" s="143"/>
      <c r="DG393"/>
      <c r="DH393"/>
      <c r="DI393"/>
      <c r="DJ393"/>
      <c r="DK393"/>
      <c r="DL393" s="139"/>
      <c r="DM393"/>
      <c r="DN393" s="26"/>
      <c r="DO393" s="26"/>
      <c r="DP393"/>
      <c r="DQ393" s="262"/>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row>
    <row r="394" spans="1:165" s="31" customFormat="1" ht="15.75" customHeight="1">
      <c r="A394" s="1"/>
      <c r="B394" s="1"/>
      <c r="C394" s="1"/>
      <c r="D394" s="1"/>
      <c r="E394" s="1"/>
      <c r="F394" s="1"/>
      <c r="G394" s="1"/>
      <c r="H394" s="1"/>
      <c r="I394" s="1"/>
      <c r="J394" s="1"/>
      <c r="K394" s="1"/>
      <c r="L394" s="1"/>
      <c r="M394" s="1"/>
      <c r="N394" s="1"/>
      <c r="O394" s="1"/>
      <c r="P394"/>
      <c r="Q394" s="130"/>
      <c r="R394" s="1"/>
      <c r="S394" s="1"/>
      <c r="T394" s="1"/>
      <c r="U394" s="1"/>
      <c r="V394" s="1"/>
      <c r="W394" s="1"/>
      <c r="X394" s="1"/>
      <c r="Y394" s="1"/>
      <c r="Z394" s="1"/>
      <c r="AA394" s="1"/>
      <c r="AB394" s="1"/>
      <c r="AC394" s="1"/>
      <c r="AD394" s="1"/>
      <c r="AE394" s="1"/>
      <c r="AF394" s="1"/>
      <c r="AG394" s="1"/>
      <c r="AH394" s="1"/>
      <c r="AI394" s="1"/>
      <c r="AJ394" s="1"/>
      <c r="AK394" s="1"/>
      <c r="AL394" s="1"/>
      <c r="AM394" s="1"/>
      <c r="AN394"/>
      <c r="AO394" s="228"/>
      <c r="AP394" s="189"/>
      <c r="AQ394"/>
      <c r="AR394"/>
      <c r="AS394" s="228"/>
      <c r="AT394" s="139"/>
      <c r="AU394" s="139"/>
      <c r="AV394"/>
      <c r="AW394" s="262"/>
      <c r="AX394"/>
      <c r="AY394"/>
      <c r="AZ394"/>
      <c r="BA394"/>
      <c r="BB394"/>
      <c r="BC394"/>
      <c r="BD394"/>
      <c r="BE394"/>
      <c r="BF394"/>
      <c r="BG394" s="262"/>
      <c r="BI394"/>
      <c r="BJ394" s="262"/>
      <c r="BK394"/>
      <c r="BL394"/>
      <c r="BM394" s="108"/>
      <c r="BN394"/>
      <c r="BO394"/>
      <c r="BP394"/>
      <c r="BQ394"/>
      <c r="BR394" s="262"/>
      <c r="BS394"/>
      <c r="BT394"/>
      <c r="BU394"/>
      <c r="BX394"/>
      <c r="BY394"/>
      <c r="BZ394"/>
      <c r="CA394"/>
      <c r="CB394"/>
      <c r="CC394"/>
      <c r="CD394" s="141"/>
      <c r="CE394"/>
      <c r="CF394"/>
      <c r="CG394"/>
      <c r="CH394"/>
      <c r="CI394"/>
      <c r="CJ394"/>
      <c r="CK394"/>
      <c r="CL394"/>
      <c r="CM394"/>
      <c r="CN394"/>
      <c r="CO394"/>
      <c r="CP394"/>
      <c r="CQ394" s="143"/>
      <c r="CR394" s="143"/>
      <c r="CS394"/>
      <c r="CT394" s="262"/>
      <c r="CU394"/>
      <c r="CV394"/>
      <c r="CW394"/>
      <c r="CX394" s="143"/>
      <c r="CY394" s="143"/>
      <c r="CZ394" s="143"/>
      <c r="DA394" s="143"/>
      <c r="DB394"/>
      <c r="DC394"/>
      <c r="DD394" s="143"/>
      <c r="DE394"/>
      <c r="DF394" s="143"/>
      <c r="DG394"/>
      <c r="DH394"/>
      <c r="DI394"/>
      <c r="DJ394"/>
      <c r="DK394"/>
      <c r="DL394" s="139"/>
      <c r="DM394"/>
      <c r="DN394" s="26"/>
      <c r="DO394" s="26"/>
      <c r="DP394"/>
      <c r="DQ394" s="262"/>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row>
    <row r="395" spans="1:165" s="31" customFormat="1" ht="15.75" customHeight="1">
      <c r="A395" s="1"/>
      <c r="B395" s="1"/>
      <c r="C395" s="1"/>
      <c r="D395" s="1"/>
      <c r="E395" s="1"/>
      <c r="F395" s="1"/>
      <c r="G395" s="1"/>
      <c r="H395" s="1"/>
      <c r="I395" s="1"/>
      <c r="J395" s="1"/>
      <c r="K395" s="1"/>
      <c r="L395" s="1"/>
      <c r="M395" s="1"/>
      <c r="N395" s="1"/>
      <c r="O395" s="1"/>
      <c r="P395"/>
      <c r="Q395" s="130"/>
      <c r="R395" s="1"/>
      <c r="S395" s="1"/>
      <c r="T395" s="1"/>
      <c r="U395" s="1"/>
      <c r="V395" s="1"/>
      <c r="W395" s="1"/>
      <c r="X395" s="1"/>
      <c r="Y395" s="1"/>
      <c r="Z395" s="1"/>
      <c r="AA395" s="1"/>
      <c r="AB395" s="1"/>
      <c r="AC395" s="1"/>
      <c r="AD395" s="1"/>
      <c r="AE395" s="1"/>
      <c r="AF395" s="1"/>
      <c r="AG395" s="1"/>
      <c r="AH395" s="1"/>
      <c r="AI395" s="1"/>
      <c r="AJ395" s="1"/>
      <c r="AK395" s="1"/>
      <c r="AL395" s="1"/>
      <c r="AM395" s="1"/>
      <c r="AN395"/>
      <c r="AO395" s="228"/>
      <c r="AP395" s="189"/>
      <c r="AQ395"/>
      <c r="AR395"/>
      <c r="AS395" s="228"/>
      <c r="AT395" s="139"/>
      <c r="AU395" s="139"/>
      <c r="AV395"/>
      <c r="AW395" s="262"/>
      <c r="AX395"/>
      <c r="AY395"/>
      <c r="AZ395"/>
      <c r="BA395"/>
      <c r="BB395"/>
      <c r="BC395"/>
      <c r="BD395"/>
      <c r="BE395"/>
      <c r="BF395"/>
      <c r="BG395" s="262"/>
      <c r="BI395"/>
      <c r="BJ395" s="262"/>
      <c r="BK395"/>
      <c r="BL395"/>
      <c r="BM395" s="108"/>
      <c r="BN395"/>
      <c r="BO395"/>
      <c r="BP395"/>
      <c r="BQ395"/>
      <c r="BR395" s="262"/>
      <c r="BS395"/>
      <c r="BT395"/>
      <c r="BU395"/>
      <c r="BX395"/>
      <c r="BY395"/>
      <c r="BZ395"/>
      <c r="CA395"/>
      <c r="CB395"/>
      <c r="CC395"/>
      <c r="CD395" s="141"/>
      <c r="CE395"/>
      <c r="CF395"/>
      <c r="CG395"/>
      <c r="CH395"/>
      <c r="CI395"/>
      <c r="CJ395"/>
      <c r="CK395"/>
      <c r="CL395"/>
      <c r="CM395"/>
      <c r="CN395"/>
      <c r="CO395"/>
      <c r="CP395"/>
      <c r="CQ395" s="143"/>
      <c r="CR395" s="143"/>
      <c r="CS395"/>
      <c r="CT395" s="262"/>
      <c r="CU395"/>
      <c r="CV395"/>
      <c r="CW395"/>
      <c r="CX395" s="143"/>
      <c r="CY395" s="143"/>
      <c r="CZ395" s="143"/>
      <c r="DA395" s="143"/>
      <c r="DB395"/>
      <c r="DC395"/>
      <c r="DD395" s="143"/>
      <c r="DE395"/>
      <c r="DF395" s="143"/>
      <c r="DG395"/>
      <c r="DH395"/>
      <c r="DI395"/>
      <c r="DJ395"/>
      <c r="DK395"/>
      <c r="DL395" s="139"/>
      <c r="DM395"/>
      <c r="DN395" s="26"/>
      <c r="DO395" s="26"/>
      <c r="DP395"/>
      <c r="DQ395" s="262"/>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row>
    <row r="396" spans="1:165" s="31" customFormat="1" ht="15.75" customHeight="1">
      <c r="A396" s="1"/>
      <c r="B396" s="1"/>
      <c r="C396" s="1"/>
      <c r="D396" s="1"/>
      <c r="E396" s="1"/>
      <c r="F396" s="1"/>
      <c r="G396" s="1"/>
      <c r="H396" s="1"/>
      <c r="I396" s="1"/>
      <c r="J396" s="1"/>
      <c r="K396" s="1"/>
      <c r="L396" s="1"/>
      <c r="M396" s="1"/>
      <c r="N396" s="1"/>
      <c r="O396" s="1"/>
      <c r="P396"/>
      <c r="Q396" s="130"/>
      <c r="R396" s="1"/>
      <c r="S396" s="1"/>
      <c r="T396" s="1"/>
      <c r="U396" s="1"/>
      <c r="V396" s="1"/>
      <c r="W396" s="1"/>
      <c r="X396" s="1"/>
      <c r="Y396" s="1"/>
      <c r="Z396" s="1"/>
      <c r="AA396" s="1"/>
      <c r="AB396" s="1"/>
      <c r="AC396" s="1"/>
      <c r="AD396" s="1"/>
      <c r="AE396" s="1"/>
      <c r="AF396" s="1"/>
      <c r="AG396" s="1"/>
      <c r="AH396" s="1"/>
      <c r="AI396" s="1"/>
      <c r="AJ396" s="1"/>
      <c r="AK396" s="1"/>
      <c r="AL396" s="1"/>
      <c r="AM396" s="1"/>
      <c r="AN396"/>
      <c r="AO396" s="228"/>
      <c r="AP396" s="189"/>
      <c r="AQ396"/>
      <c r="AR396"/>
      <c r="AS396" s="228"/>
      <c r="AT396" s="139"/>
      <c r="AU396" s="139"/>
      <c r="AV396"/>
      <c r="AW396" s="262"/>
      <c r="AX396"/>
      <c r="AY396"/>
      <c r="AZ396"/>
      <c r="BA396"/>
      <c r="BB396"/>
      <c r="BC396"/>
      <c r="BD396"/>
      <c r="BE396"/>
      <c r="BF396"/>
      <c r="BG396" s="262"/>
      <c r="BI396"/>
      <c r="BJ396" s="262"/>
      <c r="BK396"/>
      <c r="BL396"/>
      <c r="BM396" s="108"/>
      <c r="BN396"/>
      <c r="BO396"/>
      <c r="BP396"/>
      <c r="BQ396"/>
      <c r="BR396" s="262"/>
      <c r="BS396"/>
      <c r="BT396"/>
      <c r="BU396"/>
      <c r="BX396"/>
      <c r="BY396"/>
      <c r="BZ396"/>
      <c r="CA396"/>
      <c r="CB396"/>
      <c r="CC396"/>
      <c r="CD396" s="141"/>
      <c r="CE396"/>
      <c r="CF396"/>
      <c r="CG396"/>
      <c r="CH396"/>
      <c r="CI396"/>
      <c r="CJ396"/>
      <c r="CK396"/>
      <c r="CL396"/>
      <c r="CM396"/>
      <c r="CN396"/>
      <c r="CO396"/>
      <c r="CP396"/>
      <c r="CQ396" s="143"/>
      <c r="CR396" s="143"/>
      <c r="CS396"/>
      <c r="CT396" s="262"/>
      <c r="CU396"/>
      <c r="CV396"/>
      <c r="CW396"/>
      <c r="CX396" s="143"/>
      <c r="CY396" s="143"/>
      <c r="CZ396" s="143"/>
      <c r="DA396" s="143"/>
      <c r="DB396"/>
      <c r="DC396"/>
      <c r="DD396" s="143"/>
      <c r="DE396"/>
      <c r="DF396" s="143"/>
      <c r="DG396"/>
      <c r="DH396"/>
      <c r="DI396"/>
      <c r="DJ396"/>
      <c r="DK396"/>
      <c r="DL396" s="139"/>
      <c r="DM396"/>
      <c r="DN396" s="26"/>
      <c r="DO396" s="26"/>
      <c r="DP396"/>
      <c r="DQ396" s="262"/>
      <c r="DR396"/>
      <c r="DS396"/>
      <c r="DT396"/>
      <c r="DU396"/>
      <c r="DV396"/>
      <c r="DW396"/>
      <c r="DX396"/>
      <c r="DY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row>
    <row r="397" spans="1:165" s="31" customFormat="1" ht="15.75" customHeight="1">
      <c r="A397" s="1"/>
      <c r="B397" s="1"/>
      <c r="C397" s="1"/>
      <c r="D397" s="1"/>
      <c r="E397" s="1"/>
      <c r="F397" s="1"/>
      <c r="G397" s="1"/>
      <c r="H397" s="1"/>
      <c r="I397" s="1"/>
      <c r="J397" s="1"/>
      <c r="K397" s="1"/>
      <c r="L397" s="1"/>
      <c r="M397" s="1"/>
      <c r="N397" s="1"/>
      <c r="O397" s="1"/>
      <c r="P397"/>
      <c r="Q397" s="130"/>
      <c r="R397" s="1"/>
      <c r="S397" s="1"/>
      <c r="T397" s="1"/>
      <c r="U397" s="1"/>
      <c r="V397" s="1"/>
      <c r="W397" s="1"/>
      <c r="X397" s="1"/>
      <c r="Y397" s="1"/>
      <c r="Z397" s="1"/>
      <c r="AA397" s="1"/>
      <c r="AB397" s="1"/>
      <c r="AC397" s="1"/>
      <c r="AD397" s="1"/>
      <c r="AE397" s="1"/>
      <c r="AF397" s="1"/>
      <c r="AG397" s="1"/>
      <c r="AH397" s="1"/>
      <c r="AI397" s="1"/>
      <c r="AJ397" s="1"/>
      <c r="AK397" s="1"/>
      <c r="AL397" s="1"/>
      <c r="AM397" s="1"/>
      <c r="AN397"/>
      <c r="AO397" s="228"/>
      <c r="AP397" s="189"/>
      <c r="AQ397"/>
      <c r="AR397"/>
      <c r="AS397" s="228"/>
      <c r="AT397" s="139"/>
      <c r="AU397" s="139"/>
      <c r="AV397"/>
      <c r="AW397" s="262"/>
      <c r="AX397"/>
      <c r="AY397"/>
      <c r="AZ397"/>
      <c r="BA397"/>
      <c r="BB397"/>
      <c r="BC397"/>
      <c r="BD397"/>
      <c r="BE397"/>
      <c r="BF397"/>
      <c r="BG397" s="262"/>
      <c r="BI397"/>
      <c r="BJ397" s="262"/>
      <c r="BK397"/>
      <c r="BL397"/>
      <c r="BM397" s="108"/>
      <c r="BN397"/>
      <c r="BO397"/>
      <c r="BP397"/>
      <c r="BQ397"/>
      <c r="BR397" s="262"/>
      <c r="BS397"/>
      <c r="BT397"/>
      <c r="BU397"/>
      <c r="BX397"/>
      <c r="BY397"/>
      <c r="BZ397"/>
      <c r="CA397"/>
      <c r="CB397"/>
      <c r="CC397"/>
      <c r="CD397" s="141"/>
      <c r="CE397"/>
      <c r="CF397"/>
      <c r="CG397"/>
      <c r="CH397"/>
      <c r="CI397"/>
      <c r="CJ397"/>
      <c r="CK397"/>
      <c r="CL397"/>
      <c r="CM397"/>
      <c r="CN397"/>
      <c r="CO397"/>
      <c r="CP397"/>
      <c r="CQ397" s="143"/>
      <c r="CR397" s="143"/>
      <c r="CS397"/>
      <c r="CT397" s="262"/>
      <c r="CU397"/>
      <c r="CV397"/>
      <c r="CW397"/>
      <c r="CX397" s="143"/>
      <c r="CY397" s="143"/>
      <c r="CZ397" s="143"/>
      <c r="DA397" s="143"/>
      <c r="DB397"/>
      <c r="DC397"/>
      <c r="DD397" s="143"/>
      <c r="DE397"/>
      <c r="DF397" s="143"/>
      <c r="DG397"/>
      <c r="DH397"/>
      <c r="DI397"/>
      <c r="DJ397"/>
      <c r="DK397"/>
      <c r="DL397" s="139"/>
      <c r="DM397"/>
      <c r="DN397" s="26"/>
      <c r="DO397" s="26"/>
      <c r="DP397"/>
      <c r="DQ397" s="262"/>
      <c r="DR397"/>
      <c r="DS397"/>
      <c r="DT397"/>
      <c r="DU397"/>
      <c r="DV397"/>
      <c r="DW397"/>
      <c r="DX397"/>
      <c r="DY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row>
    <row r="398" spans="1:165" s="31" customFormat="1" ht="15.75" customHeight="1">
      <c r="A398" s="1"/>
      <c r="B398" s="1"/>
      <c r="C398" s="1"/>
      <c r="D398" s="1"/>
      <c r="E398" s="1"/>
      <c r="F398" s="1"/>
      <c r="G398" s="1"/>
      <c r="H398" s="1"/>
      <c r="I398" s="1"/>
      <c r="J398" s="1"/>
      <c r="K398" s="1"/>
      <c r="L398" s="1"/>
      <c r="M398" s="1"/>
      <c r="N398" s="1"/>
      <c r="O398" s="1"/>
      <c r="P398"/>
      <c r="Q398" s="130"/>
      <c r="R398" s="1"/>
      <c r="S398" s="1"/>
      <c r="T398" s="1"/>
      <c r="U398" s="1"/>
      <c r="V398" s="1"/>
      <c r="W398" s="1"/>
      <c r="X398" s="1"/>
      <c r="Y398" s="1"/>
      <c r="Z398" s="1"/>
      <c r="AA398" s="1"/>
      <c r="AB398" s="1"/>
      <c r="AC398" s="1"/>
      <c r="AD398" s="1"/>
      <c r="AE398" s="1"/>
      <c r="AF398" s="1"/>
      <c r="AG398" s="1"/>
      <c r="AH398" s="1"/>
      <c r="AI398" s="1"/>
      <c r="AJ398" s="1"/>
      <c r="AK398" s="1"/>
      <c r="AL398" s="1"/>
      <c r="AM398" s="1"/>
      <c r="AN398"/>
      <c r="AO398" s="228"/>
      <c r="AP398" s="189"/>
      <c r="AQ398"/>
      <c r="AR398"/>
      <c r="AS398" s="228"/>
      <c r="AT398" s="139"/>
      <c r="AU398" s="139"/>
      <c r="AV398"/>
      <c r="AW398" s="262"/>
      <c r="AX398"/>
      <c r="AY398"/>
      <c r="AZ398"/>
      <c r="BA398"/>
      <c r="BB398"/>
      <c r="BC398"/>
      <c r="BD398"/>
      <c r="BE398"/>
      <c r="BF398"/>
      <c r="BG398" s="262"/>
      <c r="BI398"/>
      <c r="BJ398" s="262"/>
      <c r="BK398"/>
      <c r="BL398"/>
      <c r="BM398" s="108"/>
      <c r="BN398"/>
      <c r="BO398"/>
      <c r="BP398"/>
      <c r="BQ398"/>
      <c r="BR398" s="262"/>
      <c r="BS398"/>
      <c r="BT398"/>
      <c r="BU398"/>
      <c r="BX398"/>
      <c r="BY398"/>
      <c r="BZ398"/>
      <c r="CA398"/>
      <c r="CB398"/>
      <c r="CC398"/>
      <c r="CD398" s="141"/>
      <c r="CE398"/>
      <c r="CF398"/>
      <c r="CG398"/>
      <c r="CH398"/>
      <c r="CI398"/>
      <c r="CJ398"/>
      <c r="CK398"/>
      <c r="CL398"/>
      <c r="CM398"/>
      <c r="CN398"/>
      <c r="CO398"/>
      <c r="CP398"/>
      <c r="CQ398" s="143"/>
      <c r="CR398" s="143"/>
      <c r="CS398"/>
      <c r="CT398" s="262"/>
      <c r="CU398"/>
      <c r="CV398"/>
      <c r="CW398"/>
      <c r="CX398" s="143"/>
      <c r="CY398" s="143"/>
      <c r="CZ398" s="143"/>
      <c r="DA398" s="143"/>
      <c r="DB398"/>
      <c r="DC398"/>
      <c r="DD398" s="143"/>
      <c r="DE398"/>
      <c r="DF398" s="143"/>
      <c r="DG398"/>
      <c r="DH398"/>
      <c r="DI398"/>
      <c r="DJ398"/>
      <c r="DK398"/>
      <c r="DL398" s="139"/>
      <c r="DM398"/>
      <c r="DN398" s="26"/>
      <c r="DO398" s="26"/>
      <c r="DP398"/>
      <c r="DQ398" s="262"/>
      <c r="DR398"/>
      <c r="DS398"/>
      <c r="DT398"/>
      <c r="EA398"/>
    </row>
    <row r="399" spans="1:165" s="31" customFormat="1" ht="15.75" customHeight="1">
      <c r="A399" s="1"/>
      <c r="B399" s="1"/>
      <c r="C399" s="1"/>
      <c r="D399" s="1"/>
      <c r="E399" s="1"/>
      <c r="F399" s="1"/>
      <c r="G399" s="1"/>
      <c r="H399" s="1"/>
      <c r="I399" s="1"/>
      <c r="J399" s="1"/>
      <c r="K399" s="1"/>
      <c r="L399" s="1"/>
      <c r="M399" s="1"/>
      <c r="N399" s="1"/>
      <c r="O399" s="1"/>
      <c r="P399"/>
      <c r="Q399" s="130"/>
      <c r="R399" s="1"/>
      <c r="S399" s="1"/>
      <c r="T399" s="1"/>
      <c r="U399" s="1"/>
      <c r="V399" s="1"/>
      <c r="W399" s="1"/>
      <c r="X399" s="1"/>
      <c r="Y399" s="1"/>
      <c r="Z399" s="1"/>
      <c r="AA399" s="1"/>
      <c r="AB399" s="1"/>
      <c r="AC399" s="1"/>
      <c r="AD399" s="1"/>
      <c r="AE399" s="1"/>
      <c r="AF399" s="1"/>
      <c r="AG399" s="1"/>
      <c r="AH399" s="1"/>
      <c r="AI399" s="1"/>
      <c r="AJ399" s="1"/>
      <c r="AK399" s="1"/>
      <c r="AL399" s="1"/>
      <c r="AM399" s="1"/>
      <c r="AN399"/>
      <c r="AO399" s="228"/>
      <c r="AP399" s="189"/>
      <c r="AQ399"/>
      <c r="AR399"/>
      <c r="AS399" s="228"/>
      <c r="AT399" s="139"/>
      <c r="AU399" s="139"/>
      <c r="AV399"/>
      <c r="AW399" s="262"/>
      <c r="AX399"/>
      <c r="AY399"/>
      <c r="AZ399"/>
      <c r="BA399"/>
      <c r="BB399"/>
      <c r="BC399"/>
      <c r="BD399"/>
      <c r="BE399"/>
      <c r="BF399"/>
      <c r="BG399" s="262"/>
      <c r="BI399"/>
      <c r="BJ399" s="262"/>
      <c r="BK399"/>
      <c r="BL399"/>
      <c r="BM399" s="108"/>
      <c r="BN399"/>
      <c r="BO399"/>
      <c r="BP399"/>
      <c r="BQ399"/>
      <c r="BR399" s="262"/>
      <c r="BS399"/>
      <c r="BT399"/>
      <c r="BU399"/>
      <c r="BX399"/>
      <c r="BY399"/>
      <c r="BZ399"/>
      <c r="CA399"/>
      <c r="CB399"/>
      <c r="CC399"/>
      <c r="CD399" s="141"/>
      <c r="CE399"/>
      <c r="CF399"/>
      <c r="CG399"/>
      <c r="CH399"/>
      <c r="CI399"/>
      <c r="CJ399"/>
      <c r="CK399"/>
      <c r="CL399"/>
      <c r="CM399"/>
      <c r="CN399"/>
      <c r="CO399"/>
      <c r="CP399"/>
      <c r="CQ399" s="143"/>
      <c r="CR399" s="143"/>
      <c r="CS399"/>
      <c r="CT399" s="262"/>
      <c r="CU399"/>
      <c r="CV399"/>
      <c r="CW399"/>
      <c r="CX399" s="143"/>
      <c r="CY399" s="143"/>
      <c r="CZ399" s="143"/>
      <c r="DA399" s="143"/>
      <c r="DB399"/>
      <c r="DC399"/>
      <c r="DD399" s="143"/>
      <c r="DE399"/>
      <c r="DF399" s="143"/>
      <c r="DG399"/>
      <c r="DH399"/>
      <c r="DI399"/>
      <c r="DJ399"/>
      <c r="DK399"/>
      <c r="DL399" s="139"/>
      <c r="DM399"/>
      <c r="DN399" s="26"/>
      <c r="DO399" s="26"/>
      <c r="DP399"/>
      <c r="DQ399" s="262"/>
      <c r="DR399"/>
      <c r="DS399"/>
      <c r="DT399"/>
    </row>
    <row r="400" spans="1:165" s="31" customFormat="1" ht="15.75" customHeight="1">
      <c r="A400" s="1"/>
      <c r="B400" s="1"/>
      <c r="C400" s="1"/>
      <c r="D400" s="1"/>
      <c r="E400" s="1"/>
      <c r="F400" s="1"/>
      <c r="G400" s="1"/>
      <c r="H400" s="1"/>
      <c r="I400" s="1"/>
      <c r="J400" s="1"/>
      <c r="K400" s="1"/>
      <c r="L400" s="1"/>
      <c r="M400" s="1"/>
      <c r="N400" s="1"/>
      <c r="O400" s="1"/>
      <c r="P400"/>
      <c r="Q400" s="130"/>
      <c r="R400" s="1"/>
      <c r="S400" s="1"/>
      <c r="T400" s="1"/>
      <c r="U400" s="1"/>
      <c r="V400" s="1"/>
      <c r="W400" s="1"/>
      <c r="X400" s="1"/>
      <c r="Y400" s="1"/>
      <c r="Z400" s="1"/>
      <c r="AA400" s="1"/>
      <c r="AB400" s="1"/>
      <c r="AC400" s="1"/>
      <c r="AD400" s="1"/>
      <c r="AE400" s="1"/>
      <c r="AF400" s="1"/>
      <c r="AG400" s="1"/>
      <c r="AH400" s="1"/>
      <c r="AI400" s="1"/>
      <c r="AJ400" s="1"/>
      <c r="AK400" s="1"/>
      <c r="AL400" s="1"/>
      <c r="AM400" s="1"/>
      <c r="AN400"/>
      <c r="AO400" s="228"/>
      <c r="AP400" s="189"/>
      <c r="AQ400"/>
      <c r="AR400"/>
      <c r="AS400" s="228"/>
      <c r="AT400" s="139"/>
      <c r="AU400" s="139"/>
      <c r="AV400"/>
      <c r="AW400" s="262"/>
      <c r="AX400"/>
      <c r="AY400"/>
      <c r="AZ400"/>
      <c r="BA400"/>
      <c r="BB400"/>
      <c r="BC400"/>
      <c r="BD400"/>
      <c r="BE400"/>
      <c r="BF400"/>
      <c r="BG400" s="262"/>
      <c r="BI400"/>
      <c r="BJ400" s="262"/>
      <c r="BK400"/>
      <c r="BL400"/>
      <c r="BM400" s="108"/>
      <c r="BN400"/>
      <c r="BO400"/>
      <c r="BP400"/>
      <c r="BQ400"/>
      <c r="BR400" s="262"/>
      <c r="BS400"/>
      <c r="BT400"/>
      <c r="BU400"/>
      <c r="BX400"/>
      <c r="BY400"/>
      <c r="BZ400"/>
      <c r="CA400"/>
      <c r="CB400"/>
      <c r="CC400"/>
      <c r="CD400" s="141"/>
      <c r="CE400"/>
      <c r="CF400"/>
      <c r="CG400"/>
      <c r="CH400"/>
      <c r="CI400"/>
      <c r="CJ400"/>
      <c r="CK400"/>
      <c r="CL400"/>
      <c r="CM400"/>
      <c r="CN400"/>
      <c r="CO400"/>
      <c r="CP400"/>
      <c r="CQ400" s="143"/>
      <c r="CR400" s="143"/>
      <c r="CS400"/>
      <c r="CT400" s="262"/>
      <c r="CU400"/>
      <c r="CV400"/>
      <c r="CW400"/>
      <c r="CX400" s="143"/>
      <c r="CY400" s="143"/>
      <c r="CZ400" s="143"/>
      <c r="DA400" s="143"/>
      <c r="DB400"/>
      <c r="DC400"/>
      <c r="DD400" s="143"/>
      <c r="DE400"/>
      <c r="DF400" s="143"/>
      <c r="DG400"/>
      <c r="DH400"/>
      <c r="DI400"/>
      <c r="DJ400"/>
      <c r="DK400"/>
      <c r="DL400" s="139"/>
      <c r="DM400"/>
      <c r="DN400" s="26"/>
      <c r="DO400" s="26"/>
      <c r="DP400"/>
      <c r="DQ400" s="262"/>
      <c r="DR400"/>
      <c r="DS400"/>
      <c r="DT400"/>
    </row>
    <row r="401" spans="1:130" s="31" customFormat="1" ht="15.75" customHeight="1">
      <c r="A401" s="1"/>
      <c r="B401" s="1"/>
      <c r="C401" s="1"/>
      <c r="D401" s="1"/>
      <c r="E401" s="1"/>
      <c r="F401" s="1"/>
      <c r="G401" s="1"/>
      <c r="H401" s="1"/>
      <c r="I401" s="1"/>
      <c r="J401" s="1"/>
      <c r="K401" s="1"/>
      <c r="L401" s="1"/>
      <c r="M401" s="1"/>
      <c r="N401" s="1"/>
      <c r="O401" s="1"/>
      <c r="P401"/>
      <c r="Q401" s="130"/>
      <c r="R401" s="1"/>
      <c r="S401" s="1"/>
      <c r="T401" s="1"/>
      <c r="U401" s="1"/>
      <c r="V401" s="1"/>
      <c r="W401" s="1"/>
      <c r="X401" s="1"/>
      <c r="Y401" s="1"/>
      <c r="Z401" s="1"/>
      <c r="AA401" s="1"/>
      <c r="AB401" s="1"/>
      <c r="AC401" s="1"/>
      <c r="AD401" s="1"/>
      <c r="AE401" s="1"/>
      <c r="AF401" s="1"/>
      <c r="AG401" s="1"/>
      <c r="AH401" s="1"/>
      <c r="AI401" s="1"/>
      <c r="AJ401" s="1"/>
      <c r="AK401" s="1"/>
      <c r="AL401" s="1"/>
      <c r="AM401" s="1"/>
      <c r="AN401"/>
      <c r="AO401" s="228"/>
      <c r="AP401" s="189"/>
      <c r="AQ401"/>
      <c r="AR401"/>
      <c r="AS401" s="228"/>
      <c r="AT401" s="139"/>
      <c r="AU401" s="139"/>
      <c r="AV401"/>
      <c r="AW401" s="262"/>
      <c r="AX401"/>
      <c r="AY401"/>
      <c r="AZ401"/>
      <c r="BA401"/>
      <c r="BB401"/>
      <c r="BC401"/>
      <c r="BD401"/>
      <c r="BE401"/>
      <c r="BF401"/>
      <c r="BG401" s="262"/>
      <c r="BI401"/>
      <c r="BJ401" s="262"/>
      <c r="BK401"/>
      <c r="BL401"/>
      <c r="BM401" s="108"/>
      <c r="BN401"/>
      <c r="BO401"/>
      <c r="BP401"/>
      <c r="BQ401"/>
      <c r="BR401" s="262"/>
      <c r="BS401"/>
      <c r="BT401"/>
      <c r="BU401"/>
      <c r="BX401"/>
      <c r="BY401"/>
      <c r="BZ401"/>
      <c r="CA401"/>
      <c r="CB401"/>
      <c r="CC401"/>
      <c r="CD401" s="141"/>
      <c r="CE401"/>
      <c r="CF401"/>
      <c r="CG401"/>
      <c r="CH401"/>
      <c r="CI401"/>
      <c r="CJ401"/>
      <c r="CK401"/>
      <c r="CL401"/>
      <c r="CM401"/>
      <c r="CN401"/>
      <c r="CO401"/>
      <c r="CP401"/>
      <c r="CQ401" s="143"/>
      <c r="CR401" s="143"/>
      <c r="CS401"/>
      <c r="CT401" s="262"/>
      <c r="CU401"/>
      <c r="CV401"/>
      <c r="CW401"/>
      <c r="CX401" s="143"/>
      <c r="CY401" s="143"/>
      <c r="CZ401" s="143"/>
      <c r="DA401" s="143"/>
      <c r="DB401"/>
      <c r="DC401"/>
      <c r="DD401" s="143"/>
      <c r="DE401"/>
      <c r="DF401" s="143"/>
      <c r="DG401"/>
      <c r="DH401"/>
      <c r="DI401"/>
      <c r="DJ401"/>
      <c r="DK401"/>
      <c r="DL401" s="139"/>
      <c r="DM401"/>
      <c r="DN401" s="26"/>
      <c r="DO401" s="26"/>
      <c r="DP401"/>
      <c r="DQ401" s="262"/>
      <c r="DR401"/>
      <c r="DS401"/>
      <c r="DT401"/>
    </row>
    <row r="402" spans="1:130" s="31" customFormat="1" ht="15.75" customHeight="1">
      <c r="A402" s="1"/>
      <c r="B402" s="1"/>
      <c r="C402" s="1"/>
      <c r="D402" s="1"/>
      <c r="E402" s="1"/>
      <c r="F402" s="1"/>
      <c r="G402" s="1"/>
      <c r="H402" s="1"/>
      <c r="I402" s="1"/>
      <c r="J402" s="1"/>
      <c r="K402" s="1"/>
      <c r="L402" s="1"/>
      <c r="M402" s="1"/>
      <c r="N402" s="1"/>
      <c r="O402" s="1"/>
      <c r="P402"/>
      <c r="Q402" s="130"/>
      <c r="R402" s="1"/>
      <c r="S402" s="1"/>
      <c r="T402" s="1"/>
      <c r="U402" s="1"/>
      <c r="V402" s="1"/>
      <c r="W402" s="1"/>
      <c r="X402" s="1"/>
      <c r="Y402" s="1"/>
      <c r="Z402" s="1"/>
      <c r="AA402" s="1"/>
      <c r="AB402" s="1"/>
      <c r="AC402" s="1"/>
      <c r="AD402" s="1"/>
      <c r="AE402" s="1"/>
      <c r="AF402" s="1"/>
      <c r="AG402" s="1"/>
      <c r="AH402" s="1"/>
      <c r="AI402" s="1"/>
      <c r="AJ402" s="1"/>
      <c r="AK402" s="1"/>
      <c r="AL402" s="1"/>
      <c r="AM402" s="1"/>
      <c r="AN402"/>
      <c r="AO402" s="228"/>
      <c r="AP402" s="189"/>
      <c r="AQ402"/>
      <c r="AR402"/>
      <c r="AS402" s="228"/>
      <c r="AT402" s="139"/>
      <c r="AU402" s="139"/>
      <c r="AV402"/>
      <c r="AW402" s="262"/>
      <c r="AX402"/>
      <c r="AY402"/>
      <c r="AZ402"/>
      <c r="BA402"/>
      <c r="BB402"/>
      <c r="BC402"/>
      <c r="BD402"/>
      <c r="BE402"/>
      <c r="BF402"/>
      <c r="BG402" s="262"/>
      <c r="BI402"/>
      <c r="BJ402" s="262"/>
      <c r="BK402"/>
      <c r="BL402"/>
      <c r="BM402" s="108"/>
      <c r="BN402"/>
      <c r="BO402"/>
      <c r="BP402"/>
      <c r="BQ402"/>
      <c r="BR402" s="262"/>
      <c r="BS402"/>
      <c r="BT402"/>
      <c r="BU402"/>
      <c r="BX402"/>
      <c r="BY402"/>
      <c r="BZ402"/>
      <c r="CA402"/>
      <c r="CB402"/>
      <c r="CC402"/>
      <c r="CD402" s="141"/>
      <c r="CE402"/>
      <c r="CF402"/>
      <c r="CG402"/>
      <c r="CH402"/>
      <c r="CI402"/>
      <c r="CJ402"/>
      <c r="CK402"/>
      <c r="CL402"/>
      <c r="CM402"/>
      <c r="CN402"/>
      <c r="CO402"/>
      <c r="CP402"/>
      <c r="CQ402" s="143"/>
      <c r="CR402" s="143"/>
      <c r="CS402"/>
      <c r="CT402" s="262"/>
      <c r="CU402"/>
      <c r="CV402"/>
      <c r="CW402"/>
      <c r="CX402" s="143"/>
      <c r="CY402" s="143"/>
      <c r="CZ402" s="143"/>
      <c r="DA402" s="143"/>
      <c r="DB402"/>
      <c r="DC402"/>
      <c r="DD402" s="143"/>
      <c r="DE402"/>
      <c r="DF402" s="143"/>
      <c r="DG402"/>
      <c r="DH402"/>
      <c r="DI402"/>
      <c r="DJ402"/>
      <c r="DK402"/>
      <c r="DL402" s="139"/>
      <c r="DM402"/>
      <c r="DN402" s="26"/>
      <c r="DO402" s="26"/>
      <c r="DP402"/>
      <c r="DQ402" s="262"/>
      <c r="DR402"/>
      <c r="DS402"/>
      <c r="DT402"/>
    </row>
    <row r="403" spans="1:130" s="31" customFormat="1" ht="15.75" customHeight="1">
      <c r="A403" s="1"/>
      <c r="B403" s="1"/>
      <c r="C403" s="1"/>
      <c r="D403" s="1"/>
      <c r="E403" s="1"/>
      <c r="F403" s="1"/>
      <c r="G403" s="1"/>
      <c r="H403" s="1"/>
      <c r="I403" s="1"/>
      <c r="J403" s="1"/>
      <c r="K403" s="1"/>
      <c r="L403" s="1"/>
      <c r="M403" s="1"/>
      <c r="N403" s="1"/>
      <c r="O403" s="1"/>
      <c r="P403"/>
      <c r="Q403" s="130"/>
      <c r="R403" s="1"/>
      <c r="S403" s="1"/>
      <c r="T403" s="1"/>
      <c r="U403" s="1"/>
      <c r="V403" s="1"/>
      <c r="W403" s="1"/>
      <c r="X403" s="1"/>
      <c r="Y403" s="1"/>
      <c r="Z403" s="1"/>
      <c r="AA403" s="1"/>
      <c r="AB403" s="1"/>
      <c r="AC403" s="1"/>
      <c r="AD403" s="1"/>
      <c r="AE403" s="1"/>
      <c r="AF403" s="1"/>
      <c r="AG403" s="1"/>
      <c r="AH403" s="1"/>
      <c r="AI403" s="1"/>
      <c r="AJ403" s="1"/>
      <c r="AK403" s="1"/>
      <c r="AL403" s="1"/>
      <c r="AM403" s="1"/>
      <c r="AN403"/>
      <c r="AO403" s="228"/>
      <c r="AP403" s="189"/>
      <c r="AQ403"/>
      <c r="AR403"/>
      <c r="AS403" s="228"/>
      <c r="AT403" s="139"/>
      <c r="AU403" s="139"/>
      <c r="AV403"/>
      <c r="AW403" s="262"/>
      <c r="AX403"/>
      <c r="AY403"/>
      <c r="AZ403"/>
      <c r="BA403"/>
      <c r="BB403"/>
      <c r="BC403"/>
      <c r="BD403"/>
      <c r="BE403"/>
      <c r="BF403"/>
      <c r="BG403" s="262"/>
      <c r="BI403"/>
      <c r="BJ403" s="262"/>
      <c r="BK403"/>
      <c r="BL403"/>
      <c r="BM403" s="108"/>
      <c r="BN403"/>
      <c r="BO403"/>
      <c r="BP403"/>
      <c r="BQ403"/>
      <c r="BR403" s="262"/>
      <c r="BS403"/>
      <c r="BT403"/>
      <c r="BU403"/>
      <c r="BX403"/>
      <c r="BY403"/>
      <c r="BZ403"/>
      <c r="CA403"/>
      <c r="CB403"/>
      <c r="CC403"/>
      <c r="CD403" s="141"/>
      <c r="CE403"/>
      <c r="CF403"/>
      <c r="CG403"/>
      <c r="CH403"/>
      <c r="CI403"/>
      <c r="CJ403"/>
      <c r="CK403"/>
      <c r="CL403"/>
      <c r="CM403"/>
      <c r="CN403"/>
      <c r="CO403"/>
      <c r="CP403"/>
      <c r="CQ403" s="143"/>
      <c r="CR403" s="143"/>
      <c r="CS403"/>
      <c r="CT403" s="262"/>
      <c r="CU403"/>
      <c r="CV403"/>
      <c r="CW403"/>
      <c r="CX403" s="143"/>
      <c r="CY403" s="143"/>
      <c r="CZ403" s="143"/>
      <c r="DA403" s="143"/>
      <c r="DB403"/>
      <c r="DC403"/>
      <c r="DD403" s="143"/>
      <c r="DE403"/>
      <c r="DF403" s="143"/>
      <c r="DG403"/>
      <c r="DH403"/>
      <c r="DI403"/>
      <c r="DJ403"/>
      <c r="DK403"/>
      <c r="DL403" s="139"/>
      <c r="DM403"/>
      <c r="DN403" s="26"/>
      <c r="DO403" s="26"/>
      <c r="DP403"/>
      <c r="DQ403" s="262"/>
      <c r="DR403"/>
      <c r="DS403"/>
      <c r="DT403"/>
    </row>
    <row r="404" spans="1:130" s="31" customFormat="1" ht="15.75" customHeight="1">
      <c r="A404" s="1"/>
      <c r="B404" s="1"/>
      <c r="C404" s="1"/>
      <c r="D404" s="1"/>
      <c r="E404" s="1"/>
      <c r="F404" s="1"/>
      <c r="G404" s="1"/>
      <c r="H404" s="1"/>
      <c r="I404" s="1"/>
      <c r="J404" s="1"/>
      <c r="K404" s="1"/>
      <c r="L404" s="1"/>
      <c r="M404" s="1"/>
      <c r="N404" s="1"/>
      <c r="O404" s="1"/>
      <c r="P404"/>
      <c r="Q404" s="130"/>
      <c r="R404" s="1"/>
      <c r="S404" s="1"/>
      <c r="T404" s="1"/>
      <c r="U404" s="1"/>
      <c r="V404" s="1"/>
      <c r="W404" s="1"/>
      <c r="X404" s="1"/>
      <c r="Y404" s="1"/>
      <c r="Z404" s="1"/>
      <c r="AA404" s="1"/>
      <c r="AB404" s="1"/>
      <c r="AC404" s="1"/>
      <c r="AD404" s="1"/>
      <c r="AE404" s="1"/>
      <c r="AF404" s="1"/>
      <c r="AG404" s="1"/>
      <c r="AH404" s="1"/>
      <c r="AI404" s="1"/>
      <c r="AJ404" s="1"/>
      <c r="AK404" s="1"/>
      <c r="AL404" s="1"/>
      <c r="AM404" s="1"/>
      <c r="AN404"/>
      <c r="AO404" s="228"/>
      <c r="AP404" s="189"/>
      <c r="AQ404"/>
      <c r="AR404"/>
      <c r="AS404" s="228"/>
      <c r="AT404" s="139"/>
      <c r="AU404" s="139"/>
      <c r="AV404"/>
      <c r="AW404" s="262"/>
      <c r="AX404"/>
      <c r="AY404"/>
      <c r="AZ404"/>
      <c r="BA404"/>
      <c r="BF404"/>
      <c r="BG404" s="262"/>
      <c r="BJ404" s="262"/>
      <c r="BK404"/>
      <c r="BM404" s="108"/>
      <c r="BQ404"/>
      <c r="BR404" s="262"/>
      <c r="BS404"/>
      <c r="BU404"/>
      <c r="BX404"/>
      <c r="CD404" s="141"/>
      <c r="CK404"/>
      <c r="CM404"/>
      <c r="CO404"/>
      <c r="CP404"/>
      <c r="CQ404" s="143"/>
      <c r="CR404" s="143"/>
      <c r="CS404"/>
      <c r="CT404" s="262"/>
      <c r="CU404"/>
      <c r="CV404"/>
      <c r="CW404"/>
      <c r="CX404" s="143"/>
      <c r="CY404" s="143"/>
      <c r="CZ404" s="143"/>
      <c r="DA404" s="143"/>
      <c r="DB404"/>
      <c r="DC404"/>
      <c r="DD404" s="143"/>
      <c r="DE404"/>
      <c r="DF404" s="143"/>
      <c r="DG404"/>
      <c r="DH404"/>
      <c r="DI404"/>
      <c r="DJ404"/>
      <c r="DK404"/>
      <c r="DL404" s="139"/>
      <c r="DM404"/>
      <c r="DN404" s="26"/>
      <c r="DO404" s="26"/>
      <c r="DP404"/>
      <c r="DQ404" s="262"/>
      <c r="DR404"/>
      <c r="DS404"/>
      <c r="DT404"/>
    </row>
    <row r="405" spans="1:130" s="31" customFormat="1" ht="15.75" customHeight="1">
      <c r="A405" s="1"/>
      <c r="B405" s="1"/>
      <c r="C405" s="1"/>
      <c r="D405" s="1"/>
      <c r="E405" s="1"/>
      <c r="F405" s="1"/>
      <c r="G405" s="1"/>
      <c r="H405" s="1"/>
      <c r="I405" s="1"/>
      <c r="J405" s="1"/>
      <c r="K405" s="1"/>
      <c r="L405" s="1"/>
      <c r="M405" s="1"/>
      <c r="N405" s="1"/>
      <c r="O405" s="1"/>
      <c r="P405"/>
      <c r="Q405" s="130"/>
      <c r="R405" s="1"/>
      <c r="S405" s="1"/>
      <c r="T405" s="1"/>
      <c r="U405" s="1"/>
      <c r="V405" s="1"/>
      <c r="W405" s="1"/>
      <c r="X405" s="1"/>
      <c r="Y405" s="1"/>
      <c r="Z405" s="1"/>
      <c r="AA405" s="1"/>
      <c r="AB405" s="1"/>
      <c r="AC405" s="1"/>
      <c r="AD405" s="1"/>
      <c r="AE405" s="1"/>
      <c r="AF405" s="1"/>
      <c r="AG405" s="1"/>
      <c r="AH405" s="1"/>
      <c r="AI405" s="1"/>
      <c r="AJ405" s="1"/>
      <c r="AK405" s="1"/>
      <c r="AL405" s="1"/>
      <c r="AM405" s="1"/>
      <c r="AN405"/>
      <c r="AO405" s="228"/>
      <c r="AP405" s="189"/>
      <c r="AQ405"/>
      <c r="AR405"/>
      <c r="AS405" s="228"/>
      <c r="AT405" s="139"/>
      <c r="AU405" s="139"/>
      <c r="AV405"/>
      <c r="AW405" s="262"/>
      <c r="AX405"/>
      <c r="AY405"/>
      <c r="AZ405"/>
      <c r="BA405"/>
      <c r="BF405"/>
      <c r="BG405" s="262"/>
      <c r="BJ405" s="262"/>
      <c r="BK405"/>
      <c r="BM405" s="108"/>
      <c r="BQ405"/>
      <c r="BR405" s="262"/>
      <c r="BS405"/>
      <c r="BU405"/>
      <c r="BX405"/>
      <c r="CD405" s="141"/>
      <c r="CK405"/>
      <c r="CM405"/>
      <c r="CO405"/>
      <c r="CP405"/>
      <c r="CQ405" s="143"/>
      <c r="CR405" s="143"/>
      <c r="CS405"/>
      <c r="CT405" s="262"/>
      <c r="CU405"/>
      <c r="CV405"/>
      <c r="CW405"/>
      <c r="CX405" s="143"/>
      <c r="CY405" s="143"/>
      <c r="CZ405" s="143"/>
      <c r="DA405" s="143"/>
      <c r="DB405"/>
      <c r="DC405"/>
      <c r="DD405" s="143"/>
      <c r="DE405"/>
      <c r="DF405" s="143"/>
      <c r="DG405"/>
      <c r="DH405"/>
      <c r="DI405"/>
      <c r="DJ405"/>
      <c r="DK405"/>
      <c r="DL405" s="139"/>
      <c r="DM405"/>
      <c r="DN405" s="26"/>
      <c r="DO405" s="26"/>
      <c r="DP405"/>
      <c r="DQ405" s="262"/>
      <c r="DR405"/>
      <c r="DS405"/>
      <c r="DT405"/>
    </row>
    <row r="406" spans="1:130" s="31" customFormat="1" ht="15.75" customHeight="1">
      <c r="A406" s="1"/>
      <c r="B406" s="1"/>
      <c r="C406" s="1"/>
      <c r="D406" s="1"/>
      <c r="E406" s="1"/>
      <c r="F406" s="1"/>
      <c r="G406" s="1"/>
      <c r="H406" s="1"/>
      <c r="I406" s="1"/>
      <c r="J406" s="1"/>
      <c r="K406" s="1"/>
      <c r="L406" s="1"/>
      <c r="M406" s="1"/>
      <c r="N406" s="1"/>
      <c r="O406" s="1"/>
      <c r="P406"/>
      <c r="Q406" s="130"/>
      <c r="R406" s="1"/>
      <c r="S406" s="1"/>
      <c r="T406" s="1"/>
      <c r="U406" s="1"/>
      <c r="V406" s="1"/>
      <c r="W406" s="1"/>
      <c r="X406" s="1"/>
      <c r="Y406" s="1"/>
      <c r="Z406" s="1"/>
      <c r="AA406" s="1"/>
      <c r="AB406" s="1"/>
      <c r="AC406" s="1"/>
      <c r="AD406" s="1"/>
      <c r="AE406" s="1"/>
      <c r="AF406" s="1"/>
      <c r="AG406" s="1"/>
      <c r="AH406" s="1"/>
      <c r="AI406" s="1"/>
      <c r="AJ406" s="1"/>
      <c r="AK406" s="1"/>
      <c r="AL406" s="1"/>
      <c r="AM406" s="1"/>
      <c r="AN406"/>
      <c r="AO406" s="228"/>
      <c r="AP406" s="189"/>
      <c r="AQ406"/>
      <c r="AR406"/>
      <c r="AS406" s="228"/>
      <c r="AT406" s="139"/>
      <c r="AU406" s="139"/>
      <c r="AV406"/>
      <c r="AW406" s="262"/>
      <c r="AX406"/>
      <c r="AY406"/>
      <c r="AZ406"/>
      <c r="BA406"/>
      <c r="BF406"/>
      <c r="BG406" s="262"/>
      <c r="BJ406" s="262"/>
      <c r="BK406"/>
      <c r="BM406" s="108"/>
      <c r="BQ406"/>
      <c r="BR406" s="262"/>
      <c r="BS406"/>
      <c r="BU406"/>
      <c r="BX406"/>
      <c r="CD406" s="141"/>
      <c r="CK406"/>
      <c r="CM406"/>
      <c r="CO406"/>
      <c r="CP406"/>
      <c r="CQ406" s="143"/>
      <c r="CR406" s="143"/>
      <c r="CS406"/>
      <c r="CT406" s="262"/>
      <c r="CU406"/>
      <c r="CV406"/>
      <c r="CW406"/>
      <c r="CX406" s="143"/>
      <c r="CY406" s="143"/>
      <c r="CZ406" s="143"/>
      <c r="DA406" s="143"/>
      <c r="DB406"/>
      <c r="DC406"/>
      <c r="DD406" s="143"/>
      <c r="DE406"/>
      <c r="DF406" s="143"/>
      <c r="DG406"/>
      <c r="DH406"/>
      <c r="DI406"/>
      <c r="DJ406"/>
      <c r="DK406"/>
      <c r="DL406" s="139"/>
      <c r="DM406"/>
      <c r="DN406" s="26"/>
      <c r="DO406" s="26"/>
      <c r="DP406"/>
      <c r="DQ406" s="262"/>
      <c r="DR406"/>
      <c r="DS406"/>
      <c r="DT406"/>
    </row>
    <row r="407" spans="1:130" s="31" customFormat="1" ht="15.75" customHeight="1">
      <c r="A407" s="1"/>
      <c r="B407" s="1"/>
      <c r="C407" s="1"/>
      <c r="D407" s="1"/>
      <c r="E407" s="1"/>
      <c r="F407" s="1"/>
      <c r="G407" s="1"/>
      <c r="H407" s="1"/>
      <c r="I407" s="1"/>
      <c r="J407" s="1"/>
      <c r="K407" s="1"/>
      <c r="L407" s="1"/>
      <c r="M407" s="1"/>
      <c r="N407" s="1"/>
      <c r="O407" s="1"/>
      <c r="P407"/>
      <c r="Q407" s="130"/>
      <c r="R407" s="1"/>
      <c r="S407" s="1"/>
      <c r="T407" s="1"/>
      <c r="U407" s="1"/>
      <c r="V407" s="1"/>
      <c r="W407" s="1"/>
      <c r="X407" s="1"/>
      <c r="Y407" s="1"/>
      <c r="Z407" s="1"/>
      <c r="AA407" s="1"/>
      <c r="AB407" s="1"/>
      <c r="AC407" s="1"/>
      <c r="AD407" s="1"/>
      <c r="AE407" s="1"/>
      <c r="AF407" s="1"/>
      <c r="AG407" s="1"/>
      <c r="AH407" s="1"/>
      <c r="AI407" s="1"/>
      <c r="AJ407" s="1"/>
      <c r="AK407" s="1"/>
      <c r="AL407" s="1"/>
      <c r="AM407" s="1"/>
      <c r="AN407"/>
      <c r="AO407" s="228"/>
      <c r="AP407" s="189"/>
      <c r="AQ407"/>
      <c r="AR407"/>
      <c r="AS407" s="228"/>
      <c r="AT407" s="139"/>
      <c r="AU407" s="139"/>
      <c r="AV407"/>
      <c r="AW407" s="262"/>
      <c r="AX407"/>
      <c r="AY407"/>
      <c r="AZ407"/>
      <c r="BA407"/>
      <c r="BF407"/>
      <c r="BG407" s="262"/>
      <c r="BJ407" s="262"/>
      <c r="BK407"/>
      <c r="BM407" s="108"/>
      <c r="BQ407"/>
      <c r="BR407" s="262"/>
      <c r="BS407"/>
      <c r="BU407"/>
      <c r="BX407"/>
      <c r="CD407" s="141"/>
      <c r="CK407"/>
      <c r="CM407"/>
      <c r="CO407"/>
      <c r="CP407"/>
      <c r="CQ407" s="143"/>
      <c r="CR407" s="143"/>
      <c r="CS407"/>
      <c r="CT407" s="262"/>
      <c r="CU407"/>
      <c r="CV407"/>
      <c r="CW407"/>
      <c r="CX407" s="143"/>
      <c r="CY407" s="143"/>
      <c r="CZ407" s="143"/>
      <c r="DA407" s="143"/>
      <c r="DB407"/>
      <c r="DC407"/>
      <c r="DD407" s="143"/>
      <c r="DE407"/>
      <c r="DF407" s="143"/>
      <c r="DG407"/>
      <c r="DH407"/>
      <c r="DI407"/>
      <c r="DJ407"/>
      <c r="DK407"/>
      <c r="DL407" s="139"/>
      <c r="DM407"/>
      <c r="DN407" s="26"/>
      <c r="DO407" s="26"/>
      <c r="DP407"/>
      <c r="DQ407" s="262"/>
      <c r="DR407"/>
      <c r="DS407"/>
      <c r="DT407"/>
    </row>
    <row r="408" spans="1:130" s="31" customFormat="1" ht="15.75" customHeight="1">
      <c r="A408" s="1"/>
      <c r="B408" s="1"/>
      <c r="C408" s="1"/>
      <c r="D408" s="1"/>
      <c r="E408" s="1"/>
      <c r="F408" s="1"/>
      <c r="G408" s="1"/>
      <c r="H408" s="1"/>
      <c r="I408" s="1"/>
      <c r="J408" s="1"/>
      <c r="K408" s="1"/>
      <c r="L408" s="1"/>
      <c r="M408" s="1"/>
      <c r="N408" s="1"/>
      <c r="O408" s="1"/>
      <c r="P408"/>
      <c r="Q408" s="130"/>
      <c r="R408" s="1"/>
      <c r="S408" s="1"/>
      <c r="T408" s="1"/>
      <c r="U408" s="1"/>
      <c r="V408" s="1"/>
      <c r="W408" s="1"/>
      <c r="X408" s="1"/>
      <c r="Y408" s="1"/>
      <c r="Z408" s="1"/>
      <c r="AA408" s="1"/>
      <c r="AB408" s="1"/>
      <c r="AC408" s="1"/>
      <c r="AD408" s="1"/>
      <c r="AE408" s="1"/>
      <c r="AF408" s="1"/>
      <c r="AG408" s="1"/>
      <c r="AH408" s="1"/>
      <c r="AI408" s="1"/>
      <c r="AJ408" s="1"/>
      <c r="AK408" s="1"/>
      <c r="AL408" s="1"/>
      <c r="AM408" s="1"/>
      <c r="AN408"/>
      <c r="AO408" s="228"/>
      <c r="AP408" s="189"/>
      <c r="AQ408"/>
      <c r="AR408"/>
      <c r="AS408" s="228"/>
      <c r="AT408" s="139"/>
      <c r="AU408" s="139"/>
      <c r="AV408"/>
      <c r="AW408" s="262"/>
      <c r="AX408"/>
      <c r="AY408"/>
      <c r="AZ408"/>
      <c r="BA408"/>
      <c r="BF408"/>
      <c r="BG408" s="262"/>
      <c r="BJ408" s="262"/>
      <c r="BK408"/>
      <c r="BM408" s="108"/>
      <c r="BQ408"/>
      <c r="BR408" s="262"/>
      <c r="BS408"/>
      <c r="BU408"/>
      <c r="BX408"/>
      <c r="CD408" s="141"/>
      <c r="CK408"/>
      <c r="CM408"/>
      <c r="CO408"/>
      <c r="CP408"/>
      <c r="CQ408" s="143"/>
      <c r="CR408" s="143"/>
      <c r="CS408"/>
      <c r="CT408" s="262"/>
      <c r="CU408"/>
      <c r="CV408"/>
      <c r="CW408"/>
      <c r="CX408" s="143"/>
      <c r="CY408" s="143"/>
      <c r="CZ408" s="143"/>
      <c r="DA408" s="143"/>
      <c r="DB408"/>
      <c r="DC408"/>
      <c r="DD408" s="143"/>
      <c r="DE408"/>
      <c r="DF408" s="143"/>
      <c r="DG408"/>
      <c r="DH408"/>
      <c r="DI408"/>
      <c r="DJ408"/>
      <c r="DK408"/>
      <c r="DL408" s="139"/>
      <c r="DM408"/>
      <c r="DN408" s="26"/>
      <c r="DO408" s="26"/>
      <c r="DP408"/>
      <c r="DQ408" s="262"/>
      <c r="DR408"/>
      <c r="DS408"/>
      <c r="DT408"/>
    </row>
    <row r="409" spans="1:130" s="31" customFormat="1" ht="15.75" customHeight="1">
      <c r="A409" s="1"/>
      <c r="B409" s="1"/>
      <c r="C409" s="1"/>
      <c r="D409" s="1"/>
      <c r="E409" s="1"/>
      <c r="F409" s="1"/>
      <c r="G409" s="1"/>
      <c r="H409" s="1"/>
      <c r="I409" s="1"/>
      <c r="J409" s="1"/>
      <c r="K409" s="1"/>
      <c r="L409" s="1"/>
      <c r="M409" s="1"/>
      <c r="N409" s="1"/>
      <c r="O409" s="1"/>
      <c r="P409"/>
      <c r="Q409" s="130"/>
      <c r="R409" s="1"/>
      <c r="S409" s="1"/>
      <c r="T409" s="1"/>
      <c r="U409" s="1"/>
      <c r="V409" s="1"/>
      <c r="W409" s="1"/>
      <c r="X409" s="1"/>
      <c r="Y409" s="1"/>
      <c r="Z409" s="1"/>
      <c r="AA409" s="1"/>
      <c r="AB409" s="1"/>
      <c r="AC409" s="1"/>
      <c r="AD409" s="1"/>
      <c r="AE409" s="1"/>
      <c r="AF409" s="1"/>
      <c r="AG409" s="1"/>
      <c r="AH409" s="1"/>
      <c r="AI409" s="1"/>
      <c r="AJ409" s="1"/>
      <c r="AK409" s="1"/>
      <c r="AL409" s="1"/>
      <c r="AM409" s="1"/>
      <c r="AN409"/>
      <c r="AO409" s="228"/>
      <c r="AP409" s="189"/>
      <c r="AQ409"/>
      <c r="AR409"/>
      <c r="AS409" s="228"/>
      <c r="AT409" s="139"/>
      <c r="AU409" s="139"/>
      <c r="AV409"/>
      <c r="AW409" s="262"/>
      <c r="AX409"/>
      <c r="AY409"/>
      <c r="AZ409"/>
      <c r="BA409"/>
      <c r="BF409"/>
      <c r="BG409" s="262"/>
      <c r="BJ409" s="262"/>
      <c r="BK409"/>
      <c r="BM409" s="108"/>
      <c r="BQ409"/>
      <c r="BR409" s="262"/>
      <c r="BS409"/>
      <c r="BU409"/>
      <c r="BX409"/>
      <c r="CD409" s="141"/>
      <c r="CK409"/>
      <c r="CM409"/>
      <c r="CO409"/>
      <c r="CP409"/>
      <c r="CQ409" s="143"/>
      <c r="CR409" s="143"/>
      <c r="CS409"/>
      <c r="CT409" s="262"/>
      <c r="CU409"/>
      <c r="CV409"/>
      <c r="CW409"/>
      <c r="CX409" s="143"/>
      <c r="CY409" s="143"/>
      <c r="CZ409" s="143"/>
      <c r="DA409" s="143"/>
      <c r="DB409"/>
      <c r="DC409"/>
      <c r="DD409" s="143"/>
      <c r="DE409"/>
      <c r="DF409" s="143"/>
      <c r="DG409"/>
      <c r="DH409"/>
      <c r="DI409"/>
      <c r="DJ409"/>
      <c r="DK409"/>
      <c r="DL409" s="139"/>
      <c r="DM409"/>
      <c r="DN409" s="26"/>
      <c r="DO409" s="26"/>
      <c r="DP409"/>
      <c r="DQ409" s="262"/>
      <c r="DR409"/>
      <c r="DS409"/>
      <c r="DT409"/>
    </row>
    <row r="410" spans="1:130" s="31" customFormat="1" ht="15.75" customHeight="1">
      <c r="A410" s="1"/>
      <c r="B410" s="1"/>
      <c r="C410" s="1"/>
      <c r="D410" s="1"/>
      <c r="E410" s="1"/>
      <c r="F410" s="1"/>
      <c r="G410" s="1"/>
      <c r="H410" s="1"/>
      <c r="I410" s="1"/>
      <c r="J410" s="1"/>
      <c r="K410" s="1"/>
      <c r="L410" s="1"/>
      <c r="M410" s="1"/>
      <c r="N410" s="1"/>
      <c r="O410" s="1"/>
      <c r="P410"/>
      <c r="Q410" s="130"/>
      <c r="R410" s="1"/>
      <c r="S410" s="1"/>
      <c r="T410" s="1"/>
      <c r="U410" s="1"/>
      <c r="V410" s="1"/>
      <c r="W410" s="1"/>
      <c r="X410" s="1"/>
      <c r="Y410" s="1"/>
      <c r="Z410" s="1"/>
      <c r="AA410" s="1"/>
      <c r="AB410" s="1"/>
      <c r="AC410" s="1"/>
      <c r="AD410" s="1"/>
      <c r="AE410" s="1"/>
      <c r="AF410" s="1"/>
      <c r="AG410" s="1"/>
      <c r="AH410" s="1"/>
      <c r="AI410" s="1"/>
      <c r="AJ410" s="1"/>
      <c r="AK410" s="1"/>
      <c r="AL410" s="1"/>
      <c r="AM410" s="1"/>
      <c r="AN410"/>
      <c r="AO410" s="228"/>
      <c r="AP410" s="189"/>
      <c r="AQ410"/>
      <c r="AR410"/>
      <c r="AS410" s="228"/>
      <c r="AT410" s="139"/>
      <c r="AU410" s="139"/>
      <c r="AV410"/>
      <c r="AW410" s="262"/>
      <c r="AX410"/>
      <c r="AY410"/>
      <c r="AZ410"/>
      <c r="BA410"/>
      <c r="BF410"/>
      <c r="BG410" s="262"/>
      <c r="BJ410" s="262"/>
      <c r="BK410"/>
      <c r="BM410" s="108"/>
      <c r="BQ410"/>
      <c r="BR410" s="262"/>
      <c r="BS410"/>
      <c r="BU410"/>
      <c r="BX410"/>
      <c r="CD410" s="141"/>
      <c r="CK410"/>
      <c r="CM410"/>
      <c r="CO410"/>
      <c r="CP410"/>
      <c r="CQ410" s="143"/>
      <c r="CR410" s="143"/>
      <c r="CS410"/>
      <c r="CT410" s="262"/>
      <c r="CU410"/>
      <c r="CV410"/>
      <c r="CW410"/>
      <c r="CX410" s="143"/>
      <c r="CY410" s="143"/>
      <c r="CZ410" s="143"/>
      <c r="DA410" s="143"/>
      <c r="DB410"/>
      <c r="DC410"/>
      <c r="DD410" s="143"/>
      <c r="DE410"/>
      <c r="DF410" s="143"/>
      <c r="DG410"/>
      <c r="DH410"/>
      <c r="DI410"/>
      <c r="DJ410"/>
      <c r="DK410"/>
      <c r="DL410" s="139"/>
      <c r="DM410"/>
      <c r="DN410" s="26"/>
      <c r="DO410" s="26"/>
      <c r="DP410"/>
      <c r="DQ410" s="262"/>
      <c r="DR410"/>
      <c r="DS410"/>
      <c r="DT410"/>
    </row>
    <row r="411" spans="1:130" s="31" customFormat="1" ht="15.75" customHeight="1">
      <c r="A411" s="1"/>
      <c r="B411" s="1"/>
      <c r="C411" s="1"/>
      <c r="D411" s="1"/>
      <c r="E411" s="1"/>
      <c r="F411" s="1"/>
      <c r="G411" s="1"/>
      <c r="H411" s="1"/>
      <c r="I411" s="1"/>
      <c r="J411" s="1"/>
      <c r="K411" s="1"/>
      <c r="L411" s="1"/>
      <c r="M411" s="1"/>
      <c r="N411" s="1"/>
      <c r="O411" s="1"/>
      <c r="P411"/>
      <c r="Q411" s="130"/>
      <c r="R411" s="1"/>
      <c r="S411" s="1"/>
      <c r="T411" s="1"/>
      <c r="U411" s="1"/>
      <c r="V411" s="1"/>
      <c r="W411" s="1"/>
      <c r="X411" s="1"/>
      <c r="Y411" s="1"/>
      <c r="Z411" s="1"/>
      <c r="AA411" s="1"/>
      <c r="AB411" s="1"/>
      <c r="AC411" s="1"/>
      <c r="AD411" s="1"/>
      <c r="AE411" s="1"/>
      <c r="AF411" s="1"/>
      <c r="AG411" s="1"/>
      <c r="AH411" s="1"/>
      <c r="AI411" s="1"/>
      <c r="AJ411" s="1"/>
      <c r="AK411" s="1"/>
      <c r="AL411" s="1"/>
      <c r="AM411" s="1"/>
      <c r="AN411"/>
      <c r="AO411" s="228"/>
      <c r="AP411" s="189"/>
      <c r="AQ411"/>
      <c r="AR411"/>
      <c r="AS411" s="228"/>
      <c r="AT411" s="139"/>
      <c r="AU411" s="139"/>
      <c r="AV411"/>
      <c r="AW411" s="262"/>
      <c r="AX411"/>
      <c r="AY411"/>
      <c r="AZ411"/>
      <c r="BA411"/>
      <c r="BF411"/>
      <c r="BG411" s="262"/>
      <c r="BJ411" s="262"/>
      <c r="BK411"/>
      <c r="BM411" s="108"/>
      <c r="BQ411"/>
      <c r="BR411" s="262"/>
      <c r="BS411"/>
      <c r="BU411"/>
      <c r="BX411"/>
      <c r="CD411" s="141"/>
      <c r="CK411"/>
      <c r="CM411"/>
      <c r="CO411"/>
      <c r="CP411"/>
      <c r="CQ411" s="143"/>
      <c r="CR411" s="143"/>
      <c r="CS411"/>
      <c r="CT411" s="262"/>
      <c r="CU411"/>
      <c r="CV411"/>
      <c r="CW411"/>
      <c r="CX411" s="143"/>
      <c r="CY411" s="143"/>
      <c r="CZ411" s="143"/>
      <c r="DA411" s="143"/>
      <c r="DB411"/>
      <c r="DC411"/>
      <c r="DD411" s="143"/>
      <c r="DE411"/>
      <c r="DF411" s="143"/>
      <c r="DG411"/>
      <c r="DH411"/>
      <c r="DI411"/>
      <c r="DJ411"/>
      <c r="DK411"/>
      <c r="DL411" s="139"/>
      <c r="DM411"/>
      <c r="DN411" s="26"/>
      <c r="DO411" s="26"/>
      <c r="DP411"/>
      <c r="DQ411" s="262"/>
      <c r="DR411"/>
      <c r="DS411"/>
      <c r="DT411"/>
    </row>
    <row r="412" spans="1:130" s="31" customFormat="1" ht="15.75" customHeight="1">
      <c r="A412" s="1"/>
      <c r="B412" s="1"/>
      <c r="C412" s="1"/>
      <c r="D412" s="1"/>
      <c r="E412" s="1"/>
      <c r="F412" s="1"/>
      <c r="G412" s="1"/>
      <c r="H412" s="1"/>
      <c r="I412" s="1"/>
      <c r="J412" s="1"/>
      <c r="K412" s="1"/>
      <c r="L412" s="1"/>
      <c r="M412" s="1"/>
      <c r="N412" s="1"/>
      <c r="O412" s="1"/>
      <c r="P412"/>
      <c r="Q412" s="130"/>
      <c r="R412" s="1"/>
      <c r="S412" s="1"/>
      <c r="T412" s="1"/>
      <c r="U412" s="1"/>
      <c r="V412" s="1"/>
      <c r="W412" s="1"/>
      <c r="X412" s="1"/>
      <c r="Y412" s="1"/>
      <c r="Z412" s="1"/>
      <c r="AA412" s="1"/>
      <c r="AB412" s="1"/>
      <c r="AC412" s="1"/>
      <c r="AD412" s="1"/>
      <c r="AE412" s="1"/>
      <c r="AF412" s="1"/>
      <c r="AG412" s="1"/>
      <c r="AH412" s="1"/>
      <c r="AI412" s="1"/>
      <c r="AJ412" s="1"/>
      <c r="AK412" s="1"/>
      <c r="AL412" s="1"/>
      <c r="AM412" s="1"/>
      <c r="AN412"/>
      <c r="AO412" s="228"/>
      <c r="AP412" s="189"/>
      <c r="AQ412"/>
      <c r="AR412"/>
      <c r="AS412" s="228"/>
      <c r="AT412" s="139"/>
      <c r="AU412" s="139"/>
      <c r="AV412"/>
      <c r="AW412" s="262"/>
      <c r="AX412"/>
      <c r="AY412"/>
      <c r="AZ412"/>
      <c r="BA412"/>
      <c r="BF412"/>
      <c r="BG412" s="262"/>
      <c r="BJ412" s="262"/>
      <c r="BK412"/>
      <c r="BM412" s="108"/>
      <c r="BQ412"/>
      <c r="BR412" s="262"/>
      <c r="BS412"/>
      <c r="BU412"/>
      <c r="BX412"/>
      <c r="CD412" s="141"/>
      <c r="CK412"/>
      <c r="CM412"/>
      <c r="CO412"/>
      <c r="CP412"/>
      <c r="CQ412" s="143"/>
      <c r="CR412" s="143"/>
      <c r="CS412"/>
      <c r="CT412" s="262"/>
      <c r="CU412"/>
      <c r="CV412"/>
      <c r="CW412"/>
      <c r="CX412" s="143"/>
      <c r="CY412" s="143"/>
      <c r="CZ412" s="143"/>
      <c r="DA412" s="143"/>
      <c r="DB412"/>
      <c r="DC412"/>
      <c r="DD412" s="143"/>
      <c r="DE412"/>
      <c r="DF412" s="143"/>
      <c r="DG412"/>
      <c r="DH412"/>
      <c r="DI412"/>
      <c r="DJ412"/>
      <c r="DK412"/>
      <c r="DL412" s="139"/>
      <c r="DM412"/>
      <c r="DN412" s="26"/>
      <c r="DO412" s="26"/>
      <c r="DP412"/>
      <c r="DQ412" s="262"/>
      <c r="DR412"/>
      <c r="DS412"/>
      <c r="DT412"/>
    </row>
    <row r="413" spans="1:130" s="31" customFormat="1" ht="15.75" customHeight="1">
      <c r="A413" s="1"/>
      <c r="B413" s="1"/>
      <c r="C413" s="1"/>
      <c r="D413" s="1"/>
      <c r="E413" s="1"/>
      <c r="F413" s="1"/>
      <c r="G413" s="1"/>
      <c r="H413" s="1"/>
      <c r="I413" s="1"/>
      <c r="J413" s="1"/>
      <c r="K413" s="1"/>
      <c r="L413" s="1"/>
      <c r="M413" s="1"/>
      <c r="N413" s="1"/>
      <c r="O413" s="1"/>
      <c r="P413"/>
      <c r="Q413" s="130"/>
      <c r="R413" s="1"/>
      <c r="S413" s="1"/>
      <c r="T413" s="1"/>
      <c r="U413" s="1"/>
      <c r="V413" s="1"/>
      <c r="W413" s="1"/>
      <c r="X413" s="1"/>
      <c r="Y413" s="1"/>
      <c r="Z413" s="1"/>
      <c r="AA413" s="1"/>
      <c r="AB413" s="1"/>
      <c r="AC413" s="1"/>
      <c r="AD413" s="1"/>
      <c r="AE413" s="1"/>
      <c r="AF413" s="1"/>
      <c r="AG413" s="1"/>
      <c r="AH413" s="1"/>
      <c r="AI413" s="1"/>
      <c r="AJ413" s="1"/>
      <c r="AK413" s="1"/>
      <c r="AL413" s="1"/>
      <c r="AM413" s="1"/>
      <c r="AN413"/>
      <c r="AO413" s="228"/>
      <c r="AP413" s="189"/>
      <c r="AQ413"/>
      <c r="AR413"/>
      <c r="AS413" s="228"/>
      <c r="AT413" s="139"/>
      <c r="AU413" s="139"/>
      <c r="AV413"/>
      <c r="AW413" s="262"/>
      <c r="AX413"/>
      <c r="AY413"/>
      <c r="AZ413"/>
      <c r="BA413"/>
      <c r="BF413"/>
      <c r="BG413" s="262"/>
      <c r="BJ413" s="262"/>
      <c r="BK413"/>
      <c r="BM413" s="108"/>
      <c r="BQ413"/>
      <c r="BR413" s="262"/>
      <c r="BS413"/>
      <c r="BU413"/>
      <c r="BX413"/>
      <c r="CD413" s="141"/>
      <c r="CK413"/>
      <c r="CM413"/>
      <c r="CO413"/>
      <c r="CP413"/>
      <c r="CQ413" s="143"/>
      <c r="CR413" s="143"/>
      <c r="CS413"/>
      <c r="CT413" s="262"/>
      <c r="CU413"/>
      <c r="CV413"/>
      <c r="CW413"/>
      <c r="CX413" s="143"/>
      <c r="CY413" s="143"/>
      <c r="CZ413" s="143"/>
      <c r="DA413" s="143"/>
      <c r="DB413"/>
      <c r="DC413"/>
      <c r="DD413" s="143"/>
      <c r="DE413"/>
      <c r="DF413" s="143"/>
      <c r="DG413"/>
      <c r="DH413"/>
      <c r="DI413"/>
      <c r="DJ413"/>
      <c r="DK413"/>
      <c r="DL413" s="139"/>
      <c r="DM413"/>
      <c r="DN413" s="26"/>
      <c r="DO413" s="26"/>
      <c r="DP413"/>
      <c r="DQ413" s="262"/>
      <c r="DR413"/>
      <c r="DS413"/>
      <c r="DT413"/>
    </row>
    <row r="414" spans="1:130" s="31" customFormat="1" ht="15.75" customHeight="1">
      <c r="A414" s="1"/>
      <c r="B414" s="1"/>
      <c r="C414" s="1"/>
      <c r="D414" s="1"/>
      <c r="E414" s="1"/>
      <c r="F414" s="1"/>
      <c r="G414" s="1"/>
      <c r="H414" s="1"/>
      <c r="I414" s="1"/>
      <c r="J414" s="1"/>
      <c r="K414" s="1"/>
      <c r="L414" s="1"/>
      <c r="M414" s="1"/>
      <c r="N414" s="1"/>
      <c r="O414" s="1"/>
      <c r="P414"/>
      <c r="Q414" s="130"/>
      <c r="R414" s="1"/>
      <c r="S414" s="1"/>
      <c r="T414" s="1"/>
      <c r="U414" s="1"/>
      <c r="V414" s="1"/>
      <c r="W414" s="1"/>
      <c r="X414" s="1"/>
      <c r="Y414" s="1"/>
      <c r="Z414" s="1"/>
      <c r="AA414" s="1"/>
      <c r="AB414" s="1"/>
      <c r="AC414" s="1"/>
      <c r="AD414" s="1"/>
      <c r="AE414" s="1"/>
      <c r="AF414" s="1"/>
      <c r="AG414" s="1"/>
      <c r="AH414" s="1"/>
      <c r="AI414" s="1"/>
      <c r="AJ414" s="1"/>
      <c r="AK414" s="1"/>
      <c r="AL414" s="1"/>
      <c r="AM414" s="1"/>
      <c r="AN414"/>
      <c r="AO414" s="228"/>
      <c r="AP414" s="189"/>
      <c r="AQ414"/>
      <c r="AR414"/>
      <c r="AS414" s="228"/>
      <c r="AT414" s="139"/>
      <c r="AU414" s="139"/>
      <c r="AV414"/>
      <c r="AW414" s="262"/>
      <c r="AX414"/>
      <c r="AY414"/>
      <c r="AZ414"/>
      <c r="BA414"/>
      <c r="BF414"/>
      <c r="BG414" s="262"/>
      <c r="BJ414" s="262"/>
      <c r="BK414"/>
      <c r="BM414" s="108"/>
      <c r="BQ414"/>
      <c r="BR414" s="262"/>
      <c r="BS414"/>
      <c r="BU414"/>
      <c r="BX414"/>
      <c r="CD414" s="141"/>
      <c r="CK414"/>
      <c r="CM414"/>
      <c r="CO414"/>
      <c r="CP414"/>
      <c r="CQ414" s="143"/>
      <c r="CR414" s="143"/>
      <c r="CS414"/>
      <c r="CT414" s="262"/>
      <c r="CU414"/>
      <c r="CV414"/>
      <c r="CW414"/>
      <c r="CX414" s="143"/>
      <c r="CY414" s="143"/>
      <c r="CZ414" s="143"/>
      <c r="DA414" s="143"/>
      <c r="DB414"/>
      <c r="DC414"/>
      <c r="DD414" s="143"/>
      <c r="DE414"/>
      <c r="DF414" s="143"/>
      <c r="DG414"/>
      <c r="DH414"/>
      <c r="DI414"/>
      <c r="DJ414"/>
      <c r="DK414"/>
      <c r="DL414" s="139"/>
      <c r="DM414"/>
      <c r="DN414" s="26"/>
      <c r="DO414" s="26"/>
      <c r="DP414"/>
      <c r="DQ414" s="262"/>
      <c r="DR414"/>
      <c r="DS414"/>
      <c r="DT414"/>
    </row>
    <row r="415" spans="1:130" s="31" customFormat="1" ht="15.75" customHeight="1">
      <c r="A415" s="1"/>
      <c r="B415" s="1"/>
      <c r="C415" s="1"/>
      <c r="D415" s="1"/>
      <c r="E415" s="1"/>
      <c r="F415" s="1"/>
      <c r="G415" s="1"/>
      <c r="H415" s="1"/>
      <c r="I415" s="1"/>
      <c r="J415" s="1"/>
      <c r="K415" s="1"/>
      <c r="L415" s="1"/>
      <c r="M415" s="1"/>
      <c r="N415" s="1"/>
      <c r="O415" s="1"/>
      <c r="P415"/>
      <c r="Q415" s="130"/>
      <c r="R415" s="1"/>
      <c r="S415" s="1"/>
      <c r="T415" s="1"/>
      <c r="U415" s="1"/>
      <c r="V415" s="1"/>
      <c r="W415" s="1"/>
      <c r="X415" s="1"/>
      <c r="Y415" s="1"/>
      <c r="Z415" s="1"/>
      <c r="AA415" s="1"/>
      <c r="AB415" s="1"/>
      <c r="AC415" s="1"/>
      <c r="AD415" s="1"/>
      <c r="AE415" s="1"/>
      <c r="AF415" s="1"/>
      <c r="AG415" s="1"/>
      <c r="AH415" s="1"/>
      <c r="AI415" s="1"/>
      <c r="AJ415" s="1"/>
      <c r="AK415" s="1"/>
      <c r="AL415" s="1"/>
      <c r="AM415" s="1"/>
      <c r="AN415"/>
      <c r="AO415" s="228"/>
      <c r="AP415" s="189"/>
      <c r="AQ415"/>
      <c r="AR415"/>
      <c r="AS415" s="228"/>
      <c r="AT415" s="139"/>
      <c r="AU415" s="139"/>
      <c r="AV415"/>
      <c r="AW415" s="262"/>
      <c r="AX415"/>
      <c r="AY415"/>
      <c r="AZ415"/>
      <c r="BA415"/>
      <c r="BF415"/>
      <c r="BG415" s="262"/>
      <c r="BJ415" s="262"/>
      <c r="BK415"/>
      <c r="BM415" s="108"/>
      <c r="BQ415"/>
      <c r="BR415" s="262"/>
      <c r="BS415"/>
      <c r="BU415"/>
      <c r="BX415"/>
      <c r="CD415" s="141"/>
      <c r="CK415"/>
      <c r="CM415"/>
      <c r="CO415"/>
      <c r="CP415"/>
      <c r="CQ415" s="143"/>
      <c r="CR415" s="143"/>
      <c r="CS415"/>
      <c r="CT415" s="262"/>
      <c r="CU415"/>
      <c r="CV415"/>
      <c r="CW415"/>
      <c r="CX415" s="143"/>
      <c r="CY415" s="143"/>
      <c r="CZ415" s="143"/>
      <c r="DA415" s="143"/>
      <c r="DB415"/>
      <c r="DC415"/>
      <c r="DD415" s="143"/>
      <c r="DE415"/>
      <c r="DF415" s="143"/>
      <c r="DG415"/>
      <c r="DH415"/>
      <c r="DI415"/>
      <c r="DJ415"/>
      <c r="DK415"/>
      <c r="DL415" s="139"/>
      <c r="DM415"/>
      <c r="DN415" s="26"/>
      <c r="DO415" s="26"/>
      <c r="DP415"/>
      <c r="DQ415" s="262"/>
      <c r="DR415"/>
      <c r="DS415"/>
      <c r="DT415"/>
    </row>
    <row r="416" spans="1:130" s="31" customFormat="1" ht="15.75" customHeight="1">
      <c r="A416" s="1"/>
      <c r="B416" s="1"/>
      <c r="C416" s="1"/>
      <c r="D416" s="1"/>
      <c r="E416" s="1"/>
      <c r="F416" s="1"/>
      <c r="G416" s="1"/>
      <c r="H416" s="1"/>
      <c r="I416" s="1"/>
      <c r="J416" s="1"/>
      <c r="K416" s="1"/>
      <c r="L416" s="1"/>
      <c r="M416" s="1"/>
      <c r="N416" s="1"/>
      <c r="O416" s="1"/>
      <c r="P416"/>
      <c r="Q416" s="130"/>
      <c r="R416" s="1"/>
      <c r="S416" s="1"/>
      <c r="T416" s="1"/>
      <c r="U416" s="1"/>
      <c r="V416" s="1"/>
      <c r="W416" s="1"/>
      <c r="X416" s="1"/>
      <c r="Y416" s="1"/>
      <c r="Z416" s="1"/>
      <c r="AA416" s="1"/>
      <c r="AB416" s="1"/>
      <c r="AC416" s="1"/>
      <c r="AD416" s="1"/>
      <c r="AE416" s="1"/>
      <c r="AF416" s="1"/>
      <c r="AG416" s="1"/>
      <c r="AH416" s="1"/>
      <c r="AI416" s="1"/>
      <c r="AJ416" s="1"/>
      <c r="AK416" s="1"/>
      <c r="AL416" s="1"/>
      <c r="AM416" s="1"/>
      <c r="AN416"/>
      <c r="AO416" s="228"/>
      <c r="AP416" s="189"/>
      <c r="AQ416"/>
      <c r="AR416"/>
      <c r="AS416" s="228"/>
      <c r="AT416" s="139"/>
      <c r="AU416" s="139"/>
      <c r="AV416"/>
      <c r="AW416" s="262"/>
      <c r="AX416"/>
      <c r="AY416"/>
      <c r="AZ416"/>
      <c r="BA416"/>
      <c r="BF416"/>
      <c r="BG416" s="262"/>
      <c r="BJ416" s="262"/>
      <c r="BK416"/>
      <c r="BM416" s="108"/>
      <c r="BQ416"/>
      <c r="BR416" s="262"/>
      <c r="BS416"/>
      <c r="BU416"/>
      <c r="BX416"/>
      <c r="CD416" s="141"/>
      <c r="CK416"/>
      <c r="CM416"/>
      <c r="CO416"/>
      <c r="CP416"/>
      <c r="CQ416" s="143"/>
      <c r="CR416" s="143"/>
      <c r="CS416"/>
      <c r="CT416" s="262"/>
      <c r="CU416"/>
      <c r="CV416"/>
      <c r="CW416"/>
      <c r="CX416" s="143"/>
      <c r="CY416" s="143"/>
      <c r="CZ416" s="143"/>
      <c r="DA416" s="143"/>
      <c r="DB416"/>
      <c r="DC416"/>
      <c r="DD416" s="143"/>
      <c r="DE416"/>
      <c r="DF416" s="143"/>
      <c r="DG416"/>
      <c r="DH416"/>
      <c r="DI416"/>
      <c r="DJ416"/>
      <c r="DK416"/>
      <c r="DL416" s="139"/>
      <c r="DM416"/>
      <c r="DN416" s="26"/>
      <c r="DO416" s="26"/>
      <c r="DP416"/>
      <c r="DQ416" s="262"/>
      <c r="DR416"/>
      <c r="DS416"/>
      <c r="DT416"/>
      <c r="DZ416"/>
    </row>
    <row r="417" spans="1:165" s="31" customFormat="1" ht="15.75" customHeight="1">
      <c r="A417" s="1"/>
      <c r="B417" s="1"/>
      <c r="C417" s="1"/>
      <c r="D417" s="1"/>
      <c r="E417" s="1"/>
      <c r="F417" s="1"/>
      <c r="G417" s="1"/>
      <c r="H417" s="1"/>
      <c r="I417" s="1"/>
      <c r="J417" s="1"/>
      <c r="K417" s="1"/>
      <c r="L417" s="1"/>
      <c r="M417" s="1"/>
      <c r="N417" s="1"/>
      <c r="O417" s="1"/>
      <c r="P417"/>
      <c r="Q417" s="130"/>
      <c r="R417" s="1"/>
      <c r="S417" s="1"/>
      <c r="T417" s="1"/>
      <c r="U417" s="1"/>
      <c r="V417" s="1"/>
      <c r="W417" s="1"/>
      <c r="X417" s="1"/>
      <c r="Y417" s="1"/>
      <c r="Z417" s="1"/>
      <c r="AA417" s="1"/>
      <c r="AB417" s="1"/>
      <c r="AC417" s="1"/>
      <c r="AD417" s="1"/>
      <c r="AE417" s="1"/>
      <c r="AF417" s="1"/>
      <c r="AG417" s="1"/>
      <c r="AH417" s="1"/>
      <c r="AI417" s="1"/>
      <c r="AJ417" s="1"/>
      <c r="AK417" s="1"/>
      <c r="AL417" s="1"/>
      <c r="AM417" s="1"/>
      <c r="AN417"/>
      <c r="AO417" s="228"/>
      <c r="AP417" s="189"/>
      <c r="AQ417"/>
      <c r="AR417"/>
      <c r="AS417" s="228"/>
      <c r="AT417" s="139"/>
      <c r="AU417" s="139"/>
      <c r="AV417"/>
      <c r="AW417" s="262"/>
      <c r="AX417"/>
      <c r="AY417"/>
      <c r="AZ417"/>
      <c r="BA417"/>
      <c r="BF417"/>
      <c r="BG417" s="262"/>
      <c r="BJ417" s="262"/>
      <c r="BK417"/>
      <c r="BM417" s="108"/>
      <c r="BQ417"/>
      <c r="BR417" s="262"/>
      <c r="BS417"/>
      <c r="BU417"/>
      <c r="BX417"/>
      <c r="CD417" s="141"/>
      <c r="CK417"/>
      <c r="CM417"/>
      <c r="CO417"/>
      <c r="CP417"/>
      <c r="CQ417" s="143"/>
      <c r="CR417" s="143"/>
      <c r="CS417"/>
      <c r="CT417" s="262"/>
      <c r="CU417"/>
      <c r="CV417"/>
      <c r="CW417"/>
      <c r="CX417" s="143"/>
      <c r="CY417" s="143"/>
      <c r="CZ417" s="143"/>
      <c r="DA417" s="143"/>
      <c r="DB417"/>
      <c r="DC417"/>
      <c r="DD417" s="143"/>
      <c r="DE417"/>
      <c r="DF417" s="143"/>
      <c r="DG417"/>
      <c r="DH417"/>
      <c r="DI417"/>
      <c r="DJ417"/>
      <c r="DK417"/>
      <c r="DL417" s="139"/>
      <c r="DM417"/>
      <c r="DN417" s="26"/>
      <c r="DO417" s="26"/>
      <c r="DP417"/>
      <c r="DQ417" s="262"/>
      <c r="DR417"/>
      <c r="DS417"/>
      <c r="DT417"/>
      <c r="DZ417"/>
    </row>
    <row r="418" spans="1:165" s="31" customFormat="1" ht="15.75" customHeight="1">
      <c r="A418" s="1"/>
      <c r="B418" s="1"/>
      <c r="C418" s="1"/>
      <c r="D418" s="1"/>
      <c r="E418" s="1"/>
      <c r="F418" s="1"/>
      <c r="G418" s="1"/>
      <c r="H418" s="1"/>
      <c r="I418" s="1"/>
      <c r="J418" s="1"/>
      <c r="K418" s="1"/>
      <c r="L418" s="1"/>
      <c r="M418" s="1"/>
      <c r="N418" s="1"/>
      <c r="O418" s="1"/>
      <c r="P418"/>
      <c r="Q418" s="130"/>
      <c r="R418" s="1"/>
      <c r="S418" s="1"/>
      <c r="T418" s="1"/>
      <c r="U418" s="1"/>
      <c r="V418" s="1"/>
      <c r="W418" s="1"/>
      <c r="X418" s="1"/>
      <c r="Y418" s="1"/>
      <c r="Z418" s="1"/>
      <c r="AA418" s="1"/>
      <c r="AB418" s="1"/>
      <c r="AC418" s="1"/>
      <c r="AD418" s="1"/>
      <c r="AE418" s="1"/>
      <c r="AF418" s="1"/>
      <c r="AG418" s="1"/>
      <c r="AH418" s="1"/>
      <c r="AI418" s="1"/>
      <c r="AJ418" s="1"/>
      <c r="AK418" s="1"/>
      <c r="AL418" s="1"/>
      <c r="AM418" s="1"/>
      <c r="AN418"/>
      <c r="AO418" s="228"/>
      <c r="AP418" s="189"/>
      <c r="AQ418"/>
      <c r="AR418"/>
      <c r="AS418" s="228"/>
      <c r="AT418" s="139"/>
      <c r="AU418" s="139"/>
      <c r="AV418"/>
      <c r="AW418" s="262"/>
      <c r="AX418"/>
      <c r="AY418"/>
      <c r="AZ418"/>
      <c r="BA418"/>
      <c r="BF418"/>
      <c r="BG418" s="262"/>
      <c r="BJ418" s="262"/>
      <c r="BK418"/>
      <c r="BM418" s="108"/>
      <c r="BQ418"/>
      <c r="BR418" s="262"/>
      <c r="BS418"/>
      <c r="BU418"/>
      <c r="BX418"/>
      <c r="CD418" s="141"/>
      <c r="CK418"/>
      <c r="CM418"/>
      <c r="CO418"/>
      <c r="CP418"/>
      <c r="CQ418" s="143"/>
      <c r="CR418" s="143"/>
      <c r="CS418"/>
      <c r="CT418" s="262"/>
      <c r="CU418"/>
      <c r="CV418"/>
      <c r="CW418"/>
      <c r="CX418" s="143"/>
      <c r="CY418" s="143"/>
      <c r="CZ418" s="143"/>
      <c r="DA418" s="143"/>
      <c r="DB418"/>
      <c r="DC418"/>
      <c r="DD418" s="143"/>
      <c r="DE418"/>
      <c r="DF418" s="143"/>
      <c r="DG418"/>
      <c r="DH418"/>
      <c r="DI418"/>
      <c r="DJ418"/>
      <c r="DK418"/>
      <c r="DL418" s="139"/>
      <c r="DM418"/>
      <c r="DN418" s="26"/>
      <c r="DO418" s="26"/>
      <c r="DP418"/>
      <c r="DQ418" s="262"/>
      <c r="DR418"/>
      <c r="DS418"/>
      <c r="DT418"/>
      <c r="DU418"/>
      <c r="DV418"/>
      <c r="DW418"/>
      <c r="DX418"/>
      <c r="DY418"/>
      <c r="DZ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row>
    <row r="419" spans="1:165" s="31" customFormat="1" ht="15.75" customHeight="1">
      <c r="A419" s="1"/>
      <c r="B419" s="1"/>
      <c r="C419" s="1"/>
      <c r="D419" s="1"/>
      <c r="E419" s="1"/>
      <c r="F419" s="1"/>
      <c r="G419" s="1"/>
      <c r="H419" s="1"/>
      <c r="I419" s="1"/>
      <c r="J419" s="1"/>
      <c r="K419" s="1"/>
      <c r="L419" s="1"/>
      <c r="M419" s="1"/>
      <c r="N419" s="1"/>
      <c r="O419" s="1"/>
      <c r="P419"/>
      <c r="Q419" s="130"/>
      <c r="R419" s="1"/>
      <c r="S419" s="1"/>
      <c r="T419" s="1"/>
      <c r="U419" s="1"/>
      <c r="V419" s="1"/>
      <c r="W419" s="1"/>
      <c r="X419" s="1"/>
      <c r="Y419" s="1"/>
      <c r="Z419" s="1"/>
      <c r="AA419" s="1"/>
      <c r="AB419" s="1"/>
      <c r="AC419" s="1"/>
      <c r="AD419" s="1"/>
      <c r="AE419" s="1"/>
      <c r="AF419" s="1"/>
      <c r="AG419" s="1"/>
      <c r="AH419" s="1"/>
      <c r="AI419" s="1"/>
      <c r="AJ419" s="1"/>
      <c r="AK419" s="1"/>
      <c r="AL419" s="1"/>
      <c r="AM419" s="1"/>
      <c r="AN419"/>
      <c r="AO419" s="228"/>
      <c r="AP419" s="189"/>
      <c r="AQ419"/>
      <c r="AR419"/>
      <c r="AS419" s="228"/>
      <c r="AT419" s="139"/>
      <c r="AU419" s="139"/>
      <c r="AV419"/>
      <c r="AW419" s="262"/>
      <c r="AX419"/>
      <c r="AY419"/>
      <c r="AZ419"/>
      <c r="BA419"/>
      <c r="BF419"/>
      <c r="BG419" s="262"/>
      <c r="BJ419" s="262"/>
      <c r="BK419"/>
      <c r="BM419" s="108"/>
      <c r="BQ419"/>
      <c r="BR419" s="262"/>
      <c r="BS419"/>
      <c r="BU419"/>
      <c r="BX419"/>
      <c r="CD419" s="141"/>
      <c r="CK419"/>
      <c r="CM419"/>
      <c r="CO419"/>
      <c r="CP419"/>
      <c r="CQ419" s="143"/>
      <c r="CR419" s="143"/>
      <c r="CS419"/>
      <c r="CT419" s="262"/>
      <c r="CU419"/>
      <c r="CV419"/>
      <c r="CW419"/>
      <c r="CX419" s="143"/>
      <c r="CY419" s="143"/>
      <c r="CZ419" s="143"/>
      <c r="DA419" s="143"/>
      <c r="DB419"/>
      <c r="DC419"/>
      <c r="DD419" s="143"/>
      <c r="DE419"/>
      <c r="DF419" s="143"/>
      <c r="DG419"/>
      <c r="DH419"/>
      <c r="DI419"/>
      <c r="DJ419"/>
      <c r="DK419"/>
      <c r="DL419" s="139"/>
      <c r="DM419"/>
      <c r="DN419" s="26"/>
      <c r="DO419" s="26"/>
      <c r="DP419"/>
      <c r="DQ419" s="262"/>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row>
    <row r="420" spans="1:165" s="31" customFormat="1" ht="15.75" customHeight="1">
      <c r="A420" s="1"/>
      <c r="B420" s="1"/>
      <c r="C420" s="1"/>
      <c r="D420" s="1"/>
      <c r="E420" s="1"/>
      <c r="F420" s="1"/>
      <c r="G420" s="1"/>
      <c r="H420" s="1"/>
      <c r="I420" s="1"/>
      <c r="J420" s="1"/>
      <c r="K420" s="1"/>
      <c r="L420" s="1"/>
      <c r="M420" s="1"/>
      <c r="N420" s="1"/>
      <c r="O420" s="1"/>
      <c r="P420"/>
      <c r="Q420" s="130"/>
      <c r="R420" s="1"/>
      <c r="S420" s="1"/>
      <c r="T420" s="1"/>
      <c r="U420" s="1"/>
      <c r="V420" s="1"/>
      <c r="W420" s="1"/>
      <c r="X420" s="1"/>
      <c r="Y420" s="1"/>
      <c r="Z420" s="1"/>
      <c r="AA420" s="1"/>
      <c r="AB420" s="1"/>
      <c r="AC420" s="1"/>
      <c r="AD420" s="1"/>
      <c r="AE420" s="1"/>
      <c r="AF420" s="1"/>
      <c r="AG420" s="1"/>
      <c r="AH420" s="1"/>
      <c r="AI420" s="1"/>
      <c r="AJ420" s="1"/>
      <c r="AK420" s="1"/>
      <c r="AL420" s="1"/>
      <c r="AM420" s="1"/>
      <c r="AN420"/>
      <c r="AO420" s="228"/>
      <c r="AP420" s="189"/>
      <c r="AQ420"/>
      <c r="AR420"/>
      <c r="AS420" s="228"/>
      <c r="AT420" s="139"/>
      <c r="AU420" s="139"/>
      <c r="AV420"/>
      <c r="AW420" s="262"/>
      <c r="AX420"/>
      <c r="AY420"/>
      <c r="AZ420"/>
      <c r="BA420"/>
      <c r="BF420"/>
      <c r="BG420" s="262"/>
      <c r="BJ420" s="262"/>
      <c r="BK420"/>
      <c r="BM420" s="108"/>
      <c r="BQ420"/>
      <c r="BR420" s="262"/>
      <c r="BS420"/>
      <c r="BU420"/>
      <c r="BX420"/>
      <c r="CD420" s="141"/>
      <c r="CK420"/>
      <c r="CM420"/>
      <c r="CO420"/>
      <c r="CP420"/>
      <c r="CQ420" s="143"/>
      <c r="CR420" s="143"/>
      <c r="CS420"/>
      <c r="CT420" s="262"/>
      <c r="CU420"/>
      <c r="CV420"/>
      <c r="CW420"/>
      <c r="CX420" s="143"/>
      <c r="CY420" s="143"/>
      <c r="CZ420" s="143"/>
      <c r="DA420" s="143"/>
      <c r="DB420"/>
      <c r="DC420"/>
      <c r="DD420" s="143"/>
      <c r="DE420"/>
      <c r="DF420" s="143"/>
      <c r="DG420"/>
      <c r="DH420"/>
      <c r="DI420"/>
      <c r="DJ420"/>
      <c r="DK420"/>
      <c r="DL420" s="139"/>
      <c r="DM420"/>
      <c r="DN420" s="26"/>
      <c r="DO420" s="26"/>
      <c r="DP420"/>
      <c r="DQ420" s="262"/>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row>
    <row r="421" spans="1:165" s="31" customFormat="1" ht="15.75" customHeight="1">
      <c r="A421" s="1"/>
      <c r="B421" s="1"/>
      <c r="C421" s="1"/>
      <c r="D421" s="1"/>
      <c r="E421" s="1"/>
      <c r="F421" s="1"/>
      <c r="G421" s="1"/>
      <c r="H421" s="1"/>
      <c r="I421" s="1"/>
      <c r="J421" s="1"/>
      <c r="K421" s="1"/>
      <c r="L421" s="1"/>
      <c r="M421" s="1"/>
      <c r="N421" s="1"/>
      <c r="O421" s="1"/>
      <c r="P421"/>
      <c r="Q421" s="130"/>
      <c r="R421" s="1"/>
      <c r="S421" s="1"/>
      <c r="T421" s="1"/>
      <c r="U421" s="1"/>
      <c r="V421" s="1"/>
      <c r="W421" s="1"/>
      <c r="X421" s="1"/>
      <c r="Y421" s="1"/>
      <c r="Z421" s="1"/>
      <c r="AA421" s="1"/>
      <c r="AB421" s="1"/>
      <c r="AC421" s="1"/>
      <c r="AD421" s="1"/>
      <c r="AE421" s="1"/>
      <c r="AF421" s="1"/>
      <c r="AG421" s="1"/>
      <c r="AH421" s="1"/>
      <c r="AI421" s="1"/>
      <c r="AJ421" s="1"/>
      <c r="AK421" s="1"/>
      <c r="AL421" s="1"/>
      <c r="AM421" s="1"/>
      <c r="AN421"/>
      <c r="AO421" s="228"/>
      <c r="AP421" s="189"/>
      <c r="AQ421"/>
      <c r="AR421"/>
      <c r="AS421" s="228"/>
      <c r="AT421" s="139"/>
      <c r="AU421" s="139"/>
      <c r="AV421"/>
      <c r="AW421" s="262"/>
      <c r="AX421"/>
      <c r="AY421"/>
      <c r="AZ421"/>
      <c r="BA421"/>
      <c r="BF421"/>
      <c r="BG421" s="262"/>
      <c r="BJ421" s="262"/>
      <c r="BK421"/>
      <c r="BM421" s="108"/>
      <c r="BQ421"/>
      <c r="BR421" s="262"/>
      <c r="BS421"/>
      <c r="BU421"/>
      <c r="BX421"/>
      <c r="CD421" s="141"/>
      <c r="CK421"/>
      <c r="CM421"/>
      <c r="CO421"/>
      <c r="CP421"/>
      <c r="CQ421" s="143"/>
      <c r="CR421" s="143"/>
      <c r="CS421"/>
      <c r="CT421" s="262"/>
      <c r="CU421"/>
      <c r="CV421"/>
      <c r="CW421"/>
      <c r="CX421" s="143"/>
      <c r="CY421" s="143"/>
      <c r="CZ421" s="143"/>
      <c r="DA421" s="143"/>
      <c r="DB421"/>
      <c r="DC421"/>
      <c r="DD421" s="143"/>
      <c r="DE421"/>
      <c r="DF421" s="143"/>
      <c r="DG421"/>
      <c r="DH421"/>
      <c r="DI421"/>
      <c r="DJ421"/>
      <c r="DK421"/>
      <c r="DL421" s="139"/>
      <c r="DM421"/>
      <c r="DN421" s="26"/>
      <c r="DO421" s="26"/>
      <c r="DP421"/>
      <c r="DQ421" s="262"/>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row>
    <row r="422" spans="1:165" s="31" customFormat="1" ht="15.75" customHeight="1">
      <c r="A422" s="1"/>
      <c r="B422" s="1"/>
      <c r="C422" s="1"/>
      <c r="D422" s="1"/>
      <c r="E422" s="1"/>
      <c r="F422" s="1"/>
      <c r="G422" s="1"/>
      <c r="H422" s="1"/>
      <c r="I422" s="1"/>
      <c r="J422" s="1"/>
      <c r="K422" s="1"/>
      <c r="L422" s="1"/>
      <c r="M422" s="1"/>
      <c r="N422" s="1"/>
      <c r="O422" s="1"/>
      <c r="P422"/>
      <c r="Q422" s="130"/>
      <c r="R422" s="1"/>
      <c r="S422" s="1"/>
      <c r="T422" s="1"/>
      <c r="U422" s="1"/>
      <c r="V422" s="1"/>
      <c r="W422" s="1"/>
      <c r="X422" s="1"/>
      <c r="Y422" s="1"/>
      <c r="Z422" s="1"/>
      <c r="AA422" s="1"/>
      <c r="AB422" s="1"/>
      <c r="AC422" s="1"/>
      <c r="AD422" s="1"/>
      <c r="AE422" s="1"/>
      <c r="AF422" s="1"/>
      <c r="AG422" s="1"/>
      <c r="AH422" s="1"/>
      <c r="AI422" s="1"/>
      <c r="AJ422" s="1"/>
      <c r="AK422" s="1"/>
      <c r="AL422" s="1"/>
      <c r="AM422" s="1"/>
      <c r="AN422"/>
      <c r="AO422" s="228"/>
      <c r="AP422" s="189"/>
      <c r="AQ422"/>
      <c r="AR422"/>
      <c r="AS422" s="228"/>
      <c r="AT422" s="139"/>
      <c r="AU422" s="139"/>
      <c r="AV422"/>
      <c r="AW422" s="262"/>
      <c r="AX422"/>
      <c r="AY422"/>
      <c r="AZ422"/>
      <c r="BA422"/>
      <c r="BF422"/>
      <c r="BG422" s="262"/>
      <c r="BJ422" s="262"/>
      <c r="BK422"/>
      <c r="BM422" s="108"/>
      <c r="BQ422"/>
      <c r="BR422" s="262"/>
      <c r="BS422"/>
      <c r="BU422"/>
      <c r="BX422"/>
      <c r="CD422" s="141"/>
      <c r="CK422"/>
      <c r="CM422"/>
      <c r="CO422"/>
      <c r="CP422"/>
      <c r="CQ422" s="143"/>
      <c r="CR422" s="143"/>
      <c r="CS422"/>
      <c r="CT422" s="262"/>
      <c r="CU422"/>
      <c r="CV422"/>
      <c r="CW422"/>
      <c r="CX422" s="143"/>
      <c r="CY422" s="143"/>
      <c r="CZ422" s="143"/>
      <c r="DA422" s="143"/>
      <c r="DB422"/>
      <c r="DC422"/>
      <c r="DD422" s="143"/>
      <c r="DE422"/>
      <c r="DF422" s="143"/>
      <c r="DG422"/>
      <c r="DH422"/>
      <c r="DI422"/>
      <c r="DJ422"/>
      <c r="DK422"/>
      <c r="DL422" s="139"/>
      <c r="DM422"/>
      <c r="DN422" s="26"/>
      <c r="DO422" s="26"/>
      <c r="DP422"/>
      <c r="DQ422" s="26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row>
    <row r="423" spans="1:165" s="31" customFormat="1" ht="15.75" customHeight="1">
      <c r="A423" s="1"/>
      <c r="B423" s="1"/>
      <c r="C423" s="1"/>
      <c r="D423" s="1"/>
      <c r="E423" s="1"/>
      <c r="F423" s="1"/>
      <c r="G423" s="1"/>
      <c r="H423" s="1"/>
      <c r="I423" s="1"/>
      <c r="J423" s="1"/>
      <c r="K423" s="1"/>
      <c r="L423" s="1"/>
      <c r="M423" s="1"/>
      <c r="N423" s="1"/>
      <c r="O423" s="1"/>
      <c r="P423"/>
      <c r="Q423" s="130"/>
      <c r="R423" s="1"/>
      <c r="S423" s="1"/>
      <c r="T423" s="1"/>
      <c r="U423" s="1"/>
      <c r="V423" s="1"/>
      <c r="W423" s="1"/>
      <c r="X423" s="1"/>
      <c r="Y423" s="1"/>
      <c r="Z423" s="1"/>
      <c r="AA423" s="1"/>
      <c r="AB423" s="1"/>
      <c r="AC423" s="1"/>
      <c r="AD423" s="1"/>
      <c r="AE423" s="1"/>
      <c r="AF423" s="1"/>
      <c r="AG423" s="1"/>
      <c r="AH423" s="1"/>
      <c r="AI423" s="1"/>
      <c r="AJ423" s="1"/>
      <c r="AK423" s="1"/>
      <c r="AL423" s="1"/>
      <c r="AM423" s="1"/>
      <c r="AN423"/>
      <c r="AO423" s="228"/>
      <c r="AP423" s="189"/>
      <c r="AQ423"/>
      <c r="AR423"/>
      <c r="AS423" s="228"/>
      <c r="AT423" s="139"/>
      <c r="AU423" s="139"/>
      <c r="AV423"/>
      <c r="AW423" s="262"/>
      <c r="AX423"/>
      <c r="AY423"/>
      <c r="AZ423"/>
      <c r="BA423"/>
      <c r="BF423"/>
      <c r="BG423" s="262"/>
      <c r="BJ423" s="262"/>
      <c r="BK423"/>
      <c r="BM423" s="108"/>
      <c r="BQ423"/>
      <c r="BR423" s="262"/>
      <c r="BS423"/>
      <c r="BU423"/>
      <c r="BX423"/>
      <c r="CD423" s="141"/>
      <c r="CK423"/>
      <c r="CM423"/>
      <c r="CO423"/>
      <c r="CP423"/>
      <c r="CQ423" s="143"/>
      <c r="CR423" s="143"/>
      <c r="CS423"/>
      <c r="CT423" s="262"/>
      <c r="CU423"/>
      <c r="CV423"/>
      <c r="CW423"/>
      <c r="CX423" s="143"/>
      <c r="CY423" s="143"/>
      <c r="CZ423" s="143"/>
      <c r="DA423" s="143"/>
      <c r="DB423"/>
      <c r="DC423"/>
      <c r="DD423" s="143"/>
      <c r="DE423"/>
      <c r="DF423" s="143"/>
      <c r="DG423"/>
      <c r="DH423"/>
      <c r="DI423"/>
      <c r="DJ423"/>
      <c r="DK423"/>
      <c r="DL423" s="139"/>
      <c r="DM423"/>
      <c r="DN423" s="26"/>
      <c r="DO423" s="26"/>
      <c r="DP423"/>
      <c r="DQ423" s="262"/>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row>
    <row r="424" spans="1:165" s="31" customFormat="1" ht="15.75" customHeight="1">
      <c r="A424" s="1"/>
      <c r="B424" s="1"/>
      <c r="C424" s="1"/>
      <c r="D424" s="1"/>
      <c r="E424" s="1"/>
      <c r="F424" s="1"/>
      <c r="G424" s="1"/>
      <c r="H424" s="1"/>
      <c r="I424" s="1"/>
      <c r="J424" s="1"/>
      <c r="K424" s="1"/>
      <c r="L424" s="1"/>
      <c r="M424" s="1"/>
      <c r="N424" s="1"/>
      <c r="O424" s="1"/>
      <c r="P424"/>
      <c r="Q424" s="130"/>
      <c r="R424" s="1"/>
      <c r="S424" s="1"/>
      <c r="T424" s="1"/>
      <c r="U424" s="1"/>
      <c r="V424" s="1"/>
      <c r="W424" s="1"/>
      <c r="X424" s="1"/>
      <c r="Y424" s="1"/>
      <c r="Z424" s="1"/>
      <c r="AA424" s="1"/>
      <c r="AB424" s="1"/>
      <c r="AC424" s="1"/>
      <c r="AD424" s="1"/>
      <c r="AE424" s="1"/>
      <c r="AF424" s="1"/>
      <c r="AG424" s="1"/>
      <c r="AH424" s="1"/>
      <c r="AI424" s="1"/>
      <c r="AJ424" s="1"/>
      <c r="AK424" s="1"/>
      <c r="AL424" s="1"/>
      <c r="AM424" s="1"/>
      <c r="AN424"/>
      <c r="AO424" s="228"/>
      <c r="AP424" s="189"/>
      <c r="AQ424"/>
      <c r="AR424"/>
      <c r="AS424" s="228"/>
      <c r="AT424" s="139"/>
      <c r="AU424" s="139"/>
      <c r="AV424"/>
      <c r="AW424" s="262"/>
      <c r="AX424"/>
      <c r="AY424"/>
      <c r="AZ424"/>
      <c r="BA424"/>
      <c r="BB424"/>
      <c r="BC424"/>
      <c r="BD424"/>
      <c r="BE424"/>
      <c r="BF424"/>
      <c r="BG424" s="262"/>
      <c r="BI424"/>
      <c r="BJ424" s="262"/>
      <c r="BK424"/>
      <c r="BL424"/>
      <c r="BM424" s="108"/>
      <c r="BN424"/>
      <c r="BO424"/>
      <c r="BP424"/>
      <c r="BQ424"/>
      <c r="BR424" s="262"/>
      <c r="BS424"/>
      <c r="BT424"/>
      <c r="BU424"/>
      <c r="BX424"/>
      <c r="BY424"/>
      <c r="BZ424"/>
      <c r="CA424"/>
      <c r="CB424"/>
      <c r="CC424"/>
      <c r="CD424" s="141"/>
      <c r="CE424"/>
      <c r="CF424"/>
      <c r="CG424"/>
      <c r="CH424"/>
      <c r="CI424"/>
      <c r="CJ424"/>
      <c r="CK424"/>
      <c r="CL424"/>
      <c r="CM424"/>
      <c r="CN424"/>
      <c r="CO424"/>
      <c r="CP424"/>
      <c r="CQ424" s="143"/>
      <c r="CR424" s="143"/>
      <c r="CS424"/>
      <c r="CT424" s="262"/>
      <c r="CU424"/>
      <c r="CV424"/>
      <c r="CW424"/>
      <c r="CX424" s="143"/>
      <c r="CY424" s="143"/>
      <c r="CZ424" s="143"/>
      <c r="DA424" s="143"/>
      <c r="DB424"/>
      <c r="DC424"/>
      <c r="DD424" s="143"/>
      <c r="DE424"/>
      <c r="DF424" s="143"/>
      <c r="DG424"/>
      <c r="DH424"/>
      <c r="DI424"/>
      <c r="DJ424"/>
      <c r="DK424"/>
      <c r="DL424" s="139"/>
      <c r="DM424"/>
      <c r="DN424" s="26"/>
      <c r="DO424" s="26"/>
      <c r="DP424"/>
      <c r="DQ424" s="262"/>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row>
    <row r="425" spans="1:165" s="31" customFormat="1" ht="15.75" customHeight="1">
      <c r="A425" s="1"/>
      <c r="B425" s="1"/>
      <c r="C425" s="1"/>
      <c r="D425" s="1"/>
      <c r="E425" s="1"/>
      <c r="F425" s="1"/>
      <c r="G425" s="1"/>
      <c r="H425" s="1"/>
      <c r="I425" s="1"/>
      <c r="J425" s="1"/>
      <c r="K425" s="1"/>
      <c r="L425" s="1"/>
      <c r="M425" s="1"/>
      <c r="N425" s="1"/>
      <c r="O425" s="1"/>
      <c r="P425"/>
      <c r="Q425" s="130"/>
      <c r="R425" s="1"/>
      <c r="S425" s="1"/>
      <c r="T425" s="1"/>
      <c r="U425" s="1"/>
      <c r="V425" s="1"/>
      <c r="W425" s="1"/>
      <c r="X425" s="1"/>
      <c r="Y425" s="1"/>
      <c r="Z425" s="1"/>
      <c r="AA425" s="1"/>
      <c r="AB425" s="1"/>
      <c r="AC425" s="1"/>
      <c r="AD425" s="1"/>
      <c r="AE425" s="1"/>
      <c r="AF425" s="1"/>
      <c r="AG425" s="1"/>
      <c r="AH425" s="1"/>
      <c r="AI425" s="1"/>
      <c r="AJ425" s="1"/>
      <c r="AK425" s="1"/>
      <c r="AL425" s="1"/>
      <c r="AM425" s="1"/>
      <c r="AN425"/>
      <c r="AO425" s="228"/>
      <c r="AP425" s="189"/>
      <c r="AQ425"/>
      <c r="AR425"/>
      <c r="AS425" s="228"/>
      <c r="AT425" s="139"/>
      <c r="AU425" s="139"/>
      <c r="AV425"/>
      <c r="AW425" s="262"/>
      <c r="AX425"/>
      <c r="AY425"/>
      <c r="AZ425"/>
      <c r="BA425"/>
      <c r="BB425"/>
      <c r="BC425"/>
      <c r="BD425"/>
      <c r="BE425"/>
      <c r="BF425"/>
      <c r="BG425" s="262"/>
      <c r="BI425"/>
      <c r="BJ425" s="262"/>
      <c r="BK425"/>
      <c r="BL425"/>
      <c r="BM425" s="108"/>
      <c r="BN425"/>
      <c r="BO425"/>
      <c r="BP425"/>
      <c r="BQ425"/>
      <c r="BR425" s="262"/>
      <c r="BS425"/>
      <c r="BT425"/>
      <c r="BU425"/>
      <c r="BX425"/>
      <c r="BY425"/>
      <c r="BZ425"/>
      <c r="CA425"/>
      <c r="CB425"/>
      <c r="CC425"/>
      <c r="CD425" s="141"/>
      <c r="CE425"/>
      <c r="CF425"/>
      <c r="CG425"/>
      <c r="CH425"/>
      <c r="CI425"/>
      <c r="CJ425"/>
      <c r="CK425"/>
      <c r="CL425"/>
      <c r="CM425"/>
      <c r="CN425"/>
      <c r="CO425"/>
      <c r="CP425"/>
      <c r="CQ425" s="143"/>
      <c r="CR425" s="143"/>
      <c r="CS425"/>
      <c r="CT425" s="262"/>
      <c r="CU425"/>
      <c r="CV425"/>
      <c r="CW425"/>
      <c r="CX425" s="143"/>
      <c r="CY425" s="143"/>
      <c r="CZ425" s="143"/>
      <c r="DA425" s="143"/>
      <c r="DB425"/>
      <c r="DC425"/>
      <c r="DD425" s="143"/>
      <c r="DE425"/>
      <c r="DF425" s="143"/>
      <c r="DG425"/>
      <c r="DH425"/>
      <c r="DI425"/>
      <c r="DJ425"/>
      <c r="DK425"/>
      <c r="DL425" s="139"/>
      <c r="DM425"/>
      <c r="DN425" s="26"/>
      <c r="DO425" s="26"/>
      <c r="DP425"/>
      <c r="DQ425" s="262"/>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row>
    <row r="426" spans="1:165" s="31" customFormat="1" ht="15.75" customHeight="1">
      <c r="A426" s="1"/>
      <c r="B426" s="1"/>
      <c r="C426" s="1"/>
      <c r="D426" s="1"/>
      <c r="E426" s="1"/>
      <c r="F426" s="1"/>
      <c r="G426" s="1"/>
      <c r="H426" s="1"/>
      <c r="I426" s="1"/>
      <c r="J426" s="1"/>
      <c r="K426" s="1"/>
      <c r="L426" s="1"/>
      <c r="M426" s="1"/>
      <c r="N426" s="1"/>
      <c r="O426" s="1"/>
      <c r="P426"/>
      <c r="Q426" s="130"/>
      <c r="R426" s="1"/>
      <c r="S426" s="1"/>
      <c r="T426" s="1"/>
      <c r="U426" s="1"/>
      <c r="V426" s="1"/>
      <c r="W426" s="1"/>
      <c r="X426" s="1"/>
      <c r="Y426" s="1"/>
      <c r="Z426" s="1"/>
      <c r="AA426" s="1"/>
      <c r="AB426" s="1"/>
      <c r="AC426" s="1"/>
      <c r="AD426" s="1"/>
      <c r="AE426" s="1"/>
      <c r="AF426" s="1"/>
      <c r="AG426" s="1"/>
      <c r="AH426" s="1"/>
      <c r="AI426" s="1"/>
      <c r="AJ426" s="1"/>
      <c r="AK426" s="1"/>
      <c r="AL426" s="1"/>
      <c r="AM426" s="1"/>
      <c r="AN426"/>
      <c r="AO426" s="228"/>
      <c r="AP426" s="189"/>
      <c r="AQ426"/>
      <c r="AR426"/>
      <c r="AS426" s="228"/>
      <c r="AT426" s="139"/>
      <c r="AU426" s="139"/>
      <c r="AV426"/>
      <c r="AW426" s="262"/>
      <c r="AX426"/>
      <c r="AY426"/>
      <c r="AZ426"/>
      <c r="BA426"/>
      <c r="BB426"/>
      <c r="BC426"/>
      <c r="BD426"/>
      <c r="BE426"/>
      <c r="BF426"/>
      <c r="BG426" s="262"/>
      <c r="BI426"/>
      <c r="BJ426" s="262"/>
      <c r="BK426"/>
      <c r="BL426"/>
      <c r="BM426" s="108"/>
      <c r="BN426"/>
      <c r="BO426"/>
      <c r="BP426"/>
      <c r="BQ426"/>
      <c r="BR426" s="262"/>
      <c r="BS426"/>
      <c r="BT426"/>
      <c r="BU426"/>
      <c r="BX426"/>
      <c r="BY426"/>
      <c r="BZ426"/>
      <c r="CA426"/>
      <c r="CB426"/>
      <c r="CC426"/>
      <c r="CD426" s="141"/>
      <c r="CE426"/>
      <c r="CF426"/>
      <c r="CG426"/>
      <c r="CH426"/>
      <c r="CI426"/>
      <c r="CJ426"/>
      <c r="CK426"/>
      <c r="CL426"/>
      <c r="CM426"/>
      <c r="CN426"/>
      <c r="CO426"/>
      <c r="CP426"/>
      <c r="CQ426" s="143"/>
      <c r="CR426" s="143"/>
      <c r="CS426"/>
      <c r="CT426" s="262"/>
      <c r="CU426"/>
      <c r="CV426"/>
      <c r="CW426"/>
      <c r="CX426" s="143"/>
      <c r="CY426" s="143"/>
      <c r="CZ426" s="143"/>
      <c r="DA426" s="143"/>
      <c r="DB426"/>
      <c r="DC426"/>
      <c r="DD426" s="143"/>
      <c r="DE426"/>
      <c r="DF426" s="143"/>
      <c r="DG426"/>
      <c r="DH426"/>
      <c r="DI426"/>
      <c r="DJ426"/>
      <c r="DK426"/>
      <c r="DL426" s="139"/>
      <c r="DM426"/>
      <c r="DN426" s="26"/>
      <c r="DO426" s="26"/>
      <c r="DP426"/>
      <c r="DQ426" s="262"/>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row>
    <row r="427" spans="1:165" s="31" customFormat="1" ht="15.75" customHeight="1">
      <c r="A427" s="1"/>
      <c r="B427" s="1"/>
      <c r="C427" s="1"/>
      <c r="D427" s="1"/>
      <c r="E427" s="1"/>
      <c r="F427" s="1"/>
      <c r="G427" s="1"/>
      <c r="H427" s="1"/>
      <c r="I427" s="1"/>
      <c r="J427" s="1"/>
      <c r="K427" s="1"/>
      <c r="L427" s="1"/>
      <c r="M427" s="1"/>
      <c r="N427" s="1"/>
      <c r="O427" s="1"/>
      <c r="P427"/>
      <c r="Q427" s="130"/>
      <c r="R427" s="1"/>
      <c r="S427" s="1"/>
      <c r="T427" s="1"/>
      <c r="U427" s="1"/>
      <c r="V427" s="1"/>
      <c r="W427" s="1"/>
      <c r="X427" s="1"/>
      <c r="Y427" s="1"/>
      <c r="Z427" s="1"/>
      <c r="AA427" s="1"/>
      <c r="AB427" s="1"/>
      <c r="AC427" s="1"/>
      <c r="AD427" s="1"/>
      <c r="AE427" s="1"/>
      <c r="AF427" s="1"/>
      <c r="AG427" s="1"/>
      <c r="AH427" s="1"/>
      <c r="AI427" s="1"/>
      <c r="AJ427" s="1"/>
      <c r="AK427" s="1"/>
      <c r="AL427" s="1"/>
      <c r="AM427" s="1"/>
      <c r="AN427"/>
      <c r="AO427" s="228"/>
      <c r="AP427" s="189"/>
      <c r="AQ427"/>
      <c r="AR427"/>
      <c r="AS427" s="228"/>
      <c r="AT427" s="139"/>
      <c r="AU427" s="139"/>
      <c r="AV427"/>
      <c r="AW427" s="262"/>
      <c r="AX427"/>
      <c r="AY427"/>
      <c r="AZ427"/>
      <c r="BA427"/>
      <c r="BB427"/>
      <c r="BC427"/>
      <c r="BD427"/>
      <c r="BE427"/>
      <c r="BF427"/>
      <c r="BG427" s="262"/>
      <c r="BI427"/>
      <c r="BJ427" s="262"/>
      <c r="BK427"/>
      <c r="BL427"/>
      <c r="BM427" s="108"/>
      <c r="BN427"/>
      <c r="BO427"/>
      <c r="BP427"/>
      <c r="BQ427"/>
      <c r="BR427" s="262"/>
      <c r="BS427"/>
      <c r="BT427"/>
      <c r="BU427"/>
      <c r="BX427"/>
      <c r="BY427"/>
      <c r="BZ427"/>
      <c r="CA427"/>
      <c r="CB427"/>
      <c r="CC427"/>
      <c r="CD427" s="141"/>
      <c r="CE427"/>
      <c r="CF427"/>
      <c r="CG427"/>
      <c r="CH427"/>
      <c r="CI427"/>
      <c r="CJ427"/>
      <c r="CK427"/>
      <c r="CL427"/>
      <c r="CM427"/>
      <c r="CN427"/>
      <c r="CO427"/>
      <c r="CP427"/>
      <c r="CQ427" s="143"/>
      <c r="CR427" s="143"/>
      <c r="CS427"/>
      <c r="CT427" s="262"/>
      <c r="CU427"/>
      <c r="CV427"/>
      <c r="CW427"/>
      <c r="CX427" s="143"/>
      <c r="CY427" s="143"/>
      <c r="CZ427" s="143"/>
      <c r="DA427" s="143"/>
      <c r="DB427"/>
      <c r="DC427"/>
      <c r="DD427" s="143"/>
      <c r="DE427"/>
      <c r="DF427" s="143"/>
      <c r="DG427"/>
      <c r="DH427"/>
      <c r="DI427"/>
      <c r="DJ427"/>
      <c r="DK427"/>
      <c r="DL427" s="139"/>
      <c r="DM427"/>
      <c r="DN427" s="26"/>
      <c r="DO427" s="26"/>
      <c r="DP427"/>
      <c r="DQ427" s="262"/>
      <c r="DR427"/>
      <c r="DS427"/>
      <c r="DT427"/>
      <c r="DU427"/>
      <c r="DV427"/>
      <c r="DW427"/>
      <c r="DX427"/>
      <c r="DY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row>
    <row r="428" spans="1:165" s="31" customFormat="1" ht="15.75" customHeight="1">
      <c r="A428" s="1"/>
      <c r="B428" s="1"/>
      <c r="C428" s="1"/>
      <c r="D428" s="1"/>
      <c r="E428" s="1"/>
      <c r="F428" s="1"/>
      <c r="G428" s="1"/>
      <c r="H428" s="1"/>
      <c r="I428" s="1"/>
      <c r="J428" s="1"/>
      <c r="K428" s="1"/>
      <c r="L428" s="1"/>
      <c r="M428" s="1"/>
      <c r="N428" s="1"/>
      <c r="O428" s="1"/>
      <c r="P428"/>
      <c r="Q428" s="130"/>
      <c r="R428" s="1"/>
      <c r="S428" s="1"/>
      <c r="T428" s="1"/>
      <c r="U428" s="1"/>
      <c r="V428" s="1"/>
      <c r="W428" s="1"/>
      <c r="X428" s="1"/>
      <c r="Y428" s="1"/>
      <c r="Z428" s="1"/>
      <c r="AA428" s="1"/>
      <c r="AB428" s="1"/>
      <c r="AC428" s="1"/>
      <c r="AD428" s="1"/>
      <c r="AE428" s="1"/>
      <c r="AF428" s="1"/>
      <c r="AG428" s="1"/>
      <c r="AH428" s="1"/>
      <c r="AI428" s="1"/>
      <c r="AJ428" s="1"/>
      <c r="AK428" s="1"/>
      <c r="AL428" s="1"/>
      <c r="AM428" s="1"/>
      <c r="AN428"/>
      <c r="AO428" s="228"/>
      <c r="AP428" s="189"/>
      <c r="AQ428"/>
      <c r="AR428"/>
      <c r="AS428" s="228"/>
      <c r="AT428" s="139"/>
      <c r="AU428" s="139"/>
      <c r="AV428"/>
      <c r="AW428" s="262"/>
      <c r="AX428"/>
      <c r="AY428"/>
      <c r="AZ428"/>
      <c r="BA428"/>
      <c r="BB428"/>
      <c r="BC428"/>
      <c r="BD428"/>
      <c r="BE428"/>
      <c r="BF428"/>
      <c r="BG428" s="262"/>
      <c r="BI428"/>
      <c r="BJ428" s="262"/>
      <c r="BK428"/>
      <c r="BL428"/>
      <c r="BM428" s="108"/>
      <c r="BN428"/>
      <c r="BO428"/>
      <c r="BP428"/>
      <c r="BQ428"/>
      <c r="BR428" s="262"/>
      <c r="BS428"/>
      <c r="BT428"/>
      <c r="BU428"/>
      <c r="BX428"/>
      <c r="BY428"/>
      <c r="BZ428"/>
      <c r="CA428"/>
      <c r="CB428"/>
      <c r="CC428"/>
      <c r="CD428" s="141"/>
      <c r="CE428"/>
      <c r="CF428"/>
      <c r="CG428"/>
      <c r="CH428"/>
      <c r="CI428"/>
      <c r="CJ428"/>
      <c r="CK428"/>
      <c r="CL428"/>
      <c r="CM428"/>
      <c r="CN428"/>
      <c r="CO428"/>
      <c r="CP428"/>
      <c r="CQ428" s="143"/>
      <c r="CR428" s="143"/>
      <c r="CS428"/>
      <c r="CT428" s="262"/>
      <c r="CU428"/>
      <c r="CV428"/>
      <c r="CW428"/>
      <c r="CX428" s="143"/>
      <c r="CY428" s="143"/>
      <c r="CZ428" s="143"/>
      <c r="DA428" s="143"/>
      <c r="DB428"/>
      <c r="DC428"/>
      <c r="DD428" s="143"/>
      <c r="DE428"/>
      <c r="DF428" s="143"/>
      <c r="DG428"/>
      <c r="DH428"/>
      <c r="DI428"/>
      <c r="DJ428"/>
      <c r="DK428"/>
      <c r="DL428" s="139"/>
      <c r="DM428"/>
      <c r="DN428" s="26"/>
      <c r="DO428" s="26"/>
      <c r="DP428"/>
      <c r="DQ428" s="262"/>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row>
    <row r="429" spans="1:165" s="31" customFormat="1" ht="15.75" customHeight="1">
      <c r="A429" s="1"/>
      <c r="B429" s="1"/>
      <c r="C429" s="1"/>
      <c r="D429" s="1"/>
      <c r="E429" s="1"/>
      <c r="F429" s="1"/>
      <c r="G429" s="1"/>
      <c r="H429" s="1"/>
      <c r="I429" s="1"/>
      <c r="J429" s="1"/>
      <c r="K429" s="1"/>
      <c r="L429" s="1"/>
      <c r="M429" s="1"/>
      <c r="N429" s="1"/>
      <c r="O429" s="1"/>
      <c r="P429"/>
      <c r="Q429" s="130"/>
      <c r="R429" s="1"/>
      <c r="S429" s="1"/>
      <c r="T429" s="1"/>
      <c r="U429" s="1"/>
      <c r="V429" s="1"/>
      <c r="W429" s="1"/>
      <c r="X429" s="1"/>
      <c r="Y429" s="1"/>
      <c r="Z429" s="1"/>
      <c r="AA429" s="1"/>
      <c r="AB429" s="1"/>
      <c r="AC429" s="1"/>
      <c r="AD429" s="1"/>
      <c r="AE429" s="1"/>
      <c r="AF429" s="1"/>
      <c r="AG429" s="1"/>
      <c r="AH429" s="1"/>
      <c r="AI429" s="1"/>
      <c r="AJ429" s="1"/>
      <c r="AK429" s="1"/>
      <c r="AL429" s="1"/>
      <c r="AM429" s="1"/>
      <c r="AN429"/>
      <c r="AO429" s="228"/>
      <c r="AP429" s="189"/>
      <c r="AQ429"/>
      <c r="AR429"/>
      <c r="AS429" s="228"/>
      <c r="AT429" s="139"/>
      <c r="AU429" s="139"/>
      <c r="AV429"/>
      <c r="AW429" s="262"/>
      <c r="AX429"/>
      <c r="AY429"/>
      <c r="AZ429"/>
      <c r="BA429"/>
      <c r="BB429"/>
      <c r="BC429"/>
      <c r="BD429"/>
      <c r="BE429"/>
      <c r="BF429"/>
      <c r="BG429" s="262"/>
      <c r="BI429"/>
      <c r="BJ429" s="262"/>
      <c r="BK429"/>
      <c r="BL429"/>
      <c r="BM429" s="108"/>
      <c r="BN429"/>
      <c r="BO429"/>
      <c r="BP429"/>
      <c r="BQ429"/>
      <c r="BR429" s="262"/>
      <c r="BS429"/>
      <c r="BT429"/>
      <c r="BU429"/>
      <c r="BX429"/>
      <c r="BY429"/>
      <c r="BZ429"/>
      <c r="CA429"/>
      <c r="CB429"/>
      <c r="CC429"/>
      <c r="CD429" s="141"/>
      <c r="CE429"/>
      <c r="CF429"/>
      <c r="CG429"/>
      <c r="CH429"/>
      <c r="CI429"/>
      <c r="CJ429"/>
      <c r="CK429"/>
      <c r="CL429"/>
      <c r="CM429"/>
      <c r="CN429"/>
      <c r="CO429"/>
      <c r="CP429"/>
      <c r="CQ429" s="143"/>
      <c r="CR429" s="143"/>
      <c r="CS429"/>
      <c r="CT429" s="262"/>
      <c r="CU429"/>
      <c r="CV429"/>
      <c r="CW429"/>
      <c r="CX429" s="143"/>
      <c r="CY429" s="143"/>
      <c r="CZ429" s="143"/>
      <c r="DA429" s="143"/>
      <c r="DB429"/>
      <c r="DC429"/>
      <c r="DD429" s="143"/>
      <c r="DE429"/>
      <c r="DF429" s="143"/>
      <c r="DG429"/>
      <c r="DH429"/>
      <c r="DI429"/>
      <c r="DJ429"/>
      <c r="DK429"/>
      <c r="DL429" s="139"/>
      <c r="DM429"/>
      <c r="DN429" s="26"/>
      <c r="DO429" s="26"/>
      <c r="DP429"/>
      <c r="DQ429" s="262"/>
      <c r="DR429"/>
      <c r="DS429"/>
      <c r="DT429"/>
      <c r="DZ429"/>
      <c r="EA429"/>
    </row>
    <row r="430" spans="1:165" s="31" customFormat="1" ht="15.75" customHeight="1">
      <c r="A430" s="1"/>
      <c r="B430" s="1"/>
      <c r="C430" s="1"/>
      <c r="D430" s="1"/>
      <c r="E430" s="1"/>
      <c r="F430" s="1"/>
      <c r="G430" s="1"/>
      <c r="H430" s="1"/>
      <c r="I430" s="1"/>
      <c r="J430" s="1"/>
      <c r="K430" s="1"/>
      <c r="L430" s="1"/>
      <c r="M430" s="1"/>
      <c r="N430" s="1"/>
      <c r="O430" s="1"/>
      <c r="P430"/>
      <c r="Q430" s="130"/>
      <c r="R430" s="1"/>
      <c r="S430" s="1"/>
      <c r="T430" s="1"/>
      <c r="U430" s="1"/>
      <c r="V430" s="1"/>
      <c r="W430" s="1"/>
      <c r="X430" s="1"/>
      <c r="Y430" s="1"/>
      <c r="Z430" s="1"/>
      <c r="AA430" s="1"/>
      <c r="AB430" s="1"/>
      <c r="AC430" s="1"/>
      <c r="AD430" s="1"/>
      <c r="AE430" s="1"/>
      <c r="AF430" s="1"/>
      <c r="AG430" s="1"/>
      <c r="AH430" s="1"/>
      <c r="AI430" s="1"/>
      <c r="AJ430" s="1"/>
      <c r="AK430" s="1"/>
      <c r="AL430" s="1"/>
      <c r="AM430" s="1"/>
      <c r="AN430"/>
      <c r="AO430" s="228"/>
      <c r="AP430" s="189"/>
      <c r="AQ430"/>
      <c r="AR430"/>
      <c r="AS430" s="228"/>
      <c r="AT430" s="139"/>
      <c r="AU430" s="139"/>
      <c r="AV430"/>
      <c r="AW430" s="262"/>
      <c r="AX430"/>
      <c r="AY430"/>
      <c r="AZ430"/>
      <c r="BA430"/>
      <c r="BB430"/>
      <c r="BC430"/>
      <c r="BD430"/>
      <c r="BE430"/>
      <c r="BF430"/>
      <c r="BG430" s="262"/>
      <c r="BI430"/>
      <c r="BJ430" s="262"/>
      <c r="BK430"/>
      <c r="BL430"/>
      <c r="BM430" s="108"/>
      <c r="BN430"/>
      <c r="BO430"/>
      <c r="BP430"/>
      <c r="BQ430"/>
      <c r="BR430" s="262"/>
      <c r="BS430"/>
      <c r="BT430"/>
      <c r="BU430"/>
      <c r="BX430"/>
      <c r="BY430"/>
      <c r="BZ430"/>
      <c r="CA430"/>
      <c r="CB430"/>
      <c r="CC430"/>
      <c r="CD430" s="141"/>
      <c r="CE430"/>
      <c r="CF430"/>
      <c r="CG430"/>
      <c r="CH430"/>
      <c r="CI430"/>
      <c r="CJ430"/>
      <c r="CK430"/>
      <c r="CL430"/>
      <c r="CM430"/>
      <c r="CN430"/>
      <c r="CO430"/>
      <c r="CP430"/>
      <c r="CQ430" s="143"/>
      <c r="CR430" s="143"/>
      <c r="CS430"/>
      <c r="CT430" s="262"/>
      <c r="CU430"/>
      <c r="CV430"/>
      <c r="CW430"/>
      <c r="CX430" s="143"/>
      <c r="CY430" s="143"/>
      <c r="CZ430" s="143"/>
      <c r="DA430" s="143"/>
      <c r="DB430"/>
      <c r="DC430"/>
      <c r="DD430" s="143"/>
      <c r="DE430"/>
      <c r="DF430" s="143"/>
      <c r="DG430"/>
      <c r="DH430"/>
      <c r="DI430"/>
      <c r="DJ430"/>
      <c r="DK430"/>
      <c r="DL430" s="139"/>
      <c r="DM430"/>
      <c r="DN430" s="26"/>
      <c r="DO430" s="26"/>
      <c r="DP430"/>
      <c r="DQ430" s="262"/>
      <c r="DR430"/>
      <c r="DS430"/>
      <c r="DT430"/>
      <c r="DU430"/>
      <c r="DV430"/>
      <c r="DW430"/>
      <c r="DX430"/>
      <c r="DY430"/>
      <c r="DZ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row>
    <row r="431" spans="1:165" ht="15.75" customHeight="1"/>
    <row r="432" spans="1:165" ht="15.75" customHeight="1"/>
    <row r="433" spans="1:165" ht="15.75" customHeight="1"/>
    <row r="434" spans="1:165" ht="15.75" customHeight="1"/>
    <row r="435" spans="1:165" ht="15.75" customHeight="1">
      <c r="BB435" s="31"/>
      <c r="BC435" s="31"/>
      <c r="BD435" s="31"/>
      <c r="BE435" s="31"/>
      <c r="BI435" s="31"/>
      <c r="BL435" s="31"/>
      <c r="BN435" s="31"/>
      <c r="BO435" s="31"/>
      <c r="BP435" s="31"/>
      <c r="BT435" s="31"/>
      <c r="BY435" s="31"/>
      <c r="BZ435" s="31"/>
      <c r="CA435" s="31"/>
      <c r="CB435" s="31"/>
      <c r="CC435" s="31"/>
      <c r="CE435" s="31"/>
      <c r="CF435" s="31"/>
      <c r="CG435" s="31"/>
      <c r="CH435" s="31"/>
      <c r="CI435" s="31"/>
      <c r="CJ435" s="31"/>
      <c r="CL435" s="31"/>
      <c r="CN435" s="31"/>
    </row>
    <row r="436" spans="1:165" ht="15.75" customHeight="1">
      <c r="DZ436" s="31"/>
    </row>
    <row r="437" spans="1:165" s="31" customFormat="1" ht="15.75" customHeight="1">
      <c r="A437" s="1"/>
      <c r="B437" s="1"/>
      <c r="C437" s="1"/>
      <c r="D437" s="1"/>
      <c r="E437" s="1"/>
      <c r="F437" s="1"/>
      <c r="G437" s="1"/>
      <c r="H437" s="1"/>
      <c r="I437" s="1"/>
      <c r="J437" s="1"/>
      <c r="K437" s="1"/>
      <c r="L437" s="1"/>
      <c r="M437" s="1"/>
      <c r="N437" s="1"/>
      <c r="O437" s="1"/>
      <c r="P437"/>
      <c r="Q437" s="130"/>
      <c r="R437" s="1"/>
      <c r="S437" s="1"/>
      <c r="T437" s="1"/>
      <c r="U437" s="1"/>
      <c r="V437" s="1"/>
      <c r="W437" s="1"/>
      <c r="X437" s="1"/>
      <c r="Y437" s="1"/>
      <c r="Z437" s="1"/>
      <c r="AA437" s="1"/>
      <c r="AB437" s="1"/>
      <c r="AC437" s="1"/>
      <c r="AD437" s="1"/>
      <c r="AE437" s="1"/>
      <c r="AF437" s="1"/>
      <c r="AG437" s="1"/>
      <c r="AH437" s="1"/>
      <c r="AI437" s="1"/>
      <c r="AJ437" s="1"/>
      <c r="AK437" s="1"/>
      <c r="AL437" s="1"/>
      <c r="AM437" s="1"/>
      <c r="AN437"/>
      <c r="AO437" s="228"/>
      <c r="AP437" s="189"/>
      <c r="AQ437"/>
      <c r="AR437"/>
      <c r="AS437" s="228"/>
      <c r="AT437" s="139"/>
      <c r="AU437" s="139"/>
      <c r="AV437"/>
      <c r="AW437" s="262"/>
      <c r="AX437"/>
      <c r="AY437"/>
      <c r="AZ437"/>
      <c r="BA437"/>
      <c r="BB437"/>
      <c r="BC437"/>
      <c r="BD437"/>
      <c r="BE437"/>
      <c r="BF437"/>
      <c r="BG437" s="262"/>
      <c r="BI437"/>
      <c r="BJ437" s="262"/>
      <c r="BK437"/>
      <c r="BL437"/>
      <c r="BM437" s="108"/>
      <c r="BN437"/>
      <c r="BO437"/>
      <c r="BP437"/>
      <c r="BQ437"/>
      <c r="BR437" s="262"/>
      <c r="BS437"/>
      <c r="BT437"/>
      <c r="BU437"/>
      <c r="BX437"/>
      <c r="BY437"/>
      <c r="BZ437"/>
      <c r="CA437"/>
      <c r="CB437"/>
      <c r="CC437"/>
      <c r="CD437" s="141"/>
      <c r="CE437"/>
      <c r="CF437"/>
      <c r="CG437"/>
      <c r="CH437"/>
      <c r="CI437"/>
      <c r="CJ437"/>
      <c r="CK437"/>
      <c r="CL437"/>
      <c r="CM437"/>
      <c r="CN437"/>
      <c r="CO437"/>
      <c r="CP437"/>
      <c r="CQ437" s="143"/>
      <c r="CR437" s="143"/>
      <c r="CS437"/>
      <c r="CT437" s="262"/>
      <c r="CU437"/>
      <c r="CV437"/>
      <c r="CW437"/>
      <c r="CX437" s="143"/>
      <c r="CY437" s="143"/>
      <c r="CZ437" s="143"/>
      <c r="DA437" s="143"/>
      <c r="DB437"/>
      <c r="DC437"/>
      <c r="DD437" s="143"/>
      <c r="DE437"/>
      <c r="DF437" s="143"/>
      <c r="DG437"/>
      <c r="DH437"/>
      <c r="DI437"/>
      <c r="DJ437"/>
      <c r="DK437"/>
      <c r="DL437" s="139"/>
      <c r="DM437"/>
      <c r="DN437" s="26"/>
      <c r="DO437" s="26"/>
      <c r="DP437"/>
      <c r="DQ437" s="262"/>
      <c r="DR437"/>
      <c r="DS437"/>
      <c r="DT437"/>
      <c r="DU437"/>
      <c r="DV437"/>
      <c r="DW437"/>
      <c r="DX437"/>
      <c r="DY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row>
    <row r="438" spans="1:165" s="31" customFormat="1" ht="15.75" customHeight="1">
      <c r="A438" s="1"/>
      <c r="B438" s="1"/>
      <c r="C438" s="1"/>
      <c r="D438" s="1"/>
      <c r="E438" s="1"/>
      <c r="F438" s="1"/>
      <c r="G438" s="1"/>
      <c r="H438" s="1"/>
      <c r="I438" s="1"/>
      <c r="J438" s="1"/>
      <c r="K438" s="1"/>
      <c r="L438" s="1"/>
      <c r="M438" s="1"/>
      <c r="N438" s="1"/>
      <c r="O438" s="1"/>
      <c r="P438"/>
      <c r="Q438" s="130"/>
      <c r="R438" s="1"/>
      <c r="S438" s="1"/>
      <c r="T438" s="1"/>
      <c r="U438" s="1"/>
      <c r="V438" s="1"/>
      <c r="W438" s="1"/>
      <c r="X438" s="1"/>
      <c r="Y438" s="1"/>
      <c r="Z438" s="1"/>
      <c r="AA438" s="1"/>
      <c r="AB438" s="1"/>
      <c r="AC438" s="1"/>
      <c r="AD438" s="1"/>
      <c r="AE438" s="1"/>
      <c r="AF438" s="1"/>
      <c r="AG438" s="1"/>
      <c r="AH438" s="1"/>
      <c r="AI438" s="1"/>
      <c r="AJ438" s="1"/>
      <c r="AK438" s="1"/>
      <c r="AL438" s="1"/>
      <c r="AM438" s="1"/>
      <c r="AN438"/>
      <c r="AO438" s="228"/>
      <c r="AP438" s="189"/>
      <c r="AQ438"/>
      <c r="AR438"/>
      <c r="AS438" s="228"/>
      <c r="AT438" s="139"/>
      <c r="AU438" s="139"/>
      <c r="AV438"/>
      <c r="AW438" s="262"/>
      <c r="AX438"/>
      <c r="AY438"/>
      <c r="AZ438"/>
      <c r="BA438"/>
      <c r="BB438"/>
      <c r="BC438"/>
      <c r="BD438"/>
      <c r="BE438"/>
      <c r="BF438"/>
      <c r="BG438" s="262"/>
      <c r="BI438"/>
      <c r="BJ438" s="262"/>
      <c r="BK438"/>
      <c r="BL438"/>
      <c r="BM438" s="108"/>
      <c r="BN438"/>
      <c r="BO438"/>
      <c r="BP438"/>
      <c r="BQ438"/>
      <c r="BR438" s="262"/>
      <c r="BS438"/>
      <c r="BT438"/>
      <c r="BU438"/>
      <c r="BX438"/>
      <c r="BY438"/>
      <c r="BZ438"/>
      <c r="CA438"/>
      <c r="CB438"/>
      <c r="CC438"/>
      <c r="CD438" s="141"/>
      <c r="CE438"/>
      <c r="CF438"/>
      <c r="CG438"/>
      <c r="CH438"/>
      <c r="CI438"/>
      <c r="CJ438"/>
      <c r="CK438"/>
      <c r="CL438"/>
      <c r="CM438"/>
      <c r="CN438"/>
      <c r="CO438"/>
      <c r="CP438"/>
      <c r="CQ438" s="143"/>
      <c r="CR438" s="143"/>
      <c r="CS438"/>
      <c r="CT438" s="262"/>
      <c r="CU438"/>
      <c r="CV438"/>
      <c r="CW438"/>
      <c r="CX438" s="143"/>
      <c r="CY438" s="143"/>
      <c r="CZ438" s="143"/>
      <c r="DA438" s="143"/>
      <c r="DB438"/>
      <c r="DC438"/>
      <c r="DD438" s="143"/>
      <c r="DE438"/>
      <c r="DF438" s="143"/>
      <c r="DG438"/>
      <c r="DH438"/>
      <c r="DI438"/>
      <c r="DJ438"/>
      <c r="DK438"/>
      <c r="DL438" s="139"/>
      <c r="DM438"/>
      <c r="DN438" s="26"/>
      <c r="DO438" s="26"/>
      <c r="DP438"/>
      <c r="DQ438" s="262"/>
      <c r="DR438"/>
      <c r="DS438"/>
      <c r="DT438"/>
      <c r="EA438"/>
    </row>
    <row r="439" spans="1:165" ht="15.75" customHeight="1">
      <c r="DU439" s="31"/>
      <c r="DV439" s="31"/>
      <c r="DW439" s="31"/>
      <c r="DX439" s="31"/>
      <c r="DY439" s="31"/>
      <c r="DZ439" s="31"/>
      <c r="EA439" s="31"/>
      <c r="EB439" s="31"/>
      <c r="EC439" s="31"/>
      <c r="ED439" s="31"/>
      <c r="EE439" s="31"/>
      <c r="EF439" s="31"/>
      <c r="EG439" s="31"/>
      <c r="EH439" s="31"/>
      <c r="EI439" s="31"/>
      <c r="EJ439" s="31"/>
      <c r="EK439" s="31"/>
      <c r="EL439" s="31"/>
      <c r="EM439" s="31"/>
      <c r="EN439" s="31"/>
      <c r="EO439" s="31"/>
      <c r="EP439" s="31"/>
      <c r="EQ439" s="31"/>
      <c r="ER439" s="31"/>
      <c r="ES439" s="31"/>
      <c r="ET439" s="31"/>
      <c r="EU439" s="31"/>
      <c r="EV439" s="31"/>
      <c r="EW439" s="31"/>
      <c r="EX439" s="31"/>
      <c r="EY439" s="31"/>
      <c r="EZ439" s="31"/>
      <c r="FA439" s="31"/>
      <c r="FB439" s="31"/>
      <c r="FC439" s="31"/>
      <c r="FD439" s="31"/>
      <c r="FE439" s="31"/>
      <c r="FF439" s="31"/>
      <c r="FG439" s="31"/>
      <c r="FH439" s="31"/>
      <c r="FI439" s="31"/>
    </row>
    <row r="440" spans="1:165" ht="15.75" customHeight="1">
      <c r="DU440" s="31"/>
      <c r="DV440" s="31"/>
      <c r="DW440" s="31"/>
      <c r="DX440" s="31"/>
      <c r="DY440" s="31"/>
      <c r="DZ440" s="31"/>
      <c r="EA440" s="31"/>
      <c r="EB440" s="31"/>
      <c r="EC440" s="31"/>
      <c r="ED440" s="31"/>
      <c r="EE440" s="31"/>
      <c r="EF440" s="31"/>
      <c r="EG440" s="31"/>
      <c r="EH440" s="31"/>
      <c r="EI440" s="31"/>
      <c r="EJ440" s="31"/>
      <c r="EK440" s="31"/>
      <c r="EL440" s="31"/>
      <c r="EM440" s="31"/>
      <c r="EN440" s="31"/>
      <c r="EO440" s="31"/>
      <c r="EP440" s="31"/>
      <c r="EQ440" s="31"/>
      <c r="ER440" s="31"/>
      <c r="ES440" s="31"/>
      <c r="ET440" s="31"/>
      <c r="EU440" s="31"/>
      <c r="EV440" s="31"/>
      <c r="EW440" s="31"/>
      <c r="EX440" s="31"/>
      <c r="EY440" s="31"/>
      <c r="EZ440" s="31"/>
      <c r="FA440" s="31"/>
      <c r="FB440" s="31"/>
      <c r="FC440" s="31"/>
      <c r="FD440" s="31"/>
      <c r="FE440" s="31"/>
      <c r="FF440" s="31"/>
      <c r="FG440" s="31"/>
      <c r="FH440" s="31"/>
      <c r="FI440" s="31"/>
    </row>
    <row r="441" spans="1:165" ht="15.75" customHeight="1">
      <c r="DU441" s="31"/>
      <c r="DV441" s="31"/>
      <c r="DW441" s="31"/>
      <c r="DX441" s="31"/>
      <c r="DY441" s="31"/>
      <c r="DZ441" s="31"/>
      <c r="EA441" s="31"/>
      <c r="EB441" s="31"/>
      <c r="EC441" s="31"/>
      <c r="ED441" s="31"/>
      <c r="EE441" s="31"/>
      <c r="EF441" s="31"/>
      <c r="EG441" s="31"/>
      <c r="EH441" s="31"/>
      <c r="EI441" s="31"/>
      <c r="EJ441" s="31"/>
      <c r="EK441" s="31"/>
      <c r="EL441" s="31"/>
      <c r="EM441" s="31"/>
      <c r="EN441" s="31"/>
      <c r="EO441" s="31"/>
      <c r="EP441" s="31"/>
      <c r="EQ441" s="31"/>
      <c r="ER441" s="31"/>
      <c r="ES441" s="31"/>
      <c r="ET441" s="31"/>
      <c r="EU441" s="31"/>
      <c r="EV441" s="31"/>
      <c r="EW441" s="31"/>
      <c r="EX441" s="31"/>
      <c r="EY441" s="31"/>
      <c r="EZ441" s="31"/>
      <c r="FA441" s="31"/>
      <c r="FB441" s="31"/>
      <c r="FC441" s="31"/>
      <c r="FD441" s="31"/>
      <c r="FE441" s="31"/>
      <c r="FF441" s="31"/>
      <c r="FG441" s="31"/>
      <c r="FH441" s="31"/>
      <c r="FI441" s="31"/>
    </row>
    <row r="442" spans="1:165" ht="15.75" customHeight="1">
      <c r="DU442" s="31"/>
      <c r="DV442" s="31"/>
      <c r="DW442" s="31"/>
      <c r="DX442" s="31"/>
      <c r="DY442" s="31"/>
      <c r="DZ442" s="31"/>
      <c r="EA442" s="31"/>
      <c r="EB442" s="31"/>
      <c r="EC442" s="31"/>
      <c r="ED442" s="31"/>
      <c r="EE442" s="31"/>
      <c r="EF442" s="31"/>
      <c r="EG442" s="31"/>
      <c r="EH442" s="31"/>
      <c r="EI442" s="31"/>
      <c r="EJ442" s="31"/>
      <c r="EK442" s="31"/>
      <c r="EL442" s="31"/>
      <c r="EM442" s="31"/>
      <c r="EN442" s="31"/>
      <c r="EO442" s="31"/>
      <c r="EP442" s="31"/>
      <c r="EQ442" s="31"/>
      <c r="ER442" s="31"/>
      <c r="ES442" s="31"/>
      <c r="ET442" s="31"/>
      <c r="EU442" s="31"/>
      <c r="EV442" s="31"/>
      <c r="EW442" s="31"/>
      <c r="EX442" s="31"/>
      <c r="EY442" s="31"/>
      <c r="EZ442" s="31"/>
      <c r="FA442" s="31"/>
      <c r="FB442" s="31"/>
      <c r="FC442" s="31"/>
      <c r="FD442" s="31"/>
      <c r="FE442" s="31"/>
      <c r="FF442" s="31"/>
      <c r="FG442" s="31"/>
      <c r="FH442" s="31"/>
      <c r="FI442" s="31"/>
    </row>
    <row r="443" spans="1:165" ht="15.75" customHeight="1">
      <c r="DU443" s="31"/>
      <c r="DV443" s="31"/>
      <c r="DW443" s="31"/>
      <c r="DX443" s="31"/>
      <c r="DY443" s="31"/>
      <c r="DZ443" s="31"/>
      <c r="EA443" s="31"/>
      <c r="EB443" s="31"/>
      <c r="EC443" s="31"/>
      <c r="ED443" s="31"/>
      <c r="EE443" s="31"/>
      <c r="EF443" s="31"/>
      <c r="EG443" s="31"/>
      <c r="EH443" s="31"/>
      <c r="EI443" s="31"/>
      <c r="EJ443" s="31"/>
      <c r="EK443" s="31"/>
      <c r="EL443" s="31"/>
      <c r="EM443" s="31"/>
      <c r="EN443" s="31"/>
      <c r="EO443" s="31"/>
      <c r="EP443" s="31"/>
      <c r="EQ443" s="31"/>
      <c r="ER443" s="31"/>
      <c r="ES443" s="31"/>
      <c r="ET443" s="31"/>
      <c r="EU443" s="31"/>
      <c r="EV443" s="31"/>
      <c r="EW443" s="31"/>
      <c r="EX443" s="31"/>
      <c r="EY443" s="31"/>
      <c r="EZ443" s="31"/>
      <c r="FA443" s="31"/>
      <c r="FB443" s="31"/>
      <c r="FC443" s="31"/>
      <c r="FD443" s="31"/>
      <c r="FE443" s="31"/>
      <c r="FF443" s="31"/>
      <c r="FG443" s="31"/>
      <c r="FH443" s="31"/>
      <c r="FI443" s="31"/>
    </row>
    <row r="444" spans="1:165" ht="15.75" customHeight="1">
      <c r="BB444" s="31"/>
      <c r="BC444" s="31"/>
      <c r="BD444" s="31"/>
      <c r="BE444" s="31"/>
      <c r="BI444" s="31"/>
      <c r="BL444" s="31"/>
      <c r="BN444" s="31"/>
      <c r="BO444" s="31"/>
      <c r="BP444" s="31"/>
      <c r="BT444" s="31"/>
      <c r="BY444" s="31"/>
      <c r="BZ444" s="31"/>
      <c r="CA444" s="31"/>
      <c r="CB444" s="31"/>
      <c r="CC444" s="31"/>
      <c r="CE444" s="31"/>
      <c r="CF444" s="31"/>
      <c r="CG444" s="31"/>
      <c r="CH444" s="31"/>
      <c r="CI444" s="31"/>
      <c r="CJ444" s="31"/>
      <c r="CL444" s="31"/>
      <c r="CN444" s="31"/>
      <c r="DU444" s="31"/>
      <c r="DV444" s="31"/>
      <c r="DW444" s="31"/>
      <c r="DX444" s="31"/>
      <c r="DY444" s="31"/>
      <c r="DZ444" s="31"/>
      <c r="EA444" s="31"/>
      <c r="EB444" s="31"/>
      <c r="EC444" s="31"/>
      <c r="ED444" s="31"/>
      <c r="EE444" s="31"/>
      <c r="EF444" s="31"/>
      <c r="EG444" s="31"/>
      <c r="EH444" s="31"/>
      <c r="EI444" s="31"/>
      <c r="EJ444" s="31"/>
      <c r="EK444" s="31"/>
      <c r="EL444" s="31"/>
      <c r="EM444" s="31"/>
      <c r="EN444" s="31"/>
      <c r="EO444" s="31"/>
      <c r="EP444" s="31"/>
      <c r="EQ444" s="31"/>
      <c r="ER444" s="31"/>
      <c r="ES444" s="31"/>
      <c r="ET444" s="31"/>
      <c r="EU444" s="31"/>
      <c r="EV444" s="31"/>
      <c r="EW444" s="31"/>
      <c r="EX444" s="31"/>
      <c r="EY444" s="31"/>
      <c r="EZ444" s="31"/>
      <c r="FA444" s="31"/>
      <c r="FB444" s="31"/>
      <c r="FC444" s="31"/>
      <c r="FD444" s="31"/>
      <c r="FE444" s="31"/>
      <c r="FF444" s="31"/>
      <c r="FG444" s="31"/>
      <c r="FH444" s="31"/>
      <c r="FI444" s="31"/>
    </row>
    <row r="445" spans="1:165" ht="15.75" customHeight="1">
      <c r="BB445" s="31"/>
      <c r="BC445" s="31"/>
      <c r="BD445" s="31"/>
      <c r="BE445" s="31"/>
      <c r="BI445" s="31"/>
      <c r="BL445" s="31"/>
      <c r="BN445" s="31"/>
      <c r="BO445" s="31"/>
      <c r="BP445" s="31"/>
      <c r="BT445" s="31"/>
      <c r="BY445" s="31"/>
      <c r="BZ445" s="31"/>
      <c r="CA445" s="31"/>
      <c r="CB445" s="31"/>
      <c r="CC445" s="31"/>
      <c r="CE445" s="31"/>
      <c r="CF445" s="31"/>
      <c r="CG445" s="31"/>
      <c r="CH445" s="31"/>
      <c r="CI445" s="31"/>
      <c r="CJ445" s="31"/>
      <c r="CL445" s="31"/>
      <c r="CN445" s="31"/>
      <c r="DU445" s="31"/>
      <c r="DV445" s="31"/>
      <c r="DW445" s="31"/>
      <c r="DX445" s="31"/>
      <c r="DY445" s="31"/>
      <c r="DZ445" s="31"/>
      <c r="EA445" s="31"/>
      <c r="EB445" s="31"/>
      <c r="EC445" s="31"/>
      <c r="ED445" s="31"/>
      <c r="EE445" s="31"/>
      <c r="EF445" s="31"/>
      <c r="EG445" s="31"/>
      <c r="EH445" s="31"/>
      <c r="EI445" s="31"/>
      <c r="EJ445" s="31"/>
      <c r="EK445" s="31"/>
      <c r="EL445" s="31"/>
      <c r="EM445" s="31"/>
      <c r="EN445" s="31"/>
      <c r="EO445" s="31"/>
      <c r="EP445" s="31"/>
      <c r="EQ445" s="31"/>
      <c r="ER445" s="31"/>
      <c r="ES445" s="31"/>
      <c r="ET445" s="31"/>
      <c r="EU445" s="31"/>
      <c r="EV445" s="31"/>
      <c r="EW445" s="31"/>
      <c r="EX445" s="31"/>
      <c r="EY445" s="31"/>
      <c r="EZ445" s="31"/>
      <c r="FA445" s="31"/>
      <c r="FB445" s="31"/>
      <c r="FC445" s="31"/>
      <c r="FD445" s="31"/>
      <c r="FE445" s="31"/>
      <c r="FF445" s="31"/>
      <c r="FG445" s="31"/>
      <c r="FH445" s="31"/>
      <c r="FI445" s="31"/>
    </row>
    <row r="446" spans="1:165" ht="15.75" customHeight="1">
      <c r="BB446" s="31"/>
      <c r="BC446" s="31"/>
      <c r="BD446" s="31"/>
      <c r="BE446" s="31"/>
      <c r="BI446" s="31"/>
      <c r="BL446" s="31"/>
      <c r="BN446" s="31"/>
      <c r="BO446" s="31"/>
      <c r="BP446" s="31"/>
      <c r="BT446" s="31"/>
      <c r="BY446" s="31"/>
      <c r="BZ446" s="31"/>
      <c r="CA446" s="31"/>
      <c r="CB446" s="31"/>
      <c r="CC446" s="31"/>
      <c r="CE446" s="31"/>
      <c r="CF446" s="31"/>
      <c r="CG446" s="31"/>
      <c r="CH446" s="31"/>
      <c r="CI446" s="31"/>
      <c r="CJ446" s="31"/>
      <c r="CL446" s="31"/>
      <c r="CN446" s="31"/>
      <c r="DU446" s="31"/>
      <c r="DV446" s="31"/>
      <c r="DW446" s="31"/>
      <c r="DX446" s="31"/>
      <c r="DY446" s="31"/>
      <c r="DZ446" s="31"/>
      <c r="EA446" s="31"/>
      <c r="EB446" s="31"/>
      <c r="EC446" s="31"/>
      <c r="ED446" s="31"/>
      <c r="EE446" s="31"/>
      <c r="EF446" s="31"/>
      <c r="EG446" s="31"/>
      <c r="EH446" s="31"/>
      <c r="EI446" s="31"/>
      <c r="EJ446" s="31"/>
      <c r="EK446" s="31"/>
      <c r="EL446" s="31"/>
      <c r="EM446" s="31"/>
      <c r="EN446" s="31"/>
      <c r="EO446" s="31"/>
      <c r="EP446" s="31"/>
      <c r="EQ446" s="31"/>
      <c r="ER446" s="31"/>
      <c r="ES446" s="31"/>
      <c r="ET446" s="31"/>
      <c r="EU446" s="31"/>
      <c r="EV446" s="31"/>
      <c r="EW446" s="31"/>
      <c r="EX446" s="31"/>
      <c r="EY446" s="31"/>
      <c r="EZ446" s="31"/>
      <c r="FA446" s="31"/>
      <c r="FB446" s="31"/>
      <c r="FC446" s="31"/>
      <c r="FD446" s="31"/>
      <c r="FE446" s="31"/>
      <c r="FF446" s="31"/>
      <c r="FG446" s="31"/>
      <c r="FH446" s="31"/>
      <c r="FI446" s="31"/>
    </row>
    <row r="447" spans="1:165" ht="15.75" customHeight="1">
      <c r="BB447" s="31"/>
      <c r="BC447" s="31"/>
      <c r="BD447" s="31"/>
      <c r="BE447" s="31"/>
      <c r="BI447" s="31"/>
      <c r="BL447" s="31"/>
      <c r="BN447" s="31"/>
      <c r="BO447" s="31"/>
      <c r="BP447" s="31"/>
      <c r="BT447" s="31"/>
      <c r="BY447" s="31"/>
      <c r="BZ447" s="31"/>
      <c r="CA447" s="31"/>
      <c r="CB447" s="31"/>
      <c r="CC447" s="31"/>
      <c r="CE447" s="31"/>
      <c r="CF447" s="31"/>
      <c r="CG447" s="31"/>
      <c r="CH447" s="31"/>
      <c r="CI447" s="31"/>
      <c r="CJ447" s="31"/>
      <c r="CL447" s="31"/>
      <c r="CN447" s="31"/>
      <c r="DU447" s="31"/>
      <c r="DV447" s="31"/>
      <c r="DW447" s="31"/>
      <c r="DX447" s="31"/>
      <c r="DY447" s="31"/>
      <c r="DZ447" s="31"/>
      <c r="EA447" s="31"/>
      <c r="EB447" s="31"/>
      <c r="EC447" s="31"/>
      <c r="ED447" s="31"/>
      <c r="EE447" s="31"/>
      <c r="EF447" s="31"/>
      <c r="EG447" s="31"/>
      <c r="EH447" s="31"/>
      <c r="EI447" s="31"/>
      <c r="EJ447" s="31"/>
      <c r="EK447" s="31"/>
      <c r="EL447" s="31"/>
      <c r="EM447" s="31"/>
      <c r="EN447" s="31"/>
      <c r="EO447" s="31"/>
      <c r="EP447" s="31"/>
      <c r="EQ447" s="31"/>
      <c r="ER447" s="31"/>
      <c r="ES447" s="31"/>
      <c r="ET447" s="31"/>
      <c r="EU447" s="31"/>
      <c r="EV447" s="31"/>
      <c r="EW447" s="31"/>
      <c r="EX447" s="31"/>
      <c r="EY447" s="31"/>
      <c r="EZ447" s="31"/>
      <c r="FA447" s="31"/>
      <c r="FB447" s="31"/>
      <c r="FC447" s="31"/>
      <c r="FD447" s="31"/>
      <c r="FE447" s="31"/>
      <c r="FF447" s="31"/>
      <c r="FG447" s="31"/>
      <c r="FH447" s="31"/>
      <c r="FI447" s="31"/>
    </row>
    <row r="448" spans="1:165" ht="15.75" customHeight="1">
      <c r="BB448" s="31"/>
      <c r="BC448" s="31"/>
      <c r="BD448" s="31"/>
      <c r="BE448" s="31"/>
      <c r="BI448" s="31"/>
      <c r="BL448" s="31"/>
      <c r="BN448" s="31"/>
      <c r="BO448" s="31"/>
      <c r="BP448" s="31"/>
      <c r="BT448" s="31"/>
      <c r="BY448" s="31"/>
      <c r="BZ448" s="31"/>
      <c r="CA448" s="31"/>
      <c r="CB448" s="31"/>
      <c r="CC448" s="31"/>
      <c r="CE448" s="31"/>
      <c r="CF448" s="31"/>
      <c r="CG448" s="31"/>
      <c r="CH448" s="31"/>
      <c r="CI448" s="31"/>
      <c r="CJ448" s="31"/>
      <c r="CL448" s="31"/>
      <c r="CN448" s="31"/>
      <c r="DU448" s="31"/>
      <c r="DV448" s="31"/>
      <c r="DW448" s="31"/>
      <c r="DX448" s="31"/>
      <c r="DY448" s="31"/>
      <c r="DZ448" s="31"/>
      <c r="EA448" s="31"/>
      <c r="EB448" s="31"/>
      <c r="EC448" s="31"/>
      <c r="ED448" s="31"/>
      <c r="EE448" s="31"/>
      <c r="EF448" s="31"/>
      <c r="EG448" s="31"/>
      <c r="EH448" s="31"/>
      <c r="EI448" s="31"/>
      <c r="EJ448" s="31"/>
      <c r="EK448" s="31"/>
      <c r="EL448" s="31"/>
      <c r="EM448" s="31"/>
      <c r="EN448" s="31"/>
      <c r="EO448" s="31"/>
      <c r="EP448" s="31"/>
      <c r="EQ448" s="31"/>
      <c r="ER448" s="31"/>
      <c r="ES448" s="31"/>
      <c r="ET448" s="31"/>
      <c r="EU448" s="31"/>
      <c r="EV448" s="31"/>
      <c r="EW448" s="31"/>
      <c r="EX448" s="31"/>
      <c r="EY448" s="31"/>
      <c r="EZ448" s="31"/>
      <c r="FA448" s="31"/>
      <c r="FB448" s="31"/>
      <c r="FC448" s="31"/>
      <c r="FD448" s="31"/>
      <c r="FE448" s="31"/>
      <c r="FF448" s="31"/>
      <c r="FG448" s="31"/>
      <c r="FH448" s="31"/>
      <c r="FI448" s="31"/>
    </row>
    <row r="449" spans="1:165" ht="15.75" customHeight="1">
      <c r="BB449" s="31"/>
      <c r="BC449" s="31"/>
      <c r="BD449" s="31"/>
      <c r="BE449" s="31"/>
      <c r="BI449" s="31"/>
      <c r="BL449" s="31"/>
      <c r="BN449" s="31"/>
      <c r="BO449" s="31"/>
      <c r="BP449" s="31"/>
      <c r="BT449" s="31"/>
      <c r="BY449" s="31"/>
      <c r="BZ449" s="31"/>
      <c r="CA449" s="31"/>
      <c r="CB449" s="31"/>
      <c r="CC449" s="31"/>
      <c r="CE449" s="31"/>
      <c r="CF449" s="31"/>
      <c r="CG449" s="31"/>
      <c r="CH449" s="31"/>
      <c r="CI449" s="31"/>
      <c r="CJ449" s="31"/>
      <c r="CL449" s="31"/>
      <c r="CN449" s="31"/>
      <c r="DU449" s="31"/>
      <c r="DV449" s="31"/>
      <c r="DW449" s="31"/>
      <c r="DX449" s="31"/>
      <c r="DY449" s="31"/>
      <c r="DZ449" s="31"/>
      <c r="EA449" s="31"/>
      <c r="EB449" s="31"/>
      <c r="EC449" s="31"/>
      <c r="ED449" s="31"/>
      <c r="EE449" s="31"/>
      <c r="EF449" s="31"/>
      <c r="EG449" s="31"/>
      <c r="EH449" s="31"/>
      <c r="EI449" s="31"/>
      <c r="EJ449" s="31"/>
      <c r="EK449" s="31"/>
      <c r="EL449" s="31"/>
      <c r="EM449" s="31"/>
      <c r="EN449" s="31"/>
      <c r="EO449" s="31"/>
      <c r="EP449" s="31"/>
      <c r="EQ449" s="31"/>
      <c r="ER449" s="31"/>
      <c r="ES449" s="31"/>
      <c r="ET449" s="31"/>
      <c r="EU449" s="31"/>
      <c r="EV449" s="31"/>
      <c r="EW449" s="31"/>
      <c r="EX449" s="31"/>
      <c r="EY449" s="31"/>
      <c r="EZ449" s="31"/>
      <c r="FA449" s="31"/>
      <c r="FB449" s="31"/>
      <c r="FC449" s="31"/>
      <c r="FD449" s="31"/>
      <c r="FE449" s="31"/>
      <c r="FF449" s="31"/>
      <c r="FG449" s="31"/>
      <c r="FH449" s="31"/>
      <c r="FI449" s="31"/>
    </row>
    <row r="450" spans="1:165" ht="15.75" customHeight="1">
      <c r="BB450" s="31"/>
      <c r="BC450" s="31"/>
      <c r="BD450" s="31"/>
      <c r="BE450" s="31"/>
      <c r="BI450" s="31"/>
      <c r="BL450" s="31"/>
      <c r="BN450" s="31"/>
      <c r="BO450" s="31"/>
      <c r="BP450" s="31"/>
      <c r="BT450" s="31"/>
      <c r="BY450" s="31"/>
      <c r="BZ450" s="31"/>
      <c r="CA450" s="31"/>
      <c r="CB450" s="31"/>
      <c r="CC450" s="31"/>
      <c r="CE450" s="31"/>
      <c r="CF450" s="31"/>
      <c r="CG450" s="31"/>
      <c r="CH450" s="31"/>
      <c r="CI450" s="31"/>
      <c r="CJ450" s="31"/>
      <c r="CL450" s="31"/>
      <c r="CN450" s="31"/>
      <c r="DU450" s="31"/>
      <c r="DV450" s="31"/>
      <c r="DW450" s="31"/>
      <c r="DX450" s="31"/>
      <c r="DY450" s="31"/>
      <c r="DZ450" s="31"/>
      <c r="EA450" s="31"/>
      <c r="EB450" s="31"/>
      <c r="EC450" s="31"/>
      <c r="ED450" s="31"/>
      <c r="EE450" s="31"/>
      <c r="EF450" s="31"/>
      <c r="EG450" s="31"/>
      <c r="EH450" s="31"/>
      <c r="EI450" s="31"/>
      <c r="EJ450" s="31"/>
      <c r="EK450" s="31"/>
      <c r="EL450" s="31"/>
      <c r="EM450" s="31"/>
      <c r="EN450" s="31"/>
      <c r="EO450" s="31"/>
      <c r="EP450" s="31"/>
      <c r="EQ450" s="31"/>
      <c r="ER450" s="31"/>
      <c r="ES450" s="31"/>
      <c r="ET450" s="31"/>
      <c r="EU450" s="31"/>
      <c r="EV450" s="31"/>
      <c r="EW450" s="31"/>
      <c r="EX450" s="31"/>
      <c r="EY450" s="31"/>
      <c r="EZ450" s="31"/>
      <c r="FA450" s="31"/>
      <c r="FB450" s="31"/>
      <c r="FC450" s="31"/>
      <c r="FD450" s="31"/>
      <c r="FE450" s="31"/>
      <c r="FF450" s="31"/>
      <c r="FG450" s="31"/>
      <c r="FH450" s="31"/>
      <c r="FI450" s="31"/>
    </row>
    <row r="451" spans="1:165" ht="15.75" customHeight="1">
      <c r="BB451" s="31"/>
      <c r="BC451" s="31"/>
      <c r="BD451" s="31"/>
      <c r="BE451" s="31"/>
      <c r="BI451" s="31"/>
      <c r="BL451" s="31"/>
      <c r="BN451" s="31"/>
      <c r="BO451" s="31"/>
      <c r="BP451" s="31"/>
      <c r="BT451" s="31"/>
      <c r="BY451" s="31"/>
      <c r="BZ451" s="31"/>
      <c r="CA451" s="31"/>
      <c r="CB451" s="31"/>
      <c r="CC451" s="31"/>
      <c r="CE451" s="31"/>
      <c r="CF451" s="31"/>
      <c r="CG451" s="31"/>
      <c r="CH451" s="31"/>
      <c r="CI451" s="31"/>
      <c r="CJ451" s="31"/>
      <c r="CL451" s="31"/>
      <c r="CN451" s="31"/>
      <c r="DU451" s="31"/>
      <c r="DV451" s="31"/>
      <c r="DW451" s="31"/>
      <c r="DX451" s="31"/>
      <c r="DY451" s="31"/>
      <c r="DZ451" s="31"/>
      <c r="EA451" s="31"/>
      <c r="EB451" s="31"/>
      <c r="EC451" s="31"/>
      <c r="ED451" s="31"/>
      <c r="EE451" s="31"/>
      <c r="EF451" s="31"/>
      <c r="EG451" s="31"/>
      <c r="EH451" s="31"/>
      <c r="EI451" s="31"/>
      <c r="EJ451" s="31"/>
      <c r="EK451" s="31"/>
      <c r="EL451" s="31"/>
      <c r="EM451" s="31"/>
      <c r="EN451" s="31"/>
      <c r="EO451" s="31"/>
      <c r="EP451" s="31"/>
      <c r="EQ451" s="31"/>
      <c r="ER451" s="31"/>
      <c r="ES451" s="31"/>
      <c r="ET451" s="31"/>
      <c r="EU451" s="31"/>
      <c r="EV451" s="31"/>
      <c r="EW451" s="31"/>
      <c r="EX451" s="31"/>
      <c r="EY451" s="31"/>
      <c r="EZ451" s="31"/>
      <c r="FA451" s="31"/>
      <c r="FB451" s="31"/>
      <c r="FC451" s="31"/>
      <c r="FD451" s="31"/>
      <c r="FE451" s="31"/>
      <c r="FF451" s="31"/>
      <c r="FG451" s="31"/>
      <c r="FH451" s="31"/>
      <c r="FI451" s="31"/>
    </row>
    <row r="452" spans="1:165" ht="15.75" customHeight="1">
      <c r="BB452" s="31"/>
      <c r="BC452" s="31"/>
      <c r="BD452" s="31"/>
      <c r="BE452" s="31"/>
      <c r="BI452" s="31"/>
      <c r="BL452" s="31"/>
      <c r="BN452" s="31"/>
      <c r="BO452" s="31"/>
      <c r="BP452" s="31"/>
      <c r="BT452" s="31"/>
      <c r="BY452" s="31"/>
      <c r="BZ452" s="31"/>
      <c r="CA452" s="31"/>
      <c r="CB452" s="31"/>
      <c r="CC452" s="31"/>
      <c r="CE452" s="31"/>
      <c r="CF452" s="31"/>
      <c r="CG452" s="31"/>
      <c r="CH452" s="31"/>
      <c r="CI452" s="31"/>
      <c r="CJ452" s="31"/>
      <c r="CL452" s="31"/>
      <c r="CN452" s="31"/>
      <c r="DU452" s="31"/>
      <c r="DV452" s="31"/>
      <c r="DW452" s="31"/>
      <c r="DX452" s="31"/>
      <c r="DY452" s="31"/>
      <c r="DZ452" s="31"/>
      <c r="EA452" s="31"/>
      <c r="EB452" s="31"/>
      <c r="EC452" s="31"/>
      <c r="ED452" s="31"/>
      <c r="EE452" s="31"/>
      <c r="EF452" s="31"/>
      <c r="EG452" s="31"/>
      <c r="EH452" s="31"/>
      <c r="EI452" s="31"/>
      <c r="EJ452" s="31"/>
      <c r="EK452" s="31"/>
      <c r="EL452" s="31"/>
      <c r="EM452" s="31"/>
      <c r="EN452" s="31"/>
      <c r="EO452" s="31"/>
      <c r="EP452" s="31"/>
      <c r="EQ452" s="31"/>
      <c r="ER452" s="31"/>
      <c r="ES452" s="31"/>
      <c r="ET452" s="31"/>
      <c r="EU452" s="31"/>
      <c r="EV452" s="31"/>
      <c r="EW452" s="31"/>
      <c r="EX452" s="31"/>
      <c r="EY452" s="31"/>
      <c r="EZ452" s="31"/>
      <c r="FA452" s="31"/>
      <c r="FB452" s="31"/>
      <c r="FC452" s="31"/>
      <c r="FD452" s="31"/>
      <c r="FE452" s="31"/>
      <c r="FF452" s="31"/>
      <c r="FG452" s="31"/>
      <c r="FH452" s="31"/>
      <c r="FI452" s="31"/>
    </row>
    <row r="453" spans="1:165" ht="15.75" customHeight="1">
      <c r="BB453" s="31"/>
      <c r="BC453" s="31"/>
      <c r="BD453" s="31"/>
      <c r="BE453" s="31"/>
      <c r="BI453" s="31"/>
      <c r="BL453" s="31"/>
      <c r="BN453" s="31"/>
      <c r="BO453" s="31"/>
      <c r="BP453" s="31"/>
      <c r="BT453" s="31"/>
      <c r="BY453" s="31"/>
      <c r="BZ453" s="31"/>
      <c r="CA453" s="31"/>
      <c r="CB453" s="31"/>
      <c r="CC453" s="31"/>
      <c r="CE453" s="31"/>
      <c r="CF453" s="31"/>
      <c r="CG453" s="31"/>
      <c r="CH453" s="31"/>
      <c r="CI453" s="31"/>
      <c r="CJ453" s="31"/>
      <c r="CL453" s="31"/>
      <c r="CN453" s="31"/>
      <c r="DU453" s="31"/>
      <c r="DV453" s="31"/>
      <c r="DW453" s="31"/>
      <c r="DX453" s="31"/>
      <c r="DY453" s="31"/>
      <c r="EA453" s="31"/>
      <c r="EB453" s="31"/>
      <c r="EC453" s="31"/>
      <c r="ED453" s="31"/>
      <c r="EE453" s="31"/>
      <c r="EF453" s="31"/>
      <c r="EG453" s="31"/>
      <c r="EH453" s="31"/>
      <c r="EI453" s="31"/>
      <c r="EJ453" s="31"/>
      <c r="EK453" s="31"/>
      <c r="EL453" s="31"/>
      <c r="EM453" s="31"/>
      <c r="EN453" s="31"/>
      <c r="EO453" s="31"/>
      <c r="EP453" s="31"/>
      <c r="EQ453" s="31"/>
      <c r="ER453" s="31"/>
      <c r="ES453" s="31"/>
      <c r="ET453" s="31"/>
      <c r="EU453" s="31"/>
      <c r="EV453" s="31"/>
      <c r="EW453" s="31"/>
      <c r="EX453" s="31"/>
      <c r="EY453" s="31"/>
      <c r="EZ453" s="31"/>
      <c r="FA453" s="31"/>
      <c r="FB453" s="31"/>
      <c r="FC453" s="31"/>
      <c r="FD453" s="31"/>
      <c r="FE453" s="31"/>
      <c r="FF453" s="31"/>
      <c r="FG453" s="31"/>
      <c r="FH453" s="31"/>
      <c r="FI453" s="31"/>
    </row>
    <row r="454" spans="1:165" ht="15.75" customHeight="1">
      <c r="BB454" s="31"/>
      <c r="BC454" s="31"/>
      <c r="BD454" s="31"/>
      <c r="BE454" s="31"/>
      <c r="BI454" s="31"/>
      <c r="BL454" s="31"/>
      <c r="BN454" s="31"/>
      <c r="BO454" s="31"/>
      <c r="BP454" s="31"/>
      <c r="BT454" s="31"/>
      <c r="BY454" s="31"/>
      <c r="BZ454" s="31"/>
      <c r="CA454" s="31"/>
      <c r="CB454" s="31"/>
      <c r="CC454" s="31"/>
      <c r="CE454" s="31"/>
      <c r="CF454" s="31"/>
      <c r="CG454" s="31"/>
      <c r="CH454" s="31"/>
      <c r="CI454" s="31"/>
      <c r="CJ454" s="31"/>
      <c r="CL454" s="31"/>
      <c r="CN454" s="31"/>
      <c r="DU454" s="31"/>
      <c r="DV454" s="31"/>
      <c r="DW454" s="31"/>
      <c r="DX454" s="31"/>
      <c r="DY454" s="31"/>
      <c r="EA454" s="31"/>
      <c r="EB454" s="31"/>
      <c r="EC454" s="31"/>
      <c r="ED454" s="31"/>
      <c r="EE454" s="31"/>
      <c r="EF454" s="31"/>
      <c r="EG454" s="31"/>
      <c r="EH454" s="31"/>
      <c r="EI454" s="31"/>
      <c r="EJ454" s="31"/>
      <c r="EK454" s="31"/>
      <c r="EL454" s="31"/>
      <c r="EM454" s="31"/>
      <c r="EN454" s="31"/>
      <c r="EO454" s="31"/>
      <c r="EP454" s="31"/>
      <c r="EQ454" s="31"/>
      <c r="ER454" s="31"/>
      <c r="ES454" s="31"/>
      <c r="ET454" s="31"/>
      <c r="EU454" s="31"/>
      <c r="EV454" s="31"/>
      <c r="EW454" s="31"/>
      <c r="EX454" s="31"/>
      <c r="EY454" s="31"/>
      <c r="EZ454" s="31"/>
      <c r="FA454" s="31"/>
      <c r="FB454" s="31"/>
      <c r="FC454" s="31"/>
      <c r="FD454" s="31"/>
      <c r="FE454" s="31"/>
      <c r="FF454" s="31"/>
      <c r="FG454" s="31"/>
      <c r="FH454" s="31"/>
      <c r="FI454" s="31"/>
    </row>
    <row r="455" spans="1:165" ht="15.75" customHeight="1">
      <c r="BB455" s="31"/>
      <c r="BC455" s="31"/>
      <c r="BD455" s="31"/>
      <c r="BE455" s="31"/>
      <c r="BI455" s="31"/>
      <c r="BL455" s="31"/>
      <c r="BN455" s="31"/>
      <c r="BO455" s="31"/>
      <c r="BP455" s="31"/>
      <c r="BT455" s="31"/>
      <c r="BY455" s="31"/>
      <c r="BZ455" s="31"/>
      <c r="CA455" s="31"/>
      <c r="CB455" s="31"/>
      <c r="CC455" s="31"/>
      <c r="CE455" s="31"/>
      <c r="CF455" s="31"/>
      <c r="CG455" s="31"/>
      <c r="CH455" s="31"/>
      <c r="CI455" s="31"/>
      <c r="CJ455" s="31"/>
      <c r="CL455" s="31"/>
      <c r="CN455" s="31"/>
      <c r="EA455" s="31"/>
    </row>
    <row r="456" spans="1:165" ht="15.75" customHeight="1">
      <c r="BB456" s="31"/>
      <c r="BC456" s="31"/>
      <c r="BD456" s="31"/>
      <c r="BE456" s="31"/>
      <c r="BI456" s="31"/>
      <c r="BL456" s="31"/>
      <c r="BN456" s="31"/>
      <c r="BO456" s="31"/>
      <c r="BP456" s="31"/>
      <c r="BT456" s="31"/>
      <c r="BY456" s="31"/>
      <c r="BZ456" s="31"/>
      <c r="CA456" s="31"/>
      <c r="CB456" s="31"/>
      <c r="CC456" s="31"/>
      <c r="CE456" s="31"/>
      <c r="CF456" s="31"/>
      <c r="CG456" s="31"/>
      <c r="CH456" s="31"/>
      <c r="CI456" s="31"/>
      <c r="CJ456" s="31"/>
      <c r="CL456" s="31"/>
      <c r="CN456" s="31"/>
    </row>
    <row r="457" spans="1:165" s="31" customFormat="1" ht="15.75" customHeight="1">
      <c r="A457" s="1"/>
      <c r="B457" s="1"/>
      <c r="C457" s="1"/>
      <c r="D457" s="1"/>
      <c r="E457" s="1"/>
      <c r="F457" s="1"/>
      <c r="G457" s="1"/>
      <c r="H457" s="1"/>
      <c r="I457" s="1"/>
      <c r="J457" s="1"/>
      <c r="K457" s="1"/>
      <c r="L457" s="1"/>
      <c r="M457" s="1"/>
      <c r="N457" s="1"/>
      <c r="O457" s="1"/>
      <c r="P457"/>
      <c r="Q457" s="130"/>
      <c r="R457" s="1"/>
      <c r="S457" s="1"/>
      <c r="T457" s="1"/>
      <c r="U457" s="1"/>
      <c r="V457" s="1"/>
      <c r="W457" s="1"/>
      <c r="X457" s="1"/>
      <c r="Y457" s="1"/>
      <c r="Z457" s="1"/>
      <c r="AA457" s="1"/>
      <c r="AB457" s="1"/>
      <c r="AC457" s="1"/>
      <c r="AD457" s="1"/>
      <c r="AE457" s="1"/>
      <c r="AF457" s="1"/>
      <c r="AG457" s="1"/>
      <c r="AH457" s="1"/>
      <c r="AI457" s="1"/>
      <c r="AJ457" s="1"/>
      <c r="AK457" s="1"/>
      <c r="AL457" s="1"/>
      <c r="AM457" s="1"/>
      <c r="AN457"/>
      <c r="AO457" s="228"/>
      <c r="AP457" s="189"/>
      <c r="AQ457"/>
      <c r="AR457"/>
      <c r="AS457" s="228"/>
      <c r="AT457" s="139"/>
      <c r="AU457" s="139"/>
      <c r="AV457"/>
      <c r="AW457" s="262"/>
      <c r="AX457"/>
      <c r="AY457"/>
      <c r="AZ457"/>
      <c r="BA457"/>
      <c r="BF457"/>
      <c r="BG457" s="262"/>
      <c r="BJ457" s="262"/>
      <c r="BK457"/>
      <c r="BM457" s="108"/>
      <c r="BQ457"/>
      <c r="BR457" s="262"/>
      <c r="BS457"/>
      <c r="BU457"/>
      <c r="BX457"/>
      <c r="CD457" s="141"/>
      <c r="CK457"/>
      <c r="CM457"/>
      <c r="CO457"/>
      <c r="CP457"/>
      <c r="CQ457" s="143"/>
      <c r="CR457" s="143"/>
      <c r="CS457"/>
      <c r="CT457" s="262"/>
      <c r="CU457"/>
      <c r="CV457"/>
      <c r="CW457"/>
      <c r="CX457" s="143"/>
      <c r="CY457" s="143"/>
      <c r="CZ457" s="143"/>
      <c r="DA457" s="143"/>
      <c r="DB457"/>
      <c r="DC457"/>
      <c r="DD457" s="143"/>
      <c r="DE457"/>
      <c r="DF457" s="143"/>
      <c r="DG457"/>
      <c r="DH457"/>
      <c r="DI457"/>
      <c r="DJ457"/>
      <c r="DK457"/>
      <c r="DL457" s="139"/>
      <c r="DM457"/>
      <c r="DN457" s="26"/>
      <c r="DO457" s="26"/>
      <c r="DP457"/>
      <c r="DQ457" s="262"/>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row>
    <row r="458" spans="1:165" s="31" customFormat="1" ht="15.75" customHeight="1">
      <c r="A458" s="1"/>
      <c r="B458" s="1"/>
      <c r="C458" s="1"/>
      <c r="D458" s="1"/>
      <c r="E458" s="1"/>
      <c r="F458" s="1"/>
      <c r="G458" s="1"/>
      <c r="H458" s="1"/>
      <c r="I458" s="1"/>
      <c r="J458" s="1"/>
      <c r="K458" s="1"/>
      <c r="L458" s="1"/>
      <c r="M458" s="1"/>
      <c r="N458" s="1"/>
      <c r="O458" s="1"/>
      <c r="P458"/>
      <c r="Q458" s="130"/>
      <c r="R458" s="1"/>
      <c r="S458" s="1"/>
      <c r="T458" s="1"/>
      <c r="U458" s="1"/>
      <c r="V458" s="1"/>
      <c r="W458" s="1"/>
      <c r="X458" s="1"/>
      <c r="Y458" s="1"/>
      <c r="Z458" s="1"/>
      <c r="AA458" s="1"/>
      <c r="AB458" s="1"/>
      <c r="AC458" s="1"/>
      <c r="AD458" s="1"/>
      <c r="AE458" s="1"/>
      <c r="AF458" s="1"/>
      <c r="AG458" s="1"/>
      <c r="AH458" s="1"/>
      <c r="AI458" s="1"/>
      <c r="AJ458" s="1"/>
      <c r="AK458" s="1"/>
      <c r="AL458" s="1"/>
      <c r="AM458" s="1"/>
      <c r="AN458"/>
      <c r="AO458" s="228"/>
      <c r="AP458" s="189"/>
      <c r="AQ458"/>
      <c r="AR458"/>
      <c r="AS458" s="228"/>
      <c r="AT458" s="139"/>
      <c r="AU458" s="139"/>
      <c r="AV458"/>
      <c r="AW458" s="262"/>
      <c r="AX458"/>
      <c r="AY458"/>
      <c r="AZ458"/>
      <c r="BA458"/>
      <c r="BF458"/>
      <c r="BG458" s="262"/>
      <c r="BJ458" s="262"/>
      <c r="BK458"/>
      <c r="BM458" s="108"/>
      <c r="BQ458"/>
      <c r="BR458" s="262"/>
      <c r="BS458"/>
      <c r="BU458"/>
      <c r="BX458"/>
      <c r="CD458" s="141"/>
      <c r="CK458"/>
      <c r="CM458"/>
      <c r="CO458"/>
      <c r="CP458"/>
      <c r="CQ458" s="143"/>
      <c r="CR458" s="143"/>
      <c r="CS458"/>
      <c r="CT458" s="262"/>
      <c r="CU458"/>
      <c r="CV458"/>
      <c r="CW458"/>
      <c r="CX458" s="143"/>
      <c r="CY458" s="143"/>
      <c r="CZ458" s="143"/>
      <c r="DA458" s="143"/>
      <c r="DB458"/>
      <c r="DC458"/>
      <c r="DD458" s="143"/>
      <c r="DE458"/>
      <c r="DF458" s="143"/>
      <c r="DG458"/>
      <c r="DH458"/>
      <c r="DI458"/>
      <c r="DJ458"/>
      <c r="DK458"/>
      <c r="DL458" s="139"/>
      <c r="DM458"/>
      <c r="DN458" s="26"/>
      <c r="DO458" s="26"/>
      <c r="DP458"/>
      <c r="DQ458" s="262"/>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row>
    <row r="459" spans="1:165" s="31" customFormat="1" ht="15.75" customHeight="1">
      <c r="A459" s="1"/>
      <c r="B459" s="1"/>
      <c r="C459" s="1"/>
      <c r="D459" s="1"/>
      <c r="E459" s="1"/>
      <c r="F459" s="1"/>
      <c r="G459" s="1"/>
      <c r="H459" s="1"/>
      <c r="I459" s="1"/>
      <c r="J459" s="1"/>
      <c r="K459" s="1"/>
      <c r="L459" s="1"/>
      <c r="M459" s="1"/>
      <c r="N459" s="1"/>
      <c r="O459" s="1"/>
      <c r="P459"/>
      <c r="Q459" s="130"/>
      <c r="R459" s="1"/>
      <c r="S459" s="1"/>
      <c r="T459" s="1"/>
      <c r="U459" s="1"/>
      <c r="V459" s="1"/>
      <c r="W459" s="1"/>
      <c r="X459" s="1"/>
      <c r="Y459" s="1"/>
      <c r="Z459" s="1"/>
      <c r="AA459" s="1"/>
      <c r="AB459" s="1"/>
      <c r="AC459" s="1"/>
      <c r="AD459" s="1"/>
      <c r="AE459" s="1"/>
      <c r="AF459" s="1"/>
      <c r="AG459" s="1"/>
      <c r="AH459" s="1"/>
      <c r="AI459" s="1"/>
      <c r="AJ459" s="1"/>
      <c r="AK459" s="1"/>
      <c r="AL459" s="1"/>
      <c r="AM459" s="1"/>
      <c r="AN459"/>
      <c r="AO459" s="228"/>
      <c r="AP459" s="189"/>
      <c r="AQ459"/>
      <c r="AR459"/>
      <c r="AS459" s="228"/>
      <c r="AT459" s="139"/>
      <c r="AU459" s="139"/>
      <c r="AV459"/>
      <c r="AW459" s="262"/>
      <c r="AX459"/>
      <c r="AY459"/>
      <c r="AZ459"/>
      <c r="BA459"/>
      <c r="BF459"/>
      <c r="BG459" s="262"/>
      <c r="BJ459" s="262"/>
      <c r="BK459"/>
      <c r="BM459" s="108"/>
      <c r="BQ459"/>
      <c r="BR459" s="262"/>
      <c r="BS459"/>
      <c r="BU459"/>
      <c r="BX459"/>
      <c r="CD459" s="141"/>
      <c r="CK459"/>
      <c r="CM459"/>
      <c r="CO459"/>
      <c r="CP459"/>
      <c r="CQ459" s="143"/>
      <c r="CR459" s="143"/>
      <c r="CS459"/>
      <c r="CT459" s="262"/>
      <c r="CU459"/>
      <c r="CV459"/>
      <c r="CW459"/>
      <c r="CX459" s="143"/>
      <c r="CY459" s="143"/>
      <c r="CZ459" s="143"/>
      <c r="DA459" s="143"/>
      <c r="DB459"/>
      <c r="DC459"/>
      <c r="DD459" s="143"/>
      <c r="DE459"/>
      <c r="DF459" s="143"/>
      <c r="DG459"/>
      <c r="DH459"/>
      <c r="DI459"/>
      <c r="DJ459"/>
      <c r="DK459"/>
      <c r="DL459" s="139"/>
      <c r="DM459"/>
      <c r="DN459" s="26"/>
      <c r="DO459" s="26"/>
      <c r="DP459"/>
      <c r="DQ459" s="262"/>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row>
    <row r="460" spans="1:165" s="31" customFormat="1" ht="15.75" customHeight="1">
      <c r="A460" s="1"/>
      <c r="B460" s="1"/>
      <c r="C460" s="1"/>
      <c r="D460" s="1"/>
      <c r="E460" s="1"/>
      <c r="F460" s="1"/>
      <c r="G460" s="1"/>
      <c r="H460" s="1"/>
      <c r="I460" s="1"/>
      <c r="J460" s="1"/>
      <c r="K460" s="1"/>
      <c r="L460" s="1"/>
      <c r="M460" s="1"/>
      <c r="N460" s="1"/>
      <c r="O460" s="1"/>
      <c r="P460"/>
      <c r="Q460" s="130"/>
      <c r="R460" s="1"/>
      <c r="S460" s="1"/>
      <c r="T460" s="1"/>
      <c r="U460" s="1"/>
      <c r="V460" s="1"/>
      <c r="W460" s="1"/>
      <c r="X460" s="1"/>
      <c r="Y460" s="1"/>
      <c r="Z460" s="1"/>
      <c r="AA460" s="1"/>
      <c r="AB460" s="1"/>
      <c r="AC460" s="1"/>
      <c r="AD460" s="1"/>
      <c r="AE460" s="1"/>
      <c r="AF460" s="1"/>
      <c r="AG460" s="1"/>
      <c r="AH460" s="1"/>
      <c r="AI460" s="1"/>
      <c r="AJ460" s="1"/>
      <c r="AK460" s="1"/>
      <c r="AL460" s="1"/>
      <c r="AM460" s="1"/>
      <c r="AN460"/>
      <c r="AO460" s="228"/>
      <c r="AP460" s="189"/>
      <c r="AQ460"/>
      <c r="AR460"/>
      <c r="AS460" s="228"/>
      <c r="AT460" s="139"/>
      <c r="AU460" s="139"/>
      <c r="AV460"/>
      <c r="AW460" s="262"/>
      <c r="AX460"/>
      <c r="AY460"/>
      <c r="AZ460"/>
      <c r="BA460"/>
      <c r="BF460"/>
      <c r="BG460" s="262"/>
      <c r="BJ460" s="262"/>
      <c r="BK460"/>
      <c r="BM460" s="108"/>
      <c r="BQ460"/>
      <c r="BR460" s="262"/>
      <c r="BS460"/>
      <c r="BU460"/>
      <c r="BX460"/>
      <c r="CD460" s="141"/>
      <c r="CK460"/>
      <c r="CM460"/>
      <c r="CO460"/>
      <c r="CP460"/>
      <c r="CQ460" s="143"/>
      <c r="CR460" s="143"/>
      <c r="CS460"/>
      <c r="CT460" s="262"/>
      <c r="CU460"/>
      <c r="CV460"/>
      <c r="CW460"/>
      <c r="CX460" s="143"/>
      <c r="CY460" s="143"/>
      <c r="CZ460" s="143"/>
      <c r="DA460" s="143"/>
      <c r="DB460"/>
      <c r="DC460"/>
      <c r="DD460" s="143"/>
      <c r="DE460"/>
      <c r="DF460" s="143"/>
      <c r="DG460"/>
      <c r="DH460"/>
      <c r="DI460"/>
      <c r="DJ460"/>
      <c r="DK460"/>
      <c r="DL460" s="139"/>
      <c r="DM460"/>
      <c r="DN460" s="26"/>
      <c r="DO460" s="26"/>
      <c r="DP460"/>
      <c r="DQ460" s="262"/>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row>
    <row r="461" spans="1:165" s="31" customFormat="1" ht="15.75" customHeight="1">
      <c r="A461" s="1"/>
      <c r="B461" s="1"/>
      <c r="C461" s="1"/>
      <c r="D461" s="1"/>
      <c r="E461" s="1"/>
      <c r="F461" s="1"/>
      <c r="G461" s="1"/>
      <c r="H461" s="1"/>
      <c r="I461" s="1"/>
      <c r="J461" s="1"/>
      <c r="K461" s="1"/>
      <c r="L461" s="1"/>
      <c r="M461" s="1"/>
      <c r="N461" s="1"/>
      <c r="O461" s="1"/>
      <c r="P461"/>
      <c r="Q461" s="130"/>
      <c r="R461" s="1"/>
      <c r="S461" s="1"/>
      <c r="T461" s="1"/>
      <c r="U461" s="1"/>
      <c r="V461" s="1"/>
      <c r="W461" s="1"/>
      <c r="X461" s="1"/>
      <c r="Y461" s="1"/>
      <c r="Z461" s="1"/>
      <c r="AA461" s="1"/>
      <c r="AB461" s="1"/>
      <c r="AC461" s="1"/>
      <c r="AD461" s="1"/>
      <c r="AE461" s="1"/>
      <c r="AF461" s="1"/>
      <c r="AG461" s="1"/>
      <c r="AH461" s="1"/>
      <c r="AI461" s="1"/>
      <c r="AJ461" s="1"/>
      <c r="AK461" s="1"/>
      <c r="AL461" s="1"/>
      <c r="AM461" s="1"/>
      <c r="AN461"/>
      <c r="AO461" s="228"/>
      <c r="AP461" s="189"/>
      <c r="AQ461"/>
      <c r="AR461"/>
      <c r="AS461" s="228"/>
      <c r="AT461" s="139"/>
      <c r="AU461" s="139"/>
      <c r="AV461"/>
      <c r="AW461" s="262"/>
      <c r="AX461"/>
      <c r="AY461"/>
      <c r="AZ461"/>
      <c r="BA461"/>
      <c r="BB461"/>
      <c r="BC461"/>
      <c r="BD461"/>
      <c r="BE461"/>
      <c r="BF461"/>
      <c r="BG461" s="262"/>
      <c r="BI461"/>
      <c r="BJ461" s="262"/>
      <c r="BK461"/>
      <c r="BL461"/>
      <c r="BM461" s="108"/>
      <c r="BN461"/>
      <c r="BO461"/>
      <c r="BP461"/>
      <c r="BQ461"/>
      <c r="BR461" s="262"/>
      <c r="BS461"/>
      <c r="BT461"/>
      <c r="BU461"/>
      <c r="BX461"/>
      <c r="BY461"/>
      <c r="BZ461"/>
      <c r="CA461"/>
      <c r="CB461"/>
      <c r="CC461"/>
      <c r="CD461" s="141"/>
      <c r="CE461"/>
      <c r="CF461"/>
      <c r="CG461"/>
      <c r="CH461"/>
      <c r="CI461"/>
      <c r="CJ461"/>
      <c r="CK461"/>
      <c r="CL461"/>
      <c r="CM461"/>
      <c r="CN461"/>
      <c r="CO461"/>
      <c r="CP461"/>
      <c r="CQ461" s="143"/>
      <c r="CR461" s="143"/>
      <c r="CS461"/>
      <c r="CT461" s="262"/>
      <c r="CU461"/>
      <c r="CV461"/>
      <c r="CW461"/>
      <c r="CX461" s="143"/>
      <c r="CY461" s="143"/>
      <c r="CZ461" s="143"/>
      <c r="DA461" s="143"/>
      <c r="DB461"/>
      <c r="DC461"/>
      <c r="DD461" s="143"/>
      <c r="DE461"/>
      <c r="DF461" s="143"/>
      <c r="DG461"/>
      <c r="DH461"/>
      <c r="DI461"/>
      <c r="DJ461"/>
      <c r="DK461"/>
      <c r="DL461" s="139"/>
      <c r="DM461"/>
      <c r="DN461" s="26"/>
      <c r="DO461" s="26"/>
      <c r="DP461"/>
      <c r="DQ461" s="262"/>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row>
    <row r="462" spans="1:165" s="31" customFormat="1" ht="15.75" customHeight="1">
      <c r="A462" s="1"/>
      <c r="B462" s="1"/>
      <c r="C462" s="1"/>
      <c r="D462" s="1"/>
      <c r="E462" s="1"/>
      <c r="F462" s="1"/>
      <c r="G462" s="1"/>
      <c r="H462" s="1"/>
      <c r="I462" s="1"/>
      <c r="J462" s="1"/>
      <c r="K462" s="1"/>
      <c r="L462" s="1"/>
      <c r="M462" s="1"/>
      <c r="N462" s="1"/>
      <c r="O462" s="1"/>
      <c r="P462"/>
      <c r="Q462" s="130"/>
      <c r="R462" s="1"/>
      <c r="S462" s="1"/>
      <c r="T462" s="1"/>
      <c r="U462" s="1"/>
      <c r="V462" s="1"/>
      <c r="W462" s="1"/>
      <c r="X462" s="1"/>
      <c r="Y462" s="1"/>
      <c r="Z462" s="1"/>
      <c r="AA462" s="1"/>
      <c r="AB462" s="1"/>
      <c r="AC462" s="1"/>
      <c r="AD462" s="1"/>
      <c r="AE462" s="1"/>
      <c r="AF462" s="1"/>
      <c r="AG462" s="1"/>
      <c r="AH462" s="1"/>
      <c r="AI462" s="1"/>
      <c r="AJ462" s="1"/>
      <c r="AK462" s="1"/>
      <c r="AL462" s="1"/>
      <c r="AM462" s="1"/>
      <c r="AN462"/>
      <c r="AO462" s="228"/>
      <c r="AP462" s="189"/>
      <c r="AQ462"/>
      <c r="AR462"/>
      <c r="AS462" s="228"/>
      <c r="AT462" s="139"/>
      <c r="AU462" s="139"/>
      <c r="AV462"/>
      <c r="AW462" s="262"/>
      <c r="AX462"/>
      <c r="AY462"/>
      <c r="AZ462"/>
      <c r="BA462"/>
      <c r="BB462"/>
      <c r="BC462"/>
      <c r="BD462"/>
      <c r="BE462"/>
      <c r="BF462"/>
      <c r="BG462" s="262"/>
      <c r="BI462"/>
      <c r="BJ462" s="262"/>
      <c r="BK462"/>
      <c r="BL462"/>
      <c r="BM462" s="108"/>
      <c r="BN462"/>
      <c r="BO462"/>
      <c r="BP462"/>
      <c r="BQ462"/>
      <c r="BR462" s="262"/>
      <c r="BS462"/>
      <c r="BT462"/>
      <c r="BU462"/>
      <c r="BX462"/>
      <c r="BY462"/>
      <c r="BZ462"/>
      <c r="CA462"/>
      <c r="CB462"/>
      <c r="CC462"/>
      <c r="CD462" s="141"/>
      <c r="CE462"/>
      <c r="CF462"/>
      <c r="CG462"/>
      <c r="CH462"/>
      <c r="CI462"/>
      <c r="CJ462"/>
      <c r="CK462"/>
      <c r="CL462"/>
      <c r="CM462"/>
      <c r="CN462"/>
      <c r="CO462"/>
      <c r="CP462"/>
      <c r="CQ462" s="143"/>
      <c r="CR462" s="143"/>
      <c r="CS462"/>
      <c r="CT462" s="262"/>
      <c r="CU462"/>
      <c r="CV462"/>
      <c r="CW462"/>
      <c r="CX462" s="143"/>
      <c r="CY462" s="143"/>
      <c r="CZ462" s="143"/>
      <c r="DA462" s="143"/>
      <c r="DB462"/>
      <c r="DC462"/>
      <c r="DD462" s="143"/>
      <c r="DE462"/>
      <c r="DF462" s="143"/>
      <c r="DG462"/>
      <c r="DH462"/>
      <c r="DI462"/>
      <c r="DJ462"/>
      <c r="DK462"/>
      <c r="DL462" s="139"/>
      <c r="DM462"/>
      <c r="DN462" s="26"/>
      <c r="DO462" s="26"/>
      <c r="DP462"/>
      <c r="DQ462" s="2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row>
    <row r="463" spans="1:165" s="31" customFormat="1" ht="15.75" customHeight="1">
      <c r="A463" s="1"/>
      <c r="B463" s="1"/>
      <c r="C463" s="1"/>
      <c r="D463" s="1"/>
      <c r="E463" s="1"/>
      <c r="F463" s="1"/>
      <c r="G463" s="1"/>
      <c r="H463" s="1"/>
      <c r="I463" s="1"/>
      <c r="J463" s="1"/>
      <c r="K463" s="1"/>
      <c r="L463" s="1"/>
      <c r="M463" s="1"/>
      <c r="N463" s="1"/>
      <c r="O463" s="1"/>
      <c r="P463"/>
      <c r="Q463" s="130"/>
      <c r="R463" s="1"/>
      <c r="S463" s="1"/>
      <c r="T463" s="1"/>
      <c r="U463" s="1"/>
      <c r="V463" s="1"/>
      <c r="W463" s="1"/>
      <c r="X463" s="1"/>
      <c r="Y463" s="1"/>
      <c r="Z463" s="1"/>
      <c r="AA463" s="1"/>
      <c r="AB463" s="1"/>
      <c r="AC463" s="1"/>
      <c r="AD463" s="1"/>
      <c r="AE463" s="1"/>
      <c r="AF463" s="1"/>
      <c r="AG463" s="1"/>
      <c r="AH463" s="1"/>
      <c r="AI463" s="1"/>
      <c r="AJ463" s="1"/>
      <c r="AK463" s="1"/>
      <c r="AL463" s="1"/>
      <c r="AM463" s="1"/>
      <c r="AN463"/>
      <c r="AO463" s="228"/>
      <c r="AP463" s="189"/>
      <c r="AQ463"/>
      <c r="AR463"/>
      <c r="AS463" s="228"/>
      <c r="AT463" s="139"/>
      <c r="AU463" s="139"/>
      <c r="AV463"/>
      <c r="AW463" s="262"/>
      <c r="AX463"/>
      <c r="AY463"/>
      <c r="AZ463"/>
      <c r="BA463"/>
      <c r="BB463"/>
      <c r="BC463"/>
      <c r="BD463"/>
      <c r="BE463"/>
      <c r="BF463"/>
      <c r="BG463" s="262"/>
      <c r="BI463"/>
      <c r="BJ463" s="262"/>
      <c r="BK463"/>
      <c r="BL463"/>
      <c r="BM463" s="108"/>
      <c r="BN463"/>
      <c r="BO463"/>
      <c r="BP463"/>
      <c r="BQ463"/>
      <c r="BR463" s="262"/>
      <c r="BS463"/>
      <c r="BT463"/>
      <c r="BU463"/>
      <c r="BX463"/>
      <c r="BY463"/>
      <c r="BZ463"/>
      <c r="CA463"/>
      <c r="CB463"/>
      <c r="CC463"/>
      <c r="CD463" s="141"/>
      <c r="CE463"/>
      <c r="CF463"/>
      <c r="CG463"/>
      <c r="CH463"/>
      <c r="CI463"/>
      <c r="CJ463"/>
      <c r="CK463"/>
      <c r="CL463"/>
      <c r="CM463"/>
      <c r="CN463"/>
      <c r="CO463"/>
      <c r="CP463"/>
      <c r="CQ463" s="143"/>
      <c r="CR463" s="143"/>
      <c r="CS463"/>
      <c r="CT463" s="262"/>
      <c r="CU463"/>
      <c r="CV463"/>
      <c r="CW463"/>
      <c r="CX463" s="143"/>
      <c r="CY463" s="143"/>
      <c r="CZ463" s="143"/>
      <c r="DA463" s="143"/>
      <c r="DB463"/>
      <c r="DC463"/>
      <c r="DD463" s="143"/>
      <c r="DE463"/>
      <c r="DF463" s="143"/>
      <c r="DG463"/>
      <c r="DH463"/>
      <c r="DI463"/>
      <c r="DJ463"/>
      <c r="DK463"/>
      <c r="DL463" s="139"/>
      <c r="DM463"/>
      <c r="DN463" s="26"/>
      <c r="DO463" s="26"/>
      <c r="DP463"/>
      <c r="DQ463" s="262"/>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row>
    <row r="464" spans="1:165" s="31" customFormat="1" ht="15.75" customHeight="1">
      <c r="A464" s="1"/>
      <c r="B464" s="1"/>
      <c r="C464" s="1"/>
      <c r="D464" s="1"/>
      <c r="E464" s="1"/>
      <c r="F464" s="1"/>
      <c r="G464" s="1"/>
      <c r="H464" s="1"/>
      <c r="I464" s="1"/>
      <c r="J464" s="1"/>
      <c r="K464" s="1"/>
      <c r="L464" s="1"/>
      <c r="M464" s="1"/>
      <c r="N464" s="1"/>
      <c r="O464" s="1"/>
      <c r="P464"/>
      <c r="Q464" s="130"/>
      <c r="R464" s="1"/>
      <c r="S464" s="1"/>
      <c r="T464" s="1"/>
      <c r="U464" s="1"/>
      <c r="V464" s="1"/>
      <c r="W464" s="1"/>
      <c r="X464" s="1"/>
      <c r="Y464" s="1"/>
      <c r="Z464" s="1"/>
      <c r="AA464" s="1"/>
      <c r="AB464" s="1"/>
      <c r="AC464" s="1"/>
      <c r="AD464" s="1"/>
      <c r="AE464" s="1"/>
      <c r="AF464" s="1"/>
      <c r="AG464" s="1"/>
      <c r="AH464" s="1"/>
      <c r="AI464" s="1"/>
      <c r="AJ464" s="1"/>
      <c r="AK464" s="1"/>
      <c r="AL464" s="1"/>
      <c r="AM464" s="1"/>
      <c r="AN464"/>
      <c r="AO464" s="228"/>
      <c r="AP464" s="189"/>
      <c r="AQ464"/>
      <c r="AR464"/>
      <c r="AS464" s="228"/>
      <c r="AT464" s="139"/>
      <c r="AU464" s="139"/>
      <c r="AV464"/>
      <c r="AW464" s="262"/>
      <c r="AX464"/>
      <c r="AY464"/>
      <c r="AZ464"/>
      <c r="BA464"/>
      <c r="BB464"/>
      <c r="BC464"/>
      <c r="BD464"/>
      <c r="BE464"/>
      <c r="BF464"/>
      <c r="BG464" s="262"/>
      <c r="BI464"/>
      <c r="BJ464" s="262"/>
      <c r="BK464"/>
      <c r="BL464"/>
      <c r="BM464" s="108"/>
      <c r="BN464"/>
      <c r="BO464"/>
      <c r="BP464"/>
      <c r="BQ464"/>
      <c r="BR464" s="262"/>
      <c r="BS464"/>
      <c r="BT464"/>
      <c r="BU464"/>
      <c r="BX464"/>
      <c r="BY464"/>
      <c r="BZ464"/>
      <c r="CA464"/>
      <c r="CB464"/>
      <c r="CC464"/>
      <c r="CD464" s="141"/>
      <c r="CE464"/>
      <c r="CF464"/>
      <c r="CG464"/>
      <c r="CH464"/>
      <c r="CI464"/>
      <c r="CJ464"/>
      <c r="CK464"/>
      <c r="CL464"/>
      <c r="CM464"/>
      <c r="CN464"/>
      <c r="CO464"/>
      <c r="CP464"/>
      <c r="CQ464" s="143"/>
      <c r="CR464" s="143"/>
      <c r="CS464"/>
      <c r="CT464" s="262"/>
      <c r="CU464"/>
      <c r="CV464"/>
      <c r="CW464"/>
      <c r="CX464" s="143"/>
      <c r="CY464" s="143"/>
      <c r="CZ464" s="143"/>
      <c r="DA464" s="143"/>
      <c r="DB464"/>
      <c r="DC464"/>
      <c r="DD464" s="143"/>
      <c r="DE464"/>
      <c r="DF464" s="143"/>
      <c r="DG464"/>
      <c r="DH464"/>
      <c r="DI464"/>
      <c r="DJ464"/>
      <c r="DK464"/>
      <c r="DL464" s="139"/>
      <c r="DM464"/>
      <c r="DN464" s="26"/>
      <c r="DO464" s="26"/>
      <c r="DP464"/>
      <c r="DQ464" s="262"/>
      <c r="DR464"/>
      <c r="DS464"/>
      <c r="DT464"/>
      <c r="DU464"/>
      <c r="DV464"/>
      <c r="DW464"/>
      <c r="DX464"/>
      <c r="DY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row>
    <row r="465" spans="54:165">
      <c r="DZ465" s="31"/>
    </row>
    <row r="466" spans="54:165">
      <c r="DU466" s="31"/>
      <c r="DV466" s="31"/>
      <c r="DW466" s="31"/>
      <c r="DX466" s="31"/>
      <c r="DY466" s="31"/>
      <c r="DZ466" s="31"/>
      <c r="EB466" s="31"/>
      <c r="EC466" s="31"/>
      <c r="ED466" s="31"/>
      <c r="EE466" s="31"/>
      <c r="EF466" s="31"/>
      <c r="EG466" s="31"/>
      <c r="EH466" s="31"/>
      <c r="EI466" s="31"/>
      <c r="EJ466" s="31"/>
      <c r="EK466" s="31"/>
      <c r="EL466" s="31"/>
      <c r="EM466" s="31"/>
      <c r="EN466" s="31"/>
      <c r="EO466" s="31"/>
      <c r="EP466" s="31"/>
      <c r="EQ466" s="31"/>
      <c r="ER466" s="31"/>
      <c r="ES466" s="31"/>
      <c r="ET466" s="31"/>
      <c r="EU466" s="31"/>
      <c r="EV466" s="31"/>
      <c r="EW466" s="31"/>
      <c r="EX466" s="31"/>
      <c r="EY466" s="31"/>
      <c r="EZ466" s="31"/>
      <c r="FA466" s="31"/>
      <c r="FB466" s="31"/>
      <c r="FC466" s="31"/>
      <c r="FD466" s="31"/>
      <c r="FE466" s="31"/>
      <c r="FF466" s="31"/>
      <c r="FG466" s="31"/>
      <c r="FH466" s="31"/>
      <c r="FI466" s="31"/>
    </row>
    <row r="467" spans="54:165">
      <c r="DU467" s="31"/>
      <c r="DV467" s="31"/>
      <c r="DW467" s="31"/>
      <c r="DX467" s="31"/>
      <c r="DY467" s="31"/>
      <c r="DZ467" s="31"/>
      <c r="EA467" s="31"/>
      <c r="EB467" s="31"/>
      <c r="EC467" s="31"/>
      <c r="ED467" s="31"/>
      <c r="EE467" s="31"/>
      <c r="EF467" s="31"/>
      <c r="EG467" s="31"/>
      <c r="EH467" s="31"/>
      <c r="EI467" s="31"/>
      <c r="EJ467" s="31"/>
      <c r="EK467" s="31"/>
      <c r="EL467" s="31"/>
      <c r="EM467" s="31"/>
      <c r="EN467" s="31"/>
      <c r="EO467" s="31"/>
      <c r="EP467" s="31"/>
      <c r="EQ467" s="31"/>
      <c r="ER467" s="31"/>
      <c r="ES467" s="31"/>
      <c r="ET467" s="31"/>
      <c r="EU467" s="31"/>
      <c r="EV467" s="31"/>
      <c r="EW467" s="31"/>
      <c r="EX467" s="31"/>
      <c r="EY467" s="31"/>
      <c r="EZ467" s="31"/>
      <c r="FA467" s="31"/>
      <c r="FB467" s="31"/>
      <c r="FC467" s="31"/>
      <c r="FD467" s="31"/>
      <c r="FE467" s="31"/>
      <c r="FF467" s="31"/>
      <c r="FG467" s="31"/>
      <c r="FH467" s="31"/>
      <c r="FI467" s="31"/>
    </row>
    <row r="468" spans="54:165">
      <c r="DU468" s="31"/>
      <c r="DV468" s="31"/>
      <c r="DW468" s="31"/>
      <c r="DX468" s="31"/>
      <c r="DY468" s="31"/>
      <c r="DZ468" s="31"/>
      <c r="EA468" s="31"/>
      <c r="EB468" s="31"/>
      <c r="EC468" s="31"/>
      <c r="ED468" s="31"/>
      <c r="EE468" s="31"/>
      <c r="EF468" s="31"/>
      <c r="EG468" s="31"/>
      <c r="EH468" s="31"/>
      <c r="EI468" s="31"/>
      <c r="EJ468" s="31"/>
      <c r="EK468" s="31"/>
      <c r="EL468" s="31"/>
      <c r="EM468" s="31"/>
      <c r="EN468" s="31"/>
      <c r="EO468" s="31"/>
      <c r="EP468" s="31"/>
      <c r="EQ468" s="31"/>
      <c r="ER468" s="31"/>
      <c r="ES468" s="31"/>
      <c r="ET468" s="31"/>
      <c r="EU468" s="31"/>
      <c r="EV468" s="31"/>
      <c r="EW468" s="31"/>
      <c r="EX468" s="31"/>
      <c r="EY468" s="31"/>
      <c r="EZ468" s="31"/>
      <c r="FA468" s="31"/>
      <c r="FB468" s="31"/>
      <c r="FC468" s="31"/>
      <c r="FD468" s="31"/>
      <c r="FE468" s="31"/>
      <c r="FF468" s="31"/>
      <c r="FG468" s="31"/>
      <c r="FH468" s="31"/>
      <c r="FI468" s="31"/>
    </row>
    <row r="469" spans="54:165">
      <c r="DU469" s="31"/>
      <c r="DV469" s="31"/>
      <c r="DW469" s="31"/>
      <c r="DX469" s="31"/>
      <c r="DY469" s="31"/>
      <c r="DZ469" s="31"/>
      <c r="EA469" s="31"/>
      <c r="EB469" s="31"/>
      <c r="EC469" s="31"/>
      <c r="ED469" s="31"/>
      <c r="EE469" s="31"/>
      <c r="EF469" s="31"/>
      <c r="EG469" s="31"/>
      <c r="EH469" s="31"/>
      <c r="EI469" s="31"/>
      <c r="EJ469" s="31"/>
      <c r="EK469" s="31"/>
      <c r="EL469" s="31"/>
      <c r="EM469" s="31"/>
      <c r="EN469" s="31"/>
      <c r="EO469" s="31"/>
      <c r="EP469" s="31"/>
      <c r="EQ469" s="31"/>
      <c r="ER469" s="31"/>
      <c r="ES469" s="31"/>
      <c r="ET469" s="31"/>
      <c r="EU469" s="31"/>
      <c r="EV469" s="31"/>
      <c r="EW469" s="31"/>
      <c r="EX469" s="31"/>
      <c r="EY469" s="31"/>
      <c r="EZ469" s="31"/>
      <c r="FA469" s="31"/>
      <c r="FB469" s="31"/>
      <c r="FC469" s="31"/>
      <c r="FD469" s="31"/>
      <c r="FE469" s="31"/>
      <c r="FF469" s="31"/>
      <c r="FG469" s="31"/>
      <c r="FH469" s="31"/>
      <c r="FI469" s="31"/>
    </row>
    <row r="470" spans="54:165">
      <c r="DU470" s="31"/>
      <c r="DV470" s="31"/>
      <c r="DW470" s="31"/>
      <c r="DX470" s="31"/>
      <c r="DY470" s="31"/>
      <c r="DZ470" s="31"/>
      <c r="EA470" s="31"/>
      <c r="EB470" s="31"/>
      <c r="EC470" s="31"/>
      <c r="ED470" s="31"/>
      <c r="EE470" s="31"/>
      <c r="EF470" s="31"/>
      <c r="EG470" s="31"/>
      <c r="EH470" s="31"/>
      <c r="EI470" s="31"/>
      <c r="EJ470" s="31"/>
      <c r="EK470" s="31"/>
      <c r="EL470" s="31"/>
      <c r="EM470" s="31"/>
      <c r="EN470" s="31"/>
      <c r="EO470" s="31"/>
      <c r="EP470" s="31"/>
      <c r="EQ470" s="31"/>
      <c r="ER470" s="31"/>
      <c r="ES470" s="31"/>
      <c r="ET470" s="31"/>
      <c r="EU470" s="31"/>
      <c r="EV470" s="31"/>
      <c r="EW470" s="31"/>
      <c r="EX470" s="31"/>
      <c r="EY470" s="31"/>
      <c r="EZ470" s="31"/>
      <c r="FA470" s="31"/>
      <c r="FB470" s="31"/>
      <c r="FC470" s="31"/>
      <c r="FD470" s="31"/>
      <c r="FE470" s="31"/>
      <c r="FF470" s="31"/>
      <c r="FG470" s="31"/>
      <c r="FH470" s="31"/>
      <c r="FI470" s="31"/>
    </row>
    <row r="471" spans="54:165">
      <c r="DU471" s="31"/>
      <c r="DV471" s="31"/>
      <c r="DW471" s="31"/>
      <c r="DX471" s="31"/>
      <c r="DY471" s="31"/>
      <c r="DZ471" s="31"/>
      <c r="EA471" s="31"/>
      <c r="EB471" s="31"/>
      <c r="EC471" s="31"/>
      <c r="ED471" s="31"/>
      <c r="EE471" s="31"/>
      <c r="EF471" s="31"/>
      <c r="EG471" s="31"/>
      <c r="EH471" s="31"/>
      <c r="EI471" s="31"/>
      <c r="EJ471" s="31"/>
      <c r="EK471" s="31"/>
      <c r="EL471" s="31"/>
      <c r="EM471" s="31"/>
      <c r="EN471" s="31"/>
      <c r="EO471" s="31"/>
      <c r="EP471" s="31"/>
      <c r="EQ471" s="31"/>
      <c r="ER471" s="31"/>
      <c r="ES471" s="31"/>
      <c r="ET471" s="31"/>
      <c r="EU471" s="31"/>
      <c r="EV471" s="31"/>
      <c r="EW471" s="31"/>
      <c r="EX471" s="31"/>
      <c r="EY471" s="31"/>
      <c r="EZ471" s="31"/>
      <c r="FA471" s="31"/>
      <c r="FB471" s="31"/>
      <c r="FC471" s="31"/>
      <c r="FD471" s="31"/>
      <c r="FE471" s="31"/>
      <c r="FF471" s="31"/>
      <c r="FG471" s="31"/>
      <c r="FH471" s="31"/>
      <c r="FI471" s="31"/>
    </row>
    <row r="472" spans="54:165">
      <c r="BB472" s="31"/>
      <c r="BC472" s="31"/>
      <c r="BD472" s="31"/>
      <c r="BE472" s="31"/>
      <c r="BI472" s="31"/>
      <c r="BL472" s="31"/>
      <c r="BN472" s="31"/>
      <c r="BO472" s="31"/>
      <c r="BP472" s="31"/>
      <c r="BT472" s="31"/>
      <c r="BY472" s="31"/>
      <c r="BZ472" s="31"/>
      <c r="CA472" s="31"/>
      <c r="CB472" s="31"/>
      <c r="CC472" s="31"/>
      <c r="CE472" s="31"/>
      <c r="CF472" s="31"/>
      <c r="CG472" s="31"/>
      <c r="CH472" s="31"/>
      <c r="CI472" s="31"/>
      <c r="CJ472" s="31"/>
      <c r="CL472" s="31"/>
      <c r="CN472" s="31"/>
      <c r="DU472" s="31"/>
      <c r="DV472" s="31"/>
      <c r="DW472" s="31"/>
      <c r="DX472" s="31"/>
      <c r="DY472" s="31"/>
      <c r="EA472" s="31"/>
      <c r="EB472" s="31"/>
      <c r="EC472" s="31"/>
      <c r="ED472" s="31"/>
      <c r="EE472" s="31"/>
      <c r="EF472" s="31"/>
      <c r="EG472" s="31"/>
      <c r="EH472" s="31"/>
      <c r="EI472" s="31"/>
      <c r="EJ472" s="31"/>
      <c r="EK472" s="31"/>
      <c r="EL472" s="31"/>
      <c r="EM472" s="31"/>
      <c r="EN472" s="31"/>
      <c r="EO472" s="31"/>
      <c r="EP472" s="31"/>
      <c r="EQ472" s="31"/>
      <c r="ER472" s="31"/>
      <c r="ES472" s="31"/>
      <c r="ET472" s="31"/>
      <c r="EU472" s="31"/>
      <c r="EV472" s="31"/>
      <c r="EW472" s="31"/>
      <c r="EX472" s="31"/>
      <c r="EY472" s="31"/>
      <c r="EZ472" s="31"/>
      <c r="FA472" s="31"/>
      <c r="FB472" s="31"/>
      <c r="FC472" s="31"/>
      <c r="FD472" s="31"/>
      <c r="FE472" s="31"/>
      <c r="FF472" s="31"/>
      <c r="FG472" s="31"/>
      <c r="FH472" s="31"/>
      <c r="FI472" s="31"/>
    </row>
    <row r="473" spans="54:165">
      <c r="BB473" s="31"/>
      <c r="BC473" s="31"/>
      <c r="BD473" s="31"/>
      <c r="BE473" s="31"/>
      <c r="BI473" s="31"/>
      <c r="BL473" s="31"/>
      <c r="BN473" s="31"/>
      <c r="BO473" s="31"/>
      <c r="BP473" s="31"/>
      <c r="BT473" s="31"/>
      <c r="BY473" s="31"/>
      <c r="BZ473" s="31"/>
      <c r="CA473" s="31"/>
      <c r="CB473" s="31"/>
      <c r="CC473" s="31"/>
      <c r="CE473" s="31"/>
      <c r="CF473" s="31"/>
      <c r="CG473" s="31"/>
      <c r="CH473" s="31"/>
      <c r="CI473" s="31"/>
      <c r="CJ473" s="31"/>
      <c r="CL473" s="31"/>
      <c r="CN473" s="31"/>
      <c r="DU473" s="31"/>
      <c r="DV473" s="31"/>
      <c r="DW473" s="31"/>
      <c r="DX473" s="31"/>
      <c r="DY473" s="31"/>
      <c r="EA473" s="31"/>
      <c r="EB473" s="31"/>
      <c r="EC473" s="31"/>
      <c r="ED473" s="31"/>
      <c r="EE473" s="31"/>
      <c r="EF473" s="31"/>
      <c r="EG473" s="31"/>
      <c r="EH473" s="31"/>
      <c r="EI473" s="31"/>
      <c r="EJ473" s="31"/>
      <c r="EK473" s="31"/>
      <c r="EL473" s="31"/>
      <c r="EM473" s="31"/>
      <c r="EN473" s="31"/>
      <c r="EO473" s="31"/>
      <c r="EP473" s="31"/>
      <c r="EQ473" s="31"/>
      <c r="ER473" s="31"/>
      <c r="ES473" s="31"/>
      <c r="ET473" s="31"/>
      <c r="EU473" s="31"/>
      <c r="EV473" s="31"/>
      <c r="EW473" s="31"/>
      <c r="EX473" s="31"/>
      <c r="EY473" s="31"/>
      <c r="EZ473" s="31"/>
      <c r="FA473" s="31"/>
      <c r="FB473" s="31"/>
      <c r="FC473" s="31"/>
      <c r="FD473" s="31"/>
      <c r="FE473" s="31"/>
      <c r="FF473" s="31"/>
      <c r="FG473" s="31"/>
      <c r="FH473" s="31"/>
      <c r="FI473" s="31"/>
    </row>
    <row r="474" spans="54:165">
      <c r="BB474" s="31"/>
      <c r="BC474" s="31"/>
      <c r="BD474" s="31"/>
      <c r="BE474" s="31"/>
      <c r="BI474" s="31"/>
      <c r="BL474" s="31"/>
      <c r="BN474" s="31"/>
      <c r="BO474" s="31"/>
      <c r="BP474" s="31"/>
      <c r="BT474" s="31"/>
      <c r="BY474" s="31"/>
      <c r="BZ474" s="31"/>
      <c r="CA474" s="31"/>
      <c r="CB474" s="31"/>
      <c r="CC474" s="31"/>
      <c r="CE474" s="31"/>
      <c r="CF474" s="31"/>
      <c r="CG474" s="31"/>
      <c r="CH474" s="31"/>
      <c r="CI474" s="31"/>
      <c r="CJ474" s="31"/>
      <c r="CL474" s="31"/>
      <c r="CN474" s="31"/>
      <c r="EA474" s="31"/>
    </row>
    <row r="475" spans="54:165">
      <c r="BB475" s="31"/>
      <c r="BC475" s="31"/>
      <c r="BD475" s="31"/>
      <c r="BE475" s="31"/>
      <c r="BI475" s="31"/>
      <c r="BL475" s="31"/>
      <c r="BN475" s="31"/>
      <c r="BO475" s="31"/>
      <c r="BP475" s="31"/>
      <c r="BT475" s="31"/>
      <c r="BY475" s="31"/>
      <c r="BZ475" s="31"/>
      <c r="CA475" s="31"/>
      <c r="CB475" s="31"/>
      <c r="CC475" s="31"/>
      <c r="CE475" s="31"/>
      <c r="CF475" s="31"/>
      <c r="CG475" s="31"/>
      <c r="CH475" s="31"/>
      <c r="CI475" s="31"/>
      <c r="CJ475" s="31"/>
      <c r="CL475" s="31"/>
      <c r="CN475" s="31"/>
    </row>
    <row r="476" spans="54:165">
      <c r="BB476" s="31"/>
      <c r="BC476" s="31"/>
      <c r="BD476" s="31"/>
      <c r="BE476" s="31"/>
      <c r="BI476" s="31"/>
      <c r="BL476" s="31"/>
      <c r="BN476" s="31"/>
      <c r="BO476" s="31"/>
      <c r="BP476" s="31"/>
      <c r="BT476" s="31"/>
      <c r="BY476" s="31"/>
      <c r="BZ476" s="31"/>
      <c r="CA476" s="31"/>
      <c r="CB476" s="31"/>
      <c r="CC476" s="31"/>
      <c r="CE476" s="31"/>
      <c r="CF476" s="31"/>
      <c r="CG476" s="31"/>
      <c r="CH476" s="31"/>
      <c r="CI476" s="31"/>
      <c r="CJ476" s="31"/>
      <c r="CL476" s="31"/>
      <c r="CN476" s="31"/>
    </row>
    <row r="477" spans="54:165">
      <c r="BB477" s="31"/>
      <c r="BC477" s="31"/>
      <c r="BD477" s="31"/>
      <c r="BE477" s="31"/>
      <c r="BI477" s="31"/>
      <c r="BL477" s="31"/>
      <c r="BN477" s="31"/>
      <c r="BO477" s="31"/>
      <c r="BP477" s="31"/>
      <c r="BT477" s="31"/>
      <c r="BY477" s="31"/>
      <c r="BZ477" s="31"/>
      <c r="CA477" s="31"/>
      <c r="CB477" s="31"/>
      <c r="CC477" s="31"/>
      <c r="CE477" s="31"/>
      <c r="CF477" s="31"/>
      <c r="CG477" s="31"/>
      <c r="CH477" s="31"/>
      <c r="CI477" s="31"/>
      <c r="CJ477" s="31"/>
      <c r="CL477" s="31"/>
      <c r="CN477" s="31"/>
    </row>
    <row r="478" spans="54:165">
      <c r="BB478" s="31"/>
      <c r="BC478" s="31"/>
      <c r="BD478" s="31"/>
      <c r="BE478" s="31"/>
      <c r="BI478" s="31"/>
      <c r="BL478" s="31"/>
      <c r="BN478" s="31"/>
      <c r="BO478" s="31"/>
      <c r="BP478" s="31"/>
      <c r="BT478" s="31"/>
      <c r="BY478" s="31"/>
      <c r="BZ478" s="31"/>
      <c r="CA478" s="31"/>
      <c r="CB478" s="31"/>
      <c r="CC478" s="31"/>
      <c r="CE478" s="31"/>
      <c r="CF478" s="31"/>
      <c r="CG478" s="31"/>
      <c r="CH478" s="31"/>
      <c r="CI478" s="31"/>
      <c r="CJ478" s="31"/>
      <c r="CL478" s="31"/>
      <c r="CN478" s="31"/>
    </row>
    <row r="479" spans="54:165">
      <c r="BB479" s="31"/>
      <c r="BC479" s="31"/>
      <c r="BD479" s="31"/>
      <c r="BE479" s="31"/>
      <c r="BI479" s="31"/>
      <c r="BL479" s="31"/>
      <c r="BN479" s="31"/>
      <c r="BO479" s="31"/>
      <c r="BP479" s="31"/>
      <c r="BT479" s="31"/>
      <c r="BY479" s="31"/>
      <c r="BZ479" s="31"/>
      <c r="CA479" s="31"/>
      <c r="CB479" s="31"/>
      <c r="CC479" s="31"/>
      <c r="CE479" s="31"/>
      <c r="CF479" s="31"/>
      <c r="CG479" s="31"/>
      <c r="CH479" s="31"/>
      <c r="CI479" s="31"/>
      <c r="CJ479" s="31"/>
      <c r="CL479" s="31"/>
      <c r="CN479" s="31"/>
    </row>
    <row r="486" spans="54:165">
      <c r="DX486" s="30"/>
      <c r="DZ486" s="31"/>
    </row>
    <row r="487" spans="54:165">
      <c r="DZ487" s="31"/>
    </row>
    <row r="488" spans="54:165">
      <c r="DU488" s="31"/>
      <c r="DV488" s="31"/>
      <c r="DW488" s="31"/>
      <c r="DX488" s="31"/>
      <c r="DY488" s="31"/>
      <c r="EB488" s="31"/>
      <c r="EC488" s="31"/>
      <c r="ED488" s="31"/>
      <c r="EE488" s="31"/>
      <c r="EF488" s="31"/>
      <c r="EG488" s="31"/>
      <c r="EH488" s="31"/>
      <c r="EI488" s="31"/>
      <c r="EJ488" s="31"/>
      <c r="EK488" s="31"/>
      <c r="EL488" s="31"/>
      <c r="EM488" s="31"/>
      <c r="EN488" s="31"/>
      <c r="EO488" s="31"/>
      <c r="EP488" s="31"/>
      <c r="EQ488" s="31"/>
      <c r="ER488" s="31"/>
      <c r="ES488" s="31"/>
      <c r="ET488" s="31"/>
      <c r="EU488" s="31"/>
      <c r="EV488" s="31"/>
      <c r="EW488" s="31"/>
      <c r="EX488" s="31"/>
      <c r="EY488" s="31"/>
      <c r="EZ488" s="31"/>
      <c r="FA488" s="31"/>
      <c r="FB488" s="31"/>
      <c r="FC488" s="31"/>
      <c r="FD488" s="31"/>
      <c r="FE488" s="31"/>
      <c r="FF488" s="31"/>
      <c r="FG488" s="31"/>
      <c r="FH488" s="31"/>
      <c r="FI488" s="31"/>
    </row>
    <row r="489" spans="54:165">
      <c r="DU489" s="31"/>
      <c r="DV489" s="31"/>
      <c r="DW489" s="31"/>
      <c r="DX489" s="31"/>
      <c r="DY489" s="31"/>
      <c r="EA489" s="31"/>
      <c r="EB489" s="31"/>
      <c r="EC489" s="31"/>
      <c r="ED489" s="31"/>
      <c r="EE489" s="31"/>
      <c r="EF489" s="31"/>
      <c r="EG489" s="31"/>
      <c r="EH489" s="31"/>
      <c r="EI489" s="31"/>
      <c r="EJ489" s="31"/>
      <c r="EK489" s="31"/>
      <c r="EL489" s="31"/>
      <c r="EM489" s="31"/>
      <c r="EN489" s="31"/>
      <c r="EO489" s="31"/>
      <c r="EP489" s="31"/>
      <c r="EQ489" s="31"/>
      <c r="ER489" s="31"/>
      <c r="ES489" s="31"/>
      <c r="ET489" s="31"/>
      <c r="EU489" s="31"/>
      <c r="EV489" s="31"/>
      <c r="EW489" s="31"/>
      <c r="EX489" s="31"/>
      <c r="EY489" s="31"/>
      <c r="EZ489" s="31"/>
      <c r="FA489" s="31"/>
      <c r="FB489" s="31"/>
      <c r="FC489" s="31"/>
      <c r="FD489" s="31"/>
      <c r="FE489" s="31"/>
      <c r="FF489" s="31"/>
      <c r="FG489" s="31"/>
      <c r="FH489" s="31"/>
      <c r="FI489" s="31"/>
    </row>
    <row r="490" spans="54:165">
      <c r="DZ490" s="31"/>
      <c r="EA490" s="31"/>
    </row>
    <row r="491" spans="54:165">
      <c r="DZ491" s="31"/>
    </row>
    <row r="492" spans="54:165">
      <c r="DU492" s="31"/>
      <c r="DV492" s="31"/>
      <c r="DW492" s="31"/>
      <c r="DX492" s="31"/>
      <c r="DY492" s="31"/>
      <c r="EB492" s="31"/>
      <c r="EC492" s="31"/>
      <c r="ED492" s="31"/>
      <c r="EE492" s="31"/>
      <c r="EF492" s="31"/>
      <c r="EG492" s="31"/>
      <c r="EH492" s="31"/>
      <c r="EI492" s="31"/>
      <c r="EJ492" s="31"/>
      <c r="EK492" s="31"/>
      <c r="EL492" s="31"/>
      <c r="EM492" s="31"/>
      <c r="EN492" s="31"/>
      <c r="EO492" s="31"/>
      <c r="EP492" s="31"/>
      <c r="EQ492" s="31"/>
      <c r="ER492" s="31"/>
      <c r="ES492" s="31"/>
      <c r="ET492" s="31"/>
      <c r="EU492" s="31"/>
      <c r="EV492" s="31"/>
      <c r="EW492" s="31"/>
      <c r="EX492" s="31"/>
      <c r="EY492" s="31"/>
      <c r="EZ492" s="31"/>
      <c r="FA492" s="31"/>
      <c r="FB492" s="31"/>
      <c r="FC492" s="31"/>
      <c r="FD492" s="31"/>
      <c r="FE492" s="31"/>
      <c r="FF492" s="31"/>
      <c r="FG492" s="31"/>
      <c r="FH492" s="31"/>
      <c r="FI492" s="31"/>
    </row>
    <row r="493" spans="54:165">
      <c r="DU493" s="31"/>
      <c r="DV493" s="31"/>
      <c r="DW493" s="31"/>
      <c r="DX493" s="31"/>
      <c r="DY493" s="31"/>
      <c r="EA493" s="31"/>
      <c r="EB493" s="31"/>
      <c r="EC493" s="31"/>
      <c r="ED493" s="31"/>
      <c r="EE493" s="31"/>
      <c r="EF493" s="31"/>
      <c r="EG493" s="31"/>
      <c r="EH493" s="31"/>
      <c r="EI493" s="31"/>
      <c r="EJ493" s="31"/>
      <c r="EK493" s="31"/>
      <c r="EL493" s="31"/>
      <c r="EM493" s="31"/>
      <c r="EN493" s="31"/>
      <c r="EO493" s="31"/>
      <c r="EP493" s="31"/>
      <c r="EQ493" s="31"/>
      <c r="ER493" s="31"/>
      <c r="ES493" s="31"/>
      <c r="ET493" s="31"/>
      <c r="EU493" s="31"/>
      <c r="EV493" s="31"/>
      <c r="EW493" s="31"/>
      <c r="EX493" s="31"/>
      <c r="EY493" s="31"/>
      <c r="EZ493" s="31"/>
      <c r="FA493" s="31"/>
      <c r="FB493" s="31"/>
      <c r="FC493" s="31"/>
      <c r="FD493" s="31"/>
      <c r="FE493" s="31"/>
      <c r="FF493" s="31"/>
      <c r="FG493" s="31"/>
      <c r="FH493" s="31"/>
      <c r="FI493" s="31"/>
    </row>
    <row r="494" spans="54:165">
      <c r="BB494" s="31"/>
      <c r="BC494" s="31"/>
      <c r="BD494" s="31"/>
      <c r="BE494" s="31"/>
      <c r="BI494" s="31"/>
      <c r="BL494" s="31"/>
      <c r="BN494" s="31"/>
      <c r="BO494" s="31"/>
      <c r="BP494" s="31"/>
      <c r="BT494" s="31"/>
      <c r="BY494" s="31"/>
      <c r="BZ494" s="31"/>
      <c r="CA494" s="31"/>
      <c r="CB494" s="31"/>
      <c r="CC494" s="31"/>
      <c r="CE494" s="31"/>
      <c r="CF494" s="31"/>
      <c r="CG494" s="31"/>
      <c r="CH494" s="31"/>
      <c r="CI494" s="31"/>
      <c r="CJ494" s="31"/>
      <c r="CL494" s="31"/>
      <c r="CN494" s="31"/>
      <c r="EA494" s="31"/>
    </row>
    <row r="495" spans="54:165">
      <c r="BB495" s="31"/>
      <c r="BC495" s="31"/>
      <c r="BD495" s="31"/>
      <c r="BE495" s="31"/>
      <c r="BI495" s="31"/>
      <c r="BL495" s="31"/>
      <c r="BN495" s="31"/>
      <c r="BO495" s="31"/>
      <c r="BP495" s="31"/>
      <c r="BT495" s="31"/>
      <c r="BY495" s="31"/>
      <c r="BZ495" s="31"/>
      <c r="CA495" s="31"/>
      <c r="CB495" s="31"/>
      <c r="CC495" s="31"/>
      <c r="CE495" s="31"/>
      <c r="CF495" s="31"/>
      <c r="CG495" s="31"/>
      <c r="CH495" s="31"/>
      <c r="CI495" s="31"/>
      <c r="CJ495" s="31"/>
      <c r="CL495" s="31"/>
      <c r="CN495" s="31"/>
    </row>
    <row r="498" spans="54:92">
      <c r="BB498" s="31"/>
      <c r="BC498" s="31"/>
      <c r="BD498" s="31"/>
      <c r="BE498" s="31"/>
      <c r="BI498" s="31"/>
      <c r="BL498" s="31"/>
      <c r="BN498" s="31"/>
      <c r="BO498" s="31"/>
      <c r="BP498" s="31"/>
      <c r="BT498" s="31"/>
      <c r="BY498" s="31"/>
      <c r="BZ498" s="31"/>
      <c r="CA498" s="31"/>
      <c r="CB498" s="31"/>
      <c r="CC498" s="31"/>
      <c r="CE498" s="31"/>
      <c r="CF498" s="31"/>
      <c r="CG498" s="31"/>
      <c r="CH498" s="31"/>
      <c r="CI498" s="31"/>
      <c r="CJ498" s="31"/>
      <c r="CL498" s="31"/>
      <c r="CN498" s="31"/>
    </row>
    <row r="499" spans="54:92">
      <c r="BB499" s="31"/>
      <c r="BC499" s="31"/>
      <c r="BD499" s="31"/>
      <c r="BE499" s="31"/>
      <c r="BI499" s="31"/>
      <c r="BL499" s="31"/>
      <c r="BN499" s="31"/>
      <c r="BO499" s="31"/>
      <c r="BP499" s="31"/>
      <c r="BT499" s="31"/>
      <c r="BY499" s="31"/>
      <c r="BZ499" s="31"/>
      <c r="CA499" s="31"/>
      <c r="CB499" s="31"/>
      <c r="CC499" s="31"/>
      <c r="CE499" s="31"/>
      <c r="CF499" s="31"/>
      <c r="CG499" s="31"/>
      <c r="CH499" s="31"/>
      <c r="CI499" s="31"/>
      <c r="CJ499" s="31"/>
      <c r="CL499" s="31"/>
      <c r="CN499" s="31"/>
    </row>
    <row r="517" spans="54:165">
      <c r="DZ517" s="31"/>
    </row>
    <row r="518" spans="54:165">
      <c r="DZ518" s="31"/>
    </row>
    <row r="519" spans="54:165">
      <c r="DU519" s="31"/>
      <c r="DV519" s="31"/>
      <c r="DW519" s="31"/>
      <c r="DX519" s="31"/>
      <c r="DY519" s="31"/>
      <c r="DZ519" s="31"/>
      <c r="EB519" s="31"/>
      <c r="EC519" s="31"/>
      <c r="ED519" s="31"/>
      <c r="EE519" s="31"/>
      <c r="EF519" s="31"/>
      <c r="EG519" s="31"/>
      <c r="EH519" s="31"/>
      <c r="EI519" s="31"/>
      <c r="EJ519" s="31"/>
      <c r="EK519" s="31"/>
      <c r="EL519" s="31"/>
      <c r="EM519" s="31"/>
      <c r="EN519" s="31"/>
      <c r="EO519" s="31"/>
      <c r="EP519" s="31"/>
      <c r="EQ519" s="31"/>
      <c r="ER519" s="31"/>
      <c r="ES519" s="31"/>
      <c r="ET519" s="31"/>
      <c r="EU519" s="31"/>
      <c r="EV519" s="31"/>
      <c r="EW519" s="31"/>
      <c r="EX519" s="31"/>
      <c r="EY519" s="31"/>
      <c r="EZ519" s="31"/>
      <c r="FA519" s="31"/>
      <c r="FB519" s="31"/>
      <c r="FC519" s="31"/>
      <c r="FD519" s="31"/>
      <c r="FE519" s="31"/>
      <c r="FF519" s="31"/>
      <c r="FG519" s="31"/>
      <c r="FH519" s="31"/>
      <c r="FI519" s="31"/>
    </row>
    <row r="520" spans="54:165">
      <c r="DU520" s="31"/>
      <c r="DV520" s="31"/>
      <c r="DW520" s="31"/>
      <c r="DX520" s="31"/>
      <c r="DY520" s="31"/>
      <c r="DZ520" s="31"/>
      <c r="EA520" s="31"/>
      <c r="EB520" s="31"/>
      <c r="EC520" s="31"/>
      <c r="ED520" s="31"/>
      <c r="EE520" s="31"/>
      <c r="EF520" s="31"/>
      <c r="EG520" s="31"/>
      <c r="EH520" s="31"/>
      <c r="EI520" s="31"/>
      <c r="EJ520" s="31"/>
      <c r="EK520" s="31"/>
      <c r="EL520" s="31"/>
      <c r="EM520" s="31"/>
      <c r="EN520" s="31"/>
      <c r="EO520" s="31"/>
      <c r="EP520" s="31"/>
      <c r="EQ520" s="31"/>
      <c r="ER520" s="31"/>
      <c r="ES520" s="31"/>
      <c r="ET520" s="31"/>
      <c r="EU520" s="31"/>
      <c r="EV520" s="31"/>
      <c r="EW520" s="31"/>
      <c r="EX520" s="31"/>
      <c r="EY520" s="31"/>
      <c r="EZ520" s="31"/>
      <c r="FA520" s="31"/>
      <c r="FB520" s="31"/>
      <c r="FC520" s="31"/>
      <c r="FD520" s="31"/>
      <c r="FE520" s="31"/>
      <c r="FF520" s="31"/>
      <c r="FG520" s="31"/>
      <c r="FH520" s="31"/>
      <c r="FI520" s="31"/>
    </row>
    <row r="521" spans="54:165">
      <c r="DU521" s="31"/>
      <c r="DV521" s="31"/>
      <c r="DW521" s="31"/>
      <c r="DX521" s="31"/>
      <c r="DY521" s="31"/>
      <c r="DZ521" s="31"/>
      <c r="EA521" s="31"/>
      <c r="EB521" s="31"/>
      <c r="EC521" s="31"/>
      <c r="ED521" s="31"/>
      <c r="EE521" s="31"/>
      <c r="EF521" s="31"/>
      <c r="EG521" s="31"/>
      <c r="EH521" s="31"/>
      <c r="EI521" s="31"/>
      <c r="EJ521" s="31"/>
      <c r="EK521" s="31"/>
      <c r="EL521" s="31"/>
      <c r="EM521" s="31"/>
      <c r="EN521" s="31"/>
      <c r="EO521" s="31"/>
      <c r="EP521" s="31"/>
      <c r="EQ521" s="31"/>
      <c r="ER521" s="31"/>
      <c r="ES521" s="31"/>
      <c r="ET521" s="31"/>
      <c r="EU521" s="31"/>
      <c r="EV521" s="31"/>
      <c r="EW521" s="31"/>
      <c r="EX521" s="31"/>
      <c r="EY521" s="31"/>
      <c r="EZ521" s="31"/>
      <c r="FA521" s="31"/>
      <c r="FB521" s="31"/>
      <c r="FC521" s="31"/>
      <c r="FD521" s="31"/>
      <c r="FE521" s="31"/>
      <c r="FF521" s="31"/>
      <c r="FG521" s="31"/>
      <c r="FH521" s="31"/>
      <c r="FI521" s="31"/>
    </row>
    <row r="522" spans="54:165">
      <c r="DU522" s="31"/>
      <c r="DV522" s="31"/>
      <c r="DW522" s="31"/>
      <c r="DX522" s="31"/>
      <c r="DY522" s="31"/>
      <c r="DZ522" s="31"/>
      <c r="EA522" s="31"/>
      <c r="EB522" s="31"/>
      <c r="EC522" s="31"/>
      <c r="ED522" s="31"/>
      <c r="EE522" s="31"/>
      <c r="EF522" s="31"/>
      <c r="EG522" s="31"/>
      <c r="EH522" s="31"/>
      <c r="EI522" s="31"/>
      <c r="EJ522" s="31"/>
      <c r="EK522" s="31"/>
      <c r="EL522" s="31"/>
      <c r="EM522" s="31"/>
      <c r="EN522" s="31"/>
      <c r="EO522" s="31"/>
      <c r="EP522" s="31"/>
      <c r="EQ522" s="31"/>
      <c r="ER522" s="31"/>
      <c r="ES522" s="31"/>
      <c r="ET522" s="31"/>
      <c r="EU522" s="31"/>
      <c r="EV522" s="31"/>
      <c r="EW522" s="31"/>
      <c r="EX522" s="31"/>
      <c r="EY522" s="31"/>
      <c r="EZ522" s="31"/>
      <c r="FA522" s="31"/>
      <c r="FB522" s="31"/>
      <c r="FC522" s="31"/>
      <c r="FD522" s="31"/>
      <c r="FE522" s="31"/>
      <c r="FF522" s="31"/>
      <c r="FG522" s="31"/>
      <c r="FH522" s="31"/>
      <c r="FI522" s="31"/>
    </row>
    <row r="523" spans="54:165">
      <c r="DU523" s="31"/>
      <c r="DV523" s="31"/>
      <c r="DW523" s="31"/>
      <c r="DX523" s="31"/>
      <c r="DY523" s="31"/>
      <c r="DZ523" s="31"/>
      <c r="EA523" s="31"/>
      <c r="EB523" s="31"/>
      <c r="EC523" s="31"/>
      <c r="ED523" s="31"/>
      <c r="EE523" s="31"/>
      <c r="EF523" s="31"/>
      <c r="EG523" s="31"/>
      <c r="EH523" s="31"/>
      <c r="EI523" s="31"/>
      <c r="EJ523" s="31"/>
      <c r="EK523" s="31"/>
      <c r="EL523" s="31"/>
      <c r="EM523" s="31"/>
      <c r="EN523" s="31"/>
      <c r="EO523" s="31"/>
      <c r="EP523" s="31"/>
      <c r="EQ523" s="31"/>
      <c r="ER523" s="31"/>
      <c r="ES523" s="31"/>
      <c r="ET523" s="31"/>
      <c r="EU523" s="31"/>
      <c r="EV523" s="31"/>
      <c r="EW523" s="31"/>
      <c r="EX523" s="31"/>
      <c r="EY523" s="31"/>
      <c r="EZ523" s="31"/>
      <c r="FA523" s="31"/>
      <c r="FB523" s="31"/>
      <c r="FC523" s="31"/>
      <c r="FD523" s="31"/>
      <c r="FE523" s="31"/>
      <c r="FF523" s="31"/>
      <c r="FG523" s="31"/>
      <c r="FH523" s="31"/>
      <c r="FI523" s="31"/>
    </row>
    <row r="524" spans="54:165">
      <c r="DU524" s="31"/>
      <c r="DV524" s="31"/>
      <c r="DW524" s="31"/>
      <c r="DX524" s="31"/>
      <c r="DY524" s="31"/>
      <c r="DZ524" s="31"/>
      <c r="EA524" s="31"/>
      <c r="EB524" s="31"/>
      <c r="EC524" s="31"/>
      <c r="ED524" s="31"/>
      <c r="EE524" s="31"/>
      <c r="EF524" s="31"/>
      <c r="EG524" s="31"/>
      <c r="EH524" s="31"/>
      <c r="EI524" s="31"/>
      <c r="EJ524" s="31"/>
      <c r="EK524" s="31"/>
      <c r="EL524" s="31"/>
      <c r="EM524" s="31"/>
      <c r="EN524" s="31"/>
      <c r="EO524" s="31"/>
      <c r="EP524" s="31"/>
      <c r="EQ524" s="31"/>
      <c r="ER524" s="31"/>
      <c r="ES524" s="31"/>
      <c r="ET524" s="31"/>
      <c r="EU524" s="31"/>
      <c r="EV524" s="31"/>
      <c r="EW524" s="31"/>
      <c r="EX524" s="31"/>
      <c r="EY524" s="31"/>
      <c r="EZ524" s="31"/>
      <c r="FA524" s="31"/>
      <c r="FB524" s="31"/>
      <c r="FC524" s="31"/>
      <c r="FD524" s="31"/>
      <c r="FE524" s="31"/>
      <c r="FF524" s="31"/>
      <c r="FG524" s="31"/>
      <c r="FH524" s="31"/>
      <c r="FI524" s="31"/>
    </row>
    <row r="525" spans="54:165">
      <c r="BB525" s="31"/>
      <c r="BC525" s="31"/>
      <c r="BD525" s="31"/>
      <c r="BE525" s="31"/>
      <c r="BI525" s="31"/>
      <c r="BL525" s="31"/>
      <c r="BN525" s="31"/>
      <c r="BO525" s="31"/>
      <c r="BP525" s="31"/>
      <c r="BT525" s="31"/>
      <c r="BY525" s="31"/>
      <c r="BZ525" s="31"/>
      <c r="CA525" s="31"/>
      <c r="CB525" s="31"/>
      <c r="CC525" s="31"/>
      <c r="CE525" s="31"/>
      <c r="CF525" s="31"/>
      <c r="CG525" s="31"/>
      <c r="CH525" s="31"/>
      <c r="CI525" s="31"/>
      <c r="CJ525" s="31"/>
      <c r="CL525" s="31"/>
      <c r="CN525" s="31"/>
      <c r="DU525" s="31"/>
      <c r="DV525" s="31"/>
      <c r="DW525" s="31"/>
      <c r="DX525" s="31"/>
      <c r="DY525" s="31"/>
      <c r="DZ525" s="31"/>
      <c r="EA525" s="31"/>
      <c r="EB525" s="31"/>
      <c r="EC525" s="31"/>
      <c r="ED525" s="31"/>
      <c r="EE525" s="31"/>
      <c r="EF525" s="31"/>
      <c r="EG525" s="31"/>
      <c r="EH525" s="31"/>
      <c r="EI525" s="31"/>
      <c r="EJ525" s="31"/>
      <c r="EK525" s="31"/>
      <c r="EL525" s="31"/>
      <c r="EM525" s="31"/>
      <c r="EN525" s="31"/>
      <c r="EO525" s="31"/>
      <c r="EP525" s="31"/>
      <c r="EQ525" s="31"/>
      <c r="ER525" s="31"/>
      <c r="ES525" s="31"/>
      <c r="ET525" s="31"/>
      <c r="EU525" s="31"/>
      <c r="EV525" s="31"/>
      <c r="EW525" s="31"/>
      <c r="EX525" s="31"/>
      <c r="EY525" s="31"/>
      <c r="EZ525" s="31"/>
      <c r="FA525" s="31"/>
      <c r="FB525" s="31"/>
      <c r="FC525" s="31"/>
      <c r="FD525" s="31"/>
      <c r="FE525" s="31"/>
      <c r="FF525" s="31"/>
      <c r="FG525" s="31"/>
      <c r="FH525" s="31"/>
      <c r="FI525" s="31"/>
    </row>
    <row r="526" spans="54:165">
      <c r="BB526" s="31"/>
      <c r="BC526" s="31"/>
      <c r="BD526" s="31"/>
      <c r="BE526" s="31"/>
      <c r="BI526" s="31"/>
      <c r="BL526" s="31"/>
      <c r="BN526" s="31"/>
      <c r="BO526" s="31"/>
      <c r="BP526" s="31"/>
      <c r="BT526" s="31"/>
      <c r="BY526" s="31"/>
      <c r="BZ526" s="31"/>
      <c r="CA526" s="31"/>
      <c r="CB526" s="31"/>
      <c r="CC526" s="31"/>
      <c r="CE526" s="31"/>
      <c r="CF526" s="31"/>
      <c r="CG526" s="31"/>
      <c r="CH526" s="31"/>
      <c r="CI526" s="31"/>
      <c r="CJ526" s="31"/>
      <c r="CL526" s="31"/>
      <c r="CN526" s="31"/>
      <c r="DU526" s="31"/>
      <c r="DV526" s="31"/>
      <c r="DW526" s="31"/>
      <c r="DX526" s="31"/>
      <c r="DY526" s="31"/>
      <c r="DZ526" s="31"/>
      <c r="EA526" s="31"/>
      <c r="EB526" s="31"/>
      <c r="EC526" s="31"/>
      <c r="ED526" s="31"/>
      <c r="EE526" s="31"/>
      <c r="EF526" s="31"/>
      <c r="EG526" s="31"/>
      <c r="EH526" s="31"/>
      <c r="EI526" s="31"/>
      <c r="EJ526" s="31"/>
      <c r="EK526" s="31"/>
      <c r="EL526" s="31"/>
      <c r="EM526" s="31"/>
      <c r="EN526" s="31"/>
      <c r="EO526" s="31"/>
      <c r="EP526" s="31"/>
      <c r="EQ526" s="31"/>
      <c r="ER526" s="31"/>
      <c r="ES526" s="31"/>
      <c r="ET526" s="31"/>
      <c r="EU526" s="31"/>
      <c r="EV526" s="31"/>
      <c r="EW526" s="31"/>
      <c r="EX526" s="31"/>
      <c r="EY526" s="31"/>
      <c r="EZ526" s="31"/>
      <c r="FA526" s="31"/>
      <c r="FB526" s="31"/>
      <c r="FC526" s="31"/>
      <c r="FD526" s="31"/>
      <c r="FE526" s="31"/>
      <c r="FF526" s="31"/>
      <c r="FG526" s="31"/>
      <c r="FH526" s="31"/>
      <c r="FI526" s="31"/>
    </row>
    <row r="527" spans="54:165">
      <c r="BB527" s="31"/>
      <c r="BC527" s="31"/>
      <c r="BD527" s="31"/>
      <c r="BE527" s="31"/>
      <c r="BI527" s="31"/>
      <c r="BL527" s="31"/>
      <c r="BN527" s="31"/>
      <c r="BO527" s="31"/>
      <c r="BP527" s="31"/>
      <c r="BT527" s="31"/>
      <c r="BY527" s="31"/>
      <c r="BZ527" s="31"/>
      <c r="CA527" s="31"/>
      <c r="CB527" s="31"/>
      <c r="CC527" s="31"/>
      <c r="CE527" s="31"/>
      <c r="CF527" s="31"/>
      <c r="CG527" s="31"/>
      <c r="CH527" s="31"/>
      <c r="CI527" s="31"/>
      <c r="CJ527" s="31"/>
      <c r="CL527" s="31"/>
      <c r="CN527" s="31"/>
      <c r="DU527" s="31"/>
      <c r="DV527" s="31"/>
      <c r="DW527" s="31"/>
      <c r="DX527" s="31"/>
      <c r="DY527" s="31"/>
      <c r="DZ527" s="31"/>
      <c r="EA527" s="31"/>
      <c r="EB527" s="31"/>
      <c r="EC527" s="31"/>
      <c r="ED527" s="31"/>
      <c r="EE527" s="31"/>
      <c r="EF527" s="31"/>
      <c r="EG527" s="31"/>
      <c r="EH527" s="31"/>
      <c r="EI527" s="31"/>
      <c r="EJ527" s="31"/>
      <c r="EK527" s="31"/>
      <c r="EL527" s="31"/>
      <c r="EM527" s="31"/>
      <c r="EN527" s="31"/>
      <c r="EO527" s="31"/>
      <c r="EP527" s="31"/>
      <c r="EQ527" s="31"/>
      <c r="ER527" s="31"/>
      <c r="ES527" s="31"/>
      <c r="ET527" s="31"/>
      <c r="EU527" s="31"/>
      <c r="EV527" s="31"/>
      <c r="EW527" s="31"/>
      <c r="EX527" s="31"/>
      <c r="EY527" s="31"/>
      <c r="EZ527" s="31"/>
      <c r="FA527" s="31"/>
      <c r="FB527" s="31"/>
      <c r="FC527" s="31"/>
      <c r="FD527" s="31"/>
      <c r="FE527" s="31"/>
      <c r="FF527" s="31"/>
      <c r="FG527" s="31"/>
      <c r="FH527" s="31"/>
      <c r="FI527" s="31"/>
    </row>
    <row r="528" spans="54:165">
      <c r="BB528" s="31"/>
      <c r="BC528" s="31"/>
      <c r="BD528" s="31"/>
      <c r="BE528" s="31"/>
      <c r="BI528" s="31"/>
      <c r="BL528" s="31"/>
      <c r="BN528" s="31"/>
      <c r="BO528" s="31"/>
      <c r="BP528" s="31"/>
      <c r="BT528" s="31"/>
      <c r="BY528" s="31"/>
      <c r="BZ528" s="31"/>
      <c r="CA528" s="31"/>
      <c r="CB528" s="31"/>
      <c r="CC528" s="31"/>
      <c r="CE528" s="31"/>
      <c r="CF528" s="31"/>
      <c r="CG528" s="31"/>
      <c r="CH528" s="31"/>
      <c r="CI528" s="31"/>
      <c r="CJ528" s="31"/>
      <c r="CL528" s="31"/>
      <c r="CN528" s="31"/>
      <c r="DU528" s="31"/>
      <c r="DV528" s="31"/>
      <c r="DW528" s="31"/>
      <c r="DX528" s="31"/>
      <c r="DY528" s="31"/>
      <c r="DZ528" s="31"/>
      <c r="EA528" s="31"/>
      <c r="EB528" s="31"/>
      <c r="EC528" s="31"/>
      <c r="ED528" s="31"/>
      <c r="EE528" s="31"/>
      <c r="EF528" s="31"/>
      <c r="EG528" s="31"/>
      <c r="EH528" s="31"/>
      <c r="EI528" s="31"/>
      <c r="EJ528" s="31"/>
      <c r="EK528" s="31"/>
      <c r="EL528" s="31"/>
      <c r="EM528" s="31"/>
      <c r="EN528" s="31"/>
      <c r="EO528" s="31"/>
      <c r="EP528" s="31"/>
      <c r="EQ528" s="31"/>
      <c r="ER528" s="31"/>
      <c r="ES528" s="31"/>
      <c r="ET528" s="31"/>
      <c r="EU528" s="31"/>
      <c r="EV528" s="31"/>
      <c r="EW528" s="31"/>
      <c r="EX528" s="31"/>
      <c r="EY528" s="31"/>
      <c r="EZ528" s="31"/>
      <c r="FA528" s="31"/>
      <c r="FB528" s="31"/>
      <c r="FC528" s="31"/>
      <c r="FD528" s="31"/>
      <c r="FE528" s="31"/>
      <c r="FF528" s="31"/>
      <c r="FG528" s="31"/>
      <c r="FH528" s="31"/>
      <c r="FI528" s="31"/>
    </row>
    <row r="529" spans="54:165">
      <c r="BB529" s="31"/>
      <c r="BC529" s="31"/>
      <c r="BD529" s="31"/>
      <c r="BE529" s="31"/>
      <c r="BI529" s="31"/>
      <c r="BL529" s="31"/>
      <c r="BN529" s="31"/>
      <c r="BO529" s="31"/>
      <c r="BP529" s="31"/>
      <c r="BT529" s="31"/>
      <c r="BY529" s="31"/>
      <c r="BZ529" s="31"/>
      <c r="CA529" s="31"/>
      <c r="CB529" s="31"/>
      <c r="CC529" s="31"/>
      <c r="CE529" s="31"/>
      <c r="CF529" s="31"/>
      <c r="CG529" s="31"/>
      <c r="CH529" s="31"/>
      <c r="CI529" s="31"/>
      <c r="CJ529" s="31"/>
      <c r="CL529" s="31"/>
      <c r="CN529" s="31"/>
      <c r="DU529" s="31"/>
      <c r="DV529" s="31"/>
      <c r="DW529" s="31"/>
      <c r="DX529" s="31"/>
      <c r="DY529" s="31"/>
      <c r="DZ529" s="31"/>
      <c r="EA529" s="31"/>
      <c r="EB529" s="31"/>
      <c r="EC529" s="31"/>
      <c r="ED529" s="31"/>
      <c r="EE529" s="31"/>
      <c r="EF529" s="31"/>
      <c r="EG529" s="31"/>
      <c r="EH529" s="31"/>
      <c r="EI529" s="31"/>
      <c r="EJ529" s="31"/>
      <c r="EK529" s="31"/>
      <c r="EL529" s="31"/>
      <c r="EM529" s="31"/>
      <c r="EN529" s="31"/>
      <c r="EO529" s="31"/>
      <c r="EP529" s="31"/>
      <c r="EQ529" s="31"/>
      <c r="ER529" s="31"/>
      <c r="ES529" s="31"/>
      <c r="ET529" s="31"/>
      <c r="EU529" s="31"/>
      <c r="EV529" s="31"/>
      <c r="EW529" s="31"/>
      <c r="EX529" s="31"/>
      <c r="EY529" s="31"/>
      <c r="EZ529" s="31"/>
      <c r="FA529" s="31"/>
      <c r="FB529" s="31"/>
      <c r="FC529" s="31"/>
      <c r="FD529" s="31"/>
      <c r="FE529" s="31"/>
      <c r="FF529" s="31"/>
      <c r="FG529" s="31"/>
      <c r="FH529" s="31"/>
      <c r="FI529" s="31"/>
    </row>
    <row r="530" spans="54:165">
      <c r="BB530" s="31"/>
      <c r="BC530" s="31"/>
      <c r="BD530" s="31"/>
      <c r="BE530" s="31"/>
      <c r="BI530" s="31"/>
      <c r="BL530" s="31"/>
      <c r="BN530" s="31"/>
      <c r="BO530" s="31"/>
      <c r="BP530" s="31"/>
      <c r="BT530" s="31"/>
      <c r="BY530" s="31"/>
      <c r="BZ530" s="31"/>
      <c r="CA530" s="31"/>
      <c r="CB530" s="31"/>
      <c r="CC530" s="31"/>
      <c r="CE530" s="31"/>
      <c r="CF530" s="31"/>
      <c r="CG530" s="31"/>
      <c r="CH530" s="31"/>
      <c r="CI530" s="31"/>
      <c r="CJ530" s="31"/>
      <c r="CL530" s="31"/>
      <c r="CN530" s="31"/>
      <c r="DU530" s="31"/>
      <c r="DV530" s="31"/>
      <c r="DW530" s="31"/>
      <c r="DX530" s="31"/>
      <c r="DY530" s="31"/>
      <c r="DZ530" s="31"/>
      <c r="EA530" s="31"/>
      <c r="EB530" s="31"/>
      <c r="EC530" s="31"/>
      <c r="ED530" s="31"/>
      <c r="EE530" s="31"/>
      <c r="EF530" s="31"/>
      <c r="EG530" s="31"/>
      <c r="EH530" s="31"/>
      <c r="EI530" s="31"/>
      <c r="EJ530" s="31"/>
      <c r="EK530" s="31"/>
      <c r="EL530" s="31"/>
      <c r="EM530" s="31"/>
      <c r="EN530" s="31"/>
      <c r="EO530" s="31"/>
      <c r="EP530" s="31"/>
      <c r="EQ530" s="31"/>
      <c r="ER530" s="31"/>
      <c r="ES530" s="31"/>
      <c r="ET530" s="31"/>
      <c r="EU530" s="31"/>
      <c r="EV530" s="31"/>
      <c r="EW530" s="31"/>
      <c r="EX530" s="31"/>
      <c r="EY530" s="31"/>
      <c r="EZ530" s="31"/>
      <c r="FA530" s="31"/>
      <c r="FB530" s="31"/>
      <c r="FC530" s="31"/>
      <c r="FD530" s="31"/>
      <c r="FE530" s="31"/>
      <c r="FF530" s="31"/>
      <c r="FG530" s="31"/>
      <c r="FH530" s="31"/>
      <c r="FI530" s="31"/>
    </row>
    <row r="531" spans="54:165">
      <c r="BB531" s="31"/>
      <c r="BC531" s="31"/>
      <c r="BD531" s="31"/>
      <c r="BE531" s="31"/>
      <c r="BI531" s="31"/>
      <c r="BL531" s="31"/>
      <c r="BN531" s="31"/>
      <c r="BO531" s="31"/>
      <c r="BP531" s="31"/>
      <c r="BT531" s="31"/>
      <c r="BY531" s="31"/>
      <c r="BZ531" s="31"/>
      <c r="CA531" s="31"/>
      <c r="CB531" s="31"/>
      <c r="CC531" s="31"/>
      <c r="CE531" s="31"/>
      <c r="CF531" s="31"/>
      <c r="CG531" s="31"/>
      <c r="CH531" s="31"/>
      <c r="CI531" s="31"/>
      <c r="CJ531" s="31"/>
      <c r="CL531" s="31"/>
      <c r="CN531" s="31"/>
      <c r="DU531" s="31"/>
      <c r="DV531" s="31"/>
      <c r="DW531" s="31"/>
      <c r="DX531" s="31"/>
      <c r="DY531" s="31"/>
      <c r="DZ531" s="31"/>
      <c r="EA531" s="31"/>
      <c r="EB531" s="31"/>
      <c r="EC531" s="31"/>
      <c r="ED531" s="31"/>
      <c r="EE531" s="31"/>
      <c r="EF531" s="31"/>
      <c r="EG531" s="31"/>
      <c r="EH531" s="31"/>
      <c r="EI531" s="31"/>
      <c r="EJ531" s="31"/>
      <c r="EK531" s="31"/>
      <c r="EL531" s="31"/>
      <c r="EM531" s="31"/>
      <c r="EN531" s="31"/>
      <c r="EO531" s="31"/>
      <c r="EP531" s="31"/>
      <c r="EQ531" s="31"/>
      <c r="ER531" s="31"/>
      <c r="ES531" s="31"/>
      <c r="ET531" s="31"/>
      <c r="EU531" s="31"/>
      <c r="EV531" s="31"/>
      <c r="EW531" s="31"/>
      <c r="EX531" s="31"/>
      <c r="EY531" s="31"/>
      <c r="EZ531" s="31"/>
      <c r="FA531" s="31"/>
      <c r="FB531" s="31"/>
      <c r="FC531" s="31"/>
      <c r="FD531" s="31"/>
      <c r="FE531" s="31"/>
      <c r="FF531" s="31"/>
      <c r="FG531" s="31"/>
      <c r="FH531" s="31"/>
      <c r="FI531" s="31"/>
    </row>
    <row r="532" spans="54:165">
      <c r="BB532" s="31"/>
      <c r="BC532" s="31"/>
      <c r="BD532" s="31"/>
      <c r="BE532" s="31"/>
      <c r="BI532" s="31"/>
      <c r="BL532" s="31"/>
      <c r="BN532" s="31"/>
      <c r="BO532" s="31"/>
      <c r="BP532" s="31"/>
      <c r="BT532" s="31"/>
      <c r="BY532" s="31"/>
      <c r="BZ532" s="31"/>
      <c r="CA532" s="31"/>
      <c r="CB532" s="31"/>
      <c r="CC532" s="31"/>
      <c r="CE532" s="31"/>
      <c r="CF532" s="31"/>
      <c r="CG532" s="31"/>
      <c r="CH532" s="31"/>
      <c r="CI532" s="31"/>
      <c r="CJ532" s="31"/>
      <c r="CL532" s="31"/>
      <c r="CN532" s="31"/>
      <c r="DU532" s="31"/>
      <c r="DV532" s="31"/>
      <c r="DW532" s="31"/>
      <c r="DX532" s="31"/>
      <c r="DY532" s="31"/>
      <c r="DZ532" s="31"/>
      <c r="EA532" s="31"/>
      <c r="EB532" s="31"/>
      <c r="EC532" s="31"/>
      <c r="ED532" s="31"/>
      <c r="EE532" s="31"/>
      <c r="EF532" s="31"/>
      <c r="EG532" s="31"/>
      <c r="EH532" s="31"/>
      <c r="EI532" s="31"/>
      <c r="EJ532" s="31"/>
      <c r="EK532" s="31"/>
      <c r="EL532" s="31"/>
      <c r="EM532" s="31"/>
      <c r="EN532" s="31"/>
      <c r="EO532" s="31"/>
      <c r="EP532" s="31"/>
      <c r="EQ532" s="31"/>
      <c r="ER532" s="31"/>
      <c r="ES532" s="31"/>
      <c r="ET532" s="31"/>
      <c r="EU532" s="31"/>
      <c r="EV532" s="31"/>
      <c r="EW532" s="31"/>
      <c r="EX532" s="31"/>
      <c r="EY532" s="31"/>
      <c r="EZ532" s="31"/>
      <c r="FA532" s="31"/>
      <c r="FB532" s="31"/>
      <c r="FC532" s="31"/>
      <c r="FD532" s="31"/>
      <c r="FE532" s="31"/>
      <c r="FF532" s="31"/>
      <c r="FG532" s="31"/>
      <c r="FH532" s="31"/>
      <c r="FI532" s="31"/>
    </row>
    <row r="533" spans="54:165">
      <c r="BB533" s="31"/>
      <c r="BC533" s="31"/>
      <c r="BD533" s="31"/>
      <c r="BE533" s="31"/>
      <c r="BI533" s="31"/>
      <c r="BL533" s="31"/>
      <c r="BN533" s="31"/>
      <c r="BO533" s="31"/>
      <c r="BP533" s="31"/>
      <c r="BT533" s="31"/>
      <c r="BY533" s="31"/>
      <c r="BZ533" s="31"/>
      <c r="CA533" s="31"/>
      <c r="CB533" s="31"/>
      <c r="CC533" s="31"/>
      <c r="CE533" s="31"/>
      <c r="CF533" s="31"/>
      <c r="CG533" s="31"/>
      <c r="CH533" s="31"/>
      <c r="CI533" s="31"/>
      <c r="CJ533" s="31"/>
      <c r="CL533" s="31"/>
      <c r="CN533" s="31"/>
      <c r="DU533" s="31"/>
      <c r="DV533" s="31"/>
      <c r="DW533" s="31"/>
      <c r="DX533" s="31"/>
      <c r="DY533" s="31"/>
      <c r="DZ533" s="31"/>
      <c r="EA533" s="31"/>
      <c r="EB533" s="31"/>
      <c r="EC533" s="31"/>
      <c r="ED533" s="31"/>
      <c r="EE533" s="31"/>
      <c r="EF533" s="31"/>
      <c r="EG533" s="31"/>
      <c r="EH533" s="31"/>
      <c r="EI533" s="31"/>
      <c r="EJ533" s="31"/>
      <c r="EK533" s="31"/>
      <c r="EL533" s="31"/>
      <c r="EM533" s="31"/>
      <c r="EN533" s="31"/>
      <c r="EO533" s="31"/>
      <c r="EP533" s="31"/>
      <c r="EQ533" s="31"/>
      <c r="ER533" s="31"/>
      <c r="ES533" s="31"/>
      <c r="ET533" s="31"/>
      <c r="EU533" s="31"/>
      <c r="EV533" s="31"/>
      <c r="EW533" s="31"/>
      <c r="EX533" s="31"/>
      <c r="EY533" s="31"/>
      <c r="EZ533" s="31"/>
      <c r="FA533" s="31"/>
      <c r="FB533" s="31"/>
      <c r="FC533" s="31"/>
      <c r="FD533" s="31"/>
      <c r="FE533" s="31"/>
      <c r="FF533" s="31"/>
      <c r="FG533" s="31"/>
      <c r="FH533" s="31"/>
      <c r="FI533" s="31"/>
    </row>
    <row r="534" spans="54:165">
      <c r="BB534" s="31"/>
      <c r="BC534" s="31"/>
      <c r="BD534" s="31"/>
      <c r="BE534" s="31"/>
      <c r="BI534" s="31"/>
      <c r="BL534" s="31"/>
      <c r="BN534" s="31"/>
      <c r="BO534" s="31"/>
      <c r="BP534" s="31"/>
      <c r="BT534" s="31"/>
      <c r="BY534" s="31"/>
      <c r="BZ534" s="31"/>
      <c r="CA534" s="31"/>
      <c r="CB534" s="31"/>
      <c r="CC534" s="31"/>
      <c r="CE534" s="31"/>
      <c r="CF534" s="31"/>
      <c r="CG534" s="31"/>
      <c r="CH534" s="31"/>
      <c r="CI534" s="31"/>
      <c r="CJ534" s="31"/>
      <c r="CL534" s="31"/>
      <c r="CN534" s="31"/>
      <c r="DU534" s="31"/>
      <c r="DV534" s="31"/>
      <c r="DW534" s="31"/>
      <c r="DX534" s="31"/>
      <c r="DY534" s="31"/>
      <c r="DZ534" s="31"/>
      <c r="EA534" s="31"/>
      <c r="EB534" s="31"/>
      <c r="EC534" s="31"/>
      <c r="ED534" s="31"/>
      <c r="EE534" s="31"/>
      <c r="EF534" s="31"/>
      <c r="EG534" s="31"/>
      <c r="EH534" s="31"/>
      <c r="EI534" s="31"/>
      <c r="EJ534" s="31"/>
      <c r="EK534" s="31"/>
      <c r="EL534" s="31"/>
      <c r="EM534" s="31"/>
      <c r="EN534" s="31"/>
      <c r="EO534" s="31"/>
      <c r="EP534" s="31"/>
      <c r="EQ534" s="31"/>
      <c r="ER534" s="31"/>
      <c r="ES534" s="31"/>
      <c r="ET534" s="31"/>
      <c r="EU534" s="31"/>
      <c r="EV534" s="31"/>
      <c r="EW534" s="31"/>
      <c r="EX534" s="31"/>
      <c r="EY534" s="31"/>
      <c r="EZ534" s="31"/>
      <c r="FA534" s="31"/>
      <c r="FB534" s="31"/>
      <c r="FC534" s="31"/>
      <c r="FD534" s="31"/>
      <c r="FE534" s="31"/>
      <c r="FF534" s="31"/>
      <c r="FG534" s="31"/>
      <c r="FH534" s="31"/>
      <c r="FI534" s="31"/>
    </row>
    <row r="535" spans="54:165">
      <c r="BB535" s="31"/>
      <c r="BC535" s="31"/>
      <c r="BD535" s="31"/>
      <c r="BE535" s="31"/>
      <c r="BI535" s="31"/>
      <c r="BL535" s="31"/>
      <c r="BN535" s="31"/>
      <c r="BO535" s="31"/>
      <c r="BP535" s="31"/>
      <c r="BT535" s="31"/>
      <c r="BY535" s="31"/>
      <c r="BZ535" s="31"/>
      <c r="CA535" s="31"/>
      <c r="CB535" s="31"/>
      <c r="CC535" s="31"/>
      <c r="CE535" s="31"/>
      <c r="CF535" s="31"/>
      <c r="CG535" s="31"/>
      <c r="CH535" s="31"/>
      <c r="CI535" s="31"/>
      <c r="CJ535" s="31"/>
      <c r="CL535" s="31"/>
      <c r="CN535" s="31"/>
      <c r="DU535" s="31"/>
      <c r="DV535" s="31"/>
      <c r="DW535" s="31"/>
      <c r="DX535" s="31"/>
      <c r="DY535" s="31"/>
      <c r="DZ535" s="31"/>
      <c r="EA535" s="31"/>
      <c r="EB535" s="31"/>
      <c r="EC535" s="31"/>
      <c r="ED535" s="31"/>
      <c r="EE535" s="31"/>
      <c r="EF535" s="31"/>
      <c r="EG535" s="31"/>
      <c r="EH535" s="31"/>
      <c r="EI535" s="31"/>
      <c r="EJ535" s="31"/>
      <c r="EK535" s="31"/>
      <c r="EL535" s="31"/>
      <c r="EM535" s="31"/>
      <c r="EN535" s="31"/>
      <c r="EO535" s="31"/>
      <c r="EP535" s="31"/>
      <c r="EQ535" s="31"/>
      <c r="ER535" s="31"/>
      <c r="ES535" s="31"/>
      <c r="ET535" s="31"/>
      <c r="EU535" s="31"/>
      <c r="EV535" s="31"/>
      <c r="EW535" s="31"/>
      <c r="EX535" s="31"/>
      <c r="EY535" s="31"/>
      <c r="EZ535" s="31"/>
      <c r="FA535" s="31"/>
      <c r="FB535" s="31"/>
      <c r="FC535" s="31"/>
      <c r="FD535" s="31"/>
      <c r="FE535" s="31"/>
      <c r="FF535" s="31"/>
      <c r="FG535" s="31"/>
      <c r="FH535" s="31"/>
      <c r="FI535" s="31"/>
    </row>
    <row r="536" spans="54:165">
      <c r="BB536" s="31"/>
      <c r="BC536" s="31"/>
      <c r="BD536" s="31"/>
      <c r="BE536" s="31"/>
      <c r="BI536" s="31"/>
      <c r="BL536" s="31"/>
      <c r="BN536" s="31"/>
      <c r="BO536" s="31"/>
      <c r="BP536" s="31"/>
      <c r="BT536" s="31"/>
      <c r="BY536" s="31"/>
      <c r="BZ536" s="31"/>
      <c r="CA536" s="31"/>
      <c r="CB536" s="31"/>
      <c r="CC536" s="31"/>
      <c r="CE536" s="31"/>
      <c r="CF536" s="31"/>
      <c r="CG536" s="31"/>
      <c r="CH536" s="31"/>
      <c r="CI536" s="31"/>
      <c r="CJ536" s="31"/>
      <c r="CL536" s="31"/>
      <c r="CN536" s="31"/>
      <c r="DU536" s="31"/>
      <c r="DV536" s="31"/>
      <c r="DW536" s="31"/>
      <c r="DX536" s="31"/>
      <c r="DY536" s="31"/>
      <c r="DZ536" s="31"/>
      <c r="EA536" s="31"/>
      <c r="EB536" s="31"/>
      <c r="EC536" s="31"/>
      <c r="ED536" s="31"/>
      <c r="EE536" s="31"/>
      <c r="EF536" s="31"/>
      <c r="EG536" s="31"/>
      <c r="EH536" s="31"/>
      <c r="EI536" s="31"/>
      <c r="EJ536" s="31"/>
      <c r="EK536" s="31"/>
      <c r="EL536" s="31"/>
      <c r="EM536" s="31"/>
      <c r="EN536" s="31"/>
      <c r="EO536" s="31"/>
      <c r="EP536" s="31"/>
      <c r="EQ536" s="31"/>
      <c r="ER536" s="31"/>
      <c r="ES536" s="31"/>
      <c r="ET536" s="31"/>
      <c r="EU536" s="31"/>
      <c r="EV536" s="31"/>
      <c r="EW536" s="31"/>
      <c r="EX536" s="31"/>
      <c r="EY536" s="31"/>
      <c r="EZ536" s="31"/>
      <c r="FA536" s="31"/>
      <c r="FB536" s="31"/>
      <c r="FC536" s="31"/>
      <c r="FD536" s="31"/>
      <c r="FE536" s="31"/>
      <c r="FF536" s="31"/>
      <c r="FG536" s="31"/>
      <c r="FH536" s="31"/>
      <c r="FI536" s="31"/>
    </row>
    <row r="537" spans="54:165">
      <c r="BB537" s="31"/>
      <c r="BC537" s="31"/>
      <c r="BD537" s="31"/>
      <c r="BE537" s="31"/>
      <c r="BI537" s="31"/>
      <c r="BL537" s="31"/>
      <c r="BN537" s="31"/>
      <c r="BO537" s="31"/>
      <c r="BP537" s="31"/>
      <c r="BT537" s="31"/>
      <c r="BY537" s="31"/>
      <c r="BZ537" s="31"/>
      <c r="CA537" s="31"/>
      <c r="CB537" s="31"/>
      <c r="CC537" s="31"/>
      <c r="CE537" s="31"/>
      <c r="CF537" s="31"/>
      <c r="CG537" s="31"/>
      <c r="CH537" s="31"/>
      <c r="CI537" s="31"/>
      <c r="CJ537" s="31"/>
      <c r="CL537" s="31"/>
      <c r="CN537" s="31"/>
      <c r="DU537" s="31"/>
      <c r="DV537" s="31"/>
      <c r="DW537" s="31"/>
      <c r="DX537" s="31"/>
      <c r="DY537" s="31"/>
      <c r="DZ537" s="31"/>
      <c r="EA537" s="31"/>
      <c r="EB537" s="31"/>
      <c r="EC537" s="31"/>
      <c r="ED537" s="31"/>
      <c r="EE537" s="31"/>
      <c r="EF537" s="31"/>
      <c r="EG537" s="31"/>
      <c r="EH537" s="31"/>
      <c r="EI537" s="31"/>
      <c r="EJ537" s="31"/>
      <c r="EK537" s="31"/>
      <c r="EL537" s="31"/>
      <c r="EM537" s="31"/>
      <c r="EN537" s="31"/>
      <c r="EO537" s="31"/>
      <c r="EP537" s="31"/>
      <c r="EQ537" s="31"/>
      <c r="ER537" s="31"/>
      <c r="ES537" s="31"/>
      <c r="ET537" s="31"/>
      <c r="EU537" s="31"/>
      <c r="EV537" s="31"/>
      <c r="EW537" s="31"/>
      <c r="EX537" s="31"/>
      <c r="EY537" s="31"/>
      <c r="EZ537" s="31"/>
      <c r="FA537" s="31"/>
      <c r="FB537" s="31"/>
      <c r="FC537" s="31"/>
      <c r="FD537" s="31"/>
      <c r="FE537" s="31"/>
      <c r="FF537" s="31"/>
      <c r="FG537" s="31"/>
      <c r="FH537" s="31"/>
      <c r="FI537" s="31"/>
    </row>
    <row r="538" spans="54:165">
      <c r="BB538" s="31"/>
      <c r="BC538" s="31"/>
      <c r="BD538" s="31"/>
      <c r="BE538" s="31"/>
      <c r="BI538" s="31"/>
      <c r="BL538" s="31"/>
      <c r="BN538" s="31"/>
      <c r="BO538" s="31"/>
      <c r="BP538" s="31"/>
      <c r="BT538" s="31"/>
      <c r="BY538" s="31"/>
      <c r="BZ538" s="31"/>
      <c r="CA538" s="31"/>
      <c r="CB538" s="31"/>
      <c r="CC538" s="31"/>
      <c r="CE538" s="31"/>
      <c r="CF538" s="31"/>
      <c r="CG538" s="31"/>
      <c r="CH538" s="31"/>
      <c r="CI538" s="31"/>
      <c r="CJ538" s="31"/>
      <c r="CL538" s="31"/>
      <c r="CN538" s="31"/>
      <c r="DU538" s="31"/>
      <c r="DV538" s="31"/>
      <c r="DW538" s="31"/>
      <c r="DX538" s="31"/>
      <c r="DY538" s="31"/>
      <c r="DZ538" s="31"/>
      <c r="EA538" s="31"/>
      <c r="EB538" s="31"/>
      <c r="EC538" s="31"/>
      <c r="ED538" s="31"/>
      <c r="EE538" s="31"/>
      <c r="EF538" s="31"/>
      <c r="EG538" s="31"/>
      <c r="EH538" s="31"/>
      <c r="EI538" s="31"/>
      <c r="EJ538" s="31"/>
      <c r="EK538" s="31"/>
      <c r="EL538" s="31"/>
      <c r="EM538" s="31"/>
      <c r="EN538" s="31"/>
      <c r="EO538" s="31"/>
      <c r="EP538" s="31"/>
      <c r="EQ538" s="31"/>
      <c r="ER538" s="31"/>
      <c r="ES538" s="31"/>
      <c r="ET538" s="31"/>
      <c r="EU538" s="31"/>
      <c r="EV538" s="31"/>
      <c r="EW538" s="31"/>
      <c r="EX538" s="31"/>
      <c r="EY538" s="31"/>
      <c r="EZ538" s="31"/>
      <c r="FA538" s="31"/>
      <c r="FB538" s="31"/>
      <c r="FC538" s="31"/>
      <c r="FD538" s="31"/>
      <c r="FE538" s="31"/>
      <c r="FF538" s="31"/>
      <c r="FG538" s="31"/>
      <c r="FH538" s="31"/>
      <c r="FI538" s="31"/>
    </row>
    <row r="539" spans="54:165">
      <c r="BB539" s="31"/>
      <c r="BC539" s="31"/>
      <c r="BD539" s="31"/>
      <c r="BE539" s="31"/>
      <c r="BI539" s="31"/>
      <c r="BL539" s="31"/>
      <c r="BN539" s="31"/>
      <c r="BO539" s="31"/>
      <c r="BP539" s="31"/>
      <c r="BT539" s="31"/>
      <c r="BY539" s="31"/>
      <c r="BZ539" s="31"/>
      <c r="CA539" s="31"/>
      <c r="CB539" s="31"/>
      <c r="CC539" s="31"/>
      <c r="CE539" s="31"/>
      <c r="CF539" s="31"/>
      <c r="CG539" s="31"/>
      <c r="CH539" s="31"/>
      <c r="CI539" s="31"/>
      <c r="CJ539" s="31"/>
      <c r="CL539" s="31"/>
      <c r="CN539" s="31"/>
      <c r="DU539" s="31"/>
      <c r="DV539" s="31"/>
      <c r="DW539" s="31"/>
      <c r="DX539" s="31"/>
      <c r="DY539" s="31"/>
      <c r="DZ539" s="31"/>
      <c r="EA539" s="31"/>
      <c r="EB539" s="31"/>
      <c r="EC539" s="31"/>
      <c r="ED539" s="31"/>
      <c r="EE539" s="31"/>
      <c r="EF539" s="31"/>
      <c r="EG539" s="31"/>
      <c r="EH539" s="31"/>
      <c r="EI539" s="31"/>
      <c r="EJ539" s="31"/>
      <c r="EK539" s="31"/>
      <c r="EL539" s="31"/>
      <c r="EM539" s="31"/>
      <c r="EN539" s="31"/>
      <c r="EO539" s="31"/>
      <c r="EP539" s="31"/>
      <c r="EQ539" s="31"/>
      <c r="ER539" s="31"/>
      <c r="ES539" s="31"/>
      <c r="ET539" s="31"/>
      <c r="EU539" s="31"/>
      <c r="EV539" s="31"/>
      <c r="EW539" s="31"/>
      <c r="EX539" s="31"/>
      <c r="EY539" s="31"/>
      <c r="EZ539" s="31"/>
      <c r="FA539" s="31"/>
      <c r="FB539" s="31"/>
      <c r="FC539" s="31"/>
      <c r="FD539" s="31"/>
      <c r="FE539" s="31"/>
      <c r="FF539" s="31"/>
      <c r="FG539" s="31"/>
      <c r="FH539" s="31"/>
      <c r="FI539" s="31"/>
    </row>
    <row r="540" spans="54:165">
      <c r="BB540" s="31"/>
      <c r="BC540" s="31"/>
      <c r="BD540" s="31"/>
      <c r="BE540" s="31"/>
      <c r="BI540" s="31"/>
      <c r="BL540" s="31"/>
      <c r="BN540" s="31"/>
      <c r="BO540" s="31"/>
      <c r="BP540" s="31"/>
      <c r="BT540" s="31"/>
      <c r="BY540" s="31"/>
      <c r="BZ540" s="31"/>
      <c r="CA540" s="31"/>
      <c r="CB540" s="31"/>
      <c r="CC540" s="31"/>
      <c r="CE540" s="31"/>
      <c r="CF540" s="31"/>
      <c r="CG540" s="31"/>
      <c r="CH540" s="31"/>
      <c r="CI540" s="31"/>
      <c r="CJ540" s="31"/>
      <c r="CL540" s="31"/>
      <c r="CN540" s="31"/>
      <c r="DU540" s="31"/>
      <c r="DV540" s="31"/>
      <c r="DW540" s="31"/>
      <c r="DX540" s="31"/>
      <c r="DY540" s="31"/>
      <c r="DZ540" s="31"/>
      <c r="EA540" s="31"/>
      <c r="EB540" s="31"/>
      <c r="EC540" s="31"/>
      <c r="ED540" s="31"/>
      <c r="EE540" s="31"/>
      <c r="EF540" s="31"/>
      <c r="EG540" s="31"/>
      <c r="EH540" s="31"/>
      <c r="EI540" s="31"/>
      <c r="EJ540" s="31"/>
      <c r="EK540" s="31"/>
      <c r="EL540" s="31"/>
      <c r="EM540" s="31"/>
      <c r="EN540" s="31"/>
      <c r="EO540" s="31"/>
      <c r="EP540" s="31"/>
      <c r="EQ540" s="31"/>
      <c r="ER540" s="31"/>
      <c r="ES540" s="31"/>
      <c r="ET540" s="31"/>
      <c r="EU540" s="31"/>
      <c r="EV540" s="31"/>
      <c r="EW540" s="31"/>
      <c r="EX540" s="31"/>
      <c r="EY540" s="31"/>
      <c r="EZ540" s="31"/>
      <c r="FA540" s="31"/>
      <c r="FB540" s="31"/>
      <c r="FC540" s="31"/>
      <c r="FD540" s="31"/>
      <c r="FE540" s="31"/>
      <c r="FF540" s="31"/>
      <c r="FG540" s="31"/>
      <c r="FH540" s="31"/>
      <c r="FI540" s="31"/>
    </row>
    <row r="541" spans="54:165">
      <c r="BB541" s="31"/>
      <c r="BC541" s="31"/>
      <c r="BD541" s="31"/>
      <c r="BE541" s="31"/>
      <c r="BI541" s="31"/>
      <c r="BL541" s="31"/>
      <c r="BN541" s="31"/>
      <c r="BO541" s="31"/>
      <c r="BP541" s="31"/>
      <c r="BT541" s="31"/>
      <c r="BY541" s="31"/>
      <c r="BZ541" s="31"/>
      <c r="CA541" s="31"/>
      <c r="CB541" s="31"/>
      <c r="CC541" s="31"/>
      <c r="CE541" s="31"/>
      <c r="CF541" s="31"/>
      <c r="CG541" s="31"/>
      <c r="CH541" s="31"/>
      <c r="CI541" s="31"/>
      <c r="CJ541" s="31"/>
      <c r="CL541" s="31"/>
      <c r="CN541" s="31"/>
      <c r="DU541" s="31"/>
      <c r="DV541" s="31"/>
      <c r="DW541" s="31"/>
      <c r="DX541" s="31"/>
      <c r="DY541" s="31"/>
      <c r="DZ541" s="31"/>
      <c r="EA541" s="31"/>
      <c r="EB541" s="31"/>
      <c r="EC541" s="31"/>
      <c r="ED541" s="31"/>
      <c r="EE541" s="31"/>
      <c r="EF541" s="31"/>
      <c r="EG541" s="31"/>
      <c r="EH541" s="31"/>
      <c r="EI541" s="31"/>
      <c r="EJ541" s="31"/>
      <c r="EK541" s="31"/>
      <c r="EL541" s="31"/>
      <c r="EM541" s="31"/>
      <c r="EN541" s="31"/>
      <c r="EO541" s="31"/>
      <c r="EP541" s="31"/>
      <c r="EQ541" s="31"/>
      <c r="ER541" s="31"/>
      <c r="ES541" s="31"/>
      <c r="ET541" s="31"/>
      <c r="EU541" s="31"/>
      <c r="EV541" s="31"/>
      <c r="EW541" s="31"/>
      <c r="EX541" s="31"/>
      <c r="EY541" s="31"/>
      <c r="EZ541" s="31"/>
      <c r="FA541" s="31"/>
      <c r="FB541" s="31"/>
      <c r="FC541" s="31"/>
      <c r="FD541" s="31"/>
      <c r="FE541" s="31"/>
      <c r="FF541" s="31"/>
      <c r="FG541" s="31"/>
      <c r="FH541" s="31"/>
      <c r="FI541" s="31"/>
    </row>
    <row r="542" spans="54:165">
      <c r="BB542" s="31"/>
      <c r="BC542" s="31"/>
      <c r="BD542" s="31"/>
      <c r="BE542" s="31"/>
      <c r="BI542" s="31"/>
      <c r="BL542" s="31"/>
      <c r="BN542" s="31"/>
      <c r="BO542" s="31"/>
      <c r="BP542" s="31"/>
      <c r="BT542" s="31"/>
      <c r="BY542" s="31"/>
      <c r="BZ542" s="31"/>
      <c r="CA542" s="31"/>
      <c r="CB542" s="31"/>
      <c r="CC542" s="31"/>
      <c r="CE542" s="31"/>
      <c r="CF542" s="31"/>
      <c r="CG542" s="31"/>
      <c r="CH542" s="31"/>
      <c r="CI542" s="31"/>
      <c r="CJ542" s="31"/>
      <c r="CL542" s="31"/>
      <c r="CN542" s="31"/>
      <c r="DU542" s="31"/>
      <c r="DV542" s="31"/>
      <c r="DW542" s="31"/>
      <c r="DX542" s="31"/>
      <c r="DY542" s="31"/>
      <c r="DZ542" s="31"/>
      <c r="EA542" s="31"/>
      <c r="EB542" s="31"/>
      <c r="EC542" s="31"/>
      <c r="ED542" s="31"/>
      <c r="EE542" s="31"/>
      <c r="EF542" s="31"/>
      <c r="EG542" s="31"/>
      <c r="EH542" s="31"/>
      <c r="EI542" s="31"/>
      <c r="EJ542" s="31"/>
      <c r="EK542" s="31"/>
      <c r="EL542" s="31"/>
      <c r="EM542" s="31"/>
      <c r="EN542" s="31"/>
      <c r="EO542" s="31"/>
      <c r="EP542" s="31"/>
      <c r="EQ542" s="31"/>
      <c r="ER542" s="31"/>
      <c r="ES542" s="31"/>
      <c r="ET542" s="31"/>
      <c r="EU542" s="31"/>
      <c r="EV542" s="31"/>
      <c r="EW542" s="31"/>
      <c r="EX542" s="31"/>
      <c r="EY542" s="31"/>
      <c r="EZ542" s="31"/>
      <c r="FA542" s="31"/>
      <c r="FB542" s="31"/>
      <c r="FC542" s="31"/>
      <c r="FD542" s="31"/>
      <c r="FE542" s="31"/>
      <c r="FF542" s="31"/>
      <c r="FG542" s="31"/>
      <c r="FH542" s="31"/>
      <c r="FI542" s="31"/>
    </row>
    <row r="543" spans="54:165">
      <c r="BB543" s="31"/>
      <c r="BC543" s="31"/>
      <c r="BD543" s="31"/>
      <c r="BE543" s="31"/>
      <c r="BI543" s="31"/>
      <c r="BL543" s="31"/>
      <c r="BN543" s="31"/>
      <c r="BO543" s="31"/>
      <c r="BP543" s="31"/>
      <c r="BT543" s="31"/>
      <c r="BY543" s="31"/>
      <c r="BZ543" s="31"/>
      <c r="CA543" s="31"/>
      <c r="CB543" s="31"/>
      <c r="CC543" s="31"/>
      <c r="CE543" s="31"/>
      <c r="CF543" s="31"/>
      <c r="CG543" s="31"/>
      <c r="CH543" s="31"/>
      <c r="CI543" s="31"/>
      <c r="CJ543" s="31"/>
      <c r="CL543" s="31"/>
      <c r="CN543" s="31"/>
      <c r="DU543" s="31"/>
      <c r="DV543" s="31"/>
      <c r="DW543" s="31"/>
      <c r="DX543" s="31"/>
      <c r="DY543" s="31"/>
      <c r="DZ543" s="31"/>
      <c r="EA543" s="31"/>
      <c r="EB543" s="31"/>
      <c r="EC543" s="31"/>
      <c r="ED543" s="31"/>
      <c r="EE543" s="31"/>
      <c r="EF543" s="31"/>
      <c r="EG543" s="31"/>
      <c r="EH543" s="31"/>
      <c r="EI543" s="31"/>
      <c r="EJ543" s="31"/>
      <c r="EK543" s="31"/>
      <c r="EL543" s="31"/>
      <c r="EM543" s="31"/>
      <c r="EN543" s="31"/>
      <c r="EO543" s="31"/>
      <c r="EP543" s="31"/>
      <c r="EQ543" s="31"/>
      <c r="ER543" s="31"/>
      <c r="ES543" s="31"/>
      <c r="ET543" s="31"/>
      <c r="EU543" s="31"/>
      <c r="EV543" s="31"/>
      <c r="EW543" s="31"/>
      <c r="EX543" s="31"/>
      <c r="EY543" s="31"/>
      <c r="EZ543" s="31"/>
      <c r="FA543" s="31"/>
      <c r="FB543" s="31"/>
      <c r="FC543" s="31"/>
      <c r="FD543" s="31"/>
      <c r="FE543" s="31"/>
      <c r="FF543" s="31"/>
      <c r="FG543" s="31"/>
      <c r="FH543" s="31"/>
      <c r="FI543" s="31"/>
    </row>
    <row r="544" spans="54:165">
      <c r="BB544" s="31"/>
      <c r="BC544" s="31"/>
      <c r="BD544" s="31"/>
      <c r="BE544" s="31"/>
      <c r="BI544" s="31"/>
      <c r="BL544" s="31"/>
      <c r="BN544" s="31"/>
      <c r="BO544" s="31"/>
      <c r="BP544" s="31"/>
      <c r="BT544" s="31"/>
      <c r="BY544" s="31"/>
      <c r="BZ544" s="31"/>
      <c r="CA544" s="31"/>
      <c r="CB544" s="31"/>
      <c r="CC544" s="31"/>
      <c r="CE544" s="31"/>
      <c r="CF544" s="31"/>
      <c r="CG544" s="31"/>
      <c r="CH544" s="31"/>
      <c r="CI544" s="31"/>
      <c r="CJ544" s="31"/>
      <c r="CL544" s="31"/>
      <c r="CN544" s="31"/>
      <c r="DU544" s="31"/>
      <c r="DV544" s="31"/>
      <c r="DW544" s="31"/>
      <c r="DX544" s="31"/>
      <c r="DY544" s="31"/>
      <c r="DZ544" s="31"/>
      <c r="EA544" s="31"/>
      <c r="EB544" s="31"/>
      <c r="EC544" s="31"/>
      <c r="ED544" s="31"/>
      <c r="EE544" s="31"/>
      <c r="EF544" s="31"/>
      <c r="EG544" s="31"/>
      <c r="EH544" s="31"/>
      <c r="EI544" s="31"/>
      <c r="EJ544" s="31"/>
      <c r="EK544" s="31"/>
      <c r="EL544" s="31"/>
      <c r="EM544" s="31"/>
      <c r="EN544" s="31"/>
      <c r="EO544" s="31"/>
      <c r="EP544" s="31"/>
      <c r="EQ544" s="31"/>
      <c r="ER544" s="31"/>
      <c r="ES544" s="31"/>
      <c r="ET544" s="31"/>
      <c r="EU544" s="31"/>
      <c r="EV544" s="31"/>
      <c r="EW544" s="31"/>
      <c r="EX544" s="31"/>
      <c r="EY544" s="31"/>
      <c r="EZ544" s="31"/>
      <c r="FA544" s="31"/>
      <c r="FB544" s="31"/>
      <c r="FC544" s="31"/>
      <c r="FD544" s="31"/>
      <c r="FE544" s="31"/>
      <c r="FF544" s="31"/>
      <c r="FG544" s="31"/>
      <c r="FH544" s="31"/>
      <c r="FI544" s="31"/>
    </row>
    <row r="545" spans="54:165">
      <c r="BB545" s="31"/>
      <c r="BC545" s="31"/>
      <c r="BD545" s="31"/>
      <c r="BE545" s="31"/>
      <c r="BI545" s="31"/>
      <c r="BL545" s="31"/>
      <c r="BN545" s="31"/>
      <c r="BO545" s="31"/>
      <c r="BP545" s="31"/>
      <c r="BT545" s="31"/>
      <c r="BY545" s="31"/>
      <c r="BZ545" s="31"/>
      <c r="CA545" s="31"/>
      <c r="CB545" s="31"/>
      <c r="CC545" s="31"/>
      <c r="CE545" s="31"/>
      <c r="CF545" s="31"/>
      <c r="CG545" s="31"/>
      <c r="CH545" s="31"/>
      <c r="CI545" s="31"/>
      <c r="CJ545" s="31"/>
      <c r="CL545" s="31"/>
      <c r="CN545" s="31"/>
      <c r="DU545" s="31"/>
      <c r="DV545" s="31"/>
      <c r="DW545" s="31"/>
      <c r="DX545" s="31"/>
      <c r="DY545" s="31"/>
      <c r="DZ545" s="31"/>
      <c r="EA545" s="31"/>
      <c r="EB545" s="31"/>
      <c r="EC545" s="31"/>
      <c r="ED545" s="31"/>
      <c r="EE545" s="31"/>
      <c r="EF545" s="31"/>
      <c r="EG545" s="31"/>
      <c r="EH545" s="31"/>
      <c r="EI545" s="31"/>
      <c r="EJ545" s="31"/>
      <c r="EK545" s="31"/>
      <c r="EL545" s="31"/>
      <c r="EM545" s="31"/>
      <c r="EN545" s="31"/>
      <c r="EO545" s="31"/>
      <c r="EP545" s="31"/>
      <c r="EQ545" s="31"/>
      <c r="ER545" s="31"/>
      <c r="ES545" s="31"/>
      <c r="ET545" s="31"/>
      <c r="EU545" s="31"/>
      <c r="EV545" s="31"/>
      <c r="EW545" s="31"/>
      <c r="EX545" s="31"/>
      <c r="EY545" s="31"/>
      <c r="EZ545" s="31"/>
      <c r="FA545" s="31"/>
      <c r="FB545" s="31"/>
      <c r="FC545" s="31"/>
      <c r="FD545" s="31"/>
      <c r="FE545" s="31"/>
      <c r="FF545" s="31"/>
      <c r="FG545" s="31"/>
      <c r="FH545" s="31"/>
      <c r="FI545" s="31"/>
    </row>
    <row r="546" spans="54:165">
      <c r="BB546" s="31"/>
      <c r="BC546" s="31"/>
      <c r="BD546" s="31"/>
      <c r="BE546" s="31"/>
      <c r="BI546" s="31"/>
      <c r="BL546" s="31"/>
      <c r="BN546" s="31"/>
      <c r="BO546" s="31"/>
      <c r="BP546" s="31"/>
      <c r="BT546" s="31"/>
      <c r="BY546" s="31"/>
      <c r="BZ546" s="31"/>
      <c r="CA546" s="31"/>
      <c r="CB546" s="31"/>
      <c r="CC546" s="31"/>
      <c r="CE546" s="31"/>
      <c r="CF546" s="31"/>
      <c r="CG546" s="31"/>
      <c r="CH546" s="31"/>
      <c r="CI546" s="31"/>
      <c r="CJ546" s="31"/>
      <c r="CL546" s="31"/>
      <c r="CN546" s="31"/>
      <c r="DU546" s="31"/>
      <c r="DV546" s="31"/>
      <c r="DW546" s="31"/>
      <c r="DX546" s="31"/>
      <c r="DY546" s="31"/>
      <c r="DZ546" s="31"/>
      <c r="EA546" s="31"/>
      <c r="EB546" s="31"/>
      <c r="EC546" s="31"/>
      <c r="ED546" s="31"/>
      <c r="EE546" s="31"/>
      <c r="EF546" s="31"/>
      <c r="EG546" s="31"/>
      <c r="EH546" s="31"/>
      <c r="EI546" s="31"/>
      <c r="EJ546" s="31"/>
      <c r="EK546" s="31"/>
      <c r="EL546" s="31"/>
      <c r="EM546" s="31"/>
      <c r="EN546" s="31"/>
      <c r="EO546" s="31"/>
      <c r="EP546" s="31"/>
      <c r="EQ546" s="31"/>
      <c r="ER546" s="31"/>
      <c r="ES546" s="31"/>
      <c r="ET546" s="31"/>
      <c r="EU546" s="31"/>
      <c r="EV546" s="31"/>
      <c r="EW546" s="31"/>
      <c r="EX546" s="31"/>
      <c r="EY546" s="31"/>
      <c r="EZ546" s="31"/>
      <c r="FA546" s="31"/>
      <c r="FB546" s="31"/>
      <c r="FC546" s="31"/>
      <c r="FD546" s="31"/>
      <c r="FE546" s="31"/>
      <c r="FF546" s="31"/>
      <c r="FG546" s="31"/>
      <c r="FH546" s="31"/>
      <c r="FI546" s="31"/>
    </row>
    <row r="547" spans="54:165">
      <c r="BB547" s="31"/>
      <c r="BC547" s="31"/>
      <c r="BD547" s="31"/>
      <c r="BE547" s="31"/>
      <c r="BI547" s="31"/>
      <c r="BL547" s="31"/>
      <c r="BN547" s="31"/>
      <c r="BO547" s="31"/>
      <c r="BP547" s="31"/>
      <c r="BT547" s="31"/>
      <c r="BY547" s="31"/>
      <c r="BZ547" s="31"/>
      <c r="CA547" s="31"/>
      <c r="CB547" s="31"/>
      <c r="CC547" s="31"/>
      <c r="CE547" s="31"/>
      <c r="CF547" s="31"/>
      <c r="CG547" s="31"/>
      <c r="CH547" s="31"/>
      <c r="CI547" s="31"/>
      <c r="CJ547" s="31"/>
      <c r="CL547" s="31"/>
      <c r="CN547" s="31"/>
      <c r="DU547" s="31"/>
      <c r="DV547" s="31"/>
      <c r="DW547" s="31"/>
      <c r="DX547" s="31"/>
      <c r="DY547" s="31"/>
      <c r="DZ547" s="31"/>
      <c r="EA547" s="31"/>
      <c r="EB547" s="31"/>
      <c r="EC547" s="31"/>
      <c r="ED547" s="31"/>
      <c r="EE547" s="31"/>
      <c r="EF547" s="31"/>
      <c r="EG547" s="31"/>
      <c r="EH547" s="31"/>
      <c r="EI547" s="31"/>
      <c r="EJ547" s="31"/>
      <c r="EK547" s="31"/>
      <c r="EL547" s="31"/>
      <c r="EM547" s="31"/>
      <c r="EN547" s="31"/>
      <c r="EO547" s="31"/>
      <c r="EP547" s="31"/>
      <c r="EQ547" s="31"/>
      <c r="ER547" s="31"/>
      <c r="ES547" s="31"/>
      <c r="ET547" s="31"/>
      <c r="EU547" s="31"/>
      <c r="EV547" s="31"/>
      <c r="EW547" s="31"/>
      <c r="EX547" s="31"/>
      <c r="EY547" s="31"/>
      <c r="EZ547" s="31"/>
      <c r="FA547" s="31"/>
      <c r="FB547" s="31"/>
      <c r="FC547" s="31"/>
      <c r="FD547" s="31"/>
      <c r="FE547" s="31"/>
      <c r="FF547" s="31"/>
      <c r="FG547" s="31"/>
      <c r="FH547" s="31"/>
      <c r="FI547" s="31"/>
    </row>
    <row r="548" spans="54:165">
      <c r="BB548" s="31"/>
      <c r="BC548" s="31"/>
      <c r="BD548" s="31"/>
      <c r="BE548" s="31"/>
      <c r="BI548" s="31"/>
      <c r="BL548" s="31"/>
      <c r="BN548" s="31"/>
      <c r="BO548" s="31"/>
      <c r="BP548" s="31"/>
      <c r="BT548" s="31"/>
      <c r="BY548" s="31"/>
      <c r="BZ548" s="31"/>
      <c r="CA548" s="31"/>
      <c r="CB548" s="31"/>
      <c r="CC548" s="31"/>
      <c r="CE548" s="31"/>
      <c r="CF548" s="31"/>
      <c r="CG548" s="31"/>
      <c r="CH548" s="31"/>
      <c r="CI548" s="31"/>
      <c r="CJ548" s="31"/>
      <c r="CL548" s="31"/>
      <c r="CN548" s="31"/>
      <c r="DU548" s="31"/>
      <c r="DV548" s="31"/>
      <c r="DW548" s="31"/>
      <c r="DX548" s="31"/>
      <c r="DY548" s="31"/>
      <c r="DZ548" s="31"/>
      <c r="EA548" s="31"/>
      <c r="EB548" s="31"/>
      <c r="EC548" s="31"/>
      <c r="ED548" s="31"/>
      <c r="EE548" s="31"/>
      <c r="EF548" s="31"/>
      <c r="EG548" s="31"/>
      <c r="EH548" s="31"/>
      <c r="EI548" s="31"/>
      <c r="EJ548" s="31"/>
      <c r="EK548" s="31"/>
      <c r="EL548" s="31"/>
      <c r="EM548" s="31"/>
      <c r="EN548" s="31"/>
      <c r="EO548" s="31"/>
      <c r="EP548" s="31"/>
      <c r="EQ548" s="31"/>
      <c r="ER548" s="31"/>
      <c r="ES548" s="31"/>
      <c r="ET548" s="31"/>
      <c r="EU548" s="31"/>
      <c r="EV548" s="31"/>
      <c r="EW548" s="31"/>
      <c r="EX548" s="31"/>
      <c r="EY548" s="31"/>
      <c r="EZ548" s="31"/>
      <c r="FA548" s="31"/>
      <c r="FB548" s="31"/>
      <c r="FC548" s="31"/>
      <c r="FD548" s="31"/>
      <c r="FE548" s="31"/>
      <c r="FF548" s="31"/>
      <c r="FG548" s="31"/>
      <c r="FH548" s="31"/>
      <c r="FI548" s="31"/>
    </row>
    <row r="549" spans="54:165">
      <c r="BB549" s="31"/>
      <c r="BC549" s="31"/>
      <c r="BD549" s="31"/>
      <c r="BE549" s="31"/>
      <c r="BI549" s="31"/>
      <c r="BL549" s="31"/>
      <c r="BN549" s="31"/>
      <c r="BO549" s="31"/>
      <c r="BP549" s="31"/>
      <c r="BT549" s="31"/>
      <c r="BY549" s="31"/>
      <c r="BZ549" s="31"/>
      <c r="CA549" s="31"/>
      <c r="CB549" s="31"/>
      <c r="CC549" s="31"/>
      <c r="CE549" s="31"/>
      <c r="CF549" s="31"/>
      <c r="CG549" s="31"/>
      <c r="CH549" s="31"/>
      <c r="CI549" s="31"/>
      <c r="CJ549" s="31"/>
      <c r="CL549" s="31"/>
      <c r="CN549" s="31"/>
      <c r="DU549" s="31"/>
      <c r="DV549" s="31"/>
      <c r="DW549" s="31"/>
      <c r="DX549" s="31"/>
      <c r="DY549" s="31"/>
      <c r="DZ549" s="31"/>
      <c r="EA549" s="31"/>
      <c r="EB549" s="31"/>
      <c r="EC549" s="31"/>
      <c r="ED549" s="31"/>
      <c r="EE549" s="31"/>
      <c r="EF549" s="31"/>
      <c r="EG549" s="31"/>
      <c r="EH549" s="31"/>
      <c r="EI549" s="31"/>
      <c r="EJ549" s="31"/>
      <c r="EK549" s="31"/>
      <c r="EL549" s="31"/>
      <c r="EM549" s="31"/>
      <c r="EN549" s="31"/>
      <c r="EO549" s="31"/>
      <c r="EP549" s="31"/>
      <c r="EQ549" s="31"/>
      <c r="ER549" s="31"/>
      <c r="ES549" s="31"/>
      <c r="ET549" s="31"/>
      <c r="EU549" s="31"/>
      <c r="EV549" s="31"/>
      <c r="EW549" s="31"/>
      <c r="EX549" s="31"/>
      <c r="EY549" s="31"/>
      <c r="EZ549" s="31"/>
      <c r="FA549" s="31"/>
      <c r="FB549" s="31"/>
      <c r="FC549" s="31"/>
      <c r="FD549" s="31"/>
      <c r="FE549" s="31"/>
      <c r="FF549" s="31"/>
      <c r="FG549" s="31"/>
      <c r="FH549" s="31"/>
      <c r="FI549" s="31"/>
    </row>
    <row r="550" spans="54:165">
      <c r="BB550" s="31"/>
      <c r="BC550" s="31"/>
      <c r="BD550" s="31"/>
      <c r="BE550" s="31"/>
      <c r="BI550" s="31"/>
      <c r="BL550" s="31"/>
      <c r="BN550" s="31"/>
      <c r="BO550" s="31"/>
      <c r="BP550" s="31"/>
      <c r="BT550" s="31"/>
      <c r="BY550" s="31"/>
      <c r="BZ550" s="31"/>
      <c r="CA550" s="31"/>
      <c r="CB550" s="31"/>
      <c r="CC550" s="31"/>
      <c r="CE550" s="31"/>
      <c r="CF550" s="31"/>
      <c r="CG550" s="31"/>
      <c r="CH550" s="31"/>
      <c r="CI550" s="31"/>
      <c r="CJ550" s="31"/>
      <c r="CL550" s="31"/>
      <c r="CN550" s="31"/>
      <c r="DU550" s="31"/>
      <c r="DV550" s="31"/>
      <c r="DW550" s="31"/>
      <c r="DX550" s="31"/>
      <c r="DY550" s="31"/>
      <c r="DZ550" s="31"/>
      <c r="EA550" s="31"/>
      <c r="EB550" s="31"/>
      <c r="EC550" s="31"/>
      <c r="ED550" s="31"/>
      <c r="EE550" s="31"/>
      <c r="EF550" s="31"/>
      <c r="EG550" s="31"/>
      <c r="EH550" s="31"/>
      <c r="EI550" s="31"/>
      <c r="EJ550" s="31"/>
      <c r="EK550" s="31"/>
      <c r="EL550" s="31"/>
      <c r="EM550" s="31"/>
      <c r="EN550" s="31"/>
      <c r="EO550" s="31"/>
      <c r="EP550" s="31"/>
      <c r="EQ550" s="31"/>
      <c r="ER550" s="31"/>
      <c r="ES550" s="31"/>
      <c r="ET550" s="31"/>
      <c r="EU550" s="31"/>
      <c r="EV550" s="31"/>
      <c r="EW550" s="31"/>
      <c r="EX550" s="31"/>
      <c r="EY550" s="31"/>
      <c r="EZ550" s="31"/>
      <c r="FA550" s="31"/>
      <c r="FB550" s="31"/>
      <c r="FC550" s="31"/>
      <c r="FD550" s="31"/>
      <c r="FE550" s="31"/>
      <c r="FF550" s="31"/>
      <c r="FG550" s="31"/>
      <c r="FH550" s="31"/>
      <c r="FI550" s="31"/>
    </row>
    <row r="551" spans="54:165">
      <c r="BB551" s="31"/>
      <c r="BC551" s="31"/>
      <c r="BD551" s="31"/>
      <c r="BE551" s="31"/>
      <c r="BI551" s="31"/>
      <c r="BL551" s="31"/>
      <c r="BN551" s="31"/>
      <c r="BO551" s="31"/>
      <c r="BP551" s="31"/>
      <c r="BT551" s="31"/>
      <c r="BY551" s="31"/>
      <c r="BZ551" s="31"/>
      <c r="CA551" s="31"/>
      <c r="CB551" s="31"/>
      <c r="CC551" s="31"/>
      <c r="CE551" s="31"/>
      <c r="CF551" s="31"/>
      <c r="CG551" s="31"/>
      <c r="CH551" s="31"/>
      <c r="CI551" s="31"/>
      <c r="CJ551" s="31"/>
      <c r="CL551" s="31"/>
      <c r="CN551" s="31"/>
      <c r="DU551" s="31"/>
      <c r="DV551" s="31"/>
      <c r="DW551" s="31"/>
      <c r="DX551" s="31"/>
      <c r="DY551" s="31"/>
      <c r="DZ551" s="31"/>
      <c r="EA551" s="31"/>
      <c r="EB551" s="31"/>
      <c r="EC551" s="31"/>
      <c r="ED551" s="31"/>
      <c r="EE551" s="31"/>
      <c r="EF551" s="31"/>
      <c r="EG551" s="31"/>
      <c r="EH551" s="31"/>
      <c r="EI551" s="31"/>
      <c r="EJ551" s="31"/>
      <c r="EK551" s="31"/>
      <c r="EL551" s="31"/>
      <c r="EM551" s="31"/>
      <c r="EN551" s="31"/>
      <c r="EO551" s="31"/>
      <c r="EP551" s="31"/>
      <c r="EQ551" s="31"/>
      <c r="ER551" s="31"/>
      <c r="ES551" s="31"/>
      <c r="ET551" s="31"/>
      <c r="EU551" s="31"/>
      <c r="EV551" s="31"/>
      <c r="EW551" s="31"/>
      <c r="EX551" s="31"/>
      <c r="EY551" s="31"/>
      <c r="EZ551" s="31"/>
      <c r="FA551" s="31"/>
      <c r="FB551" s="31"/>
      <c r="FC551" s="31"/>
      <c r="FD551" s="31"/>
      <c r="FE551" s="31"/>
      <c r="FF551" s="31"/>
      <c r="FG551" s="31"/>
      <c r="FH551" s="31"/>
      <c r="FI551" s="31"/>
    </row>
    <row r="552" spans="54:165">
      <c r="BB552" s="31"/>
      <c r="BC552" s="31"/>
      <c r="BD552" s="31"/>
      <c r="BE552" s="31"/>
      <c r="BI552" s="31"/>
      <c r="BL552" s="31"/>
      <c r="BN552" s="31"/>
      <c r="BO552" s="31"/>
      <c r="BP552" s="31"/>
      <c r="BT552" s="31"/>
      <c r="BY552" s="31"/>
      <c r="BZ552" s="31"/>
      <c r="CA552" s="31"/>
      <c r="CB552" s="31"/>
      <c r="CC552" s="31"/>
      <c r="CE552" s="31"/>
      <c r="CF552" s="31"/>
      <c r="CG552" s="31"/>
      <c r="CH552" s="31"/>
      <c r="CI552" s="31"/>
      <c r="CJ552" s="31"/>
      <c r="CL552" s="31"/>
      <c r="CN552" s="31"/>
      <c r="DU552" s="31"/>
      <c r="DV552" s="31"/>
      <c r="DW552" s="31"/>
      <c r="DX552" s="31"/>
      <c r="DY552" s="31"/>
      <c r="DZ552" s="31"/>
      <c r="EA552" s="31"/>
      <c r="EB552" s="31"/>
      <c r="EC552" s="31"/>
      <c r="ED552" s="31"/>
      <c r="EE552" s="31"/>
      <c r="EF552" s="31"/>
      <c r="EG552" s="31"/>
      <c r="EH552" s="31"/>
      <c r="EI552" s="31"/>
      <c r="EJ552" s="31"/>
      <c r="EK552" s="31"/>
      <c r="EL552" s="31"/>
      <c r="EM552" s="31"/>
      <c r="EN552" s="31"/>
      <c r="EO552" s="31"/>
      <c r="EP552" s="31"/>
      <c r="EQ552" s="31"/>
      <c r="ER552" s="31"/>
      <c r="ES552" s="31"/>
      <c r="ET552" s="31"/>
      <c r="EU552" s="31"/>
      <c r="EV552" s="31"/>
      <c r="EW552" s="31"/>
      <c r="EX552" s="31"/>
      <c r="EY552" s="31"/>
      <c r="EZ552" s="31"/>
      <c r="FA552" s="31"/>
      <c r="FB552" s="31"/>
      <c r="FC552" s="31"/>
      <c r="FD552" s="31"/>
      <c r="FE552" s="31"/>
      <c r="FF552" s="31"/>
      <c r="FG552" s="31"/>
      <c r="FH552" s="31"/>
      <c r="FI552" s="31"/>
    </row>
    <row r="553" spans="54:165">
      <c r="BB553" s="31"/>
      <c r="BC553" s="31"/>
      <c r="BD553" s="31"/>
      <c r="BE553" s="31"/>
      <c r="BI553" s="31"/>
      <c r="BL553" s="31"/>
      <c r="BN553" s="31"/>
      <c r="BO553" s="31"/>
      <c r="BP553" s="31"/>
      <c r="BT553" s="31"/>
      <c r="BY553" s="31"/>
      <c r="BZ553" s="31"/>
      <c r="CA553" s="31"/>
      <c r="CB553" s="31"/>
      <c r="CC553" s="31"/>
      <c r="CE553" s="31"/>
      <c r="CF553" s="31"/>
      <c r="CG553" s="31"/>
      <c r="CH553" s="31"/>
      <c r="CI553" s="31"/>
      <c r="CJ553" s="31"/>
      <c r="CL553" s="31"/>
      <c r="CN553" s="31"/>
      <c r="DU553" s="31"/>
      <c r="DV553" s="31"/>
      <c r="DW553" s="31"/>
      <c r="DX553" s="31"/>
      <c r="DY553" s="31"/>
      <c r="DZ553" s="31"/>
      <c r="EA553" s="31"/>
      <c r="EB553" s="31"/>
      <c r="EC553" s="31"/>
      <c r="ED553" s="31"/>
      <c r="EE553" s="31"/>
      <c r="EF553" s="31"/>
      <c r="EG553" s="31"/>
      <c r="EH553" s="31"/>
      <c r="EI553" s="31"/>
      <c r="EJ553" s="31"/>
      <c r="EK553" s="31"/>
      <c r="EL553" s="31"/>
      <c r="EM553" s="31"/>
      <c r="EN553" s="31"/>
      <c r="EO553" s="31"/>
      <c r="EP553" s="31"/>
      <c r="EQ553" s="31"/>
      <c r="ER553" s="31"/>
      <c r="ES553" s="31"/>
      <c r="ET553" s="31"/>
      <c r="EU553" s="31"/>
      <c r="EV553" s="31"/>
      <c r="EW553" s="31"/>
      <c r="EX553" s="31"/>
      <c r="EY553" s="31"/>
      <c r="EZ553" s="31"/>
      <c r="FA553" s="31"/>
      <c r="FB553" s="31"/>
      <c r="FC553" s="31"/>
      <c r="FD553" s="31"/>
      <c r="FE553" s="31"/>
      <c r="FF553" s="31"/>
      <c r="FG553" s="31"/>
      <c r="FH553" s="31"/>
      <c r="FI553" s="31"/>
    </row>
    <row r="554" spans="54:165">
      <c r="BB554" s="31"/>
      <c r="BC554" s="31"/>
      <c r="BD554" s="31"/>
      <c r="BE554" s="31"/>
      <c r="BI554" s="31"/>
      <c r="BL554" s="31"/>
      <c r="BN554" s="31"/>
      <c r="BO554" s="31"/>
      <c r="BP554" s="31"/>
      <c r="BT554" s="31"/>
      <c r="BY554" s="31"/>
      <c r="BZ554" s="31"/>
      <c r="CA554" s="31"/>
      <c r="CB554" s="31"/>
      <c r="CC554" s="31"/>
      <c r="CE554" s="31"/>
      <c r="CF554" s="31"/>
      <c r="CG554" s="31"/>
      <c r="CH554" s="31"/>
      <c r="CI554" s="31"/>
      <c r="CJ554" s="31"/>
      <c r="CL554" s="31"/>
      <c r="CN554" s="31"/>
      <c r="DU554" s="31"/>
      <c r="DV554" s="31"/>
      <c r="DW554" s="31"/>
      <c r="DX554" s="31"/>
      <c r="DY554" s="31"/>
      <c r="DZ554" s="31"/>
      <c r="EA554" s="31"/>
      <c r="EB554" s="31"/>
      <c r="EC554" s="31"/>
      <c r="ED554" s="31"/>
      <c r="EE554" s="31"/>
      <c r="EF554" s="31"/>
      <c r="EG554" s="31"/>
      <c r="EH554" s="31"/>
      <c r="EI554" s="31"/>
      <c r="EJ554" s="31"/>
      <c r="EK554" s="31"/>
      <c r="EL554" s="31"/>
      <c r="EM554" s="31"/>
      <c r="EN554" s="31"/>
      <c r="EO554" s="31"/>
      <c r="EP554" s="31"/>
      <c r="EQ554" s="31"/>
      <c r="ER554" s="31"/>
      <c r="ES554" s="31"/>
      <c r="ET554" s="31"/>
      <c r="EU554" s="31"/>
      <c r="EV554" s="31"/>
      <c r="EW554" s="31"/>
      <c r="EX554" s="31"/>
      <c r="EY554" s="31"/>
      <c r="EZ554" s="31"/>
      <c r="FA554" s="31"/>
      <c r="FB554" s="31"/>
      <c r="FC554" s="31"/>
      <c r="FD554" s="31"/>
      <c r="FE554" s="31"/>
      <c r="FF554" s="31"/>
      <c r="FG554" s="31"/>
      <c r="FH554" s="31"/>
      <c r="FI554" s="31"/>
    </row>
    <row r="555" spans="54:165">
      <c r="BB555" s="31"/>
      <c r="BC555" s="31"/>
      <c r="BD555" s="31"/>
      <c r="BE555" s="31"/>
      <c r="BI555" s="31"/>
      <c r="BL555" s="31"/>
      <c r="BN555" s="31"/>
      <c r="BO555" s="31"/>
      <c r="BP555" s="31"/>
      <c r="BT555" s="31"/>
      <c r="BY555" s="31"/>
      <c r="BZ555" s="31"/>
      <c r="CA555" s="31"/>
      <c r="CB555" s="31"/>
      <c r="CC555" s="31"/>
      <c r="CE555" s="31"/>
      <c r="CF555" s="31"/>
      <c r="CG555" s="31"/>
      <c r="CH555" s="31"/>
      <c r="CI555" s="31"/>
      <c r="CJ555" s="31"/>
      <c r="CL555" s="31"/>
      <c r="CN555" s="31"/>
      <c r="DU555" s="31"/>
      <c r="DV555" s="31"/>
      <c r="DW555" s="31"/>
      <c r="DX555" s="31"/>
      <c r="DY555" s="31"/>
      <c r="DZ555" s="31"/>
      <c r="EA555" s="31"/>
      <c r="EB555" s="31"/>
      <c r="EC555" s="31"/>
      <c r="ED555" s="31"/>
      <c r="EE555" s="31"/>
      <c r="EF555" s="31"/>
      <c r="EG555" s="31"/>
      <c r="EH555" s="31"/>
      <c r="EI555" s="31"/>
      <c r="EJ555" s="31"/>
      <c r="EK555" s="31"/>
      <c r="EL555" s="31"/>
      <c r="EM555" s="31"/>
      <c r="EN555" s="31"/>
      <c r="EO555" s="31"/>
      <c r="EP555" s="31"/>
      <c r="EQ555" s="31"/>
      <c r="ER555" s="31"/>
      <c r="ES555" s="31"/>
      <c r="ET555" s="31"/>
      <c r="EU555" s="31"/>
      <c r="EV555" s="31"/>
      <c r="EW555" s="31"/>
      <c r="EX555" s="31"/>
      <c r="EY555" s="31"/>
      <c r="EZ555" s="31"/>
      <c r="FA555" s="31"/>
      <c r="FB555" s="31"/>
      <c r="FC555" s="31"/>
      <c r="FD555" s="31"/>
      <c r="FE555" s="31"/>
      <c r="FF555" s="31"/>
      <c r="FG555" s="31"/>
      <c r="FH555" s="31"/>
      <c r="FI555" s="31"/>
    </row>
    <row r="556" spans="54:165">
      <c r="BB556" s="31"/>
      <c r="BC556" s="31"/>
      <c r="BD556" s="31"/>
      <c r="BE556" s="31"/>
      <c r="BI556" s="31"/>
      <c r="BL556" s="31"/>
      <c r="BN556" s="31"/>
      <c r="BO556" s="31"/>
      <c r="BP556" s="31"/>
      <c r="BT556" s="31"/>
      <c r="BY556" s="31"/>
      <c r="BZ556" s="31"/>
      <c r="CA556" s="31"/>
      <c r="CB556" s="31"/>
      <c r="CC556" s="31"/>
      <c r="CE556" s="31"/>
      <c r="CF556" s="31"/>
      <c r="CG556" s="31"/>
      <c r="CH556" s="31"/>
      <c r="CI556" s="31"/>
      <c r="CJ556" s="31"/>
      <c r="CL556" s="31"/>
      <c r="CN556" s="31"/>
      <c r="DU556" s="31"/>
      <c r="DV556" s="31"/>
      <c r="DW556" s="31"/>
      <c r="DX556" s="31"/>
      <c r="DY556" s="31"/>
      <c r="DZ556" s="31"/>
      <c r="EA556" s="31"/>
      <c r="EB556" s="31"/>
      <c r="EC556" s="31"/>
      <c r="ED556" s="31"/>
      <c r="EE556" s="31"/>
      <c r="EF556" s="31"/>
      <c r="EG556" s="31"/>
      <c r="EH556" s="31"/>
      <c r="EI556" s="31"/>
      <c r="EJ556" s="31"/>
      <c r="EK556" s="31"/>
      <c r="EL556" s="31"/>
      <c r="EM556" s="31"/>
      <c r="EN556" s="31"/>
      <c r="EO556" s="31"/>
      <c r="EP556" s="31"/>
      <c r="EQ556" s="31"/>
      <c r="ER556" s="31"/>
      <c r="ES556" s="31"/>
      <c r="ET556" s="31"/>
      <c r="EU556" s="31"/>
      <c r="EV556" s="31"/>
      <c r="EW556" s="31"/>
      <c r="EX556" s="31"/>
      <c r="EY556" s="31"/>
      <c r="EZ556" s="31"/>
      <c r="FA556" s="31"/>
      <c r="FB556" s="31"/>
      <c r="FC556" s="31"/>
      <c r="FD556" s="31"/>
      <c r="FE556" s="31"/>
      <c r="FF556" s="31"/>
      <c r="FG556" s="31"/>
      <c r="FH556" s="31"/>
      <c r="FI556" s="31"/>
    </row>
    <row r="557" spans="54:165">
      <c r="BB557" s="31"/>
      <c r="BC557" s="31"/>
      <c r="BD557" s="31"/>
      <c r="BE557" s="31"/>
      <c r="BI557" s="31"/>
      <c r="BL557" s="31"/>
      <c r="BN557" s="31"/>
      <c r="BO557" s="31"/>
      <c r="BP557" s="31"/>
      <c r="BT557" s="31"/>
      <c r="BY557" s="31"/>
      <c r="BZ557" s="31"/>
      <c r="CA557" s="31"/>
      <c r="CB557" s="31"/>
      <c r="CC557" s="31"/>
      <c r="CE557" s="31"/>
      <c r="CF557" s="31"/>
      <c r="CG557" s="31"/>
      <c r="CH557" s="31"/>
      <c r="CI557" s="31"/>
      <c r="CJ557" s="31"/>
      <c r="CL557" s="31"/>
      <c r="CN557" s="31"/>
      <c r="DU557" s="31"/>
      <c r="DV557" s="31"/>
      <c r="DW557" s="31"/>
      <c r="DX557" s="31"/>
      <c r="DY557" s="31"/>
      <c r="DZ557" s="31"/>
      <c r="EA557" s="31"/>
      <c r="EB557" s="31"/>
      <c r="EC557" s="31"/>
      <c r="ED557" s="31"/>
      <c r="EE557" s="31"/>
      <c r="EF557" s="31"/>
      <c r="EG557" s="31"/>
      <c r="EH557" s="31"/>
      <c r="EI557" s="31"/>
      <c r="EJ557" s="31"/>
      <c r="EK557" s="31"/>
      <c r="EL557" s="31"/>
      <c r="EM557" s="31"/>
      <c r="EN557" s="31"/>
      <c r="EO557" s="31"/>
      <c r="EP557" s="31"/>
      <c r="EQ557" s="31"/>
      <c r="ER557" s="31"/>
      <c r="ES557" s="31"/>
      <c r="ET557" s="31"/>
      <c r="EU557" s="31"/>
      <c r="EV557" s="31"/>
      <c r="EW557" s="31"/>
      <c r="EX557" s="31"/>
      <c r="EY557" s="31"/>
      <c r="EZ557" s="31"/>
      <c r="FA557" s="31"/>
      <c r="FB557" s="31"/>
      <c r="FC557" s="31"/>
      <c r="FD557" s="31"/>
      <c r="FE557" s="31"/>
      <c r="FF557" s="31"/>
      <c r="FG557" s="31"/>
      <c r="FH557" s="31"/>
      <c r="FI557" s="31"/>
    </row>
    <row r="558" spans="54:165">
      <c r="BB558" s="31"/>
      <c r="BC558" s="31"/>
      <c r="BD558" s="31"/>
      <c r="BE558" s="31"/>
      <c r="BI558" s="31"/>
      <c r="BL558" s="31"/>
      <c r="BN558" s="31"/>
      <c r="BO558" s="31"/>
      <c r="BP558" s="31"/>
      <c r="BT558" s="31"/>
      <c r="BY558" s="31"/>
      <c r="BZ558" s="31"/>
      <c r="CA558" s="31"/>
      <c r="CB558" s="31"/>
      <c r="CC558" s="31"/>
      <c r="CE558" s="31"/>
      <c r="CF558" s="31"/>
      <c r="CG558" s="31"/>
      <c r="CH558" s="31"/>
      <c r="CI558" s="31"/>
      <c r="CJ558" s="31"/>
      <c r="CL558" s="31"/>
      <c r="CN558" s="31"/>
      <c r="DU558" s="31"/>
      <c r="DV558" s="31"/>
      <c r="DW558" s="31"/>
      <c r="DX558" s="31"/>
      <c r="DY558" s="31"/>
      <c r="DZ558" s="31"/>
      <c r="EA558" s="31"/>
      <c r="EB558" s="31"/>
      <c r="EC558" s="31"/>
      <c r="ED558" s="31"/>
      <c r="EE558" s="31"/>
      <c r="EF558" s="31"/>
      <c r="EG558" s="31"/>
      <c r="EH558" s="31"/>
      <c r="EI558" s="31"/>
      <c r="EJ558" s="31"/>
      <c r="EK558" s="31"/>
      <c r="EL558" s="31"/>
      <c r="EM558" s="31"/>
      <c r="EN558" s="31"/>
      <c r="EO558" s="31"/>
      <c r="EP558" s="31"/>
      <c r="EQ558" s="31"/>
      <c r="ER558" s="31"/>
      <c r="ES558" s="31"/>
      <c r="ET558" s="31"/>
      <c r="EU558" s="31"/>
      <c r="EV558" s="31"/>
      <c r="EW558" s="31"/>
      <c r="EX558" s="31"/>
      <c r="EY558" s="31"/>
      <c r="EZ558" s="31"/>
      <c r="FA558" s="31"/>
      <c r="FB558" s="31"/>
      <c r="FC558" s="31"/>
      <c r="FD558" s="31"/>
      <c r="FE558" s="31"/>
      <c r="FF558" s="31"/>
      <c r="FG558" s="31"/>
      <c r="FH558" s="31"/>
      <c r="FI558" s="31"/>
    </row>
    <row r="559" spans="54:165">
      <c r="BB559" s="31"/>
      <c r="BC559" s="31"/>
      <c r="BD559" s="31"/>
      <c r="BE559" s="31"/>
      <c r="BI559" s="31"/>
      <c r="BL559" s="31"/>
      <c r="BN559" s="31"/>
      <c r="BO559" s="31"/>
      <c r="BP559" s="31"/>
      <c r="BT559" s="31"/>
      <c r="BY559" s="31"/>
      <c r="BZ559" s="31"/>
      <c r="CA559" s="31"/>
      <c r="CB559" s="31"/>
      <c r="CC559" s="31"/>
      <c r="CE559" s="31"/>
      <c r="CF559" s="31"/>
      <c r="CG559" s="31"/>
      <c r="CH559" s="31"/>
      <c r="CI559" s="31"/>
      <c r="CJ559" s="31"/>
      <c r="CL559" s="31"/>
      <c r="CN559" s="31"/>
      <c r="DU559" s="31"/>
      <c r="DV559" s="31"/>
      <c r="DW559" s="31"/>
      <c r="DX559" s="31"/>
      <c r="DY559" s="31"/>
      <c r="DZ559" s="31"/>
      <c r="EA559" s="31"/>
      <c r="EB559" s="31"/>
      <c r="EC559" s="31"/>
      <c r="ED559" s="31"/>
      <c r="EE559" s="31"/>
      <c r="EF559" s="31"/>
      <c r="EG559" s="31"/>
      <c r="EH559" s="31"/>
      <c r="EI559" s="31"/>
      <c r="EJ559" s="31"/>
      <c r="EK559" s="31"/>
      <c r="EL559" s="31"/>
      <c r="EM559" s="31"/>
      <c r="EN559" s="31"/>
      <c r="EO559" s="31"/>
      <c r="EP559" s="31"/>
      <c r="EQ559" s="31"/>
      <c r="ER559" s="31"/>
      <c r="ES559" s="31"/>
      <c r="ET559" s="31"/>
      <c r="EU559" s="31"/>
      <c r="EV559" s="31"/>
      <c r="EW559" s="31"/>
      <c r="EX559" s="31"/>
      <c r="EY559" s="31"/>
      <c r="EZ559" s="31"/>
      <c r="FA559" s="31"/>
      <c r="FB559" s="31"/>
      <c r="FC559" s="31"/>
      <c r="FD559" s="31"/>
      <c r="FE559" s="31"/>
      <c r="FF559" s="31"/>
      <c r="FG559" s="31"/>
      <c r="FH559" s="31"/>
      <c r="FI559" s="31"/>
    </row>
    <row r="560" spans="54:165">
      <c r="BB560" s="31"/>
      <c r="BC560" s="31"/>
      <c r="BD560" s="31"/>
      <c r="BE560" s="31"/>
      <c r="BI560" s="31"/>
      <c r="BL560" s="31"/>
      <c r="BN560" s="31"/>
      <c r="BO560" s="31"/>
      <c r="BP560" s="31"/>
      <c r="BT560" s="31"/>
      <c r="BY560" s="31"/>
      <c r="BZ560" s="31"/>
      <c r="CA560" s="31"/>
      <c r="CB560" s="31"/>
      <c r="CC560" s="31"/>
      <c r="CE560" s="31"/>
      <c r="CF560" s="31"/>
      <c r="CG560" s="31"/>
      <c r="CH560" s="31"/>
      <c r="CI560" s="31"/>
      <c r="CJ560" s="31"/>
      <c r="CL560" s="31"/>
      <c r="CN560" s="31"/>
      <c r="DU560" s="31"/>
      <c r="DV560" s="31"/>
      <c r="DW560" s="31"/>
      <c r="DX560" s="31"/>
      <c r="DY560" s="31"/>
      <c r="DZ560" s="31"/>
      <c r="EA560" s="31"/>
      <c r="EB560" s="31"/>
      <c r="EC560" s="31"/>
      <c r="ED560" s="31"/>
      <c r="EE560" s="31"/>
      <c r="EF560" s="31"/>
      <c r="EG560" s="31"/>
      <c r="EH560" s="31"/>
      <c r="EI560" s="31"/>
      <c r="EJ560" s="31"/>
      <c r="EK560" s="31"/>
      <c r="EL560" s="31"/>
      <c r="EM560" s="31"/>
      <c r="EN560" s="31"/>
      <c r="EO560" s="31"/>
      <c r="EP560" s="31"/>
      <c r="EQ560" s="31"/>
      <c r="ER560" s="31"/>
      <c r="ES560" s="31"/>
      <c r="ET560" s="31"/>
      <c r="EU560" s="31"/>
      <c r="EV560" s="31"/>
      <c r="EW560" s="31"/>
      <c r="EX560" s="31"/>
      <c r="EY560" s="31"/>
      <c r="EZ560" s="31"/>
      <c r="FA560" s="31"/>
      <c r="FB560" s="31"/>
      <c r="FC560" s="31"/>
      <c r="FD560" s="31"/>
      <c r="FE560" s="31"/>
      <c r="FF560" s="31"/>
      <c r="FG560" s="31"/>
      <c r="FH560" s="31"/>
      <c r="FI560" s="31"/>
    </row>
    <row r="561" spans="54:165">
      <c r="BB561" s="31"/>
      <c r="BC561" s="31"/>
      <c r="BD561" s="31"/>
      <c r="BE561" s="31"/>
      <c r="BI561" s="31"/>
      <c r="BL561" s="31"/>
      <c r="BN561" s="31"/>
      <c r="BO561" s="31"/>
      <c r="BP561" s="31"/>
      <c r="BT561" s="31"/>
      <c r="BY561" s="31"/>
      <c r="BZ561" s="31"/>
      <c r="CA561" s="31"/>
      <c r="CB561" s="31"/>
      <c r="CC561" s="31"/>
      <c r="CE561" s="31"/>
      <c r="CF561" s="31"/>
      <c r="CG561" s="31"/>
      <c r="CH561" s="31"/>
      <c r="CI561" s="31"/>
      <c r="CJ561" s="31"/>
      <c r="CL561" s="31"/>
      <c r="CN561" s="31"/>
      <c r="DU561" s="31"/>
      <c r="DV561" s="31"/>
      <c r="DW561" s="31"/>
      <c r="DX561" s="31"/>
      <c r="DY561" s="31"/>
      <c r="DZ561" s="31"/>
      <c r="EA561" s="31"/>
      <c r="EB561" s="31"/>
      <c r="EC561" s="31"/>
      <c r="ED561" s="31"/>
      <c r="EE561" s="31"/>
      <c r="EF561" s="31"/>
      <c r="EG561" s="31"/>
      <c r="EH561" s="31"/>
      <c r="EI561" s="31"/>
      <c r="EJ561" s="31"/>
      <c r="EK561" s="31"/>
      <c r="EL561" s="31"/>
      <c r="EM561" s="31"/>
      <c r="EN561" s="31"/>
      <c r="EO561" s="31"/>
      <c r="EP561" s="31"/>
      <c r="EQ561" s="31"/>
      <c r="ER561" s="31"/>
      <c r="ES561" s="31"/>
      <c r="ET561" s="31"/>
      <c r="EU561" s="31"/>
      <c r="EV561" s="31"/>
      <c r="EW561" s="31"/>
      <c r="EX561" s="31"/>
      <c r="EY561" s="31"/>
      <c r="EZ561" s="31"/>
      <c r="FA561" s="31"/>
      <c r="FB561" s="31"/>
      <c r="FC561" s="31"/>
      <c r="FD561" s="31"/>
      <c r="FE561" s="31"/>
      <c r="FF561" s="31"/>
      <c r="FG561" s="31"/>
      <c r="FH561" s="31"/>
      <c r="FI561" s="31"/>
    </row>
    <row r="562" spans="54:165">
      <c r="BB562" s="31"/>
      <c r="BC562" s="31"/>
      <c r="BD562" s="31"/>
      <c r="BE562" s="31"/>
      <c r="BI562" s="31"/>
      <c r="BL562" s="31"/>
      <c r="BN562" s="31"/>
      <c r="BO562" s="31"/>
      <c r="BP562" s="31"/>
      <c r="BT562" s="31"/>
      <c r="BY562" s="31"/>
      <c r="BZ562" s="31"/>
      <c r="CA562" s="31"/>
      <c r="CB562" s="31"/>
      <c r="CC562" s="31"/>
      <c r="CE562" s="31"/>
      <c r="CF562" s="31"/>
      <c r="CG562" s="31"/>
      <c r="CH562" s="31"/>
      <c r="CI562" s="31"/>
      <c r="CJ562" s="31"/>
      <c r="CL562" s="31"/>
      <c r="CN562" s="31"/>
      <c r="DU562" s="31"/>
      <c r="DV562" s="31"/>
      <c r="DW562" s="31"/>
      <c r="DX562" s="31"/>
      <c r="DY562" s="31"/>
      <c r="DZ562" s="31"/>
      <c r="EA562" s="31"/>
      <c r="EB562" s="31"/>
      <c r="EC562" s="31"/>
      <c r="ED562" s="31"/>
      <c r="EE562" s="31"/>
      <c r="EF562" s="31"/>
      <c r="EG562" s="31"/>
      <c r="EH562" s="31"/>
      <c r="EI562" s="31"/>
      <c r="EJ562" s="31"/>
      <c r="EK562" s="31"/>
      <c r="EL562" s="31"/>
      <c r="EM562" s="31"/>
      <c r="EN562" s="31"/>
      <c r="EO562" s="31"/>
      <c r="EP562" s="31"/>
      <c r="EQ562" s="31"/>
      <c r="ER562" s="31"/>
      <c r="ES562" s="31"/>
      <c r="ET562" s="31"/>
      <c r="EU562" s="31"/>
      <c r="EV562" s="31"/>
      <c r="EW562" s="31"/>
      <c r="EX562" s="31"/>
      <c r="EY562" s="31"/>
      <c r="EZ562" s="31"/>
      <c r="FA562" s="31"/>
      <c r="FB562" s="31"/>
      <c r="FC562" s="31"/>
      <c r="FD562" s="31"/>
      <c r="FE562" s="31"/>
      <c r="FF562" s="31"/>
      <c r="FG562" s="31"/>
      <c r="FH562" s="31"/>
      <c r="FI562" s="31"/>
    </row>
    <row r="563" spans="54:165">
      <c r="BB563" s="31"/>
      <c r="BC563" s="31"/>
      <c r="BD563" s="31"/>
      <c r="BE563" s="31"/>
      <c r="BI563" s="31"/>
      <c r="BL563" s="31"/>
      <c r="BN563" s="31"/>
      <c r="BO563" s="31"/>
      <c r="BP563" s="31"/>
      <c r="BT563" s="31"/>
      <c r="BY563" s="31"/>
      <c r="BZ563" s="31"/>
      <c r="CA563" s="31"/>
      <c r="CB563" s="31"/>
      <c r="CC563" s="31"/>
      <c r="CE563" s="31"/>
      <c r="CF563" s="31"/>
      <c r="CG563" s="31"/>
      <c r="CH563" s="31"/>
      <c r="CI563" s="31"/>
      <c r="CJ563" s="31"/>
      <c r="CL563" s="31"/>
      <c r="CN563" s="31"/>
      <c r="DU563" s="31"/>
      <c r="DV563" s="31"/>
      <c r="DW563" s="31"/>
      <c r="DX563" s="31"/>
      <c r="DY563" s="31"/>
      <c r="DZ563" s="31"/>
      <c r="EA563" s="31"/>
      <c r="EB563" s="31"/>
      <c r="EC563" s="31"/>
      <c r="ED563" s="31"/>
      <c r="EE563" s="31"/>
      <c r="EF563" s="31"/>
      <c r="EG563" s="31"/>
      <c r="EH563" s="31"/>
      <c r="EI563" s="31"/>
      <c r="EJ563" s="31"/>
      <c r="EK563" s="31"/>
      <c r="EL563" s="31"/>
      <c r="EM563" s="31"/>
      <c r="EN563" s="31"/>
      <c r="EO563" s="31"/>
      <c r="EP563" s="31"/>
      <c r="EQ563" s="31"/>
      <c r="ER563" s="31"/>
      <c r="ES563" s="31"/>
      <c r="ET563" s="31"/>
      <c r="EU563" s="31"/>
      <c r="EV563" s="31"/>
      <c r="EW563" s="31"/>
      <c r="EX563" s="31"/>
      <c r="EY563" s="31"/>
      <c r="EZ563" s="31"/>
      <c r="FA563" s="31"/>
      <c r="FB563" s="31"/>
      <c r="FC563" s="31"/>
      <c r="FD563" s="31"/>
      <c r="FE563" s="31"/>
      <c r="FF563" s="31"/>
      <c r="FG563" s="31"/>
      <c r="FH563" s="31"/>
      <c r="FI563" s="31"/>
    </row>
    <row r="564" spans="54:165">
      <c r="BB564" s="31"/>
      <c r="BC564" s="31"/>
      <c r="BD564" s="31"/>
      <c r="BE564" s="31"/>
      <c r="BI564" s="31"/>
      <c r="BL564" s="31"/>
      <c r="BN564" s="31"/>
      <c r="BO564" s="31"/>
      <c r="BP564" s="31"/>
      <c r="BT564" s="31"/>
      <c r="BY564" s="31"/>
      <c r="BZ564" s="31"/>
      <c r="CA564" s="31"/>
      <c r="CB564" s="31"/>
      <c r="CC564" s="31"/>
      <c r="CE564" s="31"/>
      <c r="CF564" s="31"/>
      <c r="CG564" s="31"/>
      <c r="CH564" s="31"/>
      <c r="CI564" s="31"/>
      <c r="CJ564" s="31"/>
      <c r="CL564" s="31"/>
      <c r="CN564" s="31"/>
      <c r="DU564" s="31"/>
      <c r="DV564" s="31"/>
      <c r="DW564" s="31"/>
      <c r="DX564" s="31"/>
      <c r="DY564" s="31"/>
      <c r="DZ564" s="31"/>
      <c r="EA564" s="31"/>
      <c r="EB564" s="31"/>
      <c r="EC564" s="31"/>
      <c r="ED564" s="31"/>
      <c r="EE564" s="31"/>
      <c r="EF564" s="31"/>
      <c r="EG564" s="31"/>
      <c r="EH564" s="31"/>
      <c r="EI564" s="31"/>
      <c r="EJ564" s="31"/>
      <c r="EK564" s="31"/>
      <c r="EL564" s="31"/>
      <c r="EM564" s="31"/>
      <c r="EN564" s="31"/>
      <c r="EO564" s="31"/>
      <c r="EP564" s="31"/>
      <c r="EQ564" s="31"/>
      <c r="ER564" s="31"/>
      <c r="ES564" s="31"/>
      <c r="ET564" s="31"/>
      <c r="EU564" s="31"/>
      <c r="EV564" s="31"/>
      <c r="EW564" s="31"/>
      <c r="EX564" s="31"/>
      <c r="EY564" s="31"/>
      <c r="EZ564" s="31"/>
      <c r="FA564" s="31"/>
      <c r="FB564" s="31"/>
      <c r="FC564" s="31"/>
      <c r="FD564" s="31"/>
      <c r="FE564" s="31"/>
      <c r="FF564" s="31"/>
      <c r="FG564" s="31"/>
      <c r="FH564" s="31"/>
      <c r="FI564" s="31"/>
    </row>
    <row r="565" spans="54:165">
      <c r="BB565" s="31"/>
      <c r="BC565" s="31"/>
      <c r="BD565" s="31"/>
      <c r="BE565" s="31"/>
      <c r="BI565" s="31"/>
      <c r="BL565" s="31"/>
      <c r="BN565" s="31"/>
      <c r="BO565" s="31"/>
      <c r="BP565" s="31"/>
      <c r="BT565" s="31"/>
      <c r="BY565" s="31"/>
      <c r="BZ565" s="31"/>
      <c r="CA565" s="31"/>
      <c r="CB565" s="31"/>
      <c r="CC565" s="31"/>
      <c r="CE565" s="31"/>
      <c r="CF565" s="31"/>
      <c r="CG565" s="31"/>
      <c r="CH565" s="31"/>
      <c r="CI565" s="31"/>
      <c r="CJ565" s="31"/>
      <c r="CL565" s="31"/>
      <c r="CN565" s="31"/>
      <c r="DU565" s="31"/>
      <c r="DV565" s="31"/>
      <c r="DW565" s="31"/>
      <c r="DX565" s="31"/>
      <c r="DY565" s="31"/>
      <c r="DZ565" s="31"/>
      <c r="EA565" s="31"/>
      <c r="EB565" s="31"/>
      <c r="EC565" s="31"/>
      <c r="ED565" s="31"/>
      <c r="EE565" s="31"/>
      <c r="EF565" s="31"/>
      <c r="EG565" s="31"/>
      <c r="EH565" s="31"/>
      <c r="EI565" s="31"/>
      <c r="EJ565" s="31"/>
      <c r="EK565" s="31"/>
      <c r="EL565" s="31"/>
      <c r="EM565" s="31"/>
      <c r="EN565" s="31"/>
      <c r="EO565" s="31"/>
      <c r="EP565" s="31"/>
      <c r="EQ565" s="31"/>
      <c r="ER565" s="31"/>
      <c r="ES565" s="31"/>
      <c r="ET565" s="31"/>
      <c r="EU565" s="31"/>
      <c r="EV565" s="31"/>
      <c r="EW565" s="31"/>
      <c r="EX565" s="31"/>
      <c r="EY565" s="31"/>
      <c r="EZ565" s="31"/>
      <c r="FA565" s="31"/>
      <c r="FB565" s="31"/>
      <c r="FC565" s="31"/>
      <c r="FD565" s="31"/>
      <c r="FE565" s="31"/>
      <c r="FF565" s="31"/>
      <c r="FG565" s="31"/>
      <c r="FH565" s="31"/>
      <c r="FI565" s="31"/>
    </row>
    <row r="566" spans="54:165">
      <c r="BB566" s="31"/>
      <c r="BC566" s="31"/>
      <c r="BD566" s="31"/>
      <c r="BE566" s="31"/>
      <c r="BI566" s="31"/>
      <c r="BL566" s="31"/>
      <c r="BN566" s="31"/>
      <c r="BO566" s="31"/>
      <c r="BP566" s="31"/>
      <c r="BT566" s="31"/>
      <c r="BY566" s="31"/>
      <c r="BZ566" s="31"/>
      <c r="CA566" s="31"/>
      <c r="CB566" s="31"/>
      <c r="CC566" s="31"/>
      <c r="CE566" s="31"/>
      <c r="CF566" s="31"/>
      <c r="CG566" s="31"/>
      <c r="CH566" s="31"/>
      <c r="CI566" s="31"/>
      <c r="CJ566" s="31"/>
      <c r="CL566" s="31"/>
      <c r="CN566" s="31"/>
      <c r="DU566" s="31"/>
      <c r="DV566" s="31"/>
      <c r="DW566" s="31"/>
      <c r="DX566" s="31"/>
      <c r="DY566" s="31"/>
      <c r="DZ566" s="31"/>
      <c r="EA566" s="31"/>
      <c r="EB566" s="31"/>
      <c r="EC566" s="31"/>
      <c r="ED566" s="31"/>
      <c r="EE566" s="31"/>
      <c r="EF566" s="31"/>
      <c r="EG566" s="31"/>
      <c r="EH566" s="31"/>
      <c r="EI566" s="31"/>
      <c r="EJ566" s="31"/>
      <c r="EK566" s="31"/>
      <c r="EL566" s="31"/>
      <c r="EM566" s="31"/>
      <c r="EN566" s="31"/>
      <c r="EO566" s="31"/>
      <c r="EP566" s="31"/>
      <c r="EQ566" s="31"/>
      <c r="ER566" s="31"/>
      <c r="ES566" s="31"/>
      <c r="ET566" s="31"/>
      <c r="EU566" s="31"/>
      <c r="EV566" s="31"/>
      <c r="EW566" s="31"/>
      <c r="EX566" s="31"/>
      <c r="EY566" s="31"/>
      <c r="EZ566" s="31"/>
      <c r="FA566" s="31"/>
      <c r="FB566" s="31"/>
      <c r="FC566" s="31"/>
      <c r="FD566" s="31"/>
      <c r="FE566" s="31"/>
      <c r="FF566" s="31"/>
      <c r="FG566" s="31"/>
      <c r="FH566" s="31"/>
      <c r="FI566" s="31"/>
    </row>
    <row r="567" spans="54:165">
      <c r="BB567" s="31"/>
      <c r="BC567" s="31"/>
      <c r="BD567" s="31"/>
      <c r="BE567" s="31"/>
      <c r="BI567" s="31"/>
      <c r="BL567" s="31"/>
      <c r="BN567" s="31"/>
      <c r="BO567" s="31"/>
      <c r="BP567" s="31"/>
      <c r="BT567" s="31"/>
      <c r="BY567" s="31"/>
      <c r="BZ567" s="31"/>
      <c r="CA567" s="31"/>
      <c r="CB567" s="31"/>
      <c r="CC567" s="31"/>
      <c r="CE567" s="31"/>
      <c r="CF567" s="31"/>
      <c r="CG567" s="31"/>
      <c r="CH567" s="31"/>
      <c r="CI567" s="31"/>
      <c r="CJ567" s="31"/>
      <c r="CL567" s="31"/>
      <c r="CN567" s="31"/>
      <c r="DU567" s="31"/>
      <c r="DV567" s="31"/>
      <c r="DW567" s="31"/>
      <c r="DX567" s="31"/>
      <c r="DY567" s="31"/>
      <c r="DZ567" s="31"/>
      <c r="EA567" s="31"/>
      <c r="EB567" s="31"/>
      <c r="EC567" s="31"/>
      <c r="ED567" s="31"/>
      <c r="EE567" s="31"/>
      <c r="EF567" s="31"/>
      <c r="EG567" s="31"/>
      <c r="EH567" s="31"/>
      <c r="EI567" s="31"/>
      <c r="EJ567" s="31"/>
      <c r="EK567" s="31"/>
      <c r="EL567" s="31"/>
      <c r="EM567" s="31"/>
      <c r="EN567" s="31"/>
      <c r="EO567" s="31"/>
      <c r="EP567" s="31"/>
      <c r="EQ567" s="31"/>
      <c r="ER567" s="31"/>
      <c r="ES567" s="31"/>
      <c r="ET567" s="31"/>
      <c r="EU567" s="31"/>
      <c r="EV567" s="31"/>
      <c r="EW567" s="31"/>
      <c r="EX567" s="31"/>
      <c r="EY567" s="31"/>
      <c r="EZ567" s="31"/>
      <c r="FA567" s="31"/>
      <c r="FB567" s="31"/>
      <c r="FC567" s="31"/>
      <c r="FD567" s="31"/>
      <c r="FE567" s="31"/>
      <c r="FF567" s="31"/>
      <c r="FG567" s="31"/>
      <c r="FH567" s="31"/>
      <c r="FI567" s="31"/>
    </row>
    <row r="568" spans="54:165">
      <c r="BB568" s="31"/>
      <c r="BC568" s="31"/>
      <c r="BD568" s="31"/>
      <c r="BE568" s="31"/>
      <c r="BI568" s="31"/>
      <c r="BL568" s="31"/>
      <c r="BN568" s="31"/>
      <c r="BO568" s="31"/>
      <c r="BP568" s="31"/>
      <c r="BT568" s="31"/>
      <c r="BY568" s="31"/>
      <c r="BZ568" s="31"/>
      <c r="CA568" s="31"/>
      <c r="CB568" s="31"/>
      <c r="CC568" s="31"/>
      <c r="CE568" s="31"/>
      <c r="CF568" s="31"/>
      <c r="CG568" s="31"/>
      <c r="CH568" s="31"/>
      <c r="CI568" s="31"/>
      <c r="CJ568" s="31"/>
      <c r="CL568" s="31"/>
      <c r="CN568" s="31"/>
      <c r="DU568" s="31"/>
      <c r="DV568" s="31"/>
      <c r="DW568" s="31"/>
      <c r="DX568" s="31"/>
      <c r="DY568" s="31"/>
      <c r="DZ568" s="31"/>
      <c r="EA568" s="31"/>
      <c r="EB568" s="31"/>
      <c r="EC568" s="31"/>
      <c r="ED568" s="31"/>
      <c r="EE568" s="31"/>
      <c r="EF568" s="31"/>
      <c r="EG568" s="31"/>
      <c r="EH568" s="31"/>
      <c r="EI568" s="31"/>
      <c r="EJ568" s="31"/>
      <c r="EK568" s="31"/>
      <c r="EL568" s="31"/>
      <c r="EM568" s="31"/>
      <c r="EN568" s="31"/>
      <c r="EO568" s="31"/>
      <c r="EP568" s="31"/>
      <c r="EQ568" s="31"/>
      <c r="ER568" s="31"/>
      <c r="ES568" s="31"/>
      <c r="ET568" s="31"/>
      <c r="EU568" s="31"/>
      <c r="EV568" s="31"/>
      <c r="EW568" s="31"/>
      <c r="EX568" s="31"/>
      <c r="EY568" s="31"/>
      <c r="EZ568" s="31"/>
      <c r="FA568" s="31"/>
      <c r="FB568" s="31"/>
      <c r="FC568" s="31"/>
      <c r="FD568" s="31"/>
      <c r="FE568" s="31"/>
      <c r="FF568" s="31"/>
      <c r="FG568" s="31"/>
      <c r="FH568" s="31"/>
      <c r="FI568" s="31"/>
    </row>
    <row r="569" spans="54:165">
      <c r="BB569" s="31"/>
      <c r="BC569" s="31"/>
      <c r="BD569" s="31"/>
      <c r="BE569" s="31"/>
      <c r="BI569" s="31"/>
      <c r="BL569" s="31"/>
      <c r="BN569" s="31"/>
      <c r="BO569" s="31"/>
      <c r="BP569" s="31"/>
      <c r="BT569" s="31"/>
      <c r="BY569" s="31"/>
      <c r="BZ569" s="31"/>
      <c r="CA569" s="31"/>
      <c r="CB569" s="31"/>
      <c r="CC569" s="31"/>
      <c r="CE569" s="31"/>
      <c r="CF569" s="31"/>
      <c r="CG569" s="31"/>
      <c r="CH569" s="31"/>
      <c r="CI569" s="31"/>
      <c r="CJ569" s="31"/>
      <c r="CL569" s="31"/>
      <c r="CN569" s="31"/>
      <c r="DU569" s="31"/>
      <c r="DV569" s="31"/>
      <c r="DW569" s="31"/>
      <c r="DX569" s="31"/>
      <c r="DY569" s="31"/>
      <c r="DZ569" s="31"/>
      <c r="EA569" s="31"/>
      <c r="EB569" s="31"/>
      <c r="EC569" s="31"/>
      <c r="ED569" s="31"/>
      <c r="EE569" s="31"/>
      <c r="EF569" s="31"/>
      <c r="EG569" s="31"/>
      <c r="EH569" s="31"/>
      <c r="EI569" s="31"/>
      <c r="EJ569" s="31"/>
      <c r="EK569" s="31"/>
      <c r="EL569" s="31"/>
      <c r="EM569" s="31"/>
      <c r="EN569" s="31"/>
      <c r="EO569" s="31"/>
      <c r="EP569" s="31"/>
      <c r="EQ569" s="31"/>
      <c r="ER569" s="31"/>
      <c r="ES569" s="31"/>
      <c r="ET569" s="31"/>
      <c r="EU569" s="31"/>
      <c r="EV569" s="31"/>
      <c r="EW569" s="31"/>
      <c r="EX569" s="31"/>
      <c r="EY569" s="31"/>
      <c r="EZ569" s="31"/>
      <c r="FA569" s="31"/>
      <c r="FB569" s="31"/>
      <c r="FC569" s="31"/>
      <c r="FD569" s="31"/>
      <c r="FE569" s="31"/>
      <c r="FF569" s="31"/>
      <c r="FG569" s="31"/>
      <c r="FH569" s="31"/>
      <c r="FI569" s="31"/>
    </row>
    <row r="570" spans="54:165">
      <c r="BB570" s="31"/>
      <c r="BC570" s="31"/>
      <c r="BD570" s="31"/>
      <c r="BE570" s="31"/>
      <c r="BI570" s="31"/>
      <c r="BL570" s="31"/>
      <c r="BN570" s="31"/>
      <c r="BO570" s="31"/>
      <c r="BP570" s="31"/>
      <c r="BT570" s="31"/>
      <c r="BY570" s="31"/>
      <c r="BZ570" s="31"/>
      <c r="CA570" s="31"/>
      <c r="CB570" s="31"/>
      <c r="CC570" s="31"/>
      <c r="CE570" s="31"/>
      <c r="CF570" s="31"/>
      <c r="CG570" s="31"/>
      <c r="CH570" s="31"/>
      <c r="CI570" s="31"/>
      <c r="CJ570" s="31"/>
      <c r="CL570" s="31"/>
      <c r="CN570" s="31"/>
      <c r="DU570" s="31"/>
      <c r="DV570" s="31"/>
      <c r="DW570" s="31"/>
      <c r="DX570" s="31"/>
      <c r="DY570" s="31"/>
      <c r="DZ570" s="31"/>
      <c r="EA570" s="31"/>
      <c r="EB570" s="31"/>
      <c r="EC570" s="31"/>
      <c r="ED570" s="31"/>
      <c r="EE570" s="31"/>
      <c r="EF570" s="31"/>
      <c r="EG570" s="31"/>
      <c r="EH570" s="31"/>
      <c r="EI570" s="31"/>
      <c r="EJ570" s="31"/>
      <c r="EK570" s="31"/>
      <c r="EL570" s="31"/>
      <c r="EM570" s="31"/>
      <c r="EN570" s="31"/>
      <c r="EO570" s="31"/>
      <c r="EP570" s="31"/>
      <c r="EQ570" s="31"/>
      <c r="ER570" s="31"/>
      <c r="ES570" s="31"/>
      <c r="ET570" s="31"/>
      <c r="EU570" s="31"/>
      <c r="EV570" s="31"/>
      <c r="EW570" s="31"/>
      <c r="EX570" s="31"/>
      <c r="EY570" s="31"/>
      <c r="EZ570" s="31"/>
      <c r="FA570" s="31"/>
      <c r="FB570" s="31"/>
      <c r="FC570" s="31"/>
      <c r="FD570" s="31"/>
      <c r="FE570" s="31"/>
      <c r="FF570" s="31"/>
      <c r="FG570" s="31"/>
      <c r="FH570" s="31"/>
      <c r="FI570" s="31"/>
    </row>
    <row r="571" spans="54:165">
      <c r="BB571" s="31"/>
      <c r="BC571" s="31"/>
      <c r="BD571" s="31"/>
      <c r="BE571" s="31"/>
      <c r="BI571" s="31"/>
      <c r="BL571" s="31"/>
      <c r="BN571" s="31"/>
      <c r="BO571" s="31"/>
      <c r="BP571" s="31"/>
      <c r="BT571" s="31"/>
      <c r="BY571" s="31"/>
      <c r="BZ571" s="31"/>
      <c r="CA571" s="31"/>
      <c r="CB571" s="31"/>
      <c r="CC571" s="31"/>
      <c r="CE571" s="31"/>
      <c r="CF571" s="31"/>
      <c r="CG571" s="31"/>
      <c r="CH571" s="31"/>
      <c r="CI571" s="31"/>
      <c r="CJ571" s="31"/>
      <c r="CL571" s="31"/>
      <c r="CN571" s="31"/>
      <c r="DU571" s="31"/>
      <c r="DV571" s="31"/>
      <c r="DW571" s="31"/>
      <c r="DX571" s="31"/>
      <c r="DY571" s="31"/>
      <c r="DZ571" s="31"/>
      <c r="EA571" s="31"/>
      <c r="EB571" s="31"/>
      <c r="EC571" s="31"/>
      <c r="ED571" s="31"/>
      <c r="EE571" s="31"/>
      <c r="EF571" s="31"/>
      <c r="EG571" s="31"/>
      <c r="EH571" s="31"/>
      <c r="EI571" s="31"/>
      <c r="EJ571" s="31"/>
      <c r="EK571" s="31"/>
      <c r="EL571" s="31"/>
      <c r="EM571" s="31"/>
      <c r="EN571" s="31"/>
      <c r="EO571" s="31"/>
      <c r="EP571" s="31"/>
      <c r="EQ571" s="31"/>
      <c r="ER571" s="31"/>
      <c r="ES571" s="31"/>
      <c r="ET571" s="31"/>
      <c r="EU571" s="31"/>
      <c r="EV571" s="31"/>
      <c r="EW571" s="31"/>
      <c r="EX571" s="31"/>
      <c r="EY571" s="31"/>
      <c r="EZ571" s="31"/>
      <c r="FA571" s="31"/>
      <c r="FB571" s="31"/>
      <c r="FC571" s="31"/>
      <c r="FD571" s="31"/>
      <c r="FE571" s="31"/>
      <c r="FF571" s="31"/>
      <c r="FG571" s="31"/>
      <c r="FH571" s="31"/>
      <c r="FI571" s="31"/>
    </row>
    <row r="572" spans="54:165">
      <c r="BB572" s="31"/>
      <c r="BC572" s="31"/>
      <c r="BD572" s="31"/>
      <c r="BE572" s="31"/>
      <c r="BI572" s="31"/>
      <c r="BL572" s="31"/>
      <c r="BN572" s="31"/>
      <c r="BO572" s="31"/>
      <c r="BP572" s="31"/>
      <c r="BT572" s="31"/>
      <c r="BY572" s="31"/>
      <c r="BZ572" s="31"/>
      <c r="CA572" s="31"/>
      <c r="CB572" s="31"/>
      <c r="CC572" s="31"/>
      <c r="CE572" s="31"/>
      <c r="CF572" s="31"/>
      <c r="CG572" s="31"/>
      <c r="CH572" s="31"/>
      <c r="CI572" s="31"/>
      <c r="CJ572" s="31"/>
      <c r="CL572" s="31"/>
      <c r="CN572" s="31"/>
      <c r="DU572" s="31"/>
      <c r="DV572" s="31"/>
      <c r="DW572" s="31"/>
      <c r="DX572" s="31"/>
      <c r="DY572" s="31"/>
      <c r="DZ572" s="31"/>
      <c r="EA572" s="31"/>
      <c r="EB572" s="31"/>
      <c r="EC572" s="31"/>
      <c r="ED572" s="31"/>
      <c r="EE572" s="31"/>
      <c r="EF572" s="31"/>
      <c r="EG572" s="31"/>
      <c r="EH572" s="31"/>
      <c r="EI572" s="31"/>
      <c r="EJ572" s="31"/>
      <c r="EK572" s="31"/>
      <c r="EL572" s="31"/>
      <c r="EM572" s="31"/>
      <c r="EN572" s="31"/>
      <c r="EO572" s="31"/>
      <c r="EP572" s="31"/>
      <c r="EQ572" s="31"/>
      <c r="ER572" s="31"/>
      <c r="ES572" s="31"/>
      <c r="ET572" s="31"/>
      <c r="EU572" s="31"/>
      <c r="EV572" s="31"/>
      <c r="EW572" s="31"/>
      <c r="EX572" s="31"/>
      <c r="EY572" s="31"/>
      <c r="EZ572" s="31"/>
      <c r="FA572" s="31"/>
      <c r="FB572" s="31"/>
      <c r="FC572" s="31"/>
      <c r="FD572" s="31"/>
      <c r="FE572" s="31"/>
      <c r="FF572" s="31"/>
      <c r="FG572" s="31"/>
      <c r="FH572" s="31"/>
      <c r="FI572" s="31"/>
    </row>
    <row r="573" spans="54:165">
      <c r="BB573" s="31"/>
      <c r="BC573" s="31"/>
      <c r="BD573" s="31"/>
      <c r="BE573" s="31"/>
      <c r="BI573" s="31"/>
      <c r="BL573" s="31"/>
      <c r="BN573" s="31"/>
      <c r="BO573" s="31"/>
      <c r="BP573" s="31"/>
      <c r="BT573" s="31"/>
      <c r="BY573" s="31"/>
      <c r="BZ573" s="31"/>
      <c r="CA573" s="31"/>
      <c r="CB573" s="31"/>
      <c r="CC573" s="31"/>
      <c r="CE573" s="31"/>
      <c r="CF573" s="31"/>
      <c r="CG573" s="31"/>
      <c r="CH573" s="31"/>
      <c r="CI573" s="31"/>
      <c r="CJ573" s="31"/>
      <c r="CL573" s="31"/>
      <c r="CN573" s="31"/>
      <c r="DU573" s="31"/>
      <c r="DV573" s="31"/>
      <c r="DW573" s="31"/>
      <c r="DX573" s="31"/>
      <c r="DY573" s="31"/>
      <c r="DZ573" s="31"/>
      <c r="EA573" s="31"/>
      <c r="EB573" s="31"/>
      <c r="EC573" s="31"/>
      <c r="ED573" s="31"/>
      <c r="EE573" s="31"/>
      <c r="EF573" s="31"/>
      <c r="EG573" s="31"/>
      <c r="EH573" s="31"/>
      <c r="EI573" s="31"/>
      <c r="EJ573" s="31"/>
      <c r="EK573" s="31"/>
      <c r="EL573" s="31"/>
      <c r="EM573" s="31"/>
      <c r="EN573" s="31"/>
      <c r="EO573" s="31"/>
      <c r="EP573" s="31"/>
      <c r="EQ573" s="31"/>
      <c r="ER573" s="31"/>
      <c r="ES573" s="31"/>
      <c r="ET573" s="31"/>
      <c r="EU573" s="31"/>
      <c r="EV573" s="31"/>
      <c r="EW573" s="31"/>
      <c r="EX573" s="31"/>
      <c r="EY573" s="31"/>
      <c r="EZ573" s="31"/>
      <c r="FA573" s="31"/>
      <c r="FB573" s="31"/>
      <c r="FC573" s="31"/>
      <c r="FD573" s="31"/>
      <c r="FE573" s="31"/>
      <c r="FF573" s="31"/>
      <c r="FG573" s="31"/>
      <c r="FH573" s="31"/>
      <c r="FI573" s="31"/>
    </row>
    <row r="574" spans="54:165">
      <c r="BB574" s="31"/>
      <c r="BC574" s="31"/>
      <c r="BD574" s="31"/>
      <c r="BE574" s="31"/>
      <c r="BI574" s="31"/>
      <c r="BL574" s="31"/>
      <c r="BN574" s="31"/>
      <c r="BO574" s="31"/>
      <c r="BP574" s="31"/>
      <c r="BT574" s="31"/>
      <c r="BY574" s="31"/>
      <c r="BZ574" s="31"/>
      <c r="CA574" s="31"/>
      <c r="CB574" s="31"/>
      <c r="CC574" s="31"/>
      <c r="CE574" s="31"/>
      <c r="CF574" s="31"/>
      <c r="CG574" s="31"/>
      <c r="CH574" s="31"/>
      <c r="CI574" s="31"/>
      <c r="CJ574" s="31"/>
      <c r="CL574" s="31"/>
      <c r="CN574" s="31"/>
      <c r="DU574" s="31"/>
      <c r="DV574" s="31"/>
      <c r="DW574" s="31"/>
      <c r="DX574" s="31"/>
      <c r="DY574" s="31"/>
      <c r="DZ574" s="31"/>
      <c r="EA574" s="31"/>
      <c r="EB574" s="31"/>
      <c r="EC574" s="31"/>
      <c r="ED574" s="31"/>
      <c r="EE574" s="31"/>
      <c r="EF574" s="31"/>
      <c r="EG574" s="31"/>
      <c r="EH574" s="31"/>
      <c r="EI574" s="31"/>
      <c r="EJ574" s="31"/>
      <c r="EK574" s="31"/>
      <c r="EL574" s="31"/>
      <c r="EM574" s="31"/>
      <c r="EN574" s="31"/>
      <c r="EO574" s="31"/>
      <c r="EP574" s="31"/>
      <c r="EQ574" s="31"/>
      <c r="ER574" s="31"/>
      <c r="ES574" s="31"/>
      <c r="ET574" s="31"/>
      <c r="EU574" s="31"/>
      <c r="EV574" s="31"/>
      <c r="EW574" s="31"/>
      <c r="EX574" s="31"/>
      <c r="EY574" s="31"/>
      <c r="EZ574" s="31"/>
      <c r="FA574" s="31"/>
      <c r="FB574" s="31"/>
      <c r="FC574" s="31"/>
      <c r="FD574" s="31"/>
      <c r="FE574" s="31"/>
      <c r="FF574" s="31"/>
      <c r="FG574" s="31"/>
      <c r="FH574" s="31"/>
      <c r="FI574" s="31"/>
    </row>
    <row r="575" spans="54:165">
      <c r="BB575" s="31"/>
      <c r="BC575" s="31"/>
      <c r="BD575" s="31"/>
      <c r="BE575" s="31"/>
      <c r="BI575" s="31"/>
      <c r="BL575" s="31"/>
      <c r="BN575" s="31"/>
      <c r="BO575" s="31"/>
      <c r="BP575" s="31"/>
      <c r="BT575" s="31"/>
      <c r="BY575" s="31"/>
      <c r="BZ575" s="31"/>
      <c r="CA575" s="31"/>
      <c r="CB575" s="31"/>
      <c r="CC575" s="31"/>
      <c r="CE575" s="31"/>
      <c r="CF575" s="31"/>
      <c r="CG575" s="31"/>
      <c r="CH575" s="31"/>
      <c r="CI575" s="31"/>
      <c r="CJ575" s="31"/>
      <c r="CL575" s="31"/>
      <c r="CN575" s="31"/>
      <c r="DU575" s="31"/>
      <c r="DV575" s="31"/>
      <c r="DW575" s="31"/>
      <c r="DX575" s="31"/>
      <c r="DY575" s="31"/>
      <c r="DZ575" s="31"/>
      <c r="EA575" s="31"/>
      <c r="EB575" s="31"/>
      <c r="EC575" s="31"/>
      <c r="ED575" s="31"/>
      <c r="EE575" s="31"/>
      <c r="EF575" s="31"/>
      <c r="EG575" s="31"/>
      <c r="EH575" s="31"/>
      <c r="EI575" s="31"/>
      <c r="EJ575" s="31"/>
      <c r="EK575" s="31"/>
      <c r="EL575" s="31"/>
      <c r="EM575" s="31"/>
      <c r="EN575" s="31"/>
      <c r="EO575" s="31"/>
      <c r="EP575" s="31"/>
      <c r="EQ575" s="31"/>
      <c r="ER575" s="31"/>
      <c r="ES575" s="31"/>
      <c r="ET575" s="31"/>
      <c r="EU575" s="31"/>
      <c r="EV575" s="31"/>
      <c r="EW575" s="31"/>
      <c r="EX575" s="31"/>
      <c r="EY575" s="31"/>
      <c r="EZ575" s="31"/>
      <c r="FA575" s="31"/>
      <c r="FB575" s="31"/>
      <c r="FC575" s="31"/>
      <c r="FD575" s="31"/>
      <c r="FE575" s="31"/>
      <c r="FF575" s="31"/>
      <c r="FG575" s="31"/>
      <c r="FH575" s="31"/>
      <c r="FI575" s="31"/>
    </row>
    <row r="576" spans="54:165">
      <c r="BB576" s="31"/>
      <c r="BC576" s="31"/>
      <c r="BD576" s="31"/>
      <c r="BE576" s="31"/>
      <c r="BI576" s="31"/>
      <c r="BL576" s="31"/>
      <c r="BN576" s="31"/>
      <c r="BO576" s="31"/>
      <c r="BP576" s="31"/>
      <c r="BT576" s="31"/>
      <c r="BY576" s="31"/>
      <c r="BZ576" s="31"/>
      <c r="CA576" s="31"/>
      <c r="CB576" s="31"/>
      <c r="CC576" s="31"/>
      <c r="CE576" s="31"/>
      <c r="CF576" s="31"/>
      <c r="CG576" s="31"/>
      <c r="CH576" s="31"/>
      <c r="CI576" s="31"/>
      <c r="CJ576" s="31"/>
      <c r="CL576" s="31"/>
      <c r="CN576" s="31"/>
      <c r="DU576" s="31"/>
      <c r="DV576" s="31"/>
      <c r="DW576" s="31"/>
      <c r="DX576" s="31"/>
      <c r="DY576" s="31"/>
      <c r="DZ576" s="31"/>
      <c r="EA576" s="31"/>
      <c r="EB576" s="31"/>
      <c r="EC576" s="31"/>
      <c r="ED576" s="31"/>
      <c r="EE576" s="31"/>
      <c r="EF576" s="31"/>
      <c r="EG576" s="31"/>
      <c r="EH576" s="31"/>
      <c r="EI576" s="31"/>
      <c r="EJ576" s="31"/>
      <c r="EK576" s="31"/>
      <c r="EL576" s="31"/>
      <c r="EM576" s="31"/>
      <c r="EN576" s="31"/>
      <c r="EO576" s="31"/>
      <c r="EP576" s="31"/>
      <c r="EQ576" s="31"/>
      <c r="ER576" s="31"/>
      <c r="ES576" s="31"/>
      <c r="ET576" s="31"/>
      <c r="EU576" s="31"/>
      <c r="EV576" s="31"/>
      <c r="EW576" s="31"/>
      <c r="EX576" s="31"/>
      <c r="EY576" s="31"/>
      <c r="EZ576" s="31"/>
      <c r="FA576" s="31"/>
      <c r="FB576" s="31"/>
      <c r="FC576" s="31"/>
      <c r="FD576" s="31"/>
      <c r="FE576" s="31"/>
      <c r="FF576" s="31"/>
      <c r="FG576" s="31"/>
      <c r="FH576" s="31"/>
      <c r="FI576" s="31"/>
    </row>
    <row r="577" spans="54:165">
      <c r="BB577" s="31"/>
      <c r="BC577" s="31"/>
      <c r="BD577" s="31"/>
      <c r="BE577" s="31"/>
      <c r="BI577" s="31"/>
      <c r="BL577" s="31"/>
      <c r="BN577" s="31"/>
      <c r="BO577" s="31"/>
      <c r="BP577" s="31"/>
      <c r="BT577" s="31"/>
      <c r="BY577" s="31"/>
      <c r="BZ577" s="31"/>
      <c r="CA577" s="31"/>
      <c r="CB577" s="31"/>
      <c r="CC577" s="31"/>
      <c r="CE577" s="31"/>
      <c r="CF577" s="31"/>
      <c r="CG577" s="31"/>
      <c r="CH577" s="31"/>
      <c r="CI577" s="31"/>
      <c r="CJ577" s="31"/>
      <c r="CL577" s="31"/>
      <c r="CN577" s="31"/>
      <c r="DU577" s="31"/>
      <c r="DV577" s="31"/>
      <c r="DW577" s="31"/>
      <c r="DX577" s="31"/>
      <c r="DY577" s="31"/>
      <c r="DZ577" s="31"/>
      <c r="EA577" s="31"/>
      <c r="EB577" s="31"/>
      <c r="EC577" s="31"/>
      <c r="ED577" s="31"/>
      <c r="EE577" s="31"/>
      <c r="EF577" s="31"/>
      <c r="EG577" s="31"/>
      <c r="EH577" s="31"/>
      <c r="EI577" s="31"/>
      <c r="EJ577" s="31"/>
      <c r="EK577" s="31"/>
      <c r="EL577" s="31"/>
      <c r="EM577" s="31"/>
      <c r="EN577" s="31"/>
      <c r="EO577" s="31"/>
      <c r="EP577" s="31"/>
      <c r="EQ577" s="31"/>
      <c r="ER577" s="31"/>
      <c r="ES577" s="31"/>
      <c r="ET577" s="31"/>
      <c r="EU577" s="31"/>
      <c r="EV577" s="31"/>
      <c r="EW577" s="31"/>
      <c r="EX577" s="31"/>
      <c r="EY577" s="31"/>
      <c r="EZ577" s="31"/>
      <c r="FA577" s="31"/>
      <c r="FB577" s="31"/>
      <c r="FC577" s="31"/>
      <c r="FD577" s="31"/>
      <c r="FE577" s="31"/>
      <c r="FF577" s="31"/>
      <c r="FG577" s="31"/>
      <c r="FH577" s="31"/>
      <c r="FI577" s="31"/>
    </row>
    <row r="578" spans="54:165">
      <c r="BB578" s="31"/>
      <c r="BC578" s="31"/>
      <c r="BD578" s="31"/>
      <c r="BE578" s="31"/>
      <c r="BI578" s="31"/>
      <c r="BL578" s="31"/>
      <c r="BN578" s="31"/>
      <c r="BO578" s="31"/>
      <c r="BP578" s="31"/>
      <c r="BT578" s="31"/>
      <c r="BY578" s="31"/>
      <c r="BZ578" s="31"/>
      <c r="CA578" s="31"/>
      <c r="CB578" s="31"/>
      <c r="CC578" s="31"/>
      <c r="CE578" s="31"/>
      <c r="CF578" s="31"/>
      <c r="CG578" s="31"/>
      <c r="CH578" s="31"/>
      <c r="CI578" s="31"/>
      <c r="CJ578" s="31"/>
      <c r="CL578" s="31"/>
      <c r="CN578" s="31"/>
      <c r="DU578" s="31"/>
      <c r="DV578" s="31"/>
      <c r="DW578" s="31"/>
      <c r="DX578" s="31"/>
      <c r="DY578" s="31"/>
      <c r="DZ578" s="31"/>
      <c r="EA578" s="31"/>
      <c r="EB578" s="31"/>
      <c r="EC578" s="31"/>
      <c r="ED578" s="31"/>
      <c r="EE578" s="31"/>
      <c r="EF578" s="31"/>
      <c r="EG578" s="31"/>
      <c r="EH578" s="31"/>
      <c r="EI578" s="31"/>
      <c r="EJ578" s="31"/>
      <c r="EK578" s="31"/>
      <c r="EL578" s="31"/>
      <c r="EM578" s="31"/>
      <c r="EN578" s="31"/>
      <c r="EO578" s="31"/>
      <c r="EP578" s="31"/>
      <c r="EQ578" s="31"/>
      <c r="ER578" s="31"/>
      <c r="ES578" s="31"/>
      <c r="ET578" s="31"/>
      <c r="EU578" s="31"/>
      <c r="EV578" s="31"/>
      <c r="EW578" s="31"/>
      <c r="EX578" s="31"/>
      <c r="EY578" s="31"/>
      <c r="EZ578" s="31"/>
      <c r="FA578" s="31"/>
      <c r="FB578" s="31"/>
      <c r="FC578" s="31"/>
      <c r="FD578" s="31"/>
      <c r="FE578" s="31"/>
      <c r="FF578" s="31"/>
      <c r="FG578" s="31"/>
      <c r="FH578" s="31"/>
      <c r="FI578" s="31"/>
    </row>
    <row r="579" spans="54:165">
      <c r="BB579" s="31"/>
      <c r="BC579" s="31"/>
      <c r="BD579" s="31"/>
      <c r="BE579" s="31"/>
      <c r="BI579" s="31"/>
      <c r="BL579" s="31"/>
      <c r="BN579" s="31"/>
      <c r="BO579" s="31"/>
      <c r="BP579" s="31"/>
      <c r="BT579" s="31"/>
      <c r="BY579" s="31"/>
      <c r="BZ579" s="31"/>
      <c r="CA579" s="31"/>
      <c r="CB579" s="31"/>
      <c r="CC579" s="31"/>
      <c r="CE579" s="31"/>
      <c r="CF579" s="31"/>
      <c r="CG579" s="31"/>
      <c r="CH579" s="31"/>
      <c r="CI579" s="31"/>
      <c r="CJ579" s="31"/>
      <c r="CL579" s="31"/>
      <c r="CN579" s="31"/>
      <c r="DU579" s="31"/>
      <c r="DV579" s="31"/>
      <c r="DW579" s="31"/>
      <c r="DX579" s="31"/>
      <c r="DY579" s="31"/>
      <c r="DZ579" s="31"/>
      <c r="EA579" s="31"/>
      <c r="EB579" s="31"/>
      <c r="EC579" s="31"/>
      <c r="ED579" s="31"/>
      <c r="EE579" s="31"/>
      <c r="EF579" s="31"/>
      <c r="EG579" s="31"/>
      <c r="EH579" s="31"/>
      <c r="EI579" s="31"/>
      <c r="EJ579" s="31"/>
      <c r="EK579" s="31"/>
      <c r="EL579" s="31"/>
      <c r="EM579" s="31"/>
      <c r="EN579" s="31"/>
      <c r="EO579" s="31"/>
      <c r="EP579" s="31"/>
      <c r="EQ579" s="31"/>
      <c r="ER579" s="31"/>
      <c r="ES579" s="31"/>
      <c r="ET579" s="31"/>
      <c r="EU579" s="31"/>
      <c r="EV579" s="31"/>
      <c r="EW579" s="31"/>
      <c r="EX579" s="31"/>
      <c r="EY579" s="31"/>
      <c r="EZ579" s="31"/>
      <c r="FA579" s="31"/>
      <c r="FB579" s="31"/>
      <c r="FC579" s="31"/>
      <c r="FD579" s="31"/>
      <c r="FE579" s="31"/>
      <c r="FF579" s="31"/>
      <c r="FG579" s="31"/>
      <c r="FH579" s="31"/>
      <c r="FI579" s="31"/>
    </row>
    <row r="580" spans="54:165">
      <c r="BB580" s="31"/>
      <c r="BC580" s="31"/>
      <c r="BD580" s="31"/>
      <c r="BE580" s="31"/>
      <c r="BI580" s="31"/>
      <c r="BL580" s="31"/>
      <c r="BN580" s="31"/>
      <c r="BO580" s="31"/>
      <c r="BP580" s="31"/>
      <c r="BT580" s="31"/>
      <c r="BY580" s="31"/>
      <c r="BZ580" s="31"/>
      <c r="CA580" s="31"/>
      <c r="CB580" s="31"/>
      <c r="CC580" s="31"/>
      <c r="CE580" s="31"/>
      <c r="CF580" s="31"/>
      <c r="CG580" s="31"/>
      <c r="CH580" s="31"/>
      <c r="CI580" s="31"/>
      <c r="CJ580" s="31"/>
      <c r="CL580" s="31"/>
      <c r="CN580" s="31"/>
      <c r="DU580" s="31"/>
      <c r="DV580" s="31"/>
      <c r="DW580" s="31"/>
      <c r="DX580" s="31"/>
      <c r="DY580" s="31"/>
      <c r="DZ580" s="31"/>
      <c r="EA580" s="31"/>
      <c r="EB580" s="31"/>
      <c r="EC580" s="31"/>
      <c r="ED580" s="31"/>
      <c r="EE580" s="31"/>
      <c r="EF580" s="31"/>
      <c r="EG580" s="31"/>
      <c r="EH580" s="31"/>
      <c r="EI580" s="31"/>
      <c r="EJ580" s="31"/>
      <c r="EK580" s="31"/>
      <c r="EL580" s="31"/>
      <c r="EM580" s="31"/>
      <c r="EN580" s="31"/>
      <c r="EO580" s="31"/>
      <c r="EP580" s="31"/>
      <c r="EQ580" s="31"/>
      <c r="ER580" s="31"/>
      <c r="ES580" s="31"/>
      <c r="ET580" s="31"/>
      <c r="EU580" s="31"/>
      <c r="EV580" s="31"/>
      <c r="EW580" s="31"/>
      <c r="EX580" s="31"/>
      <c r="EY580" s="31"/>
      <c r="EZ580" s="31"/>
      <c r="FA580" s="31"/>
      <c r="FB580" s="31"/>
      <c r="FC580" s="31"/>
      <c r="FD580" s="31"/>
      <c r="FE580" s="31"/>
      <c r="FF580" s="31"/>
      <c r="FG580" s="31"/>
      <c r="FH580" s="31"/>
      <c r="FI580" s="31"/>
    </row>
    <row r="581" spans="54:165">
      <c r="BB581" s="31"/>
      <c r="BC581" s="31"/>
      <c r="BD581" s="31"/>
      <c r="BE581" s="31"/>
      <c r="BI581" s="31"/>
      <c r="BL581" s="31"/>
      <c r="BN581" s="31"/>
      <c r="BO581" s="31"/>
      <c r="BP581" s="31"/>
      <c r="BT581" s="31"/>
      <c r="BY581" s="31"/>
      <c r="BZ581" s="31"/>
      <c r="CA581" s="31"/>
      <c r="CB581" s="31"/>
      <c r="CC581" s="31"/>
      <c r="CE581" s="31"/>
      <c r="CF581" s="31"/>
      <c r="CG581" s="31"/>
      <c r="CH581" s="31"/>
      <c r="CI581" s="31"/>
      <c r="CJ581" s="31"/>
      <c r="CL581" s="31"/>
      <c r="CN581" s="31"/>
      <c r="DU581" s="31"/>
      <c r="DV581" s="31"/>
      <c r="DW581" s="31"/>
      <c r="DX581" s="31"/>
      <c r="DY581" s="31"/>
      <c r="DZ581" s="31"/>
      <c r="EA581" s="31"/>
      <c r="EB581" s="31"/>
      <c r="EC581" s="31"/>
      <c r="ED581" s="31"/>
      <c r="EE581" s="31"/>
      <c r="EF581" s="31"/>
      <c r="EG581" s="31"/>
      <c r="EH581" s="31"/>
      <c r="EI581" s="31"/>
      <c r="EJ581" s="31"/>
      <c r="EK581" s="31"/>
      <c r="EL581" s="31"/>
      <c r="EM581" s="31"/>
      <c r="EN581" s="31"/>
      <c r="EO581" s="31"/>
      <c r="EP581" s="31"/>
      <c r="EQ581" s="31"/>
      <c r="ER581" s="31"/>
      <c r="ES581" s="31"/>
      <c r="ET581" s="31"/>
      <c r="EU581" s="31"/>
      <c r="EV581" s="31"/>
      <c r="EW581" s="31"/>
      <c r="EX581" s="31"/>
      <c r="EY581" s="31"/>
      <c r="EZ581" s="31"/>
      <c r="FA581" s="31"/>
      <c r="FB581" s="31"/>
      <c r="FC581" s="31"/>
      <c r="FD581" s="31"/>
      <c r="FE581" s="31"/>
      <c r="FF581" s="31"/>
      <c r="FG581" s="31"/>
      <c r="FH581" s="31"/>
      <c r="FI581" s="31"/>
    </row>
    <row r="582" spans="54:165">
      <c r="BB582" s="31"/>
      <c r="BC582" s="31"/>
      <c r="BD582" s="31"/>
      <c r="BE582" s="31"/>
      <c r="BI582" s="31"/>
      <c r="BL582" s="31"/>
      <c r="BN582" s="31"/>
      <c r="BO582" s="31"/>
      <c r="BP582" s="31"/>
      <c r="BT582" s="31"/>
      <c r="BY582" s="31"/>
      <c r="BZ582" s="31"/>
      <c r="CA582" s="31"/>
      <c r="CB582" s="31"/>
      <c r="CC582" s="31"/>
      <c r="CE582" s="31"/>
      <c r="CF582" s="31"/>
      <c r="CG582" s="31"/>
      <c r="CH582" s="31"/>
      <c r="CI582" s="31"/>
      <c r="CJ582" s="31"/>
      <c r="CL582" s="31"/>
      <c r="CN582" s="31"/>
      <c r="DU582" s="31"/>
      <c r="DV582" s="31"/>
      <c r="DW582" s="31"/>
      <c r="DX582" s="31"/>
      <c r="DY582" s="31"/>
      <c r="DZ582" s="31"/>
      <c r="EA582" s="31"/>
      <c r="EB582" s="31"/>
      <c r="EC582" s="31"/>
      <c r="ED582" s="31"/>
      <c r="EE582" s="31"/>
      <c r="EF582" s="31"/>
      <c r="EG582" s="31"/>
      <c r="EH582" s="31"/>
      <c r="EI582" s="31"/>
      <c r="EJ582" s="31"/>
      <c r="EK582" s="31"/>
      <c r="EL582" s="31"/>
      <c r="EM582" s="31"/>
      <c r="EN582" s="31"/>
      <c r="EO582" s="31"/>
      <c r="EP582" s="31"/>
      <c r="EQ582" s="31"/>
      <c r="ER582" s="31"/>
      <c r="ES582" s="31"/>
      <c r="ET582" s="31"/>
      <c r="EU582" s="31"/>
      <c r="EV582" s="31"/>
      <c r="EW582" s="31"/>
      <c r="EX582" s="31"/>
      <c r="EY582" s="31"/>
      <c r="EZ582" s="31"/>
      <c r="FA582" s="31"/>
      <c r="FB582" s="31"/>
      <c r="FC582" s="31"/>
      <c r="FD582" s="31"/>
      <c r="FE582" s="31"/>
      <c r="FF582" s="31"/>
      <c r="FG582" s="31"/>
      <c r="FH582" s="31"/>
      <c r="FI582" s="31"/>
    </row>
    <row r="583" spans="54:165">
      <c r="BB583" s="31"/>
      <c r="BC583" s="31"/>
      <c r="BD583" s="31"/>
      <c r="BE583" s="31"/>
      <c r="BI583" s="31"/>
      <c r="BL583" s="31"/>
      <c r="BN583" s="31"/>
      <c r="BO583" s="31"/>
      <c r="BP583" s="31"/>
      <c r="BT583" s="31"/>
      <c r="BY583" s="31"/>
      <c r="BZ583" s="31"/>
      <c r="CA583" s="31"/>
      <c r="CB583" s="31"/>
      <c r="CC583" s="31"/>
      <c r="CE583" s="31"/>
      <c r="CF583" s="31"/>
      <c r="CG583" s="31"/>
      <c r="CH583" s="31"/>
      <c r="CI583" s="31"/>
      <c r="CJ583" s="31"/>
      <c r="CL583" s="31"/>
      <c r="CN583" s="31"/>
      <c r="DU583" s="31"/>
      <c r="DV583" s="31"/>
      <c r="DW583" s="31"/>
      <c r="DX583" s="31"/>
      <c r="DY583" s="31"/>
      <c r="DZ583" s="31"/>
      <c r="EA583" s="31"/>
      <c r="EB583" s="31"/>
      <c r="EC583" s="31"/>
      <c r="ED583" s="31"/>
      <c r="EE583" s="31"/>
      <c r="EF583" s="31"/>
      <c r="EG583" s="31"/>
      <c r="EH583" s="31"/>
      <c r="EI583" s="31"/>
      <c r="EJ583" s="31"/>
      <c r="EK583" s="31"/>
      <c r="EL583" s="31"/>
      <c r="EM583" s="31"/>
      <c r="EN583" s="31"/>
      <c r="EO583" s="31"/>
      <c r="EP583" s="31"/>
      <c r="EQ583" s="31"/>
      <c r="ER583" s="31"/>
      <c r="ES583" s="31"/>
      <c r="ET583" s="31"/>
      <c r="EU583" s="31"/>
      <c r="EV583" s="31"/>
      <c r="EW583" s="31"/>
      <c r="EX583" s="31"/>
      <c r="EY583" s="31"/>
      <c r="EZ583" s="31"/>
      <c r="FA583" s="31"/>
      <c r="FB583" s="31"/>
      <c r="FC583" s="31"/>
      <c r="FD583" s="31"/>
      <c r="FE583" s="31"/>
      <c r="FF583" s="31"/>
      <c r="FG583" s="31"/>
      <c r="FH583" s="31"/>
      <c r="FI583" s="31"/>
    </row>
    <row r="584" spans="54:165">
      <c r="BB584" s="31"/>
      <c r="BC584" s="31"/>
      <c r="BD584" s="31"/>
      <c r="BE584" s="31"/>
      <c r="BI584" s="31"/>
      <c r="BL584" s="31"/>
      <c r="BN584" s="31"/>
      <c r="BO584" s="31"/>
      <c r="BP584" s="31"/>
      <c r="BT584" s="31"/>
      <c r="BY584" s="31"/>
      <c r="BZ584" s="31"/>
      <c r="CA584" s="31"/>
      <c r="CB584" s="31"/>
      <c r="CC584" s="31"/>
      <c r="CE584" s="31"/>
      <c r="CF584" s="31"/>
      <c r="CG584" s="31"/>
      <c r="CH584" s="31"/>
      <c r="CI584" s="31"/>
      <c r="CJ584" s="31"/>
      <c r="CL584" s="31"/>
      <c r="CN584" s="31"/>
      <c r="DU584" s="31"/>
      <c r="DV584" s="31"/>
      <c r="DW584" s="31"/>
      <c r="DX584" s="31"/>
      <c r="DY584" s="31"/>
      <c r="DZ584" s="31"/>
      <c r="EA584" s="31"/>
      <c r="EB584" s="31"/>
      <c r="EC584" s="31"/>
      <c r="ED584" s="31"/>
      <c r="EE584" s="31"/>
      <c r="EF584" s="31"/>
      <c r="EG584" s="31"/>
      <c r="EH584" s="31"/>
      <c r="EI584" s="31"/>
      <c r="EJ584" s="31"/>
      <c r="EK584" s="31"/>
      <c r="EL584" s="31"/>
      <c r="EM584" s="31"/>
      <c r="EN584" s="31"/>
      <c r="EO584" s="31"/>
      <c r="EP584" s="31"/>
      <c r="EQ584" s="31"/>
      <c r="ER584" s="31"/>
      <c r="ES584" s="31"/>
      <c r="ET584" s="31"/>
      <c r="EU584" s="31"/>
      <c r="EV584" s="31"/>
      <c r="EW584" s="31"/>
      <c r="EX584" s="31"/>
      <c r="EY584" s="31"/>
      <c r="EZ584" s="31"/>
      <c r="FA584" s="31"/>
      <c r="FB584" s="31"/>
      <c r="FC584" s="31"/>
      <c r="FD584" s="31"/>
      <c r="FE584" s="31"/>
      <c r="FF584" s="31"/>
      <c r="FG584" s="31"/>
      <c r="FH584" s="31"/>
      <c r="FI584" s="31"/>
    </row>
    <row r="585" spans="54:165">
      <c r="BB585" s="31"/>
      <c r="BC585" s="31"/>
      <c r="BD585" s="31"/>
      <c r="BE585" s="31"/>
      <c r="BI585" s="31"/>
      <c r="BL585" s="31"/>
      <c r="BN585" s="31"/>
      <c r="BO585" s="31"/>
      <c r="BP585" s="31"/>
      <c r="BT585" s="31"/>
      <c r="BY585" s="31"/>
      <c r="BZ585" s="31"/>
      <c r="CA585" s="31"/>
      <c r="CB585" s="31"/>
      <c r="CC585" s="31"/>
      <c r="CE585" s="31"/>
      <c r="CF585" s="31"/>
      <c r="CG585" s="31"/>
      <c r="CH585" s="31"/>
      <c r="CI585" s="31"/>
      <c r="CJ585" s="31"/>
      <c r="CL585" s="31"/>
      <c r="CN585" s="31"/>
      <c r="DU585" s="31"/>
      <c r="DV585" s="31"/>
      <c r="DW585" s="31"/>
      <c r="DX585" s="31"/>
      <c r="DY585" s="31"/>
      <c r="DZ585" s="31"/>
      <c r="EA585" s="31"/>
      <c r="EB585" s="31"/>
      <c r="EC585" s="31"/>
      <c r="ED585" s="31"/>
      <c r="EE585" s="31"/>
      <c r="EF585" s="31"/>
      <c r="EG585" s="31"/>
      <c r="EH585" s="31"/>
      <c r="EI585" s="31"/>
      <c r="EJ585" s="31"/>
      <c r="EK585" s="31"/>
      <c r="EL585" s="31"/>
      <c r="EM585" s="31"/>
      <c r="EN585" s="31"/>
      <c r="EO585" s="31"/>
      <c r="EP585" s="31"/>
      <c r="EQ585" s="31"/>
      <c r="ER585" s="31"/>
      <c r="ES585" s="31"/>
      <c r="ET585" s="31"/>
      <c r="EU585" s="31"/>
      <c r="EV585" s="31"/>
      <c r="EW585" s="31"/>
      <c r="EX585" s="31"/>
      <c r="EY585" s="31"/>
      <c r="EZ585" s="31"/>
      <c r="FA585" s="31"/>
      <c r="FB585" s="31"/>
      <c r="FC585" s="31"/>
      <c r="FD585" s="31"/>
      <c r="FE585" s="31"/>
      <c r="FF585" s="31"/>
      <c r="FG585" s="31"/>
      <c r="FH585" s="31"/>
      <c r="FI585" s="31"/>
    </row>
    <row r="586" spans="54:165">
      <c r="BB586" s="31"/>
      <c r="BC586" s="31"/>
      <c r="BD586" s="31"/>
      <c r="BE586" s="31"/>
      <c r="BI586" s="31"/>
      <c r="BL586" s="31"/>
      <c r="BN586" s="31"/>
      <c r="BO586" s="31"/>
      <c r="BP586" s="31"/>
      <c r="BT586" s="31"/>
      <c r="BY586" s="31"/>
      <c r="BZ586" s="31"/>
      <c r="CA586" s="31"/>
      <c r="CB586" s="31"/>
      <c r="CC586" s="31"/>
      <c r="CE586" s="31"/>
      <c r="CF586" s="31"/>
      <c r="CG586" s="31"/>
      <c r="CH586" s="31"/>
      <c r="CI586" s="31"/>
      <c r="CJ586" s="31"/>
      <c r="CL586" s="31"/>
      <c r="CN586" s="31"/>
      <c r="DU586" s="31"/>
      <c r="DV586" s="31"/>
      <c r="DW586" s="31"/>
      <c r="DX586" s="31"/>
      <c r="DY586" s="31"/>
      <c r="DZ586" s="31"/>
      <c r="EA586" s="31"/>
      <c r="EB586" s="31"/>
      <c r="EC586" s="31"/>
      <c r="ED586" s="31"/>
      <c r="EE586" s="31"/>
      <c r="EF586" s="31"/>
      <c r="EG586" s="31"/>
      <c r="EH586" s="31"/>
      <c r="EI586" s="31"/>
      <c r="EJ586" s="31"/>
      <c r="EK586" s="31"/>
      <c r="EL586" s="31"/>
      <c r="EM586" s="31"/>
      <c r="EN586" s="31"/>
      <c r="EO586" s="31"/>
      <c r="EP586" s="31"/>
      <c r="EQ586" s="31"/>
      <c r="ER586" s="31"/>
      <c r="ES586" s="31"/>
      <c r="ET586" s="31"/>
      <c r="EU586" s="31"/>
      <c r="EV586" s="31"/>
      <c r="EW586" s="31"/>
      <c r="EX586" s="31"/>
      <c r="EY586" s="31"/>
      <c r="EZ586" s="31"/>
      <c r="FA586" s="31"/>
      <c r="FB586" s="31"/>
      <c r="FC586" s="31"/>
      <c r="FD586" s="31"/>
      <c r="FE586" s="31"/>
      <c r="FF586" s="31"/>
      <c r="FG586" s="31"/>
      <c r="FH586" s="31"/>
      <c r="FI586" s="31"/>
    </row>
    <row r="587" spans="54:165">
      <c r="BB587" s="31"/>
      <c r="BC587" s="31"/>
      <c r="BD587" s="31"/>
      <c r="BE587" s="31"/>
      <c r="BI587" s="31"/>
      <c r="BL587" s="31"/>
      <c r="BN587" s="31"/>
      <c r="BO587" s="31"/>
      <c r="BP587" s="31"/>
      <c r="BT587" s="31"/>
      <c r="BY587" s="31"/>
      <c r="BZ587" s="31"/>
      <c r="CA587" s="31"/>
      <c r="CB587" s="31"/>
      <c r="CC587" s="31"/>
      <c r="CE587" s="31"/>
      <c r="CF587" s="31"/>
      <c r="CG587" s="31"/>
      <c r="CH587" s="31"/>
      <c r="CI587" s="31"/>
      <c r="CJ587" s="31"/>
      <c r="CL587" s="31"/>
      <c r="CN587" s="31"/>
      <c r="DU587" s="31"/>
      <c r="DV587" s="31"/>
      <c r="DW587" s="31"/>
      <c r="DX587" s="31"/>
      <c r="DY587" s="31"/>
      <c r="DZ587" s="31"/>
      <c r="EA587" s="31"/>
      <c r="EB587" s="31"/>
      <c r="EC587" s="31"/>
      <c r="ED587" s="31"/>
      <c r="EE587" s="31"/>
      <c r="EF587" s="31"/>
      <c r="EG587" s="31"/>
      <c r="EH587" s="31"/>
      <c r="EI587" s="31"/>
      <c r="EJ587" s="31"/>
      <c r="EK587" s="31"/>
      <c r="EL587" s="31"/>
      <c r="EM587" s="31"/>
      <c r="EN587" s="31"/>
      <c r="EO587" s="31"/>
      <c r="EP587" s="31"/>
      <c r="EQ587" s="31"/>
      <c r="ER587" s="31"/>
      <c r="ES587" s="31"/>
      <c r="ET587" s="31"/>
      <c r="EU587" s="31"/>
      <c r="EV587" s="31"/>
      <c r="EW587" s="31"/>
      <c r="EX587" s="31"/>
      <c r="EY587" s="31"/>
      <c r="EZ587" s="31"/>
      <c r="FA587" s="31"/>
      <c r="FB587" s="31"/>
      <c r="FC587" s="31"/>
      <c r="FD587" s="31"/>
      <c r="FE587" s="31"/>
      <c r="FF587" s="31"/>
      <c r="FG587" s="31"/>
      <c r="FH587" s="31"/>
      <c r="FI587" s="31"/>
    </row>
    <row r="588" spans="54:165">
      <c r="BB588" s="31"/>
      <c r="BC588" s="31"/>
      <c r="BD588" s="31"/>
      <c r="BE588" s="31"/>
      <c r="BI588" s="31"/>
      <c r="BL588" s="31"/>
      <c r="BN588" s="31"/>
      <c r="BO588" s="31"/>
      <c r="BP588" s="31"/>
      <c r="BT588" s="31"/>
      <c r="BY588" s="31"/>
      <c r="BZ588" s="31"/>
      <c r="CA588" s="31"/>
      <c r="CB588" s="31"/>
      <c r="CC588" s="31"/>
      <c r="CE588" s="31"/>
      <c r="CF588" s="31"/>
      <c r="CG588" s="31"/>
      <c r="CH588" s="31"/>
      <c r="CI588" s="31"/>
      <c r="CJ588" s="31"/>
      <c r="CL588" s="31"/>
      <c r="CN588" s="31"/>
      <c r="DU588" s="31"/>
      <c r="DV588" s="31"/>
      <c r="DW588" s="31"/>
      <c r="DX588" s="31"/>
      <c r="DY588" s="31"/>
      <c r="EA588" s="31"/>
      <c r="EB588" s="31"/>
      <c r="EC588" s="31"/>
      <c r="ED588" s="31"/>
      <c r="EE588" s="31"/>
      <c r="EF588" s="31"/>
      <c r="EG588" s="31"/>
      <c r="EH588" s="31"/>
      <c r="EI588" s="31"/>
      <c r="EJ588" s="31"/>
      <c r="EK588" s="31"/>
      <c r="EL588" s="31"/>
      <c r="EM588" s="31"/>
      <c r="EN588" s="31"/>
      <c r="EO588" s="31"/>
      <c r="EP588" s="31"/>
      <c r="EQ588" s="31"/>
      <c r="ER588" s="31"/>
      <c r="ES588" s="31"/>
      <c r="ET588" s="31"/>
      <c r="EU588" s="31"/>
      <c r="EV588" s="31"/>
      <c r="EW588" s="31"/>
      <c r="EX588" s="31"/>
      <c r="EY588" s="31"/>
      <c r="EZ588" s="31"/>
      <c r="FA588" s="31"/>
      <c r="FB588" s="31"/>
      <c r="FC588" s="31"/>
      <c r="FD588" s="31"/>
      <c r="FE588" s="31"/>
      <c r="FF588" s="31"/>
      <c r="FG588" s="31"/>
      <c r="FH588" s="31"/>
      <c r="FI588" s="31"/>
    </row>
    <row r="589" spans="54:165">
      <c r="BB589" s="31"/>
      <c r="BC589" s="31"/>
      <c r="BD589" s="31"/>
      <c r="BE589" s="31"/>
      <c r="BI589" s="31"/>
      <c r="BL589" s="31"/>
      <c r="BN589" s="31"/>
      <c r="BO589" s="31"/>
      <c r="BP589" s="31"/>
      <c r="BT589" s="31"/>
      <c r="BY589" s="31"/>
      <c r="BZ589" s="31"/>
      <c r="CA589" s="31"/>
      <c r="CB589" s="31"/>
      <c r="CC589" s="31"/>
      <c r="CE589" s="31"/>
      <c r="CF589" s="31"/>
      <c r="CG589" s="31"/>
      <c r="CH589" s="31"/>
      <c r="CI589" s="31"/>
      <c r="CJ589" s="31"/>
      <c r="CL589" s="31"/>
      <c r="CN589" s="31"/>
      <c r="DU589" s="31"/>
      <c r="DV589" s="31"/>
      <c r="DW589" s="31"/>
      <c r="DX589" s="31"/>
      <c r="DY589" s="31"/>
      <c r="EA589" s="31"/>
      <c r="EB589" s="31"/>
      <c r="EC589" s="31"/>
      <c r="ED589" s="31"/>
      <c r="EE589" s="31"/>
      <c r="EF589" s="31"/>
      <c r="EG589" s="31"/>
      <c r="EH589" s="31"/>
      <c r="EI589" s="31"/>
      <c r="EJ589" s="31"/>
      <c r="EK589" s="31"/>
      <c r="EL589" s="31"/>
      <c r="EM589" s="31"/>
      <c r="EN589" s="31"/>
      <c r="EO589" s="31"/>
      <c r="EP589" s="31"/>
      <c r="EQ589" s="31"/>
      <c r="ER589" s="31"/>
      <c r="ES589" s="31"/>
      <c r="ET589" s="31"/>
      <c r="EU589" s="31"/>
      <c r="EV589" s="31"/>
      <c r="EW589" s="31"/>
      <c r="EX589" s="31"/>
      <c r="EY589" s="31"/>
      <c r="EZ589" s="31"/>
      <c r="FA589" s="31"/>
      <c r="FB589" s="31"/>
      <c r="FC589" s="31"/>
      <c r="FD589" s="31"/>
      <c r="FE589" s="31"/>
      <c r="FF589" s="31"/>
      <c r="FG589" s="31"/>
      <c r="FH589" s="31"/>
      <c r="FI589" s="31"/>
    </row>
    <row r="590" spans="54:165">
      <c r="BB590" s="31"/>
      <c r="BC590" s="31"/>
      <c r="BD590" s="31"/>
      <c r="BE590" s="31"/>
      <c r="BI590" s="31"/>
      <c r="BL590" s="31"/>
      <c r="BN590" s="31"/>
      <c r="BO590" s="31"/>
      <c r="BP590" s="31"/>
      <c r="BT590" s="31"/>
      <c r="BY590" s="31"/>
      <c r="BZ590" s="31"/>
      <c r="CA590" s="31"/>
      <c r="CB590" s="31"/>
      <c r="CC590" s="31"/>
      <c r="CE590" s="31"/>
      <c r="CF590" s="31"/>
      <c r="CG590" s="31"/>
      <c r="CH590" s="31"/>
      <c r="CI590" s="31"/>
      <c r="CJ590" s="31"/>
      <c r="CL590" s="31"/>
      <c r="CN590" s="31"/>
      <c r="EA590" s="31"/>
    </row>
    <row r="591" spans="54:165">
      <c r="BB591" s="31"/>
      <c r="BC591" s="31"/>
      <c r="BD591" s="31"/>
      <c r="BE591" s="31"/>
      <c r="BI591" s="31"/>
      <c r="BL591" s="31"/>
      <c r="BN591" s="31"/>
      <c r="BO591" s="31"/>
      <c r="BP591" s="31"/>
      <c r="BT591" s="31"/>
      <c r="BY591" s="31"/>
      <c r="BZ591" s="31"/>
      <c r="CA591" s="31"/>
      <c r="CB591" s="31"/>
      <c r="CC591" s="31"/>
      <c r="CE591" s="31"/>
      <c r="CF591" s="31"/>
      <c r="CG591" s="31"/>
      <c r="CH591" s="31"/>
      <c r="CI591" s="31"/>
      <c r="CJ591" s="31"/>
      <c r="CL591" s="31"/>
      <c r="CN591" s="31"/>
    </row>
    <row r="592" spans="54:165">
      <c r="BB592" s="31"/>
      <c r="BC592" s="31"/>
      <c r="BD592" s="31"/>
      <c r="BE592" s="31"/>
      <c r="BI592" s="31"/>
      <c r="BL592" s="31"/>
      <c r="BN592" s="31"/>
      <c r="BO592" s="31"/>
      <c r="BP592" s="31"/>
      <c r="BT592" s="31"/>
      <c r="BY592" s="31"/>
      <c r="BZ592" s="31"/>
      <c r="CA592" s="31"/>
      <c r="CB592" s="31"/>
      <c r="CC592" s="31"/>
      <c r="CE592" s="31"/>
      <c r="CF592" s="31"/>
      <c r="CG592" s="31"/>
      <c r="CH592" s="31"/>
      <c r="CI592" s="31"/>
      <c r="CJ592" s="31"/>
      <c r="CL592" s="31"/>
      <c r="CN592" s="31"/>
    </row>
    <row r="593" spans="54:165">
      <c r="BB593" s="31"/>
      <c r="BC593" s="31"/>
      <c r="BD593" s="31"/>
      <c r="BE593" s="31"/>
      <c r="BI593" s="31"/>
      <c r="BL593" s="31"/>
      <c r="BN593" s="31"/>
      <c r="BO593" s="31"/>
      <c r="BP593" s="31"/>
      <c r="BT593" s="31"/>
      <c r="BY593" s="31"/>
      <c r="BZ593" s="31"/>
      <c r="CA593" s="31"/>
      <c r="CB593" s="31"/>
      <c r="CC593" s="31"/>
      <c r="CE593" s="31"/>
      <c r="CF593" s="31"/>
      <c r="CG593" s="31"/>
      <c r="CH593" s="31"/>
      <c r="CI593" s="31"/>
      <c r="CJ593" s="31"/>
      <c r="CL593" s="31"/>
      <c r="CN593" s="31"/>
    </row>
    <row r="594" spans="54:165">
      <c r="BB594" s="31"/>
      <c r="BC594" s="31"/>
      <c r="BD594" s="31"/>
      <c r="BE594" s="31"/>
      <c r="BI594" s="31"/>
      <c r="BL594" s="31"/>
      <c r="BN594" s="31"/>
      <c r="BO594" s="31"/>
      <c r="BP594" s="31"/>
      <c r="BT594" s="31"/>
      <c r="BY594" s="31"/>
      <c r="BZ594" s="31"/>
      <c r="CA594" s="31"/>
      <c r="CB594" s="31"/>
      <c r="CC594" s="31"/>
      <c r="CE594" s="31"/>
      <c r="CF594" s="31"/>
      <c r="CG594" s="31"/>
      <c r="CH594" s="31"/>
      <c r="CI594" s="31"/>
      <c r="CJ594" s="31"/>
      <c r="CL594" s="31"/>
      <c r="CN594" s="31"/>
      <c r="DZ594" s="31"/>
    </row>
    <row r="595" spans="54:165">
      <c r="BB595" s="31"/>
      <c r="BC595" s="31"/>
      <c r="BD595" s="31"/>
      <c r="BE595" s="31"/>
      <c r="BI595" s="31"/>
      <c r="BL595" s="31"/>
      <c r="BN595" s="31"/>
      <c r="BO595" s="31"/>
      <c r="BP595" s="31"/>
      <c r="BT595" s="31"/>
      <c r="BY595" s="31"/>
      <c r="BZ595" s="31"/>
      <c r="CA595" s="31"/>
      <c r="CB595" s="31"/>
      <c r="CC595" s="31"/>
      <c r="CE595" s="31"/>
      <c r="CF595" s="31"/>
      <c r="CG595" s="31"/>
      <c r="CH595" s="31"/>
      <c r="CI595" s="31"/>
      <c r="CJ595" s="31"/>
      <c r="CL595" s="31"/>
      <c r="CN595" s="31"/>
      <c r="DZ595" s="31"/>
    </row>
    <row r="596" spans="54:165">
      <c r="DU596" s="31"/>
      <c r="DV596" s="31"/>
      <c r="DW596" s="31"/>
      <c r="DX596" s="31"/>
      <c r="DY596" s="31"/>
      <c r="EB596" s="31"/>
      <c r="EC596" s="31"/>
      <c r="ED596" s="31"/>
      <c r="EE596" s="31"/>
      <c r="EF596" s="31"/>
      <c r="EG596" s="31"/>
      <c r="EH596" s="31"/>
      <c r="EI596" s="31"/>
      <c r="EJ596" s="31"/>
      <c r="EK596" s="31"/>
      <c r="EL596" s="31"/>
      <c r="EM596" s="31"/>
      <c r="EN596" s="31"/>
      <c r="EO596" s="31"/>
      <c r="EP596" s="31"/>
      <c r="EQ596" s="31"/>
      <c r="ER596" s="31"/>
      <c r="ES596" s="31"/>
      <c r="ET596" s="31"/>
      <c r="EU596" s="31"/>
      <c r="EV596" s="31"/>
      <c r="EW596" s="31"/>
      <c r="EX596" s="31"/>
      <c r="EY596" s="31"/>
      <c r="EZ596" s="31"/>
      <c r="FA596" s="31"/>
      <c r="FB596" s="31"/>
      <c r="FC596" s="31"/>
      <c r="FD596" s="31"/>
      <c r="FE596" s="31"/>
      <c r="FF596" s="31"/>
      <c r="FG596" s="31"/>
      <c r="FH596" s="31"/>
      <c r="FI596" s="31"/>
    </row>
    <row r="597" spans="54:165">
      <c r="DU597" s="31"/>
      <c r="DV597" s="31"/>
      <c r="DW597" s="31"/>
      <c r="DX597" s="31"/>
      <c r="DY597" s="31"/>
      <c r="EA597" s="31"/>
      <c r="EB597" s="31"/>
      <c r="EC597" s="31"/>
      <c r="ED597" s="31"/>
      <c r="EE597" s="31"/>
      <c r="EF597" s="31"/>
      <c r="EG597" s="31"/>
      <c r="EH597" s="31"/>
      <c r="EI597" s="31"/>
      <c r="EJ597" s="31"/>
      <c r="EK597" s="31"/>
      <c r="EL597" s="31"/>
      <c r="EM597" s="31"/>
      <c r="EN597" s="31"/>
      <c r="EO597" s="31"/>
      <c r="EP597" s="31"/>
      <c r="EQ597" s="31"/>
      <c r="ER597" s="31"/>
      <c r="ES597" s="31"/>
      <c r="ET597" s="31"/>
      <c r="EU597" s="31"/>
      <c r="EV597" s="31"/>
      <c r="EW597" s="31"/>
      <c r="EX597" s="31"/>
      <c r="EY597" s="31"/>
      <c r="EZ597" s="31"/>
      <c r="FA597" s="31"/>
      <c r="FB597" s="31"/>
      <c r="FC597" s="31"/>
      <c r="FD597" s="31"/>
      <c r="FE597" s="31"/>
      <c r="FF597" s="31"/>
      <c r="FG597" s="31"/>
      <c r="FH597" s="31"/>
      <c r="FI597" s="31"/>
    </row>
    <row r="598" spans="54:165">
      <c r="EA598" s="31"/>
    </row>
    <row r="602" spans="54:165">
      <c r="BB602" s="31"/>
      <c r="BC602" s="31"/>
      <c r="BD602" s="31"/>
      <c r="BE602" s="31"/>
      <c r="BI602" s="31"/>
      <c r="BL602" s="31"/>
      <c r="BN602" s="31"/>
      <c r="BO602" s="31"/>
      <c r="BP602" s="31"/>
      <c r="BT602" s="31"/>
      <c r="BY602" s="31"/>
      <c r="BZ602" s="31"/>
      <c r="CA602" s="31"/>
      <c r="CB602" s="31"/>
      <c r="CC602" s="31"/>
      <c r="CE602" s="31"/>
      <c r="CF602" s="31"/>
      <c r="CG602" s="31"/>
      <c r="CH602" s="31"/>
      <c r="CI602" s="31"/>
      <c r="CJ602" s="31"/>
      <c r="CL602" s="31"/>
      <c r="CN602" s="31"/>
    </row>
    <row r="603" spans="54:165">
      <c r="BB603" s="31"/>
      <c r="BC603" s="31"/>
      <c r="BD603" s="31"/>
      <c r="BE603" s="31"/>
      <c r="BI603" s="31"/>
      <c r="BL603" s="31"/>
      <c r="BN603" s="31"/>
      <c r="BO603" s="31"/>
      <c r="BP603" s="31"/>
      <c r="BT603" s="31"/>
      <c r="BY603" s="31"/>
      <c r="BZ603" s="31"/>
      <c r="CA603" s="31"/>
      <c r="CB603" s="31"/>
      <c r="CC603" s="31"/>
      <c r="CE603" s="31"/>
      <c r="CF603" s="31"/>
      <c r="CG603" s="31"/>
      <c r="CH603" s="31"/>
      <c r="CI603" s="31"/>
      <c r="CJ603" s="31"/>
      <c r="CL603" s="31"/>
      <c r="CN603" s="31"/>
    </row>
    <row r="614" spans="54:165">
      <c r="DZ614" s="31"/>
    </row>
    <row r="615" spans="54:165">
      <c r="DZ615" s="31"/>
    </row>
    <row r="616" spans="54:165">
      <c r="DU616" s="31"/>
      <c r="DV616" s="31"/>
      <c r="DW616" s="31"/>
      <c r="DX616" s="31"/>
      <c r="DY616" s="31"/>
      <c r="DZ616" s="31"/>
      <c r="EB616" s="31"/>
      <c r="EC616" s="31"/>
      <c r="ED616" s="31"/>
      <c r="EE616" s="31"/>
      <c r="EF616" s="31"/>
      <c r="EG616" s="31"/>
      <c r="EH616" s="31"/>
      <c r="EI616" s="31"/>
      <c r="EJ616" s="31"/>
      <c r="EK616" s="31"/>
      <c r="EL616" s="31"/>
      <c r="EM616" s="31"/>
      <c r="EN616" s="31"/>
      <c r="EO616" s="31"/>
      <c r="EP616" s="31"/>
      <c r="EQ616" s="31"/>
      <c r="ER616" s="31"/>
      <c r="ES616" s="31"/>
      <c r="ET616" s="31"/>
      <c r="EU616" s="31"/>
      <c r="EV616" s="31"/>
      <c r="EW616" s="31"/>
      <c r="EX616" s="31"/>
      <c r="EY616" s="31"/>
      <c r="EZ616" s="31"/>
      <c r="FA616" s="31"/>
      <c r="FB616" s="31"/>
      <c r="FC616" s="31"/>
      <c r="FD616" s="31"/>
      <c r="FE616" s="31"/>
      <c r="FF616" s="31"/>
      <c r="FG616" s="31"/>
      <c r="FH616" s="31"/>
      <c r="FI616" s="31"/>
    </row>
    <row r="617" spans="54:165">
      <c r="DU617" s="31"/>
      <c r="DV617" s="31"/>
      <c r="DW617" s="31"/>
      <c r="DX617" s="31"/>
      <c r="DY617" s="31"/>
      <c r="DZ617" s="31"/>
      <c r="EA617" s="31"/>
      <c r="EB617" s="31"/>
      <c r="EC617" s="31"/>
      <c r="ED617" s="31"/>
      <c r="EE617" s="31"/>
      <c r="EF617" s="31"/>
      <c r="EG617" s="31"/>
      <c r="EH617" s="31"/>
      <c r="EI617" s="31"/>
      <c r="EJ617" s="31"/>
      <c r="EK617" s="31"/>
      <c r="EL617" s="31"/>
      <c r="EM617" s="31"/>
      <c r="EN617" s="31"/>
      <c r="EO617" s="31"/>
      <c r="EP617" s="31"/>
      <c r="EQ617" s="31"/>
      <c r="ER617" s="31"/>
      <c r="ES617" s="31"/>
      <c r="ET617" s="31"/>
      <c r="EU617" s="31"/>
      <c r="EV617" s="31"/>
      <c r="EW617" s="31"/>
      <c r="EX617" s="31"/>
      <c r="EY617" s="31"/>
      <c r="EZ617" s="31"/>
      <c r="FA617" s="31"/>
      <c r="FB617" s="31"/>
      <c r="FC617" s="31"/>
      <c r="FD617" s="31"/>
      <c r="FE617" s="31"/>
      <c r="FF617" s="31"/>
      <c r="FG617" s="31"/>
      <c r="FH617" s="31"/>
      <c r="FI617" s="31"/>
    </row>
    <row r="618" spans="54:165">
      <c r="DU618" s="31"/>
      <c r="DV618" s="31"/>
      <c r="DW618" s="31"/>
      <c r="DX618" s="31"/>
      <c r="DY618" s="31"/>
      <c r="DZ618" s="31"/>
      <c r="EA618" s="31"/>
      <c r="EB618" s="31"/>
      <c r="EC618" s="31"/>
      <c r="ED618" s="31"/>
      <c r="EE618" s="31"/>
      <c r="EF618" s="31"/>
      <c r="EG618" s="31"/>
      <c r="EH618" s="31"/>
      <c r="EI618" s="31"/>
      <c r="EJ618" s="31"/>
      <c r="EK618" s="31"/>
      <c r="EL618" s="31"/>
      <c r="EM618" s="31"/>
      <c r="EN618" s="31"/>
      <c r="EO618" s="31"/>
      <c r="EP618" s="31"/>
      <c r="EQ618" s="31"/>
      <c r="ER618" s="31"/>
      <c r="ES618" s="31"/>
      <c r="ET618" s="31"/>
      <c r="EU618" s="31"/>
      <c r="EV618" s="31"/>
      <c r="EW618" s="31"/>
      <c r="EX618" s="31"/>
      <c r="EY618" s="31"/>
      <c r="EZ618" s="31"/>
      <c r="FA618" s="31"/>
      <c r="FB618" s="31"/>
      <c r="FC618" s="31"/>
      <c r="FD618" s="31"/>
      <c r="FE618" s="31"/>
      <c r="FF618" s="31"/>
      <c r="FG618" s="31"/>
      <c r="FH618" s="31"/>
      <c r="FI618" s="31"/>
    </row>
    <row r="619" spans="54:165">
      <c r="DU619" s="31"/>
      <c r="DV619" s="31"/>
      <c r="DW619" s="31"/>
      <c r="DX619" s="31"/>
      <c r="DY619" s="31"/>
      <c r="DZ619" s="31"/>
      <c r="EA619" s="31"/>
      <c r="EB619" s="31"/>
      <c r="EC619" s="31"/>
      <c r="ED619" s="31"/>
      <c r="EE619" s="31"/>
      <c r="EF619" s="31"/>
      <c r="EG619" s="31"/>
      <c r="EH619" s="31"/>
      <c r="EI619" s="31"/>
      <c r="EJ619" s="31"/>
      <c r="EK619" s="31"/>
      <c r="EL619" s="31"/>
      <c r="EM619" s="31"/>
      <c r="EN619" s="31"/>
      <c r="EO619" s="31"/>
      <c r="EP619" s="31"/>
      <c r="EQ619" s="31"/>
      <c r="ER619" s="31"/>
      <c r="ES619" s="31"/>
      <c r="ET619" s="31"/>
      <c r="EU619" s="31"/>
      <c r="EV619" s="31"/>
      <c r="EW619" s="31"/>
      <c r="EX619" s="31"/>
      <c r="EY619" s="31"/>
      <c r="EZ619" s="31"/>
      <c r="FA619" s="31"/>
      <c r="FB619" s="31"/>
      <c r="FC619" s="31"/>
      <c r="FD619" s="31"/>
      <c r="FE619" s="31"/>
      <c r="FF619" s="31"/>
      <c r="FG619" s="31"/>
      <c r="FH619" s="31"/>
      <c r="FI619" s="31"/>
    </row>
    <row r="620" spans="54:165">
      <c r="DU620" s="31"/>
      <c r="DV620" s="31"/>
      <c r="DW620" s="31"/>
      <c r="DX620" s="31"/>
      <c r="DY620" s="31"/>
      <c r="DZ620" s="31"/>
      <c r="EA620" s="31"/>
      <c r="EB620" s="31"/>
      <c r="EC620" s="31"/>
      <c r="ED620" s="31"/>
      <c r="EE620" s="31"/>
      <c r="EF620" s="31"/>
      <c r="EG620" s="31"/>
      <c r="EH620" s="31"/>
      <c r="EI620" s="31"/>
      <c r="EJ620" s="31"/>
      <c r="EK620" s="31"/>
      <c r="EL620" s="31"/>
      <c r="EM620" s="31"/>
      <c r="EN620" s="31"/>
      <c r="EO620" s="31"/>
      <c r="EP620" s="31"/>
      <c r="EQ620" s="31"/>
      <c r="ER620" s="31"/>
      <c r="ES620" s="31"/>
      <c r="ET620" s="31"/>
      <c r="EU620" s="31"/>
      <c r="EV620" s="31"/>
      <c r="EW620" s="31"/>
      <c r="EX620" s="31"/>
      <c r="EY620" s="31"/>
      <c r="EZ620" s="31"/>
      <c r="FA620" s="31"/>
      <c r="FB620" s="31"/>
      <c r="FC620" s="31"/>
      <c r="FD620" s="31"/>
      <c r="FE620" s="31"/>
      <c r="FF620" s="31"/>
      <c r="FG620" s="31"/>
      <c r="FH620" s="31"/>
      <c r="FI620" s="31"/>
    </row>
    <row r="621" spans="54:165">
      <c r="DU621" s="31"/>
      <c r="DV621" s="31"/>
      <c r="DW621" s="31"/>
      <c r="DX621" s="31"/>
      <c r="DY621" s="31"/>
      <c r="DZ621" s="31"/>
      <c r="EA621" s="31"/>
      <c r="EB621" s="31"/>
      <c r="EC621" s="31"/>
      <c r="ED621" s="31"/>
      <c r="EE621" s="31"/>
      <c r="EF621" s="31"/>
      <c r="EG621" s="31"/>
      <c r="EH621" s="31"/>
      <c r="EI621" s="31"/>
      <c r="EJ621" s="31"/>
      <c r="EK621" s="31"/>
      <c r="EL621" s="31"/>
      <c r="EM621" s="31"/>
      <c r="EN621" s="31"/>
      <c r="EO621" s="31"/>
      <c r="EP621" s="31"/>
      <c r="EQ621" s="31"/>
      <c r="ER621" s="31"/>
      <c r="ES621" s="31"/>
      <c r="ET621" s="31"/>
      <c r="EU621" s="31"/>
      <c r="EV621" s="31"/>
      <c r="EW621" s="31"/>
      <c r="EX621" s="31"/>
      <c r="EY621" s="31"/>
      <c r="EZ621" s="31"/>
      <c r="FA621" s="31"/>
      <c r="FB621" s="31"/>
      <c r="FC621" s="31"/>
      <c r="FD621" s="31"/>
      <c r="FE621" s="31"/>
      <c r="FF621" s="31"/>
      <c r="FG621" s="31"/>
      <c r="FH621" s="31"/>
      <c r="FI621" s="31"/>
    </row>
    <row r="622" spans="54:165">
      <c r="BB622" s="31"/>
      <c r="BC622" s="31"/>
      <c r="BD622" s="31"/>
      <c r="BE622" s="31"/>
      <c r="BI622" s="31"/>
      <c r="BL622" s="31"/>
      <c r="BN622" s="31"/>
      <c r="BO622" s="31"/>
      <c r="BP622" s="31"/>
      <c r="BT622" s="31"/>
      <c r="BY622" s="31"/>
      <c r="BZ622" s="31"/>
      <c r="CA622" s="31"/>
      <c r="CB622" s="31"/>
      <c r="CC622" s="31"/>
      <c r="CE622" s="31"/>
      <c r="CF622" s="31"/>
      <c r="CG622" s="31"/>
      <c r="CH622" s="31"/>
      <c r="CI622" s="31"/>
      <c r="CJ622" s="31"/>
      <c r="CL622" s="31"/>
      <c r="CN622" s="31"/>
      <c r="DU622" s="31"/>
      <c r="DV622" s="31"/>
      <c r="DW622" s="31"/>
      <c r="DX622" s="31"/>
      <c r="DY622" s="31"/>
      <c r="EA622" s="31"/>
      <c r="EB622" s="31"/>
      <c r="EC622" s="31"/>
      <c r="ED622" s="31"/>
      <c r="EE622" s="31"/>
      <c r="EF622" s="31"/>
      <c r="EG622" s="31"/>
      <c r="EH622" s="31"/>
      <c r="EI622" s="31"/>
      <c r="EJ622" s="31"/>
      <c r="EK622" s="31"/>
      <c r="EL622" s="31"/>
      <c r="EM622" s="31"/>
      <c r="EN622" s="31"/>
      <c r="EO622" s="31"/>
      <c r="EP622" s="31"/>
      <c r="EQ622" s="31"/>
      <c r="ER622" s="31"/>
      <c r="ES622" s="31"/>
      <c r="ET622" s="31"/>
      <c r="EU622" s="31"/>
      <c r="EV622" s="31"/>
      <c r="EW622" s="31"/>
      <c r="EX622" s="31"/>
      <c r="EY622" s="31"/>
      <c r="EZ622" s="31"/>
      <c r="FA622" s="31"/>
      <c r="FB622" s="31"/>
      <c r="FC622" s="31"/>
      <c r="FD622" s="31"/>
      <c r="FE622" s="31"/>
      <c r="FF622" s="31"/>
      <c r="FG622" s="31"/>
      <c r="FH622" s="31"/>
      <c r="FI622" s="31"/>
    </row>
    <row r="623" spans="54:165">
      <c r="BB623" s="31"/>
      <c r="BC623" s="31"/>
      <c r="BD623" s="31"/>
      <c r="BE623" s="31"/>
      <c r="BI623" s="31"/>
      <c r="BL623" s="31"/>
      <c r="BN623" s="31"/>
      <c r="BO623" s="31"/>
      <c r="BP623" s="31"/>
      <c r="BT623" s="31"/>
      <c r="BY623" s="31"/>
      <c r="BZ623" s="31"/>
      <c r="CA623" s="31"/>
      <c r="CB623" s="31"/>
      <c r="CC623" s="31"/>
      <c r="CE623" s="31"/>
      <c r="CF623" s="31"/>
      <c r="CG623" s="31"/>
      <c r="CH623" s="31"/>
      <c r="CI623" s="31"/>
      <c r="CJ623" s="31"/>
      <c r="CL623" s="31"/>
      <c r="CN623" s="31"/>
      <c r="DU623" s="31"/>
      <c r="DV623" s="31"/>
      <c r="DW623" s="31"/>
      <c r="DX623" s="31"/>
      <c r="DY623" s="31"/>
      <c r="EA623" s="31"/>
      <c r="EB623" s="31"/>
      <c r="EC623" s="31"/>
      <c r="ED623" s="31"/>
      <c r="EE623" s="31"/>
      <c r="EF623" s="31"/>
      <c r="EG623" s="31"/>
      <c r="EH623" s="31"/>
      <c r="EI623" s="31"/>
      <c r="EJ623" s="31"/>
      <c r="EK623" s="31"/>
      <c r="EL623" s="31"/>
      <c r="EM623" s="31"/>
      <c r="EN623" s="31"/>
      <c r="EO623" s="31"/>
      <c r="EP623" s="31"/>
      <c r="EQ623" s="31"/>
      <c r="ER623" s="31"/>
      <c r="ES623" s="31"/>
      <c r="ET623" s="31"/>
      <c r="EU623" s="31"/>
      <c r="EV623" s="31"/>
      <c r="EW623" s="31"/>
      <c r="EX623" s="31"/>
      <c r="EY623" s="31"/>
      <c r="EZ623" s="31"/>
      <c r="FA623" s="31"/>
      <c r="FB623" s="31"/>
      <c r="FC623" s="31"/>
      <c r="FD623" s="31"/>
      <c r="FE623" s="31"/>
      <c r="FF623" s="31"/>
      <c r="FG623" s="31"/>
      <c r="FH623" s="31"/>
      <c r="FI623" s="31"/>
    </row>
    <row r="624" spans="54:165">
      <c r="BB624" s="31"/>
      <c r="BC624" s="31"/>
      <c r="BD624" s="31"/>
      <c r="BE624" s="31"/>
      <c r="BI624" s="31"/>
      <c r="BL624" s="31"/>
      <c r="BN624" s="31"/>
      <c r="BO624" s="31"/>
      <c r="BP624" s="31"/>
      <c r="BT624" s="31"/>
      <c r="BY624" s="31"/>
      <c r="BZ624" s="31"/>
      <c r="CA624" s="31"/>
      <c r="CB624" s="31"/>
      <c r="CC624" s="31"/>
      <c r="CE624" s="31"/>
      <c r="CF624" s="31"/>
      <c r="CG624" s="31"/>
      <c r="CH624" s="31"/>
      <c r="CI624" s="31"/>
      <c r="CJ624" s="31"/>
      <c r="CL624" s="31"/>
      <c r="CN624" s="31"/>
      <c r="EA624" s="31"/>
    </row>
    <row r="625" spans="54:92">
      <c r="BB625" s="31"/>
      <c r="BC625" s="31"/>
      <c r="BD625" s="31"/>
      <c r="BE625" s="31"/>
      <c r="BI625" s="31"/>
      <c r="BL625" s="31"/>
      <c r="BN625" s="31"/>
      <c r="BO625" s="31"/>
      <c r="BP625" s="31"/>
      <c r="BT625" s="31"/>
      <c r="BY625" s="31"/>
      <c r="BZ625" s="31"/>
      <c r="CA625" s="31"/>
      <c r="CB625" s="31"/>
      <c r="CC625" s="31"/>
      <c r="CE625" s="31"/>
      <c r="CF625" s="31"/>
      <c r="CG625" s="31"/>
      <c r="CH625" s="31"/>
      <c r="CI625" s="31"/>
      <c r="CJ625" s="31"/>
      <c r="CL625" s="31"/>
      <c r="CN625" s="31"/>
    </row>
    <row r="626" spans="54:92">
      <c r="BB626" s="31"/>
      <c r="BC626" s="31"/>
      <c r="BD626" s="31"/>
      <c r="BE626" s="31"/>
      <c r="BI626" s="31"/>
      <c r="BL626" s="31"/>
      <c r="BN626" s="31"/>
      <c r="BO626" s="31"/>
      <c r="BP626" s="31"/>
      <c r="BT626" s="31"/>
      <c r="BY626" s="31"/>
      <c r="BZ626" s="31"/>
      <c r="CA626" s="31"/>
      <c r="CB626" s="31"/>
      <c r="CC626" s="31"/>
      <c r="CE626" s="31"/>
      <c r="CF626" s="31"/>
      <c r="CG626" s="31"/>
      <c r="CH626" s="31"/>
      <c r="CI626" s="31"/>
      <c r="CJ626" s="31"/>
      <c r="CL626" s="31"/>
      <c r="CN626" s="31"/>
    </row>
    <row r="627" spans="54:92">
      <c r="BB627" s="31"/>
      <c r="BC627" s="31"/>
      <c r="BD627" s="31"/>
      <c r="BE627" s="31"/>
      <c r="BI627" s="31"/>
      <c r="BL627" s="31"/>
      <c r="BN627" s="31"/>
      <c r="BO627" s="31"/>
      <c r="BP627" s="31"/>
      <c r="BT627" s="31"/>
      <c r="BY627" s="31"/>
      <c r="BZ627" s="31"/>
      <c r="CA627" s="31"/>
      <c r="CB627" s="31"/>
      <c r="CC627" s="31"/>
      <c r="CE627" s="31"/>
      <c r="CF627" s="31"/>
      <c r="CG627" s="31"/>
      <c r="CH627" s="31"/>
      <c r="CI627" s="31"/>
      <c r="CJ627" s="31"/>
      <c r="CL627" s="31"/>
      <c r="CN627" s="31"/>
    </row>
    <row r="628" spans="54:92">
      <c r="BB628" s="31"/>
      <c r="BC628" s="31"/>
      <c r="BD628" s="31"/>
      <c r="BE628" s="31"/>
      <c r="BI628" s="31"/>
      <c r="BL628" s="31"/>
      <c r="BN628" s="31"/>
      <c r="BO628" s="31"/>
      <c r="BP628" s="31"/>
      <c r="BT628" s="31"/>
      <c r="BY628" s="31"/>
      <c r="BZ628" s="31"/>
      <c r="CA628" s="31"/>
      <c r="CB628" s="31"/>
      <c r="CC628" s="31"/>
      <c r="CE628" s="31"/>
      <c r="CF628" s="31"/>
      <c r="CG628" s="31"/>
      <c r="CH628" s="31"/>
      <c r="CI628" s="31"/>
      <c r="CJ628" s="31"/>
      <c r="CL628" s="31"/>
      <c r="CN628" s="31"/>
    </row>
    <row r="629" spans="54:92">
      <c r="BB629" s="31"/>
      <c r="BC629" s="31"/>
      <c r="BD629" s="31"/>
      <c r="BE629" s="31"/>
      <c r="BI629" s="31"/>
      <c r="BL629" s="31"/>
      <c r="BN629" s="31"/>
      <c r="BO629" s="31"/>
      <c r="BP629" s="31"/>
      <c r="BT629" s="31"/>
      <c r="BY629" s="31"/>
      <c r="BZ629" s="31"/>
      <c r="CA629" s="31"/>
      <c r="CB629" s="31"/>
      <c r="CC629" s="31"/>
      <c r="CE629" s="31"/>
      <c r="CF629" s="31"/>
      <c r="CG629" s="31"/>
      <c r="CH629" s="31"/>
      <c r="CI629" s="31"/>
      <c r="CJ629" s="31"/>
      <c r="CL629" s="31"/>
      <c r="CN629" s="31"/>
    </row>
  </sheetData>
  <sheetProtection selectLockedCells="1"/>
  <dataConsolidate/>
  <conditionalFormatting sqref="AI167">
    <cfRule type="expression" dxfId="925" priority="460">
      <formula>"&lt;$AS$2"</formula>
    </cfRule>
  </conditionalFormatting>
  <conditionalFormatting sqref="CL2:EK150">
    <cfRule type="cellIs" dxfId="924" priority="67480" operator="notEqual">
      <formula>0</formula>
    </cfRule>
    <cfRule type="expression" dxfId="923" priority="67481" stopIfTrue="1">
      <formula>IF(MOD(COLUMN(),2),TRUE,FALSE)</formula>
    </cfRule>
    <cfRule type="expression" dxfId="922" priority="67482" stopIfTrue="1">
      <formula>IF(MOD(COLUMN(BG$1),2),TRUE,FALSE)</formula>
    </cfRule>
  </conditionalFormatting>
  <conditionalFormatting sqref="AC2:AC150 AE2:AF150">
    <cfRule type="expression" dxfId="921" priority="67483" stopIfTrue="1">
      <formula>$AB2&lt;&gt;"Yes - Outside this BoM"</formula>
    </cfRule>
  </conditionalFormatting>
  <conditionalFormatting sqref="AP2:AP150">
    <cfRule type="expression" dxfId="920" priority="67484" stopIfTrue="1">
      <formula>NOT(OR(LEFT($AO2,6)="VMware",$AO2="pSeries"))</formula>
    </cfRule>
  </conditionalFormatting>
  <conditionalFormatting sqref="AD2:AD150">
    <cfRule type="expression" dxfId="919" priority="67485" stopIfTrue="1">
      <formula>AND(LEFT($AO2,6)="VMware",$AD2&lt;&gt;0.5*$AC2, AC2&gt;1)</formula>
    </cfRule>
  </conditionalFormatting>
  <conditionalFormatting sqref="AC2:AF150">
    <cfRule type="expression" dxfId="918" priority="67486" stopIfTrue="1">
      <formula>$AB2&lt;&gt;"Yes - Outside this BoM"</formula>
    </cfRule>
  </conditionalFormatting>
  <conditionalFormatting sqref="AT2:AT150">
    <cfRule type="expression" dxfId="917" priority="67487" stopIfTrue="1">
      <formula>AND(LEFT($AO2,6)="VMware", ISNUMBER($AR2), $AT2&lt;&gt;0.5*$AR2, AR2&gt;1)</formula>
    </cfRule>
  </conditionalFormatting>
  <conditionalFormatting sqref="AV2:AV150">
    <cfRule type="expression" dxfId="916" priority="67488" stopIfTrue="1">
      <formula>AND(ISNUMBER(AU2),EX2&lt;AU2)</formula>
    </cfRule>
  </conditionalFormatting>
  <conditionalFormatting sqref="AX2:AX150">
    <cfRule type="expression" dxfId="915" priority="67489" stopIfTrue="1">
      <formula>ISBLANK($AW2)</formula>
    </cfRule>
  </conditionalFormatting>
  <conditionalFormatting sqref="AY2:AY150">
    <cfRule type="expression" dxfId="914" priority="67490" stopIfTrue="1">
      <formula>OR(ISBLANK($AX2), $AX2="NLB", $AX2="WLB")</formula>
    </cfRule>
  </conditionalFormatting>
  <conditionalFormatting sqref="BZ2:CE150">
    <cfRule type="expression" dxfId="913" priority="67491" stopIfTrue="1">
      <formula>LEFT($AM2,6)="VMware"</formula>
    </cfRule>
  </conditionalFormatting>
  <conditionalFormatting sqref="BD2:BJ150">
    <cfRule type="expression" dxfId="912" priority="67492" stopIfTrue="1">
      <formula>IFERROR(FIND("P-S",$AN2),"Not Found")="Not Found"</formula>
    </cfRule>
  </conditionalFormatting>
  <conditionalFormatting sqref="AK2:AK150">
    <cfRule type="duplicateValues" dxfId="911" priority="2" stopIfTrue="1"/>
  </conditionalFormatting>
  <conditionalFormatting sqref="AI2:AI150">
    <cfRule type="duplicateValues" dxfId="910" priority="1" stopIfTrue="1"/>
  </conditionalFormatting>
  <conditionalFormatting sqref="A2:CJ150">
    <cfRule type="expression" dxfId="909" priority="67493" stopIfTrue="1">
      <formula>$Q2="PAT"</formula>
    </cfRule>
    <cfRule type="expression" dxfId="908" priority="67493" stopIfTrue="1">
      <formula>$Q2="PAT/PROD"</formula>
    </cfRule>
    <cfRule type="expression" dxfId="907" priority="67494" stopIfTrue="1">
      <formula>$Q2="PROD"</formula>
    </cfRule>
    <cfRule type="expression" dxfId="906" priority="67495" stopIfTrue="1">
      <formula>$Q2="PROD2"</formula>
    </cfRule>
    <cfRule type="expression" dxfId="905" priority="67496" stopIfTrue="1">
      <formula>$Q2="COB"</formula>
    </cfRule>
    <cfRule type="expression" dxfId="904" priority="67497" stopIfTrue="1">
      <formula>$Q2="CERT"</formula>
    </cfRule>
    <cfRule type="expression" dxfId="903" priority="67498" stopIfTrue="1">
      <formula>$Q2="PERF"</formula>
    </cfRule>
    <cfRule type="expression" dxfId="902" priority="67499" stopIfTrue="1">
      <formula>$Q2="TRAINING"</formula>
    </cfRule>
    <cfRule type="expression" dxfId="901" priority="67500" stopIfTrue="1">
      <formula>$Q2="UAT"</formula>
    </cfRule>
    <cfRule type="expression" dxfId="900" priority="67501" stopIfTrue="1">
      <formula>$Q2="UAT2"</formula>
    </cfRule>
    <cfRule type="expression" dxfId="899" priority="67502" stopIfTrue="1">
      <formula>$Q2="SIT"</formula>
    </cfRule>
    <cfRule type="expression" dxfId="898" priority="67503" stopIfTrue="1">
      <formula>$Q2="SIT/DIT"</formula>
    </cfRule>
    <cfRule type="expression" dxfId="897" priority="67504" stopIfTrue="1">
      <formula>$Q2="DIT"</formula>
    </cfRule>
    <cfRule type="expression" dxfId="896" priority="67505" stopIfTrue="1">
      <formula>$Q2="DEV"</formula>
    </cfRule>
    <cfRule type="expression" dxfId="895" priority="67506" stopIfTrue="1">
      <formula>$Q2="RND"</formula>
    </cfRule>
  </conditionalFormatting>
  <dataValidations xWindow="618" yWindow="335" count="17">
    <dataValidation type="list" allowBlank="1" promptTitle="Select Software (Multiple)" prompt="To add multiple software simpy select the software.  To remove, select the unwanted software from the list." sqref="CJ126:CJ131 CJ150 W2:W150">
      <formula1>INDIRECT("SWList[Software List]")</formula1>
    </dataValidation>
    <dataValidation type="list" allowBlank="1" showInputMessage="1" showErrorMessage="1" errorTitle="Please provide OS" promptTitle="Please provide OS" sqref="AQ2:AQ150">
      <formula1>INDIRECT("tOS[OS]")</formula1>
    </dataValidation>
    <dataValidation type="list" allowBlank="1" showInputMessage="1" showErrorMessage="1" sqref="AM2:AM150">
      <formula1>INDIRECT("ServerModelsTier[Server Model]")</formula1>
    </dataValidation>
    <dataValidation type="list" allowBlank="1" showInputMessage="1" showErrorMessage="1" sqref="CD2:CD150 CB2:CB150">
      <formula1>INDIRECT("NetworkRates[Type of Network Connection]")</formula1>
    </dataValidation>
    <dataValidation type="list" allowBlank="1" showInputMessage="1" sqref="R2:R150">
      <formula1>INDIRECT("tStdEnvs[Std Envs]")</formula1>
    </dataValidation>
    <dataValidation type="list" allowBlank="1" showInputMessage="1" showErrorMessage="1" sqref="X2:X150">
      <formula1>INDIRECT("tTypes[Types]")</formula1>
    </dataValidation>
    <dataValidation type="list" allowBlank="1" showInputMessage="1" showErrorMessage="1" sqref="O2:O150">
      <formula1>INDIRECT("tRegion[Region]")</formula1>
    </dataValidation>
    <dataValidation type="list" allowBlank="1" showInputMessage="1" showErrorMessage="1" sqref="BR2:BR150">
      <formula1>"Yes, No"</formula1>
    </dataValidation>
    <dataValidation type="list" allowBlank="1" showInputMessage="1" showErrorMessage="1" sqref="Y2:Y150">
      <formula1>INDIRECT("tProdList[Product List]")</formula1>
    </dataValidation>
    <dataValidation type="list" allowBlank="1" showInputMessage="1" sqref="AP2:AP150">
      <formula1>"NAS, SAN, Cloud-SAN, Full-SAN"</formula1>
    </dataValidation>
    <dataValidation type="list" allowBlank="1" showInputMessage="1" showErrorMessage="1" sqref="Q2:Q150">
      <formula1>INDIRECT("tEnv[Envs]")</formula1>
    </dataValidation>
    <dataValidation type="list" allowBlank="1" showInputMessage="1" showErrorMessage="1" sqref="AB2:AB150">
      <formula1>"Yes - Outside this BoM, Yes - Inside this BoM, No"</formula1>
    </dataValidation>
    <dataValidation type="list" allowBlank="1" showDropDown="1" showInputMessage="1" showErrorMessage="1" sqref="AF2:AF150">
      <formula1>"a"</formula1>
    </dataValidation>
    <dataValidation type="list" allowBlank="1" showInputMessage="1" showErrorMessage="1" sqref="C2:C150">
      <formula1>"Completed, WIP, Not Started"</formula1>
    </dataValidation>
    <dataValidation type="list" allowBlank="1" showInputMessage="1" showErrorMessage="1" sqref="M2:M150">
      <formula1>"N, Y"</formula1>
    </dataValidation>
    <dataValidation type="list" allowBlank="1" showInputMessage="1" showErrorMessage="1" sqref="AY2:AY150">
      <formula1>"Hot, Standby"</formula1>
    </dataValidation>
    <dataValidation type="list" allowBlank="1" showInputMessage="1" showErrorMessage="1" sqref="AX2:AX150">
      <formula1>INDIRECT("tClusterTypes")</formula1>
    </dataValidation>
  </dataValidations>
  <pageMargins left="0.7" right="0.7" top="0.75" bottom="0.75" header="0.3" footer="0.3"/>
  <pageSetup orientation="portrait" r:id="rId1"/>
  <customProperties>
    <customPr name="DVSECTIONID" r:id="rId2"/>
  </customProperties>
  <ignoredErrors>
    <ignoredError sqref="AU51:AU62 A2:P36 BS59:CJ66 BR50:BR67 AQ63:AQ67 AB100:AI122 AW100:BQ119 AV120:BQ123 AW126:BQ139 BR100:CJ123 AV140:BQ142 AW143:BQ147 S149:U150 AB149:AI150 BM148:BQ150 AW99:CJ99 AT120:AT123 AM120:AM123 AN98:AQ148 AT140:AT142 AR120:AR123 AB123 AC123:AI148 V100:Y115 R100:U148 AR140:AR142 V143:Y143 R149:R150 AV150 V150 AM149:AR150 AW148:BL150 R2:AE9 R63:AP63 R97:AE97 V132:Y141 V126:V131 X126:Y131 BR132:CJ149 BR126:CI131 V148:Y149 V144:V147 X144:Y147 BR150:CI150 V142 X142:Y142 X150:Y150 AB142:AB148 AW125:CJ125 AW124:CI124 BS67:CI67 R99:AE99 AM140:AM142 R31:AQ31 R10:AQ25 AU22:CJ23 AU47:AU49 Z100:AA150 A124:M150 A100:N123 AJ100:AL150 AS10:AS25 AS47:AS62 AS76:AS85 AJ94:AQ97 A94:M99 O94:P150 AU98:CJ98 AS100:AS150 AU99:AU118 BM48:BO49 BM47:CI47 R76:AA81 AC76:AE76 AG76:AH76 AC94:AE95 AU76:AU85 BQ63:BQ67 AC96:AE96 AG96:AH96 A47:P67 R59:AA62 AJ47:AQ62 R94:AA96 R91:V91 Y91:AA91 R65:AP67 R64:U64 W64:AP64 Y85:Y86 R85:V86 AC77:AH86 AS86 O76:P86 A76:M86 AJ76:AQ84 AC47:AE47 AG47:AH47 AC48:AH57 R47:AA58 AC58:AE58 AG58:AH58 AA85:AA86 R82:W84 Y82:AA84 AC91:AH91 O91:P91 A91:M91 AJ91:AP91 AS91 AJ85:AM85 AO85:AQ85 AJ86:AL86 AO86:AP86 AG94:AH95 R98:AE98 AJ98:AL98 AJ99:AL99 AG3:BK4 R26:AE30 AG26:AT30 R32:AE36 AG33:CJ36 AG97:AH97 AG99:AH99 AG98:AH98 AU10:BK10 AU11:CI11 AU14:CI14 AU15:CI21 AS31:AT31 AG32:AQ32 AS32:AT32 AV24:CJ25 AV26:CJ29 AV31:BK31 AV32:CI32 AV30:CI30 AC59:AH62 BS48:CI50 BS51:CI58 AU50 BM50:BQ50 BQ48:BR49 AU86 AW77:BK77 AW86:BK86 AW91:BK91 AW51:BQ62 AW47:BJ49 AW50:BK50 AW94:CI96 AW97:CJ97 AG2:BK2 BM2:CI2 BM3:CI5 BM6:BO9 BQ6:CI9 BM31:CI31 AW76:BK76 BQ76:CI76 BM10:BO10 BQ10:CI10 AU13:CI13 AU12:BK12 BM12:BO12 BQ12:CI12 BM76:BO76 AW81:BK85 AW78:BK78 BQ78:CI78 BM78:BO78 AW79:BK79 BM79:CI79 AW80:BK80 BM80:CI80 BM77:CI77 BM81:CI85 BM86:CI86 BM91:BO91 BQ91:CI91 AU124:AU137 AU143:AU147 AT148:AT150 V117:Y125 W116:Y116 AG6:BK9 AG5:AS5 AU5:BK5" evalError="1" twoDigitTextYear="1" numberStoredAsText="1" formula="1" formulaRange="1" unlockedFormula="1" emptyCellReference="1" listDataValidation="1"/>
  </ignoredErrors>
  <legacyDrawing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24"/>
  <sheetViews>
    <sheetView showGridLines="0" workbookViewId="0">
      <selection activeCell="C11" sqref="C11"/>
    </sheetView>
  </sheetViews>
  <sheetFormatPr defaultRowHeight="15"/>
  <cols>
    <col min="1" max="1" width="16.28515625" customWidth="1"/>
    <col min="2" max="2" width="11.28515625" customWidth="1"/>
    <col min="3" max="3" width="10.42578125" customWidth="1"/>
    <col min="4" max="5" width="10" customWidth="1"/>
    <col min="6" max="6" width="12.28515625" customWidth="1"/>
    <col min="7" max="7" width="16.85546875" customWidth="1"/>
    <col min="8" max="8" width="16.85546875" bestFit="1" customWidth="1"/>
    <col min="9" max="10" width="10.140625" customWidth="1"/>
    <col min="11" max="11" width="2.85546875" style="228" customWidth="1"/>
    <col min="12" max="12" width="14.28515625" customWidth="1"/>
    <col min="13" max="13" width="11.28515625" customWidth="1"/>
    <col min="14" max="14" width="14.85546875" customWidth="1"/>
    <col min="15" max="15" width="10.140625" customWidth="1"/>
    <col min="16" max="16" width="11.140625" customWidth="1"/>
    <col min="17" max="17" width="12.28515625" customWidth="1"/>
    <col min="18" max="19" width="16.85546875" bestFit="1" customWidth="1"/>
    <col min="20" max="21" width="12.7109375" customWidth="1"/>
    <col min="22" max="22" width="12.42578125" bestFit="1" customWidth="1"/>
    <col min="23" max="23" width="9.42578125" bestFit="1" customWidth="1"/>
    <col min="24" max="24" width="12.42578125" bestFit="1" customWidth="1"/>
    <col min="25" max="25" width="11.28515625" bestFit="1" customWidth="1"/>
  </cols>
  <sheetData>
    <row r="1" spans="1:21" ht="23.25">
      <c r="A1" s="630" t="s">
        <v>133</v>
      </c>
      <c r="B1" s="630"/>
      <c r="C1" s="630"/>
      <c r="D1" s="630"/>
      <c r="E1" s="630"/>
      <c r="F1" s="630"/>
      <c r="G1" s="630"/>
      <c r="H1" s="630"/>
      <c r="I1" s="630"/>
      <c r="J1" s="630"/>
      <c r="L1" s="631" t="s">
        <v>135</v>
      </c>
      <c r="M1" s="631"/>
      <c r="N1" s="631"/>
      <c r="O1" s="631"/>
      <c r="P1" s="631"/>
      <c r="Q1" s="631"/>
      <c r="R1" s="631"/>
      <c r="S1" s="631"/>
      <c r="T1" s="631"/>
      <c r="U1" s="631"/>
    </row>
    <row r="2" spans="1:21">
      <c r="B2" s="279" t="s">
        <v>78</v>
      </c>
      <c r="F2" s="286"/>
      <c r="H2" s="3"/>
      <c r="I2" s="286"/>
      <c r="M2" s="279" t="s">
        <v>78</v>
      </c>
      <c r="S2" s="3"/>
      <c r="T2" s="286"/>
    </row>
    <row r="3" spans="1:21" ht="75">
      <c r="A3" s="279" t="s">
        <v>131</v>
      </c>
      <c r="B3" s="265" t="s">
        <v>441</v>
      </c>
      <c r="C3" s="265" t="s">
        <v>128</v>
      </c>
      <c r="D3" s="265" t="s">
        <v>127</v>
      </c>
      <c r="E3" s="265" t="s">
        <v>132</v>
      </c>
      <c r="F3" s="289" t="s">
        <v>489</v>
      </c>
      <c r="G3" s="254" t="s">
        <v>560</v>
      </c>
      <c r="H3" s="265" t="s">
        <v>561</v>
      </c>
      <c r="I3" s="289" t="s">
        <v>474</v>
      </c>
      <c r="J3" s="265" t="s">
        <v>473</v>
      </c>
      <c r="K3" s="231"/>
      <c r="L3" s="279" t="s">
        <v>438</v>
      </c>
      <c r="M3" s="265" t="s">
        <v>441</v>
      </c>
      <c r="N3" s="265" t="s">
        <v>128</v>
      </c>
      <c r="O3" s="265" t="s">
        <v>127</v>
      </c>
      <c r="P3" s="265" t="s">
        <v>132</v>
      </c>
      <c r="Q3" s="289" t="s">
        <v>489</v>
      </c>
      <c r="R3" s="254" t="s">
        <v>560</v>
      </c>
      <c r="S3" s="265" t="s">
        <v>2419</v>
      </c>
      <c r="T3" s="289" t="s">
        <v>474</v>
      </c>
      <c r="U3" s="265" t="s">
        <v>473</v>
      </c>
    </row>
    <row r="4" spans="1:21">
      <c r="A4" s="281" t="s">
        <v>79</v>
      </c>
      <c r="B4" s="268">
        <v>13859.75</v>
      </c>
      <c r="C4" s="268">
        <v>29561.200000000001</v>
      </c>
      <c r="D4" s="268">
        <v>20549.585999999999</v>
      </c>
      <c r="E4" s="268">
        <v>52897.796624999995</v>
      </c>
      <c r="F4" s="287"/>
      <c r="G4" s="268">
        <v>66757.546625000017</v>
      </c>
      <c r="H4" s="268">
        <v>54847.551625</v>
      </c>
      <c r="I4" s="287">
        <v>801090.55950000021</v>
      </c>
      <c r="J4" s="268">
        <v>658170.61950000003</v>
      </c>
      <c r="K4" s="233"/>
      <c r="L4" s="281" t="s">
        <v>3942</v>
      </c>
      <c r="M4" s="264">
        <v>51569.664200000007</v>
      </c>
      <c r="N4" s="264">
        <v>88735.500000000015</v>
      </c>
      <c r="O4" s="264">
        <v>56080.170000000006</v>
      </c>
      <c r="P4" s="264">
        <v>153529.37237500004</v>
      </c>
      <c r="Q4" s="290"/>
      <c r="R4" s="264">
        <v>205099.03657500006</v>
      </c>
      <c r="S4" s="264">
        <v>164400.23424166668</v>
      </c>
      <c r="T4" s="290">
        <v>2461188.4388999986</v>
      </c>
      <c r="U4" s="264">
        <v>1972802.8109000013</v>
      </c>
    </row>
    <row r="5" spans="1:21">
      <c r="A5" s="276" t="s">
        <v>3942</v>
      </c>
      <c r="B5" s="268">
        <v>13859.75</v>
      </c>
      <c r="C5" s="268">
        <v>29561.200000000001</v>
      </c>
      <c r="D5" s="268">
        <v>20549.585999999999</v>
      </c>
      <c r="E5" s="268">
        <v>52897.796624999995</v>
      </c>
      <c r="F5" s="287"/>
      <c r="G5" s="268">
        <v>66757.546625000017</v>
      </c>
      <c r="H5" s="268">
        <v>54847.551625</v>
      </c>
      <c r="I5" s="287">
        <v>801090.55950000021</v>
      </c>
      <c r="J5" s="268">
        <v>658170.61950000003</v>
      </c>
      <c r="K5" s="233"/>
      <c r="L5" s="276" t="s">
        <v>79</v>
      </c>
      <c r="M5" s="264">
        <v>13859.75</v>
      </c>
      <c r="N5" s="264">
        <v>29561.200000000001</v>
      </c>
      <c r="O5" s="264">
        <v>20549.585999999999</v>
      </c>
      <c r="P5" s="264">
        <v>52897.796624999995</v>
      </c>
      <c r="Q5" s="290"/>
      <c r="R5" s="264">
        <v>66757.546625000017</v>
      </c>
      <c r="S5" s="264">
        <v>54847.551625</v>
      </c>
      <c r="T5" s="290">
        <v>801090.55950000021</v>
      </c>
      <c r="U5" s="264">
        <v>658170.61950000003</v>
      </c>
    </row>
    <row r="6" spans="1:21">
      <c r="A6" s="281" t="s">
        <v>211</v>
      </c>
      <c r="B6" s="268">
        <v>6359.75</v>
      </c>
      <c r="C6" s="268">
        <v>16062.399999999996</v>
      </c>
      <c r="D6" s="268">
        <v>0</v>
      </c>
      <c r="E6" s="268">
        <v>16062.399999999996</v>
      </c>
      <c r="F6" s="287"/>
      <c r="G6" s="268">
        <v>22422.150000000005</v>
      </c>
      <c r="H6" s="268">
        <v>16962.154999999995</v>
      </c>
      <c r="I6" s="287">
        <v>269065.80000000005</v>
      </c>
      <c r="J6" s="268">
        <v>203545.85999999993</v>
      </c>
      <c r="K6" s="233"/>
      <c r="L6" s="276" t="s">
        <v>211</v>
      </c>
      <c r="M6" s="264">
        <v>6359.75</v>
      </c>
      <c r="N6" s="264">
        <v>16062.399999999996</v>
      </c>
      <c r="O6" s="264">
        <v>0</v>
      </c>
      <c r="P6" s="264">
        <v>16062.399999999996</v>
      </c>
      <c r="Q6" s="290"/>
      <c r="R6" s="264">
        <v>22422.150000000005</v>
      </c>
      <c r="S6" s="264">
        <v>16962.154999999995</v>
      </c>
      <c r="T6" s="290">
        <v>269065.80000000005</v>
      </c>
      <c r="U6" s="264">
        <v>203545.85999999993</v>
      </c>
    </row>
    <row r="7" spans="1:21">
      <c r="A7" s="276" t="s">
        <v>3942</v>
      </c>
      <c r="B7" s="268">
        <v>6359.75</v>
      </c>
      <c r="C7" s="268">
        <v>16062.399999999996</v>
      </c>
      <c r="D7" s="268">
        <v>0</v>
      </c>
      <c r="E7" s="268">
        <v>16062.399999999996</v>
      </c>
      <c r="F7" s="287"/>
      <c r="G7" s="268">
        <v>22422.150000000005</v>
      </c>
      <c r="H7" s="268">
        <v>16962.154999999995</v>
      </c>
      <c r="I7" s="287">
        <v>269065.80000000005</v>
      </c>
      <c r="J7" s="268">
        <v>203545.85999999993</v>
      </c>
      <c r="K7" s="233"/>
      <c r="L7" s="276" t="s">
        <v>212</v>
      </c>
      <c r="M7" s="264">
        <v>3517.3991999999994</v>
      </c>
      <c r="N7" s="264">
        <v>5799.9999999999991</v>
      </c>
      <c r="O7" s="264">
        <v>4602.4090000000006</v>
      </c>
      <c r="P7" s="264">
        <v>11218.246312500001</v>
      </c>
      <c r="Q7" s="290"/>
      <c r="R7" s="264">
        <v>14735.645512500005</v>
      </c>
      <c r="S7" s="264">
        <v>11728.841512500003</v>
      </c>
      <c r="T7" s="290">
        <v>176827.74615000005</v>
      </c>
      <c r="U7" s="264">
        <v>140746.09815000003</v>
      </c>
    </row>
    <row r="8" spans="1:21">
      <c r="A8" s="281" t="s">
        <v>212</v>
      </c>
      <c r="B8" s="268">
        <v>3517.3991999999994</v>
      </c>
      <c r="C8" s="268">
        <v>5799.9999999999991</v>
      </c>
      <c r="D8" s="268">
        <v>4602.4090000000006</v>
      </c>
      <c r="E8" s="268">
        <v>11218.246312500001</v>
      </c>
      <c r="F8" s="287"/>
      <c r="G8" s="268">
        <v>14735.645512500005</v>
      </c>
      <c r="H8" s="268">
        <v>11728.841512500003</v>
      </c>
      <c r="I8" s="287">
        <v>176827.74615000005</v>
      </c>
      <c r="J8" s="268">
        <v>140746.09815000003</v>
      </c>
      <c r="K8" s="233"/>
      <c r="L8" s="276" t="s">
        <v>213</v>
      </c>
      <c r="M8" s="264">
        <v>6750</v>
      </c>
      <c r="N8" s="264">
        <v>5251.5</v>
      </c>
      <c r="O8" s="264">
        <v>2244.42</v>
      </c>
      <c r="P8" s="264">
        <v>7997.7972499999996</v>
      </c>
      <c r="Q8" s="290"/>
      <c r="R8" s="264">
        <v>14747.79725</v>
      </c>
      <c r="S8" s="264">
        <v>8942.7972499999996</v>
      </c>
      <c r="T8" s="290">
        <v>176973.56699999998</v>
      </c>
      <c r="U8" s="264">
        <v>107313.567</v>
      </c>
    </row>
    <row r="9" spans="1:21">
      <c r="A9" s="276" t="s">
        <v>3942</v>
      </c>
      <c r="B9" s="268">
        <v>3517.3991999999994</v>
      </c>
      <c r="C9" s="268">
        <v>5799.9999999999991</v>
      </c>
      <c r="D9" s="268">
        <v>4602.4090000000006</v>
      </c>
      <c r="E9" s="268">
        <v>11218.246312500001</v>
      </c>
      <c r="F9" s="287"/>
      <c r="G9" s="268">
        <v>14735.645512500005</v>
      </c>
      <c r="H9" s="268">
        <v>11728.841512500003</v>
      </c>
      <c r="I9" s="287">
        <v>176827.74615000005</v>
      </c>
      <c r="J9" s="268">
        <v>140746.09815000003</v>
      </c>
      <c r="K9" s="233"/>
      <c r="L9" s="276" t="s">
        <v>25</v>
      </c>
      <c r="M9" s="264">
        <v>0</v>
      </c>
      <c r="N9" s="264">
        <v>1777.4</v>
      </c>
      <c r="O9" s="264">
        <v>909.90000000000009</v>
      </c>
      <c r="P9" s="264">
        <v>2890.7637500000001</v>
      </c>
      <c r="Q9" s="290"/>
      <c r="R9" s="264">
        <v>2890.7637500000001</v>
      </c>
      <c r="S9" s="264">
        <v>2890.7637500000001</v>
      </c>
      <c r="T9" s="290">
        <v>34689.165000000001</v>
      </c>
      <c r="U9" s="264">
        <v>34689.165000000001</v>
      </c>
    </row>
    <row r="10" spans="1:21">
      <c r="A10" s="281" t="s">
        <v>213</v>
      </c>
      <c r="B10" s="268">
        <v>6750</v>
      </c>
      <c r="C10" s="268">
        <v>5251.5</v>
      </c>
      <c r="D10" s="268">
        <v>2244.42</v>
      </c>
      <c r="E10" s="268">
        <v>7997.7972499999996</v>
      </c>
      <c r="F10" s="287"/>
      <c r="G10" s="268">
        <v>14747.79725</v>
      </c>
      <c r="H10" s="268">
        <v>8942.7972499999996</v>
      </c>
      <c r="I10" s="287">
        <v>176973.56699999998</v>
      </c>
      <c r="J10" s="268">
        <v>107313.567</v>
      </c>
      <c r="K10" s="233"/>
      <c r="L10" s="276" t="s">
        <v>3932</v>
      </c>
      <c r="M10" s="264">
        <v>1796.5250000000001</v>
      </c>
      <c r="N10" s="264">
        <v>9232.6</v>
      </c>
      <c r="O10" s="264">
        <v>12177.495000000001</v>
      </c>
      <c r="P10" s="264">
        <v>23380.443187500001</v>
      </c>
      <c r="Q10" s="290"/>
      <c r="R10" s="264">
        <v>25176.968187500002</v>
      </c>
      <c r="S10" s="264">
        <v>23695.00985416667</v>
      </c>
      <c r="T10" s="290">
        <v>302123.61825000006</v>
      </c>
      <c r="U10" s="264">
        <v>284340.11825000006</v>
      </c>
    </row>
    <row r="11" spans="1:21">
      <c r="A11" s="276" t="s">
        <v>3942</v>
      </c>
      <c r="B11" s="268">
        <v>6750</v>
      </c>
      <c r="C11" s="268">
        <v>5251.5</v>
      </c>
      <c r="D11" s="268">
        <v>2244.42</v>
      </c>
      <c r="E11" s="268">
        <v>7997.7972499999996</v>
      </c>
      <c r="F11" s="287"/>
      <c r="G11" s="268">
        <v>14747.79725</v>
      </c>
      <c r="H11" s="268">
        <v>8942.7972499999996</v>
      </c>
      <c r="I11" s="287">
        <v>176973.56699999998</v>
      </c>
      <c r="J11" s="268">
        <v>107313.567</v>
      </c>
      <c r="K11" s="233"/>
      <c r="L11" s="276" t="s">
        <v>3992</v>
      </c>
      <c r="M11" s="264">
        <v>718.61</v>
      </c>
      <c r="N11" s="264">
        <v>5044</v>
      </c>
      <c r="O11" s="264">
        <v>1738.92</v>
      </c>
      <c r="P11" s="264">
        <v>7046.3160000000007</v>
      </c>
      <c r="Q11" s="290"/>
      <c r="R11" s="264">
        <v>7764.9260000000013</v>
      </c>
      <c r="S11" s="264">
        <v>7172.1426666666666</v>
      </c>
      <c r="T11" s="290">
        <v>93179.112000000023</v>
      </c>
      <c r="U11" s="264">
        <v>86065.712</v>
      </c>
    </row>
    <row r="12" spans="1:21">
      <c r="A12" s="281" t="s">
        <v>25</v>
      </c>
      <c r="B12" s="268">
        <v>0</v>
      </c>
      <c r="C12" s="268">
        <v>1777.4</v>
      </c>
      <c r="D12" s="268">
        <v>909.90000000000009</v>
      </c>
      <c r="E12" s="268">
        <v>2890.7637500000001</v>
      </c>
      <c r="F12" s="287"/>
      <c r="G12" s="268">
        <v>2890.7637500000001</v>
      </c>
      <c r="H12" s="268">
        <v>2890.7637500000001</v>
      </c>
      <c r="I12" s="287">
        <v>34689.165000000001</v>
      </c>
      <c r="J12" s="268">
        <v>34689.165000000001</v>
      </c>
      <c r="K12" s="233"/>
      <c r="L12" s="276" t="s">
        <v>4005</v>
      </c>
      <c r="M12" s="264">
        <v>0</v>
      </c>
      <c r="N12" s="264">
        <v>0</v>
      </c>
      <c r="O12" s="264">
        <v>795.32000000000016</v>
      </c>
      <c r="P12" s="264">
        <v>861.65200000000004</v>
      </c>
      <c r="Q12" s="290"/>
      <c r="R12" s="264">
        <v>861.65200000000004</v>
      </c>
      <c r="S12" s="264">
        <v>861.65200000000004</v>
      </c>
      <c r="T12" s="290">
        <v>10339.824000000001</v>
      </c>
      <c r="U12" s="264">
        <v>10339.824000000001</v>
      </c>
    </row>
    <row r="13" spans="1:21">
      <c r="A13" s="276" t="s">
        <v>3942</v>
      </c>
      <c r="B13" s="268">
        <v>0</v>
      </c>
      <c r="C13" s="268">
        <v>1777.4</v>
      </c>
      <c r="D13" s="268">
        <v>909.90000000000009</v>
      </c>
      <c r="E13" s="268">
        <v>2890.7637500000001</v>
      </c>
      <c r="F13" s="287"/>
      <c r="G13" s="268">
        <v>2890.7637500000001</v>
      </c>
      <c r="H13" s="268">
        <v>2890.7637500000001</v>
      </c>
      <c r="I13" s="287">
        <v>34689.165000000001</v>
      </c>
      <c r="J13" s="268">
        <v>34689.165000000001</v>
      </c>
      <c r="K13" s="233"/>
      <c r="L13" s="276" t="s">
        <v>4089</v>
      </c>
      <c r="M13" s="264">
        <v>512.75</v>
      </c>
      <c r="N13" s="264">
        <v>2192.8000000000002</v>
      </c>
      <c r="O13" s="264">
        <v>682.42500000000007</v>
      </c>
      <c r="P13" s="264">
        <v>3027.8228125000001</v>
      </c>
      <c r="Q13" s="290"/>
      <c r="R13" s="264">
        <v>3540.5728125000001</v>
      </c>
      <c r="S13" s="264">
        <v>3232.5728125000001</v>
      </c>
      <c r="T13" s="290">
        <v>42486.873749999999</v>
      </c>
      <c r="U13" s="264">
        <v>38790.873749999999</v>
      </c>
    </row>
    <row r="14" spans="1:21">
      <c r="A14" s="281" t="s">
        <v>3932</v>
      </c>
      <c r="B14" s="268">
        <v>1796.5250000000001</v>
      </c>
      <c r="C14" s="268">
        <v>9232.6</v>
      </c>
      <c r="D14" s="268">
        <v>12177.495000000001</v>
      </c>
      <c r="E14" s="268">
        <v>23380.443187500001</v>
      </c>
      <c r="F14" s="287"/>
      <c r="G14" s="268">
        <v>25176.968187500002</v>
      </c>
      <c r="H14" s="268">
        <v>23695.00985416667</v>
      </c>
      <c r="I14" s="287">
        <v>302123.61825000006</v>
      </c>
      <c r="J14" s="268">
        <v>284340.11825000006</v>
      </c>
      <c r="K14" s="233"/>
      <c r="L14" s="276" t="s">
        <v>4139</v>
      </c>
      <c r="M14" s="264">
        <v>18054.880000000005</v>
      </c>
      <c r="N14" s="264">
        <v>13813.600000000002</v>
      </c>
      <c r="O14" s="264">
        <v>12379.695000000002</v>
      </c>
      <c r="P14" s="264">
        <v>28146.134437500004</v>
      </c>
      <c r="Q14" s="290"/>
      <c r="R14" s="264">
        <v>46201.014437500009</v>
      </c>
      <c r="S14" s="264">
        <v>34066.747770833332</v>
      </c>
      <c r="T14" s="290">
        <v>554412.17325000011</v>
      </c>
      <c r="U14" s="264">
        <v>408800.97324999998</v>
      </c>
    </row>
    <row r="15" spans="1:21" s="139" customFormat="1">
      <c r="A15" s="276" t="s">
        <v>3942</v>
      </c>
      <c r="B15" s="268">
        <v>1796.5250000000001</v>
      </c>
      <c r="C15" s="268">
        <v>9232.6</v>
      </c>
      <c r="D15" s="268">
        <v>12177.495000000001</v>
      </c>
      <c r="E15" s="268">
        <v>23380.443187500001</v>
      </c>
      <c r="F15" s="287"/>
      <c r="G15" s="268">
        <v>25176.968187500002</v>
      </c>
      <c r="H15" s="268">
        <v>23695.00985416667</v>
      </c>
      <c r="I15" s="287">
        <v>302123.61825000006</v>
      </c>
      <c r="J15" s="268">
        <v>284340.11825000006</v>
      </c>
      <c r="K15" s="233"/>
      <c r="L15" s="284" t="s">
        <v>129</v>
      </c>
      <c r="M15" s="285">
        <v>51569.664200000007</v>
      </c>
      <c r="N15" s="285">
        <v>88735.500000000015</v>
      </c>
      <c r="O15" s="285">
        <v>56080.170000000006</v>
      </c>
      <c r="P15" s="285">
        <v>153529.37237500004</v>
      </c>
      <c r="Q15" s="291"/>
      <c r="R15" s="285">
        <v>205099.03657500006</v>
      </c>
      <c r="S15" s="285">
        <v>164400.23424166668</v>
      </c>
      <c r="T15" s="291">
        <v>2461188.4388999986</v>
      </c>
      <c r="U15" s="285">
        <v>1972802.8109000013</v>
      </c>
    </row>
    <row r="16" spans="1:21">
      <c r="A16" s="281" t="s">
        <v>3992</v>
      </c>
      <c r="B16" s="268">
        <v>718.61</v>
      </c>
      <c r="C16" s="268">
        <v>5044</v>
      </c>
      <c r="D16" s="268">
        <v>1738.92</v>
      </c>
      <c r="E16" s="268">
        <v>7046.3160000000007</v>
      </c>
      <c r="F16" s="287"/>
      <c r="G16" s="268">
        <v>7764.9260000000013</v>
      </c>
      <c r="H16" s="268">
        <v>7172.1426666666666</v>
      </c>
      <c r="I16" s="287">
        <v>93179.112000000023</v>
      </c>
      <c r="J16" s="268">
        <v>86065.712</v>
      </c>
      <c r="K16" s="233"/>
    </row>
    <row r="17" spans="1:11">
      <c r="A17" s="276" t="s">
        <v>3942</v>
      </c>
      <c r="B17" s="268">
        <v>718.61</v>
      </c>
      <c r="C17" s="268">
        <v>5044</v>
      </c>
      <c r="D17" s="268">
        <v>1738.92</v>
      </c>
      <c r="E17" s="268">
        <v>7046.3160000000007</v>
      </c>
      <c r="F17" s="287"/>
      <c r="G17" s="268">
        <v>7764.9260000000013</v>
      </c>
      <c r="H17" s="268">
        <v>7172.1426666666666</v>
      </c>
      <c r="I17" s="287">
        <v>93179.112000000023</v>
      </c>
      <c r="J17" s="268">
        <v>86065.712</v>
      </c>
      <c r="K17" s="233"/>
    </row>
    <row r="18" spans="1:11">
      <c r="A18" s="281" t="s">
        <v>4005</v>
      </c>
      <c r="B18" s="268">
        <v>0</v>
      </c>
      <c r="C18" s="268">
        <v>0</v>
      </c>
      <c r="D18" s="268">
        <v>795.32000000000016</v>
      </c>
      <c r="E18" s="268">
        <v>861.65200000000004</v>
      </c>
      <c r="F18" s="287"/>
      <c r="G18" s="268">
        <v>861.65200000000004</v>
      </c>
      <c r="H18" s="268">
        <v>861.65200000000004</v>
      </c>
      <c r="I18" s="287">
        <v>10339.824000000001</v>
      </c>
      <c r="J18" s="268">
        <v>10339.824000000001</v>
      </c>
      <c r="K18" s="233"/>
    </row>
    <row r="19" spans="1:11">
      <c r="A19" s="276" t="s">
        <v>3942</v>
      </c>
      <c r="B19" s="268">
        <v>0</v>
      </c>
      <c r="C19" s="268">
        <v>0</v>
      </c>
      <c r="D19" s="268">
        <v>795.32000000000016</v>
      </c>
      <c r="E19" s="268">
        <v>861.65200000000004</v>
      </c>
      <c r="F19" s="287"/>
      <c r="G19" s="268">
        <v>861.65200000000004</v>
      </c>
      <c r="H19" s="268">
        <v>861.65200000000004</v>
      </c>
      <c r="I19" s="287">
        <v>10339.824000000001</v>
      </c>
      <c r="J19" s="268">
        <v>10339.824000000001</v>
      </c>
      <c r="K19" s="233"/>
    </row>
    <row r="20" spans="1:11">
      <c r="A20" s="281" t="s">
        <v>4089</v>
      </c>
      <c r="B20" s="268">
        <v>512.75</v>
      </c>
      <c r="C20" s="268">
        <v>2192.8000000000002</v>
      </c>
      <c r="D20" s="268">
        <v>682.42500000000007</v>
      </c>
      <c r="E20" s="268">
        <v>3027.8228125000001</v>
      </c>
      <c r="F20" s="287"/>
      <c r="G20" s="268">
        <v>3540.5728125000001</v>
      </c>
      <c r="H20" s="268">
        <v>3232.5728125000001</v>
      </c>
      <c r="I20" s="287">
        <v>42486.873749999999</v>
      </c>
      <c r="J20" s="268">
        <v>38790.873749999999</v>
      </c>
      <c r="K20" s="233"/>
    </row>
    <row r="21" spans="1:11">
      <c r="A21" s="276" t="s">
        <v>3942</v>
      </c>
      <c r="B21" s="268">
        <v>512.75</v>
      </c>
      <c r="C21" s="268">
        <v>2192.8000000000002</v>
      </c>
      <c r="D21" s="268">
        <v>682.42500000000007</v>
      </c>
      <c r="E21" s="268">
        <v>3027.8228125000001</v>
      </c>
      <c r="F21" s="287"/>
      <c r="G21" s="268">
        <v>3540.5728125000001</v>
      </c>
      <c r="H21" s="268">
        <v>3232.5728125000001</v>
      </c>
      <c r="I21" s="287">
        <v>42486.873749999999</v>
      </c>
      <c r="J21" s="268">
        <v>38790.873749999999</v>
      </c>
      <c r="K21"/>
    </row>
    <row r="22" spans="1:11">
      <c r="A22" s="281" t="s">
        <v>4139</v>
      </c>
      <c r="B22" s="268">
        <v>18054.880000000005</v>
      </c>
      <c r="C22" s="268">
        <v>13813.600000000002</v>
      </c>
      <c r="D22" s="268">
        <v>12379.695000000002</v>
      </c>
      <c r="E22" s="268">
        <v>28146.134437500004</v>
      </c>
      <c r="F22" s="287"/>
      <c r="G22" s="268">
        <v>46201.014437500009</v>
      </c>
      <c r="H22" s="268">
        <v>34066.747770833332</v>
      </c>
      <c r="I22" s="287">
        <v>554412.17325000011</v>
      </c>
      <c r="J22" s="268">
        <v>408800.97324999998</v>
      </c>
    </row>
    <row r="23" spans="1:11">
      <c r="A23" s="276" t="s">
        <v>3942</v>
      </c>
      <c r="B23" s="268">
        <v>18054.880000000005</v>
      </c>
      <c r="C23" s="268">
        <v>13813.600000000002</v>
      </c>
      <c r="D23" s="268">
        <v>12379.695000000002</v>
      </c>
      <c r="E23" s="268">
        <v>28146.134437500004</v>
      </c>
      <c r="F23" s="287"/>
      <c r="G23" s="268">
        <v>46201.014437500009</v>
      </c>
      <c r="H23" s="268">
        <v>34066.747770833332</v>
      </c>
      <c r="I23" s="287">
        <v>554412.17325000011</v>
      </c>
      <c r="J23" s="268">
        <v>408800.97324999998</v>
      </c>
    </row>
    <row r="24" spans="1:11">
      <c r="A24" s="284" t="s">
        <v>129</v>
      </c>
      <c r="B24" s="283">
        <v>51569.664200000007</v>
      </c>
      <c r="C24" s="283">
        <v>88735.500000000015</v>
      </c>
      <c r="D24" s="283">
        <v>56080.170000000006</v>
      </c>
      <c r="E24" s="283">
        <v>153529.37237500004</v>
      </c>
      <c r="F24" s="288"/>
      <c r="G24" s="283">
        <v>205099.03657500006</v>
      </c>
      <c r="H24" s="283">
        <v>164400.23424166668</v>
      </c>
      <c r="I24" s="288">
        <v>2461188.4388999986</v>
      </c>
      <c r="J24" s="283">
        <v>1972802.8109000013</v>
      </c>
    </row>
  </sheetData>
  <mergeCells count="2">
    <mergeCell ref="A1:J1"/>
    <mergeCell ref="L1:U1"/>
  </mergeCells>
  <pageMargins left="0.7" right="0.7" top="0.75" bottom="0.75" header="0.3" footer="0.3"/>
  <pageSetup orientation="landscap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B2:I9"/>
  <sheetViews>
    <sheetView workbookViewId="0">
      <selection activeCell="E28" sqref="E28"/>
    </sheetView>
  </sheetViews>
  <sheetFormatPr defaultRowHeight="15"/>
  <cols>
    <col min="2" max="2" width="19.140625" customWidth="1"/>
    <col min="3" max="3" width="12.42578125" customWidth="1"/>
    <col min="4" max="4" width="9.140625" customWidth="1"/>
    <col min="5" max="5" width="19.140625" bestFit="1" customWidth="1"/>
    <col min="6" max="6" width="12.42578125" customWidth="1"/>
    <col min="8" max="8" width="19.140625" bestFit="1" customWidth="1"/>
    <col min="9" max="9" width="12.42578125" customWidth="1"/>
  </cols>
  <sheetData>
    <row r="2" spans="2:9">
      <c r="B2" s="632" t="s">
        <v>2377</v>
      </c>
      <c r="C2" s="632"/>
      <c r="E2" s="632" t="s">
        <v>2382</v>
      </c>
      <c r="F2" s="632"/>
      <c r="H2" s="632" t="s">
        <v>2383</v>
      </c>
      <c r="I2" s="632"/>
    </row>
    <row r="3" spans="2:9">
      <c r="B3" s="279" t="s">
        <v>2113</v>
      </c>
      <c r="C3" s="262" t="s">
        <v>2378</v>
      </c>
      <c r="E3" s="279" t="s">
        <v>2113</v>
      </c>
      <c r="F3" s="262" t="s">
        <v>2378</v>
      </c>
      <c r="H3" s="279" t="s">
        <v>2113</v>
      </c>
      <c r="I3" s="262" t="s">
        <v>2378</v>
      </c>
    </row>
    <row r="4" spans="2:9">
      <c r="B4" s="279" t="s">
        <v>2376</v>
      </c>
      <c r="C4" s="262" t="s">
        <v>2378</v>
      </c>
      <c r="E4" s="279" t="s">
        <v>2376</v>
      </c>
      <c r="F4" s="262" t="s">
        <v>4150</v>
      </c>
      <c r="H4" s="279" t="s">
        <v>2376</v>
      </c>
      <c r="I4" s="262" t="s">
        <v>2378</v>
      </c>
    </row>
    <row r="5" spans="2:9">
      <c r="B5" s="262"/>
      <c r="C5" s="262"/>
      <c r="E5" s="262"/>
      <c r="F5" s="262"/>
      <c r="H5" s="262"/>
      <c r="I5" s="262"/>
    </row>
    <row r="6" spans="2:9">
      <c r="B6" s="279" t="s">
        <v>2379</v>
      </c>
      <c r="C6" t="s">
        <v>2381</v>
      </c>
      <c r="E6" s="279" t="s">
        <v>2379</v>
      </c>
      <c r="F6" t="s">
        <v>2381</v>
      </c>
      <c r="H6" s="279" t="s">
        <v>2379</v>
      </c>
      <c r="I6" t="s">
        <v>2381</v>
      </c>
    </row>
    <row r="7" spans="2:9">
      <c r="B7" s="281" t="s">
        <v>24</v>
      </c>
      <c r="C7" s="272">
        <v>27</v>
      </c>
      <c r="E7" s="281" t="s">
        <v>24</v>
      </c>
      <c r="F7" s="272">
        <v>27</v>
      </c>
      <c r="H7" s="281" t="s">
        <v>24</v>
      </c>
      <c r="I7" s="272">
        <v>27</v>
      </c>
    </row>
    <row r="8" spans="2:9">
      <c r="B8" s="281" t="s">
        <v>2337</v>
      </c>
      <c r="C8" s="272">
        <v>122</v>
      </c>
      <c r="E8" s="281" t="s">
        <v>2337</v>
      </c>
      <c r="F8" s="272">
        <v>122</v>
      </c>
      <c r="H8" s="281" t="s">
        <v>2337</v>
      </c>
      <c r="I8" s="272">
        <v>122</v>
      </c>
    </row>
    <row r="9" spans="2:9">
      <c r="B9" s="281" t="s">
        <v>102</v>
      </c>
      <c r="C9" s="270">
        <v>149</v>
      </c>
      <c r="E9" s="281" t="s">
        <v>102</v>
      </c>
      <c r="F9" s="270">
        <v>149</v>
      </c>
      <c r="H9" s="281" t="s">
        <v>102</v>
      </c>
      <c r="I9" s="270">
        <v>149</v>
      </c>
    </row>
  </sheetData>
  <mergeCells count="3">
    <mergeCell ref="B2:C2"/>
    <mergeCell ref="E2:F2"/>
    <mergeCell ref="H2:I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V21"/>
  <sheetViews>
    <sheetView workbookViewId="0">
      <selection activeCell="B4" sqref="B4"/>
    </sheetView>
  </sheetViews>
  <sheetFormatPr defaultRowHeight="15"/>
  <cols>
    <col min="1" max="1" width="14.7109375" customWidth="1"/>
    <col min="2" max="2" width="11.85546875" customWidth="1"/>
    <col min="3" max="3" width="9.5703125" style="118" customWidth="1"/>
    <col min="4" max="4" width="10.5703125" style="118" customWidth="1"/>
    <col min="5" max="5" width="9.5703125" style="118" customWidth="1"/>
    <col min="6" max="6" width="14.140625" style="197" customWidth="1"/>
    <col min="7" max="7" width="2.28515625" customWidth="1"/>
    <col min="8" max="8" width="12.42578125" customWidth="1"/>
    <col min="9" max="9" width="9.140625" customWidth="1"/>
    <col min="10" max="11" width="9.5703125" customWidth="1"/>
    <col min="12" max="13" width="7.7109375" customWidth="1"/>
    <col min="14" max="14" width="6.140625" style="262" customWidth="1"/>
    <col min="15" max="15" width="21.42578125" customWidth="1"/>
    <col min="16" max="16" width="10" customWidth="1"/>
    <col min="17" max="17" width="11.7109375" customWidth="1"/>
    <col min="18" max="18" width="6.42578125" customWidth="1"/>
    <col min="19" max="19" width="11.7109375" customWidth="1"/>
    <col min="20" max="20" width="6.42578125" customWidth="1"/>
    <col min="21" max="21" width="11.28515625" customWidth="1"/>
    <col min="22" max="22" width="8" customWidth="1"/>
    <col min="23" max="23" width="8.5703125" customWidth="1"/>
    <col min="24" max="24" width="6.42578125" customWidth="1"/>
    <col min="25" max="25" width="11.28515625" customWidth="1"/>
    <col min="26" max="26" width="13.85546875" customWidth="1"/>
    <col min="27" max="27" width="9.28515625" customWidth="1"/>
    <col min="28" max="28" width="17" customWidth="1"/>
    <col min="29" max="29" width="22.85546875" customWidth="1"/>
    <col min="30" max="30" width="8.5703125" customWidth="1"/>
    <col min="31" max="31" width="11.28515625" customWidth="1"/>
    <col min="32" max="32" width="29" bestFit="1" customWidth="1"/>
    <col min="33" max="33" width="15" bestFit="1" customWidth="1"/>
    <col min="34" max="34" width="29" bestFit="1" customWidth="1"/>
    <col min="35" max="35" width="15" bestFit="1" customWidth="1"/>
    <col min="36" max="36" width="29" bestFit="1" customWidth="1"/>
    <col min="37" max="37" width="15" bestFit="1" customWidth="1"/>
    <col min="38" max="38" width="29" bestFit="1" customWidth="1"/>
    <col min="39" max="39" width="15" bestFit="1" customWidth="1"/>
    <col min="40" max="40" width="29" bestFit="1" customWidth="1"/>
    <col min="41" max="41" width="15" bestFit="1" customWidth="1"/>
    <col min="42" max="42" width="29" bestFit="1" customWidth="1"/>
    <col min="43" max="43" width="20" bestFit="1" customWidth="1"/>
    <col min="44" max="44" width="34.140625" bestFit="1" customWidth="1"/>
  </cols>
  <sheetData>
    <row r="1" spans="1:22" ht="15.75">
      <c r="A1" s="633" t="s">
        <v>202</v>
      </c>
      <c r="B1" s="633"/>
      <c r="C1" s="633"/>
      <c r="D1" s="633"/>
      <c r="E1" s="633"/>
      <c r="F1" s="208"/>
      <c r="H1" s="633" t="s">
        <v>232</v>
      </c>
      <c r="I1" s="633"/>
      <c r="J1" s="633"/>
      <c r="K1" s="633"/>
      <c r="L1" s="633"/>
      <c r="M1" s="633"/>
      <c r="O1" s="633" t="s">
        <v>446</v>
      </c>
      <c r="P1" s="633"/>
      <c r="Q1" s="633"/>
      <c r="R1" s="633"/>
      <c r="S1" s="633"/>
      <c r="T1" s="633"/>
      <c r="U1" s="633"/>
      <c r="V1" s="633"/>
    </row>
    <row r="2" spans="1:22">
      <c r="B2" s="279" t="s">
        <v>203</v>
      </c>
      <c r="C2"/>
      <c r="D2"/>
      <c r="E2"/>
      <c r="F2"/>
      <c r="I2" s="279" t="s">
        <v>203</v>
      </c>
      <c r="O2" s="279" t="s">
        <v>445</v>
      </c>
      <c r="P2" s="262" t="s">
        <v>105</v>
      </c>
    </row>
    <row r="3" spans="1:22" ht="75">
      <c r="A3" s="279" t="s">
        <v>0</v>
      </c>
      <c r="B3" s="282" t="s">
        <v>442</v>
      </c>
      <c r="C3" s="265" t="s">
        <v>391</v>
      </c>
      <c r="D3" s="265" t="s">
        <v>392</v>
      </c>
      <c r="E3" s="265" t="s">
        <v>393</v>
      </c>
      <c r="F3" s="265" t="s">
        <v>394</v>
      </c>
      <c r="H3" s="280" t="s">
        <v>130</v>
      </c>
      <c r="I3" s="282" t="s">
        <v>443</v>
      </c>
      <c r="J3" s="265" t="s">
        <v>201</v>
      </c>
      <c r="K3" s="265" t="s">
        <v>200</v>
      </c>
      <c r="L3" s="265" t="s">
        <v>444</v>
      </c>
      <c r="M3" s="265" t="s">
        <v>2127</v>
      </c>
      <c r="N3" s="265"/>
    </row>
    <row r="4" spans="1:22">
      <c r="A4" s="281" t="s">
        <v>79</v>
      </c>
      <c r="B4" s="275">
        <v>20556.999999999996</v>
      </c>
      <c r="C4" s="275"/>
      <c r="D4" s="275">
        <v>20556.999999999996</v>
      </c>
      <c r="E4" s="275"/>
      <c r="F4" s="275">
        <v>0</v>
      </c>
      <c r="H4" s="281" t="s">
        <v>3942</v>
      </c>
      <c r="I4" s="270">
        <v>65175.799999999996</v>
      </c>
      <c r="J4" s="270">
        <v>0</v>
      </c>
      <c r="K4" s="270">
        <v>65175.799999999996</v>
      </c>
      <c r="L4" s="270">
        <v>0</v>
      </c>
      <c r="M4" s="270">
        <v>0</v>
      </c>
      <c r="N4" s="270"/>
      <c r="O4" s="279" t="s">
        <v>370</v>
      </c>
      <c r="P4" s="279" t="s">
        <v>369</v>
      </c>
    </row>
    <row r="5" spans="1:22" ht="30">
      <c r="A5" s="281" t="s">
        <v>211</v>
      </c>
      <c r="B5" s="275">
        <v>0</v>
      </c>
      <c r="C5" s="275"/>
      <c r="D5" s="275">
        <v>0</v>
      </c>
      <c r="E5" s="275"/>
      <c r="F5" s="275">
        <v>0</v>
      </c>
      <c r="H5" s="281" t="s">
        <v>102</v>
      </c>
      <c r="I5" s="270">
        <v>65175.799999999996</v>
      </c>
      <c r="J5" s="270">
        <v>0</v>
      </c>
      <c r="K5" s="270">
        <v>65175.799999999996</v>
      </c>
      <c r="L5" s="270">
        <v>0</v>
      </c>
      <c r="M5" s="270">
        <v>0</v>
      </c>
      <c r="N5" s="270"/>
      <c r="O5" s="279" t="s">
        <v>134</v>
      </c>
      <c r="P5" s="262" t="s">
        <v>2173</v>
      </c>
      <c r="Q5" s="262" t="s">
        <v>314</v>
      </c>
      <c r="R5" s="265" t="s">
        <v>102</v>
      </c>
    </row>
    <row r="6" spans="1:22">
      <c r="A6" s="281" t="s">
        <v>26</v>
      </c>
      <c r="B6" s="275"/>
      <c r="C6" s="275"/>
      <c r="D6" s="275"/>
      <c r="E6" s="275"/>
      <c r="F6" s="275"/>
      <c r="O6" s="281" t="s">
        <v>79</v>
      </c>
      <c r="P6" s="274">
        <v>26</v>
      </c>
      <c r="Q6" s="274">
        <v>2</v>
      </c>
      <c r="R6" s="274">
        <v>28</v>
      </c>
    </row>
    <row r="7" spans="1:22">
      <c r="A7" s="281" t="s">
        <v>171</v>
      </c>
      <c r="B7" s="275"/>
      <c r="C7" s="275"/>
      <c r="D7" s="275"/>
      <c r="E7" s="275"/>
      <c r="F7" s="275"/>
      <c r="O7" s="281" t="s">
        <v>211</v>
      </c>
      <c r="P7" s="274">
        <v>16</v>
      </c>
      <c r="Q7" s="274">
        <v>0</v>
      </c>
      <c r="R7" s="274">
        <v>16</v>
      </c>
    </row>
    <row r="8" spans="1:22">
      <c r="A8" s="281" t="s">
        <v>466</v>
      </c>
      <c r="B8" s="275"/>
      <c r="C8" s="275"/>
      <c r="D8" s="275"/>
      <c r="E8" s="275"/>
      <c r="F8" s="275"/>
      <c r="O8" s="281" t="s">
        <v>212</v>
      </c>
      <c r="P8" s="274">
        <v>16</v>
      </c>
      <c r="Q8" s="274">
        <v>0</v>
      </c>
      <c r="R8" s="274">
        <v>16</v>
      </c>
    </row>
    <row r="9" spans="1:22">
      <c r="A9" s="281" t="s">
        <v>212</v>
      </c>
      <c r="B9" s="275">
        <v>7447.7000000000007</v>
      </c>
      <c r="C9" s="275"/>
      <c r="D9" s="275">
        <v>7447.7000000000007</v>
      </c>
      <c r="E9" s="275"/>
      <c r="F9" s="275">
        <v>0</v>
      </c>
      <c r="O9" s="281" t="s">
        <v>213</v>
      </c>
      <c r="P9" s="274">
        <v>5</v>
      </c>
      <c r="Q9" s="274">
        <v>2</v>
      </c>
      <c r="R9" s="274">
        <v>7</v>
      </c>
    </row>
    <row r="10" spans="1:22">
      <c r="A10" s="281" t="s">
        <v>213</v>
      </c>
      <c r="B10" s="275">
        <v>4987.6000000000013</v>
      </c>
      <c r="C10" s="275"/>
      <c r="D10" s="275">
        <v>4987.6000000000013</v>
      </c>
      <c r="E10" s="275"/>
      <c r="F10" s="275">
        <v>0</v>
      </c>
      <c r="O10" s="281" t="s">
        <v>25</v>
      </c>
      <c r="P10" s="274">
        <v>2</v>
      </c>
      <c r="Q10" s="274">
        <v>0</v>
      </c>
      <c r="R10" s="274">
        <v>2</v>
      </c>
    </row>
    <row r="11" spans="1:22">
      <c r="A11" s="281" t="s">
        <v>25</v>
      </c>
      <c r="B11" s="275">
        <v>2022.0000000000002</v>
      </c>
      <c r="C11" s="275"/>
      <c r="D11" s="275">
        <v>2022.0000000000002</v>
      </c>
      <c r="E11" s="275"/>
      <c r="F11" s="275">
        <v>0</v>
      </c>
      <c r="O11" s="281" t="s">
        <v>3932</v>
      </c>
      <c r="P11" s="274">
        <v>10</v>
      </c>
      <c r="Q11" s="274">
        <v>0</v>
      </c>
      <c r="R11" s="274">
        <v>10</v>
      </c>
    </row>
    <row r="12" spans="1:22">
      <c r="A12" s="281" t="s">
        <v>23</v>
      </c>
      <c r="B12" s="275"/>
      <c r="C12" s="275"/>
      <c r="D12" s="275"/>
      <c r="E12" s="275"/>
      <c r="F12" s="275"/>
      <c r="O12" s="281" t="s">
        <v>4089</v>
      </c>
      <c r="P12" s="274">
        <v>1</v>
      </c>
      <c r="Q12" s="274">
        <v>1</v>
      </c>
      <c r="R12" s="274">
        <v>2</v>
      </c>
    </row>
    <row r="13" spans="1:22">
      <c r="A13" s="281" t="s">
        <v>209</v>
      </c>
      <c r="B13" s="275"/>
      <c r="C13" s="275"/>
      <c r="D13" s="275"/>
      <c r="E13" s="275"/>
      <c r="F13" s="275"/>
      <c r="O13" s="281" t="s">
        <v>4139</v>
      </c>
      <c r="P13" s="274">
        <v>12</v>
      </c>
      <c r="Q13" s="274">
        <v>2</v>
      </c>
      <c r="R13" s="274">
        <v>14</v>
      </c>
    </row>
    <row r="14" spans="1:22">
      <c r="A14" s="281" t="s">
        <v>3932</v>
      </c>
      <c r="B14" s="275">
        <v>13581.1</v>
      </c>
      <c r="C14" s="275"/>
      <c r="D14" s="275">
        <v>13581.1</v>
      </c>
      <c r="E14" s="275"/>
      <c r="F14" s="275">
        <v>0</v>
      </c>
      <c r="O14" s="281" t="s">
        <v>102</v>
      </c>
      <c r="P14" s="274">
        <v>88</v>
      </c>
      <c r="Q14" s="274">
        <v>7</v>
      </c>
      <c r="R14" s="274">
        <v>95</v>
      </c>
    </row>
    <row r="15" spans="1:22">
      <c r="A15" s="281" t="s">
        <v>3992</v>
      </c>
      <c r="B15" s="275">
        <v>1617.6000000000001</v>
      </c>
      <c r="C15" s="275"/>
      <c r="D15" s="275">
        <v>1617.6000000000001</v>
      </c>
      <c r="E15" s="275"/>
      <c r="F15" s="275">
        <v>0</v>
      </c>
    </row>
    <row r="16" spans="1:22">
      <c r="A16" s="281" t="s">
        <v>4005</v>
      </c>
      <c r="B16" s="275">
        <v>539.19999999999993</v>
      </c>
      <c r="C16" s="275"/>
      <c r="D16" s="275">
        <v>539.19999999999993</v>
      </c>
      <c r="E16" s="275"/>
      <c r="F16" s="275">
        <v>0</v>
      </c>
    </row>
    <row r="17" spans="1:6">
      <c r="A17" s="281" t="s">
        <v>4089</v>
      </c>
      <c r="B17" s="275">
        <v>1516.5</v>
      </c>
      <c r="C17" s="275"/>
      <c r="D17" s="275">
        <v>1516.5</v>
      </c>
      <c r="E17" s="275"/>
      <c r="F17" s="275">
        <v>0</v>
      </c>
    </row>
    <row r="18" spans="1:6">
      <c r="A18" s="281" t="s">
        <v>4139</v>
      </c>
      <c r="B18" s="275">
        <v>12907.100000000002</v>
      </c>
      <c r="C18" s="275"/>
      <c r="D18" s="275">
        <v>12907.100000000002</v>
      </c>
      <c r="E18" s="275"/>
      <c r="F18" s="275">
        <v>0</v>
      </c>
    </row>
    <row r="19" spans="1:6">
      <c r="A19" s="281" t="s">
        <v>102</v>
      </c>
      <c r="B19" s="275">
        <v>65175.799999999988</v>
      </c>
      <c r="C19" s="275"/>
      <c r="D19" s="275">
        <v>65175.799999999988</v>
      </c>
      <c r="E19" s="275"/>
      <c r="F19" s="275">
        <v>0</v>
      </c>
    </row>
    <row r="20" spans="1:6">
      <c r="C20"/>
    </row>
    <row r="21" spans="1:6">
      <c r="C21"/>
    </row>
  </sheetData>
  <mergeCells count="3">
    <mergeCell ref="A1:E1"/>
    <mergeCell ref="O1:V1"/>
    <mergeCell ref="H1:M1"/>
  </mergeCells>
  <pageMargins left="0.7" right="0.7" top="0.75" bottom="0.75" header="0.3" footer="0.3"/>
  <pageSetup paperSize="0" orientation="portrait" horizontalDpi="0" verticalDpi="0" copies="0"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Q1200"/>
  <sheetViews>
    <sheetView workbookViewId="0">
      <selection activeCell="H4" sqref="H4:H13"/>
    </sheetView>
  </sheetViews>
  <sheetFormatPr defaultRowHeight="15"/>
  <cols>
    <col min="1" max="1" width="18.28515625" style="262" customWidth="1"/>
    <col min="2" max="2" width="13" style="262" customWidth="1"/>
    <col min="3" max="3" width="17.28515625" style="262" customWidth="1"/>
    <col min="4" max="4" width="39.140625" style="262" customWidth="1"/>
    <col min="5" max="5" width="27.140625" customWidth="1"/>
    <col min="6" max="6" width="10.7109375" customWidth="1"/>
    <col min="7" max="7" width="10.42578125" customWidth="1"/>
    <col min="8" max="9" width="6" customWidth="1"/>
    <col min="10" max="10" width="8" customWidth="1"/>
    <col min="11" max="11" width="9.5703125" customWidth="1"/>
    <col min="12" max="12" width="10" style="105" customWidth="1"/>
    <col min="13" max="13" width="9.5703125" customWidth="1"/>
    <col min="14" max="14" width="11.140625" customWidth="1"/>
    <col min="15" max="15" width="9.5703125" customWidth="1"/>
    <col min="16" max="62" width="9.140625" customWidth="1"/>
  </cols>
  <sheetData>
    <row r="1" spans="1:17">
      <c r="A1" s="384"/>
      <c r="B1" s="384"/>
      <c r="C1" s="384"/>
      <c r="D1" s="384"/>
      <c r="F1" s="279" t="s">
        <v>233</v>
      </c>
      <c r="L1"/>
    </row>
    <row r="2" spans="1:17" ht="75">
      <c r="A2" s="385" t="s">
        <v>2184</v>
      </c>
      <c r="B2" s="385" t="s">
        <v>399</v>
      </c>
      <c r="C2" s="423" t="s">
        <v>2306</v>
      </c>
      <c r="D2" s="385" t="s">
        <v>2185</v>
      </c>
      <c r="E2" s="280" t="s">
        <v>2182</v>
      </c>
      <c r="F2" s="265" t="s">
        <v>2230</v>
      </c>
      <c r="G2" s="265" t="s">
        <v>234</v>
      </c>
      <c r="H2" s="265" t="s">
        <v>235</v>
      </c>
      <c r="I2" s="265" t="s">
        <v>2180</v>
      </c>
      <c r="J2" s="265" t="s">
        <v>2181</v>
      </c>
      <c r="K2" s="265" t="s">
        <v>392</v>
      </c>
      <c r="L2" s="265" t="s">
        <v>394</v>
      </c>
      <c r="M2" s="265" t="s">
        <v>393</v>
      </c>
      <c r="N2" s="265" t="s">
        <v>2183</v>
      </c>
    </row>
    <row r="3" spans="1:17">
      <c r="A3" s="3" t="str">
        <f>IF(AND(NOT(ISBLANK(E3)),E3&lt;&gt;"(blank)"),IFERROR(IF(INDEX(HostBuild[],MATCH(E3,HostBuild[Alias],0),COLUMN(HostBuild[Hostname]))&lt;&gt;0,INDEX(HostBuild[],MATCH(E3,HostBuild[Alias],0),COLUMN(HostBuild[Hostname])),""),""),"")</f>
        <v/>
      </c>
      <c r="B3" s="424" t="str">
        <f>IF(AND(NOT(ISBLANK(E3)),E3&lt;&gt;"(blank)"),IFERROR(IF(INDEX(HostBuild[],MATCH(E3,HostBuild[Alias],0),COLUMN(HostBuild[Status]))&lt;&gt;0,INDEX(HostBuild[],MATCH(E3,HostBuild[Alias],0),COLUMN(HostBuild[Status])),""),""),"")</f>
        <v/>
      </c>
      <c r="C3" s="425" t="str">
        <f>IF(AND(NOT(ISBLANK(E3)),E3&lt;&gt;"(blank)"),IFERROR(IF(INDEX(HostBuild[],MATCH(E3,HostBuild[Alias],0),COLUMN(HostBuild[CTI Target Completion]))&lt;&gt;0,INDEX(HostBuild[],MATCH(E3,HostBuild[Alias],0),COLUMN(HostBuild[CTI Target Completion])),""),""),"")</f>
        <v/>
      </c>
      <c r="D3" s="262" t="str">
        <f>IF(AND(NOT(ISBLANK(E3)),E3&lt;&gt;"(blank)"),IFERROR(IF(INDEX(HostBuild[],MATCH(E3,HostBuild[Alias],0),COLUMN(HostBuild[Description]))&lt;&gt;0,INDEX(HostBuild[],MATCH(E3,HostBuild[Alias],0),COLUMN(HostBuild[Description])),""),""),"")</f>
        <v>Web Server</v>
      </c>
      <c r="E3" s="281" t="s">
        <v>4022</v>
      </c>
      <c r="F3" s="270"/>
      <c r="G3" s="387">
        <v>2</v>
      </c>
      <c r="H3" s="272">
        <v>16</v>
      </c>
      <c r="I3" s="272">
        <v>128</v>
      </c>
      <c r="J3" s="272">
        <v>909.90000000000009</v>
      </c>
      <c r="K3" s="272">
        <v>909.90000000000009</v>
      </c>
      <c r="L3" s="272">
        <v>0</v>
      </c>
      <c r="M3" s="272"/>
      <c r="N3" s="266">
        <v>1389.7136875000001</v>
      </c>
    </row>
    <row r="4" spans="1:17">
      <c r="A4" s="3" t="str">
        <f>IF(AND(NOT(ISBLANK(E4)),E4&lt;&gt;"(blank)"),IFERROR(IF(INDEX(HostBuild[],MATCH(E4,HostBuild[Alias],0),COLUMN(HostBuild[Hostname]))&lt;&gt;0,INDEX(HostBuild[],MATCH(E4,HostBuild[Alias],0),COLUMN(HostBuild[Hostname])),""),""),"")</f>
        <v/>
      </c>
      <c r="B4" s="424" t="str">
        <f>IF(AND(NOT(ISBLANK(E4)),E4&lt;&gt;"(blank)"),IFERROR(IF(INDEX(HostBuild[],MATCH(E4,HostBuild[Alias],0),COLUMN(HostBuild[Status]))&lt;&gt;0,INDEX(HostBuild[],MATCH(E4,HostBuild[Alias],0),COLUMN(HostBuild[Status])),""),""),"")</f>
        <v/>
      </c>
      <c r="C4" s="425" t="str">
        <f>IF(AND(NOT(ISBLANK(E4)),E4&lt;&gt;"(blank)"),IFERROR(IF(INDEX(HostBuild[],MATCH(E4,HostBuild[Alias],0),COLUMN(HostBuild[CTI Target Completion]))&lt;&gt;0,INDEX(HostBuild[],MATCH(E4,HostBuild[Alias],0),COLUMN(HostBuild[CTI Target Completion])),""),""),"")</f>
        <v/>
      </c>
      <c r="D4" s="262" t="str">
        <f>IF(AND(NOT(ISBLANK(E4)),E4&lt;&gt;"(blank)"),IFERROR(IF(INDEX(HostBuild[],MATCH(E4,HostBuild[Alias],0),COLUMN(HostBuild[Description]))&lt;&gt;0,INDEX(HostBuild[],MATCH(E4,HostBuild[Alias],0),COLUMN(HostBuild[Description])),""),""),"")</f>
        <v>CM App Server</v>
      </c>
      <c r="E4" s="281" t="s">
        <v>4031</v>
      </c>
      <c r="F4" s="270"/>
      <c r="G4" s="387">
        <v>2</v>
      </c>
      <c r="H4" s="272">
        <v>16</v>
      </c>
      <c r="I4" s="272">
        <v>256</v>
      </c>
      <c r="J4" s="272">
        <v>1145.8000000000002</v>
      </c>
      <c r="K4" s="272">
        <v>1145.8000000000002</v>
      </c>
      <c r="L4" s="272">
        <v>0</v>
      </c>
      <c r="M4" s="272"/>
      <c r="N4" s="266">
        <v>1634.8061250000003</v>
      </c>
    </row>
    <row r="5" spans="1:17">
      <c r="A5" s="3" t="str">
        <f>IF(AND(NOT(ISBLANK(E5)),E5&lt;&gt;"(blank)"),IFERROR(IF(INDEX(HostBuild[],MATCH(E5,HostBuild[Alias],0),COLUMN(HostBuild[Hostname]))&lt;&gt;0,INDEX(HostBuild[],MATCH(E5,HostBuild[Alias],0),COLUMN(HostBuild[Hostname])),""),""),"")</f>
        <v/>
      </c>
      <c r="B5" s="424" t="str">
        <f>IF(AND(NOT(ISBLANK(E5)),E5&lt;&gt;"(blank)"),IFERROR(IF(INDEX(HostBuild[],MATCH(E5,HostBuild[Alias],0),COLUMN(HostBuild[Status]))&lt;&gt;0,INDEX(HostBuild[],MATCH(E5,HostBuild[Alias],0),COLUMN(HostBuild[Status])),""),""),"")</f>
        <v/>
      </c>
      <c r="C5" s="425" t="str">
        <f>IF(AND(NOT(ISBLANK(E5)),E5&lt;&gt;"(blank)"),IFERROR(IF(INDEX(HostBuild[],MATCH(E5,HostBuild[Alias],0),COLUMN(HostBuild[CTI Target Completion]))&lt;&gt;0,INDEX(HostBuild[],MATCH(E5,HostBuild[Alias],0),COLUMN(HostBuild[CTI Target Completion])),""),""),"")</f>
        <v/>
      </c>
      <c r="D5" s="262" t="str">
        <f>IF(AND(NOT(ISBLANK(E5)),E5&lt;&gt;"(blank)"),IFERROR(IF(INDEX(HostBuild[],MATCH(E5,HostBuild[Alias],0),COLUMN(HostBuild[Description]))&lt;&gt;0,INDEX(HostBuild[],MATCH(E5,HostBuild[Alias],0),COLUMN(HostBuild[Description])),""),""),"")</f>
        <v>CM App Server</v>
      </c>
      <c r="E5" s="281" t="s">
        <v>4032</v>
      </c>
      <c r="F5" s="270"/>
      <c r="G5" s="387">
        <v>2</v>
      </c>
      <c r="H5" s="272">
        <v>16</v>
      </c>
      <c r="I5" s="272">
        <v>256</v>
      </c>
      <c r="J5" s="272">
        <v>1145.8000000000002</v>
      </c>
      <c r="K5" s="272">
        <v>1145.8000000000002</v>
      </c>
      <c r="L5" s="272">
        <v>0</v>
      </c>
      <c r="M5" s="272"/>
      <c r="N5" s="266">
        <v>1634.8061250000003</v>
      </c>
    </row>
    <row r="6" spans="1:17">
      <c r="A6" s="3" t="str">
        <f>IF(AND(NOT(ISBLANK(E6)),E6&lt;&gt;"(blank)"),IFERROR(IF(INDEX(HostBuild[],MATCH(E6,HostBuild[Alias],0),COLUMN(HostBuild[Hostname]))&lt;&gt;0,INDEX(HostBuild[],MATCH(E6,HostBuild[Alias],0),COLUMN(HostBuild[Hostname])),""),""),"")</f>
        <v/>
      </c>
      <c r="B6" s="424" t="str">
        <f>IF(AND(NOT(ISBLANK(E6)),E6&lt;&gt;"(blank)"),IFERROR(IF(INDEX(HostBuild[],MATCH(E6,HostBuild[Alias],0),COLUMN(HostBuild[Status]))&lt;&gt;0,INDEX(HostBuild[],MATCH(E6,HostBuild[Alias],0),COLUMN(HostBuild[Status])),""),""),"")</f>
        <v/>
      </c>
      <c r="C6" s="425" t="str">
        <f>IF(AND(NOT(ISBLANK(E6)),E6&lt;&gt;"(blank)"),IFERROR(IF(INDEX(HostBuild[],MATCH(E6,HostBuild[Alias],0),COLUMN(HostBuild[CTI Target Completion]))&lt;&gt;0,INDEX(HostBuild[],MATCH(E6,HostBuild[Alias],0),COLUMN(HostBuild[CTI Target Completion])),""),""),"")</f>
        <v/>
      </c>
      <c r="D6" s="262" t="str">
        <f>IF(AND(NOT(ISBLANK(E6)),E6&lt;&gt;"(blank)"),IFERROR(IF(INDEX(HostBuild[],MATCH(E6,HostBuild[Alias],0),COLUMN(HostBuild[Description]))&lt;&gt;0,INDEX(HostBuild[],MATCH(E6,HostBuild[Alias],0),COLUMN(HostBuild[Description])),""),""),"")</f>
        <v>CM App Server</v>
      </c>
      <c r="E6" s="281" t="s">
        <v>4033</v>
      </c>
      <c r="F6" s="270"/>
      <c r="G6" s="387">
        <v>2</v>
      </c>
      <c r="H6" s="272">
        <v>16</v>
      </c>
      <c r="I6" s="272">
        <v>256</v>
      </c>
      <c r="J6" s="272">
        <v>1145.8000000000002</v>
      </c>
      <c r="K6" s="272">
        <v>1145.8000000000002</v>
      </c>
      <c r="L6" s="272">
        <v>0</v>
      </c>
      <c r="M6" s="272"/>
      <c r="N6" s="266">
        <v>1634.8061250000003</v>
      </c>
    </row>
    <row r="7" spans="1:17">
      <c r="A7" s="3" t="str">
        <f>IF(AND(NOT(ISBLANK(E7)),E7&lt;&gt;"(blank)"),IFERROR(IF(INDEX(HostBuild[],MATCH(E7,HostBuild[Alias],0),COLUMN(HostBuild[Hostname]))&lt;&gt;0,INDEX(HostBuild[],MATCH(E7,HostBuild[Alias],0),COLUMN(HostBuild[Hostname])),""),""),"")</f>
        <v/>
      </c>
      <c r="B7" s="424" t="str">
        <f>IF(AND(NOT(ISBLANK(E7)),E7&lt;&gt;"(blank)"),IFERROR(IF(INDEX(HostBuild[],MATCH(E7,HostBuild[Alias],0),COLUMN(HostBuild[Status]))&lt;&gt;0,INDEX(HostBuild[],MATCH(E7,HostBuild[Alias],0),COLUMN(HostBuild[Status])),""),""),"")</f>
        <v/>
      </c>
      <c r="C7" s="425" t="str">
        <f>IF(AND(NOT(ISBLANK(E7)),E7&lt;&gt;"(blank)"),IFERROR(IF(INDEX(HostBuild[],MATCH(E7,HostBuild[Alias],0),COLUMN(HostBuild[CTI Target Completion]))&lt;&gt;0,INDEX(HostBuild[],MATCH(E7,HostBuild[Alias],0),COLUMN(HostBuild[CTI Target Completion])),""),""),"")</f>
        <v/>
      </c>
      <c r="D7" s="262" t="str">
        <f>IF(AND(NOT(ISBLANK(E7)),E7&lt;&gt;"(blank)"),IFERROR(IF(INDEX(HostBuild[],MATCH(E7,HostBuild[Alias],0),COLUMN(HostBuild[Description]))&lt;&gt;0,INDEX(HostBuild[],MATCH(E7,HostBuild[Alias],0),COLUMN(HostBuild[Description])),""),""),"")</f>
        <v>DB Server Cluster1</v>
      </c>
      <c r="E7" s="281" t="s">
        <v>4034</v>
      </c>
      <c r="F7" s="270"/>
      <c r="G7" s="387">
        <v>2</v>
      </c>
      <c r="H7" s="272">
        <v>16</v>
      </c>
      <c r="I7" s="272">
        <v>128</v>
      </c>
      <c r="J7" s="272">
        <v>3403.7000000000003</v>
      </c>
      <c r="K7" s="272">
        <v>3403.7000000000003</v>
      </c>
      <c r="L7" s="272">
        <v>0</v>
      </c>
      <c r="M7" s="272"/>
      <c r="N7" s="266">
        <v>6097.7373125000004</v>
      </c>
    </row>
    <row r="8" spans="1:17">
      <c r="A8" s="3" t="str">
        <f>IF(AND(NOT(ISBLANK(E8)),E8&lt;&gt;"(blank)"),IFERROR(IF(INDEX(HostBuild[],MATCH(E8,HostBuild[Alias],0),COLUMN(HostBuild[Hostname]))&lt;&gt;0,INDEX(HostBuild[],MATCH(E8,HostBuild[Alias],0),COLUMN(HostBuild[Hostname])),""),""),"")</f>
        <v/>
      </c>
      <c r="B8" s="424" t="str">
        <f>IF(AND(NOT(ISBLANK(E8)),E8&lt;&gt;"(blank)"),IFERROR(IF(INDEX(HostBuild[],MATCH(E8,HostBuild[Alias],0),COLUMN(HostBuild[Status]))&lt;&gt;0,INDEX(HostBuild[],MATCH(E8,HostBuild[Alias],0),COLUMN(HostBuild[Status])),""),""),"")</f>
        <v/>
      </c>
      <c r="C8" s="425" t="str">
        <f>IF(AND(NOT(ISBLANK(E8)),E8&lt;&gt;"(blank)"),IFERROR(IF(INDEX(HostBuild[],MATCH(E8,HostBuild[Alias],0),COLUMN(HostBuild[CTI Target Completion]))&lt;&gt;0,INDEX(HostBuild[],MATCH(E8,HostBuild[Alias],0),COLUMN(HostBuild[CTI Target Completion])),""),""),"")</f>
        <v/>
      </c>
      <c r="D8" s="262" t="str">
        <f>IF(AND(NOT(ISBLANK(E8)),E8&lt;&gt;"(blank)"),IFERROR(IF(INDEX(HostBuild[],MATCH(E8,HostBuild[Alias],0),COLUMN(HostBuild[Description]))&lt;&gt;0,INDEX(HostBuild[],MATCH(E8,HostBuild[Alias],0),COLUMN(HostBuild[Description])),""),""),"")</f>
        <v>DB Server Cluster1</v>
      </c>
      <c r="E8" s="281" t="s">
        <v>4035</v>
      </c>
      <c r="F8" s="270"/>
      <c r="G8" s="387">
        <v>2</v>
      </c>
      <c r="H8" s="272">
        <v>16</v>
      </c>
      <c r="I8" s="272">
        <v>128</v>
      </c>
      <c r="J8" s="272">
        <v>404.40000000000003</v>
      </c>
      <c r="K8" s="272">
        <v>404.40000000000003</v>
      </c>
      <c r="L8" s="272">
        <v>0</v>
      </c>
      <c r="M8" s="272"/>
      <c r="N8" s="266">
        <v>1111.37275</v>
      </c>
      <c r="Q8" s="260"/>
    </row>
    <row r="9" spans="1:17">
      <c r="A9" s="3" t="str">
        <f>IF(AND(NOT(ISBLANK(E9)),E9&lt;&gt;"(blank)"),IFERROR(IF(INDEX(HostBuild[],MATCH(E9,HostBuild[Alias],0),COLUMN(HostBuild[Hostname]))&lt;&gt;0,INDEX(HostBuild[],MATCH(E9,HostBuild[Alias],0),COLUMN(HostBuild[Hostname])),""),""),"")</f>
        <v/>
      </c>
      <c r="B9" s="424" t="str">
        <f>IF(AND(NOT(ISBLANK(E9)),E9&lt;&gt;"(blank)"),IFERROR(IF(INDEX(HostBuild[],MATCH(E9,HostBuild[Alias],0),COLUMN(HostBuild[Status]))&lt;&gt;0,INDEX(HostBuild[],MATCH(E9,HostBuild[Alias],0),COLUMN(HostBuild[Status])),""),""),"")</f>
        <v/>
      </c>
      <c r="C9" s="425" t="str">
        <f>IF(AND(NOT(ISBLANK(E9)),E9&lt;&gt;"(blank)"),IFERROR(IF(INDEX(HostBuild[],MATCH(E9,HostBuild[Alias],0),COLUMN(HostBuild[CTI Target Completion]))&lt;&gt;0,INDEX(HostBuild[],MATCH(E9,HostBuild[Alias],0),COLUMN(HostBuild[CTI Target Completion])),""),""),"")</f>
        <v/>
      </c>
      <c r="D9" s="262" t="str">
        <f>IF(AND(NOT(ISBLANK(E9)),E9&lt;&gt;"(blank)"),IFERROR(IF(INDEX(HostBuild[],MATCH(E9,HostBuild[Alias],0),COLUMN(HostBuild[Description]))&lt;&gt;0,INDEX(HostBuild[],MATCH(E9,HostBuild[Alias],0),COLUMN(HostBuild[Description])),""),""),"")</f>
        <v>Data Guard Cluster1</v>
      </c>
      <c r="E9" s="281" t="s">
        <v>4036</v>
      </c>
      <c r="F9" s="270"/>
      <c r="G9" s="387">
        <v>2</v>
      </c>
      <c r="H9" s="272">
        <v>16</v>
      </c>
      <c r="I9" s="272">
        <v>128</v>
      </c>
      <c r="J9" s="272">
        <v>3403.7000000000003</v>
      </c>
      <c r="K9" s="272">
        <v>3403.7000000000003</v>
      </c>
      <c r="L9" s="272">
        <v>0</v>
      </c>
      <c r="M9" s="272"/>
      <c r="N9" s="266">
        <v>6097.7373125000004</v>
      </c>
      <c r="Q9" s="260"/>
    </row>
    <row r="10" spans="1:17">
      <c r="A10" s="3" t="str">
        <f>IF(AND(NOT(ISBLANK(E10)),E10&lt;&gt;"(blank)"),IFERROR(IF(INDEX(HostBuild[],MATCH(E10,HostBuild[Alias],0),COLUMN(HostBuild[Hostname]))&lt;&gt;0,INDEX(HostBuild[],MATCH(E10,HostBuild[Alias],0),COLUMN(HostBuild[Hostname])),""),""),"")</f>
        <v/>
      </c>
      <c r="B10" s="424" t="str">
        <f>IF(AND(NOT(ISBLANK(E10)),E10&lt;&gt;"(blank)"),IFERROR(IF(INDEX(HostBuild[],MATCH(E10,HostBuild[Alias],0),COLUMN(HostBuild[Status]))&lt;&gt;0,INDEX(HostBuild[],MATCH(E10,HostBuild[Alias],0),COLUMN(HostBuild[Status])),""),""),"")</f>
        <v/>
      </c>
      <c r="C10" s="425" t="str">
        <f>IF(AND(NOT(ISBLANK(E10)),E10&lt;&gt;"(blank)"),IFERROR(IF(INDEX(HostBuild[],MATCH(E10,HostBuild[Alias],0),COLUMN(HostBuild[CTI Target Completion]))&lt;&gt;0,INDEX(HostBuild[],MATCH(E10,HostBuild[Alias],0),COLUMN(HostBuild[CTI Target Completion])),""),""),"")</f>
        <v/>
      </c>
      <c r="D10" s="262" t="str">
        <f>IF(AND(NOT(ISBLANK(E10)),E10&lt;&gt;"(blank)"),IFERROR(IF(INDEX(HostBuild[],MATCH(E10,HostBuild[Alias],0),COLUMN(HostBuild[Description]))&lt;&gt;0,INDEX(HostBuild[],MATCH(E10,HostBuild[Alias],0),COLUMN(HostBuild[Description])),""),""),"")</f>
        <v>Data Guard Cluster1</v>
      </c>
      <c r="E10" s="281" t="s">
        <v>4037</v>
      </c>
      <c r="F10" s="270"/>
      <c r="G10" s="387">
        <v>2</v>
      </c>
      <c r="H10" s="272">
        <v>16</v>
      </c>
      <c r="I10" s="272">
        <v>128</v>
      </c>
      <c r="J10" s="272">
        <v>404.40000000000003</v>
      </c>
      <c r="K10" s="272">
        <v>404.40000000000003</v>
      </c>
      <c r="L10" s="272">
        <v>0</v>
      </c>
      <c r="M10" s="272"/>
      <c r="N10" s="266">
        <v>1111.37275</v>
      </c>
    </row>
    <row r="11" spans="1:17">
      <c r="A11" s="3" t="str">
        <f>IF(AND(NOT(ISBLANK(E11)),E11&lt;&gt;"(blank)"),IFERROR(IF(INDEX(HostBuild[],MATCH(E11,HostBuild[Alias],0),COLUMN(HostBuild[Hostname]))&lt;&gt;0,INDEX(HostBuild[],MATCH(E11,HostBuild[Alias],0),COLUMN(HostBuild[Hostname])),""),""),"")</f>
        <v/>
      </c>
      <c r="B11" s="424" t="str">
        <f>IF(AND(NOT(ISBLANK(E11)),E11&lt;&gt;"(blank)"),IFERROR(IF(INDEX(HostBuild[],MATCH(E11,HostBuild[Alias],0),COLUMN(HostBuild[Status]))&lt;&gt;0,INDEX(HostBuild[],MATCH(E11,HostBuild[Alias],0),COLUMN(HostBuild[Status])),""),""),"")</f>
        <v/>
      </c>
      <c r="C11" s="425" t="str">
        <f>IF(AND(NOT(ISBLANK(E11)),E11&lt;&gt;"(blank)"),IFERROR(IF(INDEX(HostBuild[],MATCH(E11,HostBuild[Alias],0),COLUMN(HostBuild[CTI Target Completion]))&lt;&gt;0,INDEX(HostBuild[],MATCH(E11,HostBuild[Alias],0),COLUMN(HostBuild[CTI Target Completion])),""),""),"")</f>
        <v/>
      </c>
      <c r="D11" s="262" t="str">
        <f>IF(AND(NOT(ISBLANK(E11)),E11&lt;&gt;"(blank)"),IFERROR(IF(INDEX(HostBuild[],MATCH(E11,HostBuild[Alias],0),COLUMN(HostBuild[Description]))&lt;&gt;0,INDEX(HostBuild[],MATCH(E11,HostBuild[Alias],0),COLUMN(HostBuild[Description])),""),""),"")</f>
        <v>DB Server Cluster2</v>
      </c>
      <c r="E11" s="281" t="s">
        <v>4038</v>
      </c>
      <c r="F11" s="270"/>
      <c r="G11" s="387">
        <v>2</v>
      </c>
      <c r="H11" s="272">
        <v>16</v>
      </c>
      <c r="I11" s="272">
        <v>128</v>
      </c>
      <c r="J11" s="272">
        <v>3403.7000000000003</v>
      </c>
      <c r="K11" s="272">
        <v>3403.7000000000003</v>
      </c>
      <c r="L11" s="272">
        <v>0</v>
      </c>
      <c r="M11" s="272"/>
      <c r="N11" s="266">
        <v>6097.7373125000004</v>
      </c>
    </row>
    <row r="12" spans="1:17">
      <c r="A12" s="3" t="str">
        <f>IF(AND(NOT(ISBLANK(E12)),E12&lt;&gt;"(blank)"),IFERROR(IF(INDEX(HostBuild[],MATCH(E12,HostBuild[Alias],0),COLUMN(HostBuild[Hostname]))&lt;&gt;0,INDEX(HostBuild[],MATCH(E12,HostBuild[Alias],0),COLUMN(HostBuild[Hostname])),""),""),"")</f>
        <v/>
      </c>
      <c r="B12" s="424" t="str">
        <f>IF(AND(NOT(ISBLANK(E12)),E12&lt;&gt;"(blank)"),IFERROR(IF(INDEX(HostBuild[],MATCH(E12,HostBuild[Alias],0),COLUMN(HostBuild[Status]))&lt;&gt;0,INDEX(HostBuild[],MATCH(E12,HostBuild[Alias],0),COLUMN(HostBuild[Status])),""),""),"")</f>
        <v/>
      </c>
      <c r="C12" s="425" t="str">
        <f>IF(AND(NOT(ISBLANK(E12)),E12&lt;&gt;"(blank)"),IFERROR(IF(INDEX(HostBuild[],MATCH(E12,HostBuild[Alias],0),COLUMN(HostBuild[CTI Target Completion]))&lt;&gt;0,INDEX(HostBuild[],MATCH(E12,HostBuild[Alias],0),COLUMN(HostBuild[CTI Target Completion])),""),""),"")</f>
        <v/>
      </c>
      <c r="D12" s="262" t="str">
        <f>IF(AND(NOT(ISBLANK(E12)),E12&lt;&gt;"(blank)"),IFERROR(IF(INDEX(HostBuild[],MATCH(E12,HostBuild[Alias],0),COLUMN(HostBuild[Description]))&lt;&gt;0,INDEX(HostBuild[],MATCH(E12,HostBuild[Alias],0),COLUMN(HostBuild[Description])),""),""),"")</f>
        <v>DB Server Cluster2</v>
      </c>
      <c r="E12" s="281" t="s">
        <v>4039</v>
      </c>
      <c r="F12" s="270"/>
      <c r="G12" s="387">
        <v>2</v>
      </c>
      <c r="H12" s="272">
        <v>16</v>
      </c>
      <c r="I12" s="272">
        <v>128</v>
      </c>
      <c r="J12" s="272">
        <v>404.40000000000003</v>
      </c>
      <c r="K12" s="272">
        <v>404.40000000000003</v>
      </c>
      <c r="L12" s="272">
        <v>0</v>
      </c>
      <c r="M12" s="272"/>
      <c r="N12" s="266">
        <v>1111.37275</v>
      </c>
    </row>
    <row r="13" spans="1:17">
      <c r="A13" s="3" t="str">
        <f>IF(AND(NOT(ISBLANK(E13)),E13&lt;&gt;"(blank)"),IFERROR(IF(INDEX(HostBuild[],MATCH(E13,HostBuild[Alias],0),COLUMN(HostBuild[Hostname]))&lt;&gt;0,INDEX(HostBuild[],MATCH(E13,HostBuild[Alias],0),COLUMN(HostBuild[Hostname])),""),""),"")</f>
        <v/>
      </c>
      <c r="B13" s="424" t="str">
        <f>IF(AND(NOT(ISBLANK(E13)),E13&lt;&gt;"(blank)"),IFERROR(IF(INDEX(HostBuild[],MATCH(E13,HostBuild[Alias],0),COLUMN(HostBuild[Status]))&lt;&gt;0,INDEX(HostBuild[],MATCH(E13,HostBuild[Alias],0),COLUMN(HostBuild[Status])),""),""),"")</f>
        <v/>
      </c>
      <c r="C13" s="425" t="str">
        <f>IF(AND(NOT(ISBLANK(E13)),E13&lt;&gt;"(blank)"),IFERROR(IF(INDEX(HostBuild[],MATCH(E13,HostBuild[Alias],0),COLUMN(HostBuild[CTI Target Completion]))&lt;&gt;0,INDEX(HostBuild[],MATCH(E13,HostBuild[Alias],0),COLUMN(HostBuild[CTI Target Completion])),""),""),"")</f>
        <v/>
      </c>
      <c r="D13" s="262" t="str">
        <f>IF(AND(NOT(ISBLANK(E13)),E13&lt;&gt;"(blank)"),IFERROR(IF(INDEX(HostBuild[],MATCH(E13,HostBuild[Alias],0),COLUMN(HostBuild[Description]))&lt;&gt;0,INDEX(HostBuild[],MATCH(E13,HostBuild[Alias],0),COLUMN(HostBuild[Description])),""),""),"")</f>
        <v>Data Guard Cluster2</v>
      </c>
      <c r="E13" s="281" t="s">
        <v>4040</v>
      </c>
      <c r="F13" s="270"/>
      <c r="G13" s="387">
        <v>2</v>
      </c>
      <c r="H13" s="272">
        <v>16</v>
      </c>
      <c r="I13" s="272">
        <v>128</v>
      </c>
      <c r="J13" s="272">
        <v>3403.7000000000003</v>
      </c>
      <c r="K13" s="272">
        <v>3403.7000000000003</v>
      </c>
      <c r="L13" s="272">
        <v>0</v>
      </c>
      <c r="M13" s="272"/>
      <c r="N13" s="266">
        <v>6097.7373125000004</v>
      </c>
    </row>
    <row r="14" spans="1:17">
      <c r="A14" s="3" t="str">
        <f>IF(AND(NOT(ISBLANK(E14)),E14&lt;&gt;"(blank)"),IFERROR(IF(INDEX(HostBuild[],MATCH(E14,HostBuild[Alias],0),COLUMN(HostBuild[Hostname]))&lt;&gt;0,INDEX(HostBuild[],MATCH(E14,HostBuild[Alias],0),COLUMN(HostBuild[Hostname])),""),""),"")</f>
        <v/>
      </c>
      <c r="B14" s="424" t="str">
        <f>IF(AND(NOT(ISBLANK(E14)),E14&lt;&gt;"(blank)"),IFERROR(IF(INDEX(HostBuild[],MATCH(E14,HostBuild[Alias],0),COLUMN(HostBuild[Status]))&lt;&gt;0,INDEX(HostBuild[],MATCH(E14,HostBuild[Alias],0),COLUMN(HostBuild[Status])),""),""),"")</f>
        <v/>
      </c>
      <c r="C14" s="425" t="str">
        <f>IF(AND(NOT(ISBLANK(E14)),E14&lt;&gt;"(blank)"),IFERROR(IF(INDEX(HostBuild[],MATCH(E14,HostBuild[Alias],0),COLUMN(HostBuild[CTI Target Completion]))&lt;&gt;0,INDEX(HostBuild[],MATCH(E14,HostBuild[Alias],0),COLUMN(HostBuild[CTI Target Completion])),""),""),"")</f>
        <v/>
      </c>
      <c r="D14" s="262" t="str">
        <f>IF(AND(NOT(ISBLANK(E14)),E14&lt;&gt;"(blank)"),IFERROR(IF(INDEX(HostBuild[],MATCH(E14,HostBuild[Alias],0),COLUMN(HostBuild[Description]))&lt;&gt;0,INDEX(HostBuild[],MATCH(E14,HostBuild[Alias],0),COLUMN(HostBuild[Description])),""),""),"")</f>
        <v>Web Server</v>
      </c>
      <c r="E14" s="281" t="s">
        <v>4023</v>
      </c>
      <c r="F14" s="270"/>
      <c r="G14" s="387">
        <v>2</v>
      </c>
      <c r="H14" s="272">
        <v>16</v>
      </c>
      <c r="I14" s="272">
        <v>128</v>
      </c>
      <c r="J14" s="272">
        <v>909.90000000000009</v>
      </c>
      <c r="K14" s="272">
        <v>909.90000000000009</v>
      </c>
      <c r="L14" s="272">
        <v>0</v>
      </c>
      <c r="M14" s="272"/>
      <c r="N14" s="266">
        <v>1389.7136875000001</v>
      </c>
    </row>
    <row r="15" spans="1:17">
      <c r="A15" s="3" t="str">
        <f>IF(AND(NOT(ISBLANK(E15)),E15&lt;&gt;"(blank)"),IFERROR(IF(INDEX(HostBuild[],MATCH(E15,HostBuild[Alias],0),COLUMN(HostBuild[Hostname]))&lt;&gt;0,INDEX(HostBuild[],MATCH(E15,HostBuild[Alias],0),COLUMN(HostBuild[Hostname])),""),""),"")</f>
        <v/>
      </c>
      <c r="B15" s="424" t="str">
        <f>IF(AND(NOT(ISBLANK(E15)),E15&lt;&gt;"(blank)"),IFERROR(IF(INDEX(HostBuild[],MATCH(E15,HostBuild[Alias],0),COLUMN(HostBuild[Status]))&lt;&gt;0,INDEX(HostBuild[],MATCH(E15,HostBuild[Alias],0),COLUMN(HostBuild[Status])),""),""),"")</f>
        <v/>
      </c>
      <c r="C15" s="425" t="str">
        <f>IF(AND(NOT(ISBLANK(E15)),E15&lt;&gt;"(blank)"),IFERROR(IF(INDEX(HostBuild[],MATCH(E15,HostBuild[Alias],0),COLUMN(HostBuild[CTI Target Completion]))&lt;&gt;0,INDEX(HostBuild[],MATCH(E15,HostBuild[Alias],0),COLUMN(HostBuild[CTI Target Completion])),""),""),"")</f>
        <v/>
      </c>
      <c r="D15" s="262" t="str">
        <f>IF(AND(NOT(ISBLANK(E15)),E15&lt;&gt;"(blank)"),IFERROR(IF(INDEX(HostBuild[],MATCH(E15,HostBuild[Alias],0),COLUMN(HostBuild[Description]))&lt;&gt;0,INDEX(HostBuild[],MATCH(E15,HostBuild[Alias],0),COLUMN(HostBuild[Description])),""),""),"")</f>
        <v>Data Guard Cluster2</v>
      </c>
      <c r="E15" s="281" t="s">
        <v>4041</v>
      </c>
      <c r="F15" s="270"/>
      <c r="G15" s="387">
        <v>2</v>
      </c>
      <c r="H15" s="272">
        <v>16</v>
      </c>
      <c r="I15" s="272">
        <v>128</v>
      </c>
      <c r="J15" s="272">
        <v>404.40000000000003</v>
      </c>
      <c r="K15" s="272">
        <v>404.40000000000003</v>
      </c>
      <c r="L15" s="272">
        <v>0</v>
      </c>
      <c r="M15" s="272"/>
      <c r="N15" s="266">
        <v>1111.37275</v>
      </c>
    </row>
    <row r="16" spans="1:17">
      <c r="A16" s="3" t="str">
        <f>IF(AND(NOT(ISBLANK(E16)),E16&lt;&gt;"(blank)"),IFERROR(IF(INDEX(HostBuild[],MATCH(E16,HostBuild[Alias],0),COLUMN(HostBuild[Hostname]))&lt;&gt;0,INDEX(HostBuild[],MATCH(E16,HostBuild[Alias],0),COLUMN(HostBuild[Hostname])),""),""),"")</f>
        <v/>
      </c>
      <c r="B16" s="424" t="str">
        <f>IF(AND(NOT(ISBLANK(E16)),E16&lt;&gt;"(blank)"),IFERROR(IF(INDEX(HostBuild[],MATCH(E16,HostBuild[Alias],0),COLUMN(HostBuild[Status]))&lt;&gt;0,INDEX(HostBuild[],MATCH(E16,HostBuild[Alias],0),COLUMN(HostBuild[Status])),""),""),"")</f>
        <v/>
      </c>
      <c r="C16" s="425" t="str">
        <f>IF(AND(NOT(ISBLANK(E16)),E16&lt;&gt;"(blank)"),IFERROR(IF(INDEX(HostBuild[],MATCH(E16,HostBuild[Alias],0),COLUMN(HostBuild[CTI Target Completion]))&lt;&gt;0,INDEX(HostBuild[],MATCH(E16,HostBuild[Alias],0),COLUMN(HostBuild[CTI Target Completion])),""),""),"")</f>
        <v/>
      </c>
      <c r="D16" s="262" t="str">
        <f>IF(AND(NOT(ISBLANK(E16)),E16&lt;&gt;"(blank)"),IFERROR(IF(INDEX(HostBuild[],MATCH(E16,HostBuild[Alias],0),COLUMN(HostBuild[Description]))&lt;&gt;0,INDEX(HostBuild[],MATCH(E16,HostBuild[Alias],0),COLUMN(HostBuild[Description])),""),""),"")</f>
        <v>PL App Server</v>
      </c>
      <c r="E16" s="281" t="s">
        <v>4024</v>
      </c>
      <c r="F16" s="270"/>
      <c r="G16" s="387">
        <v>2</v>
      </c>
      <c r="H16" s="272">
        <v>16</v>
      </c>
      <c r="I16" s="272">
        <v>128</v>
      </c>
      <c r="J16" s="272">
        <v>808.80000000000007</v>
      </c>
      <c r="K16" s="272">
        <v>808.80000000000007</v>
      </c>
      <c r="L16" s="272">
        <v>0</v>
      </c>
      <c r="M16" s="272"/>
      <c r="N16" s="266">
        <v>1334.0455000000002</v>
      </c>
    </row>
    <row r="17" spans="1:14">
      <c r="A17" s="3" t="str">
        <f>IF(AND(NOT(ISBLANK(E17)),E17&lt;&gt;"(blank)"),IFERROR(IF(INDEX(HostBuild[],MATCH(E17,HostBuild[Alias],0),COLUMN(HostBuild[Hostname]))&lt;&gt;0,INDEX(HostBuild[],MATCH(E17,HostBuild[Alias],0),COLUMN(HostBuild[Hostname])),""),""),"")</f>
        <v/>
      </c>
      <c r="B17" s="424" t="str">
        <f>IF(AND(NOT(ISBLANK(E17)),E17&lt;&gt;"(blank)"),IFERROR(IF(INDEX(HostBuild[],MATCH(E17,HostBuild[Alias],0),COLUMN(HostBuild[Status]))&lt;&gt;0,INDEX(HostBuild[],MATCH(E17,HostBuild[Alias],0),COLUMN(HostBuild[Status])),""),""),"")</f>
        <v/>
      </c>
      <c r="C17" s="425" t="str">
        <f>IF(AND(NOT(ISBLANK(E17)),E17&lt;&gt;"(blank)"),IFERROR(IF(INDEX(HostBuild[],MATCH(E17,HostBuild[Alias],0),COLUMN(HostBuild[CTI Target Completion]))&lt;&gt;0,INDEX(HostBuild[],MATCH(E17,HostBuild[Alias],0),COLUMN(HostBuild[CTI Target Completion])),""),""),"")</f>
        <v/>
      </c>
      <c r="D17" s="262" t="str">
        <f>IF(AND(NOT(ISBLANK(E17)),E17&lt;&gt;"(blank)"),IFERROR(IF(INDEX(HostBuild[],MATCH(E17,HostBuild[Alias],0),COLUMN(HostBuild[Description]))&lt;&gt;0,INDEX(HostBuild[],MATCH(E17,HostBuild[Alias],0),COLUMN(HostBuild[Description])),""),""),"")</f>
        <v>PL App Server</v>
      </c>
      <c r="E17" s="281" t="s">
        <v>4025</v>
      </c>
      <c r="F17" s="270"/>
      <c r="G17" s="387">
        <v>2</v>
      </c>
      <c r="H17" s="272">
        <v>16</v>
      </c>
      <c r="I17" s="272">
        <v>128</v>
      </c>
      <c r="J17" s="272">
        <v>808.80000000000007</v>
      </c>
      <c r="K17" s="272">
        <v>808.80000000000007</v>
      </c>
      <c r="L17" s="272">
        <v>0</v>
      </c>
      <c r="M17" s="272"/>
      <c r="N17" s="266">
        <v>1334.0455000000002</v>
      </c>
    </row>
    <row r="18" spans="1:14">
      <c r="A18" s="3" t="str">
        <f>IF(AND(NOT(ISBLANK(E18)),E18&lt;&gt;"(blank)"),IFERROR(IF(INDEX(HostBuild[],MATCH(E18,HostBuild[Alias],0),COLUMN(HostBuild[Hostname]))&lt;&gt;0,INDEX(HostBuild[],MATCH(E18,HostBuild[Alias],0),COLUMN(HostBuild[Hostname])),""),""),"")</f>
        <v/>
      </c>
      <c r="B18" s="424" t="str">
        <f>IF(AND(NOT(ISBLANK(E18)),E18&lt;&gt;"(blank)"),IFERROR(IF(INDEX(HostBuild[],MATCH(E18,HostBuild[Alias],0),COLUMN(HostBuild[Status]))&lt;&gt;0,INDEX(HostBuild[],MATCH(E18,HostBuild[Alias],0),COLUMN(HostBuild[Status])),""),""),"")</f>
        <v/>
      </c>
      <c r="C18" s="425" t="str">
        <f>IF(AND(NOT(ISBLANK(E18)),E18&lt;&gt;"(blank)"),IFERROR(IF(INDEX(HostBuild[],MATCH(E18,HostBuild[Alias],0),COLUMN(HostBuild[CTI Target Completion]))&lt;&gt;0,INDEX(HostBuild[],MATCH(E18,HostBuild[Alias],0),COLUMN(HostBuild[CTI Target Completion])),""),""),"")</f>
        <v/>
      </c>
      <c r="D18" s="262" t="str">
        <f>IF(AND(NOT(ISBLANK(E18)),E18&lt;&gt;"(blank)"),IFERROR(IF(INDEX(HostBuild[],MATCH(E18,HostBuild[Alias],0),COLUMN(HostBuild[Description]))&lt;&gt;0,INDEX(HostBuild[],MATCH(E18,HostBuild[Alias],0),COLUMN(HostBuild[Description])),""),""),"")</f>
        <v>PL App Server</v>
      </c>
      <c r="E18" s="281" t="s">
        <v>4026</v>
      </c>
      <c r="F18" s="270"/>
      <c r="G18" s="387">
        <v>2</v>
      </c>
      <c r="H18" s="272">
        <v>16</v>
      </c>
      <c r="I18" s="272">
        <v>128</v>
      </c>
      <c r="J18" s="272">
        <v>808.80000000000007</v>
      </c>
      <c r="K18" s="272">
        <v>808.80000000000007</v>
      </c>
      <c r="L18" s="272">
        <v>0</v>
      </c>
      <c r="M18" s="272"/>
      <c r="N18" s="266">
        <v>1334.0455000000002</v>
      </c>
    </row>
    <row r="19" spans="1:14">
      <c r="A19" s="3" t="str">
        <f>IF(AND(NOT(ISBLANK(E19)),E19&lt;&gt;"(blank)"),IFERROR(IF(INDEX(HostBuild[],MATCH(E19,HostBuild[Alias],0),COLUMN(HostBuild[Hostname]))&lt;&gt;0,INDEX(HostBuild[],MATCH(E19,HostBuild[Alias],0),COLUMN(HostBuild[Hostname])),""),""),"")</f>
        <v/>
      </c>
      <c r="B19" s="424" t="str">
        <f>IF(AND(NOT(ISBLANK(E19)),E19&lt;&gt;"(blank)"),IFERROR(IF(INDEX(HostBuild[],MATCH(E19,HostBuild[Alias],0),COLUMN(HostBuild[Status]))&lt;&gt;0,INDEX(HostBuild[],MATCH(E19,HostBuild[Alias],0),COLUMN(HostBuild[Status])),""),""),"")</f>
        <v/>
      </c>
      <c r="C19" s="425" t="str">
        <f>IF(AND(NOT(ISBLANK(E19)),E19&lt;&gt;"(blank)"),IFERROR(IF(INDEX(HostBuild[],MATCH(E19,HostBuild[Alias],0),COLUMN(HostBuild[CTI Target Completion]))&lt;&gt;0,INDEX(HostBuild[],MATCH(E19,HostBuild[Alias],0),COLUMN(HostBuild[CTI Target Completion])),""),""),"")</f>
        <v/>
      </c>
      <c r="D19" s="262" t="str">
        <f>IF(AND(NOT(ISBLANK(E19)),E19&lt;&gt;"(blank)"),IFERROR(IF(INDEX(HostBuild[],MATCH(E19,HostBuild[Alias],0),COLUMN(HostBuild[Description]))&lt;&gt;0,INDEX(HostBuild[],MATCH(E19,HostBuild[Alias],0),COLUMN(HostBuild[Description])),""),""),"")</f>
        <v>PL App Server</v>
      </c>
      <c r="E19" s="281" t="s">
        <v>4027</v>
      </c>
      <c r="F19" s="270"/>
      <c r="G19" s="387">
        <v>2</v>
      </c>
      <c r="H19" s="272">
        <v>16</v>
      </c>
      <c r="I19" s="272">
        <v>128</v>
      </c>
      <c r="J19" s="272">
        <v>808.80000000000007</v>
      </c>
      <c r="K19" s="272">
        <v>808.80000000000007</v>
      </c>
      <c r="L19" s="272">
        <v>0</v>
      </c>
      <c r="M19" s="272"/>
      <c r="N19" s="266">
        <v>1334.0455000000002</v>
      </c>
    </row>
    <row r="20" spans="1:14">
      <c r="A20" s="3" t="str">
        <f>IF(AND(NOT(ISBLANK(E20)),E20&lt;&gt;"(blank)"),IFERROR(IF(INDEX(HostBuild[],MATCH(E20,HostBuild[Alias],0),COLUMN(HostBuild[Hostname]))&lt;&gt;0,INDEX(HostBuild[],MATCH(E20,HostBuild[Alias],0),COLUMN(HostBuild[Hostname])),""),""),"")</f>
        <v/>
      </c>
      <c r="B20" s="424" t="str">
        <f>IF(AND(NOT(ISBLANK(E20)),E20&lt;&gt;"(blank)"),IFERROR(IF(INDEX(HostBuild[],MATCH(E20,HostBuild[Alias],0),COLUMN(HostBuild[Status]))&lt;&gt;0,INDEX(HostBuild[],MATCH(E20,HostBuild[Alias],0),COLUMN(HostBuild[Status])),""),""),"")</f>
        <v/>
      </c>
      <c r="C20" s="425" t="str">
        <f>IF(AND(NOT(ISBLANK(E20)),E20&lt;&gt;"(blank)"),IFERROR(IF(INDEX(HostBuild[],MATCH(E20,HostBuild[Alias],0),COLUMN(HostBuild[CTI Target Completion]))&lt;&gt;0,INDEX(HostBuild[],MATCH(E20,HostBuild[Alias],0),COLUMN(HostBuild[CTI Target Completion])),""),""),"")</f>
        <v/>
      </c>
      <c r="D20" s="262" t="str">
        <f>IF(AND(NOT(ISBLANK(E20)),E20&lt;&gt;"(blank)"),IFERROR(IF(INDEX(HostBuild[],MATCH(E20,HostBuild[Alias],0),COLUMN(HostBuild[Description]))&lt;&gt;0,INDEX(HostBuild[],MATCH(E20,HostBuild[Alias],0),COLUMN(HostBuild[Description])),""),""),"")</f>
        <v>CM App Server</v>
      </c>
      <c r="E20" s="281" t="s">
        <v>4028</v>
      </c>
      <c r="F20" s="270"/>
      <c r="G20" s="387">
        <v>2</v>
      </c>
      <c r="H20" s="272">
        <v>16</v>
      </c>
      <c r="I20" s="272">
        <v>256</v>
      </c>
      <c r="J20" s="272">
        <v>1145.8000000000002</v>
      </c>
      <c r="K20" s="272">
        <v>1145.8000000000002</v>
      </c>
      <c r="L20" s="272">
        <v>0</v>
      </c>
      <c r="M20" s="272"/>
      <c r="N20" s="266">
        <v>1634.8061250000003</v>
      </c>
    </row>
    <row r="21" spans="1:14">
      <c r="A21" s="3" t="str">
        <f>IF(AND(NOT(ISBLANK(E21)),E21&lt;&gt;"(blank)"),IFERROR(IF(INDEX(HostBuild[],MATCH(E21,HostBuild[Alias],0),COLUMN(HostBuild[Hostname]))&lt;&gt;0,INDEX(HostBuild[],MATCH(E21,HostBuild[Alias],0),COLUMN(HostBuild[Hostname])),""),""),"")</f>
        <v/>
      </c>
      <c r="B21" s="424" t="str">
        <f>IF(AND(NOT(ISBLANK(E21)),E21&lt;&gt;"(blank)"),IFERROR(IF(INDEX(HostBuild[],MATCH(E21,HostBuild[Alias],0),COLUMN(HostBuild[Status]))&lt;&gt;0,INDEX(HostBuild[],MATCH(E21,HostBuild[Alias],0),COLUMN(HostBuild[Status])),""),""),"")</f>
        <v/>
      </c>
      <c r="C21" s="425" t="str">
        <f>IF(AND(NOT(ISBLANK(E21)),E21&lt;&gt;"(blank)"),IFERROR(IF(INDEX(HostBuild[],MATCH(E21,HostBuild[Alias],0),COLUMN(HostBuild[CTI Target Completion]))&lt;&gt;0,INDEX(HostBuild[],MATCH(E21,HostBuild[Alias],0),COLUMN(HostBuild[CTI Target Completion])),""),""),"")</f>
        <v/>
      </c>
      <c r="D21" s="262" t="str">
        <f>IF(AND(NOT(ISBLANK(E21)),E21&lt;&gt;"(blank)"),IFERROR(IF(INDEX(HostBuild[],MATCH(E21,HostBuild[Alias],0),COLUMN(HostBuild[Description]))&lt;&gt;0,INDEX(HostBuild[],MATCH(E21,HostBuild[Alias],0),COLUMN(HostBuild[Description])),""),""),"")</f>
        <v>CM App Server</v>
      </c>
      <c r="E21" s="281" t="s">
        <v>4029</v>
      </c>
      <c r="F21" s="270"/>
      <c r="G21" s="387">
        <v>2</v>
      </c>
      <c r="H21" s="272">
        <v>16</v>
      </c>
      <c r="I21" s="272">
        <v>256</v>
      </c>
      <c r="J21" s="272">
        <v>1145.8000000000002</v>
      </c>
      <c r="K21" s="272">
        <v>1145.8000000000002</v>
      </c>
      <c r="L21" s="272">
        <v>0</v>
      </c>
      <c r="M21" s="272"/>
      <c r="N21" s="266">
        <v>1634.8061250000003</v>
      </c>
    </row>
    <row r="22" spans="1:14">
      <c r="A22" s="3" t="str">
        <f>IF(AND(NOT(ISBLANK(E22)),E22&lt;&gt;"(blank)"),IFERROR(IF(INDEX(HostBuild[],MATCH(E22,HostBuild[Alias],0),COLUMN(HostBuild[Hostname]))&lt;&gt;0,INDEX(HostBuild[],MATCH(E22,HostBuild[Alias],0),COLUMN(HostBuild[Hostname])),""),""),"")</f>
        <v/>
      </c>
      <c r="B22" s="424" t="str">
        <f>IF(AND(NOT(ISBLANK(E22)),E22&lt;&gt;"(blank)"),IFERROR(IF(INDEX(HostBuild[],MATCH(E22,HostBuild[Alias],0),COLUMN(HostBuild[Status]))&lt;&gt;0,INDEX(HostBuild[],MATCH(E22,HostBuild[Alias],0),COLUMN(HostBuild[Status])),""),""),"")</f>
        <v/>
      </c>
      <c r="C22" s="425" t="str">
        <f>IF(AND(NOT(ISBLANK(E22)),E22&lt;&gt;"(blank)"),IFERROR(IF(INDEX(HostBuild[],MATCH(E22,HostBuild[Alias],0),COLUMN(HostBuild[CTI Target Completion]))&lt;&gt;0,INDEX(HostBuild[],MATCH(E22,HostBuild[Alias],0),COLUMN(HostBuild[CTI Target Completion])),""),""),"")</f>
        <v/>
      </c>
      <c r="D22" s="262" t="str">
        <f>IF(AND(NOT(ISBLANK(E22)),E22&lt;&gt;"(blank)"),IFERROR(IF(INDEX(HostBuild[],MATCH(E22,HostBuild[Alias],0),COLUMN(HostBuild[Description]))&lt;&gt;0,INDEX(HostBuild[],MATCH(E22,HostBuild[Alias],0),COLUMN(HostBuild[Description])),""),""),"")</f>
        <v>CM App Server</v>
      </c>
      <c r="E22" s="281" t="s">
        <v>4030</v>
      </c>
      <c r="F22" s="270"/>
      <c r="G22" s="387">
        <v>2</v>
      </c>
      <c r="H22" s="272">
        <v>16</v>
      </c>
      <c r="I22" s="272">
        <v>256</v>
      </c>
      <c r="J22" s="272">
        <v>1145.8000000000002</v>
      </c>
      <c r="K22" s="272">
        <v>1145.8000000000002</v>
      </c>
      <c r="L22" s="272">
        <v>0</v>
      </c>
      <c r="M22" s="272"/>
      <c r="N22" s="266">
        <v>1634.8061250000003</v>
      </c>
    </row>
    <row r="23" spans="1:14">
      <c r="A23" s="3" t="str">
        <f>IF(AND(NOT(ISBLANK(E23)),E23&lt;&gt;"(blank)"),IFERROR(IF(INDEX(HostBuild[],MATCH(E23,HostBuild[Alias],0),COLUMN(HostBuild[Hostname]))&lt;&gt;0,INDEX(HostBuild[],MATCH(E23,HostBuild[Alias],0),COLUMN(HostBuild[Hostname])),""),""),"")</f>
        <v/>
      </c>
      <c r="B23" s="424" t="str">
        <f>IF(AND(NOT(ISBLANK(E23)),E23&lt;&gt;"(blank)"),IFERROR(IF(INDEX(HostBuild[],MATCH(E23,HostBuild[Alias],0),COLUMN(HostBuild[Status]))&lt;&gt;0,INDEX(HostBuild[],MATCH(E23,HostBuild[Alias],0),COLUMN(HostBuild[Status])),""),""),"")</f>
        <v/>
      </c>
      <c r="C23" s="425" t="str">
        <f>IF(AND(NOT(ISBLANK(E23)),E23&lt;&gt;"(blank)"),IFERROR(IF(INDEX(HostBuild[],MATCH(E23,HostBuild[Alias],0),COLUMN(HostBuild[CTI Target Completion]))&lt;&gt;0,INDEX(HostBuild[],MATCH(E23,HostBuild[Alias],0),COLUMN(HostBuild[CTI Target Completion])),""),""),"")</f>
        <v/>
      </c>
      <c r="D23" s="262" t="str">
        <f>IF(AND(NOT(ISBLANK(E23)),E23&lt;&gt;"(blank)"),IFERROR(IF(INDEX(HostBuild[],MATCH(E23,HostBuild[Alias],0),COLUMN(HostBuild[Description]))&lt;&gt;0,INDEX(HostBuild[],MATCH(E23,HostBuild[Alias],0),COLUMN(HostBuild[Description])),""),""),"")</f>
        <v>ESB-Digital -BW</v>
      </c>
      <c r="E23" s="281" t="s">
        <v>3947</v>
      </c>
      <c r="F23" s="270"/>
      <c r="G23" s="387">
        <v>2</v>
      </c>
      <c r="H23" s="272">
        <v>16</v>
      </c>
      <c r="I23" s="272">
        <v>256</v>
      </c>
      <c r="J23" s="272">
        <v>337</v>
      </c>
      <c r="K23" s="272">
        <v>337</v>
      </c>
      <c r="L23" s="272">
        <v>0</v>
      </c>
      <c r="M23" s="272"/>
      <c r="N23" s="266">
        <v>1398.400625</v>
      </c>
    </row>
    <row r="24" spans="1:14">
      <c r="A24" s="3" t="str">
        <f>IF(AND(NOT(ISBLANK(E24)),E24&lt;&gt;"(blank)"),IFERROR(IF(INDEX(HostBuild[],MATCH(E24,HostBuild[Alias],0),COLUMN(HostBuild[Hostname]))&lt;&gt;0,INDEX(HostBuild[],MATCH(E24,HostBuild[Alias],0),COLUMN(HostBuild[Hostname])),""),""),"")</f>
        <v/>
      </c>
      <c r="B24" s="424" t="str">
        <f>IF(AND(NOT(ISBLANK(E24)),E24&lt;&gt;"(blank)"),IFERROR(IF(INDEX(HostBuild[],MATCH(E24,HostBuild[Alias],0),COLUMN(HostBuild[Status]))&lt;&gt;0,INDEX(HostBuild[],MATCH(E24,HostBuild[Alias],0),COLUMN(HostBuild[Status])),""),""),"")</f>
        <v/>
      </c>
      <c r="C24" s="425" t="str">
        <f>IF(AND(NOT(ISBLANK(E24)),E24&lt;&gt;"(blank)"),IFERROR(IF(INDEX(HostBuild[],MATCH(E24,HostBuild[Alias],0),COLUMN(HostBuild[CTI Target Completion]))&lt;&gt;0,INDEX(HostBuild[],MATCH(E24,HostBuild[Alias],0),COLUMN(HostBuild[CTI Target Completion])),""),""),"")</f>
        <v/>
      </c>
      <c r="D24" s="262" t="str">
        <f>IF(AND(NOT(ISBLANK(E24)),E24&lt;&gt;"(blank)"),IFERROR(IF(INDEX(HostBuild[],MATCH(E24,HostBuild[Alias],0),COLUMN(HostBuild[Description]))&lt;&gt;0,INDEX(HostBuild[],MATCH(E24,HostBuild[Alias],0),COLUMN(HostBuild[Description])),""),""),"")</f>
        <v>ESB-Digital -BW</v>
      </c>
      <c r="E24" s="281" t="s">
        <v>3956</v>
      </c>
      <c r="F24" s="270"/>
      <c r="G24" s="387">
        <v>2</v>
      </c>
      <c r="H24" s="272">
        <v>16</v>
      </c>
      <c r="I24" s="272">
        <v>256</v>
      </c>
      <c r="J24" s="272">
        <v>337</v>
      </c>
      <c r="K24" s="272">
        <v>337</v>
      </c>
      <c r="L24" s="272">
        <v>0</v>
      </c>
      <c r="M24" s="272"/>
      <c r="N24" s="266">
        <v>1398.400625</v>
      </c>
    </row>
    <row r="25" spans="1:14">
      <c r="A25" s="3" t="str">
        <f>IF(AND(NOT(ISBLANK(E25)),E25&lt;&gt;"(blank)"),IFERROR(IF(INDEX(HostBuild[],MATCH(E25,HostBuild[Alias],0),COLUMN(HostBuild[Hostname]))&lt;&gt;0,INDEX(HostBuild[],MATCH(E25,HostBuild[Alias],0),COLUMN(HostBuild[Hostname])),""),""),"")</f>
        <v/>
      </c>
      <c r="B25" s="424" t="str">
        <f>IF(AND(NOT(ISBLANK(E25)),E25&lt;&gt;"(blank)"),IFERROR(IF(INDEX(HostBuild[],MATCH(E25,HostBuild[Alias],0),COLUMN(HostBuild[Status]))&lt;&gt;0,INDEX(HostBuild[],MATCH(E25,HostBuild[Alias],0),COLUMN(HostBuild[Status])),""),""),"")</f>
        <v/>
      </c>
      <c r="C25" s="425" t="str">
        <f>IF(AND(NOT(ISBLANK(E25)),E25&lt;&gt;"(blank)"),IFERROR(IF(INDEX(HostBuild[],MATCH(E25,HostBuild[Alias],0),COLUMN(HostBuild[CTI Target Completion]))&lt;&gt;0,INDEX(HostBuild[],MATCH(E25,HostBuild[Alias],0),COLUMN(HostBuild[CTI Target Completion])),""),""),"")</f>
        <v/>
      </c>
      <c r="D25" s="262" t="str">
        <f>IF(AND(NOT(ISBLANK(E25)),E25&lt;&gt;"(blank)"),IFERROR(IF(INDEX(HostBuild[],MATCH(E25,HostBuild[Alias],0),COLUMN(HostBuild[Description]))&lt;&gt;0,INDEX(HostBuild[],MATCH(E25,HostBuild[Alias],0),COLUMN(HostBuild[Description])),""),""),"")</f>
        <v>ESB-Digital -BW</v>
      </c>
      <c r="E25" s="281" t="s">
        <v>3957</v>
      </c>
      <c r="F25" s="270"/>
      <c r="G25" s="387">
        <v>2</v>
      </c>
      <c r="H25" s="272">
        <v>16</v>
      </c>
      <c r="I25" s="272">
        <v>256</v>
      </c>
      <c r="J25" s="272">
        <v>337</v>
      </c>
      <c r="K25" s="272">
        <v>337</v>
      </c>
      <c r="L25" s="272">
        <v>0</v>
      </c>
      <c r="M25" s="272"/>
      <c r="N25" s="266">
        <v>1398.400625</v>
      </c>
    </row>
    <row r="26" spans="1:14">
      <c r="A26" s="3" t="str">
        <f>IF(AND(NOT(ISBLANK(E26)),E26&lt;&gt;"(blank)"),IFERROR(IF(INDEX(HostBuild[],MATCH(E26,HostBuild[Alias],0),COLUMN(HostBuild[Hostname]))&lt;&gt;0,INDEX(HostBuild[],MATCH(E26,HostBuild[Alias],0),COLUMN(HostBuild[Hostname])),""),""),"")</f>
        <v/>
      </c>
      <c r="B26" s="424" t="str">
        <f>IF(AND(NOT(ISBLANK(E26)),E26&lt;&gt;"(blank)"),IFERROR(IF(INDEX(HostBuild[],MATCH(E26,HostBuild[Alias],0),COLUMN(HostBuild[Status]))&lt;&gt;0,INDEX(HostBuild[],MATCH(E26,HostBuild[Alias],0),COLUMN(HostBuild[Status])),""),""),"")</f>
        <v/>
      </c>
      <c r="C26" s="425" t="str">
        <f>IF(AND(NOT(ISBLANK(E26)),E26&lt;&gt;"(blank)"),IFERROR(IF(INDEX(HostBuild[],MATCH(E26,HostBuild[Alias],0),COLUMN(HostBuild[CTI Target Completion]))&lt;&gt;0,INDEX(HostBuild[],MATCH(E26,HostBuild[Alias],0),COLUMN(HostBuild[CTI Target Completion])),""),""),"")</f>
        <v/>
      </c>
      <c r="D26" s="262" t="str">
        <f>IF(AND(NOT(ISBLANK(E26)),E26&lt;&gt;"(blank)"),IFERROR(IF(INDEX(HostBuild[],MATCH(E26,HostBuild[Alias],0),COLUMN(HostBuild[Description]))&lt;&gt;0,INDEX(HostBuild[],MATCH(E26,HostBuild[Alias],0),COLUMN(HostBuild[Description])),""),""),"")</f>
        <v>ESB-Digital -BW</v>
      </c>
      <c r="E26" s="281" t="s">
        <v>3958</v>
      </c>
      <c r="F26" s="270"/>
      <c r="G26" s="387">
        <v>2</v>
      </c>
      <c r="H26" s="272">
        <v>16</v>
      </c>
      <c r="I26" s="272">
        <v>256</v>
      </c>
      <c r="J26" s="272">
        <v>337</v>
      </c>
      <c r="K26" s="272">
        <v>337</v>
      </c>
      <c r="L26" s="272">
        <v>0</v>
      </c>
      <c r="M26" s="272"/>
      <c r="N26" s="266">
        <v>1398.400625</v>
      </c>
    </row>
    <row r="27" spans="1:14">
      <c r="A27" s="3" t="str">
        <f>IF(AND(NOT(ISBLANK(E27)),E27&lt;&gt;"(blank)"),IFERROR(IF(INDEX(HostBuild[],MATCH(E27,HostBuild[Alias],0),COLUMN(HostBuild[Hostname]))&lt;&gt;0,INDEX(HostBuild[],MATCH(E27,HostBuild[Alias],0),COLUMN(HostBuild[Hostname])),""),""),"")</f>
        <v/>
      </c>
      <c r="B27" s="424" t="str">
        <f>IF(AND(NOT(ISBLANK(E27)),E27&lt;&gt;"(blank)"),IFERROR(IF(INDEX(HostBuild[],MATCH(E27,HostBuild[Alias],0),COLUMN(HostBuild[Status]))&lt;&gt;0,INDEX(HostBuild[],MATCH(E27,HostBuild[Alias],0),COLUMN(HostBuild[Status])),""),""),"")</f>
        <v/>
      </c>
      <c r="C27" s="425" t="str">
        <f>IF(AND(NOT(ISBLANK(E27)),E27&lt;&gt;"(blank)"),IFERROR(IF(INDEX(HostBuild[],MATCH(E27,HostBuild[Alias],0),COLUMN(HostBuild[CTI Target Completion]))&lt;&gt;0,INDEX(HostBuild[],MATCH(E27,HostBuild[Alias],0),COLUMN(HostBuild[CTI Target Completion])),""),""),"")</f>
        <v/>
      </c>
      <c r="D27" s="262" t="str">
        <f>IF(AND(NOT(ISBLANK(E27)),E27&lt;&gt;"(blank)"),IFERROR(IF(INDEX(HostBuild[],MATCH(E27,HostBuild[Alias],0),COLUMN(HostBuild[Description]))&lt;&gt;0,INDEX(HostBuild[],MATCH(E27,HostBuild[Alias],0),COLUMN(HostBuild[Description])),""),""),"")</f>
        <v>ESB-Digital -BW</v>
      </c>
      <c r="E27" s="281" t="s">
        <v>3948</v>
      </c>
      <c r="F27" s="270"/>
      <c r="G27" s="387">
        <v>2</v>
      </c>
      <c r="H27" s="272">
        <v>16</v>
      </c>
      <c r="I27" s="272">
        <v>256</v>
      </c>
      <c r="J27" s="272">
        <v>337</v>
      </c>
      <c r="K27" s="272">
        <v>337</v>
      </c>
      <c r="L27" s="272">
        <v>0</v>
      </c>
      <c r="M27" s="272"/>
      <c r="N27" s="266">
        <v>1398.400625</v>
      </c>
    </row>
    <row r="28" spans="1:14">
      <c r="A28" s="3" t="str">
        <f>IF(AND(NOT(ISBLANK(E28)),E28&lt;&gt;"(blank)"),IFERROR(IF(INDEX(HostBuild[],MATCH(E28,HostBuild[Alias],0),COLUMN(HostBuild[Hostname]))&lt;&gt;0,INDEX(HostBuild[],MATCH(E28,HostBuild[Alias],0),COLUMN(HostBuild[Hostname])),""),""),"")</f>
        <v/>
      </c>
      <c r="B28" s="424" t="str">
        <f>IF(AND(NOT(ISBLANK(E28)),E28&lt;&gt;"(blank)"),IFERROR(IF(INDEX(HostBuild[],MATCH(E28,HostBuild[Alias],0),COLUMN(HostBuild[Status]))&lt;&gt;0,INDEX(HostBuild[],MATCH(E28,HostBuild[Alias],0),COLUMN(HostBuild[Status])),""),""),"")</f>
        <v/>
      </c>
      <c r="C28" s="425" t="str">
        <f>IF(AND(NOT(ISBLANK(E28)),E28&lt;&gt;"(blank)"),IFERROR(IF(INDEX(HostBuild[],MATCH(E28,HostBuild[Alias],0),COLUMN(HostBuild[CTI Target Completion]))&lt;&gt;0,INDEX(HostBuild[],MATCH(E28,HostBuild[Alias],0),COLUMN(HostBuild[CTI Target Completion])),""),""),"")</f>
        <v/>
      </c>
      <c r="D28" s="262" t="str">
        <f>IF(AND(NOT(ISBLANK(E28)),E28&lt;&gt;"(blank)"),IFERROR(IF(INDEX(HostBuild[],MATCH(E28,HostBuild[Alias],0),COLUMN(HostBuild[Description]))&lt;&gt;0,INDEX(HostBuild[],MATCH(E28,HostBuild[Alias],0),COLUMN(HostBuild[Description])),""),""),"")</f>
        <v>ESB-Digital -BW</v>
      </c>
      <c r="E28" s="281" t="s">
        <v>3949</v>
      </c>
      <c r="F28" s="270"/>
      <c r="G28" s="387">
        <v>2</v>
      </c>
      <c r="H28" s="272">
        <v>16</v>
      </c>
      <c r="I28" s="272">
        <v>256</v>
      </c>
      <c r="J28" s="272">
        <v>337</v>
      </c>
      <c r="K28" s="272">
        <v>337</v>
      </c>
      <c r="L28" s="272">
        <v>0</v>
      </c>
      <c r="M28" s="272"/>
      <c r="N28" s="266">
        <v>1398.400625</v>
      </c>
    </row>
    <row r="29" spans="1:14">
      <c r="A29" s="3" t="str">
        <f>IF(AND(NOT(ISBLANK(E29)),E29&lt;&gt;"(blank)"),IFERROR(IF(INDEX(HostBuild[],MATCH(E29,HostBuild[Alias],0),COLUMN(HostBuild[Hostname]))&lt;&gt;0,INDEX(HostBuild[],MATCH(E29,HostBuild[Alias],0),COLUMN(HostBuild[Hostname])),""),""),"")</f>
        <v/>
      </c>
      <c r="B29" s="424" t="str">
        <f>IF(AND(NOT(ISBLANK(E29)),E29&lt;&gt;"(blank)"),IFERROR(IF(INDEX(HostBuild[],MATCH(E29,HostBuild[Alias],0),COLUMN(HostBuild[Status]))&lt;&gt;0,INDEX(HostBuild[],MATCH(E29,HostBuild[Alias],0),COLUMN(HostBuild[Status])),""),""),"")</f>
        <v/>
      </c>
      <c r="C29" s="425" t="str">
        <f>IF(AND(NOT(ISBLANK(E29)),E29&lt;&gt;"(blank)"),IFERROR(IF(INDEX(HostBuild[],MATCH(E29,HostBuild[Alias],0),COLUMN(HostBuild[CTI Target Completion]))&lt;&gt;0,INDEX(HostBuild[],MATCH(E29,HostBuild[Alias],0),COLUMN(HostBuild[CTI Target Completion])),""),""),"")</f>
        <v/>
      </c>
      <c r="D29" s="262" t="str">
        <f>IF(AND(NOT(ISBLANK(E29)),E29&lt;&gt;"(blank)"),IFERROR(IF(INDEX(HostBuild[],MATCH(E29,HostBuild[Alias],0),COLUMN(HostBuild[Description]))&lt;&gt;0,INDEX(HostBuild[],MATCH(E29,HostBuild[Alias],0),COLUMN(HostBuild[Description])),""),""),"")</f>
        <v>ESB-Digital -BW</v>
      </c>
      <c r="E29" s="281" t="s">
        <v>3950</v>
      </c>
      <c r="F29" s="270"/>
      <c r="G29" s="387">
        <v>2</v>
      </c>
      <c r="H29" s="272">
        <v>16</v>
      </c>
      <c r="I29" s="272">
        <v>256</v>
      </c>
      <c r="J29" s="272">
        <v>337</v>
      </c>
      <c r="K29" s="272">
        <v>337</v>
      </c>
      <c r="L29" s="272">
        <v>0</v>
      </c>
      <c r="M29" s="272"/>
      <c r="N29" s="266">
        <v>1398.400625</v>
      </c>
    </row>
    <row r="30" spans="1:14">
      <c r="A30" s="3" t="str">
        <f>IF(AND(NOT(ISBLANK(E30)),E30&lt;&gt;"(blank)"),IFERROR(IF(INDEX(HostBuild[],MATCH(E30,HostBuild[Alias],0),COLUMN(HostBuild[Hostname]))&lt;&gt;0,INDEX(HostBuild[],MATCH(E30,HostBuild[Alias],0),COLUMN(HostBuild[Hostname])),""),""),"")</f>
        <v/>
      </c>
      <c r="B30" s="424" t="str">
        <f>IF(AND(NOT(ISBLANK(E30)),E30&lt;&gt;"(blank)"),IFERROR(IF(INDEX(HostBuild[],MATCH(E30,HostBuild[Alias],0),COLUMN(HostBuild[Status]))&lt;&gt;0,INDEX(HostBuild[],MATCH(E30,HostBuild[Alias],0),COLUMN(HostBuild[Status])),""),""),"")</f>
        <v/>
      </c>
      <c r="C30" s="425" t="str">
        <f>IF(AND(NOT(ISBLANK(E30)),E30&lt;&gt;"(blank)"),IFERROR(IF(INDEX(HostBuild[],MATCH(E30,HostBuild[Alias],0),COLUMN(HostBuild[CTI Target Completion]))&lt;&gt;0,INDEX(HostBuild[],MATCH(E30,HostBuild[Alias],0),COLUMN(HostBuild[CTI Target Completion])),""),""),"")</f>
        <v/>
      </c>
      <c r="D30" s="262" t="str">
        <f>IF(AND(NOT(ISBLANK(E30)),E30&lt;&gt;"(blank)"),IFERROR(IF(INDEX(HostBuild[],MATCH(E30,HostBuild[Alias],0),COLUMN(HostBuild[Description]))&lt;&gt;0,INDEX(HostBuild[],MATCH(E30,HostBuild[Alias],0),COLUMN(HostBuild[Description])),""),""),"")</f>
        <v>ESB-Digital -BW</v>
      </c>
      <c r="E30" s="281" t="s">
        <v>3951</v>
      </c>
      <c r="F30" s="270"/>
      <c r="G30" s="387">
        <v>2</v>
      </c>
      <c r="H30" s="272">
        <v>16</v>
      </c>
      <c r="I30" s="272">
        <v>256</v>
      </c>
      <c r="J30" s="272">
        <v>337</v>
      </c>
      <c r="K30" s="272">
        <v>337</v>
      </c>
      <c r="L30" s="272">
        <v>0</v>
      </c>
      <c r="M30" s="272"/>
      <c r="N30" s="266">
        <v>1398.400625</v>
      </c>
    </row>
    <row r="31" spans="1:14">
      <c r="A31" s="3" t="str">
        <f>IF(AND(NOT(ISBLANK(E31)),E31&lt;&gt;"(blank)"),IFERROR(IF(INDEX(HostBuild[],MATCH(E31,HostBuild[Alias],0),COLUMN(HostBuild[Hostname]))&lt;&gt;0,INDEX(HostBuild[],MATCH(E31,HostBuild[Alias],0),COLUMN(HostBuild[Hostname])),""),""),"")</f>
        <v/>
      </c>
      <c r="B31" s="424" t="str">
        <f>IF(AND(NOT(ISBLANK(E31)),E31&lt;&gt;"(blank)"),IFERROR(IF(INDEX(HostBuild[],MATCH(E31,HostBuild[Alias],0),COLUMN(HostBuild[Status]))&lt;&gt;0,INDEX(HostBuild[],MATCH(E31,HostBuild[Alias],0),COLUMN(HostBuild[Status])),""),""),"")</f>
        <v/>
      </c>
      <c r="C31" s="425" t="str">
        <f>IF(AND(NOT(ISBLANK(E31)),E31&lt;&gt;"(blank)"),IFERROR(IF(INDEX(HostBuild[],MATCH(E31,HostBuild[Alias],0),COLUMN(HostBuild[CTI Target Completion]))&lt;&gt;0,INDEX(HostBuild[],MATCH(E31,HostBuild[Alias],0),COLUMN(HostBuild[CTI Target Completion])),""),""),"")</f>
        <v/>
      </c>
      <c r="D31" s="262" t="str">
        <f>IF(AND(NOT(ISBLANK(E31)),E31&lt;&gt;"(blank)"),IFERROR(IF(INDEX(HostBuild[],MATCH(E31,HostBuild[Alias],0),COLUMN(HostBuild[Description]))&lt;&gt;0,INDEX(HostBuild[],MATCH(E31,HostBuild[Alias],0),COLUMN(HostBuild[Description])),""),""),"")</f>
        <v>ESB-Digital -BW</v>
      </c>
      <c r="E31" s="281" t="s">
        <v>3952</v>
      </c>
      <c r="F31" s="270"/>
      <c r="G31" s="387">
        <v>2</v>
      </c>
      <c r="H31" s="272">
        <v>16</v>
      </c>
      <c r="I31" s="272">
        <v>256</v>
      </c>
      <c r="J31" s="272">
        <v>337</v>
      </c>
      <c r="K31" s="272">
        <v>337</v>
      </c>
      <c r="L31" s="272">
        <v>0</v>
      </c>
      <c r="M31" s="272"/>
      <c r="N31" s="266">
        <v>1398.400625</v>
      </c>
    </row>
    <row r="32" spans="1:14">
      <c r="A32" s="3" t="str">
        <f>IF(AND(NOT(ISBLANK(E32)),E32&lt;&gt;"(blank)"),IFERROR(IF(INDEX(HostBuild[],MATCH(E32,HostBuild[Alias],0),COLUMN(HostBuild[Hostname]))&lt;&gt;0,INDEX(HostBuild[],MATCH(E32,HostBuild[Alias],0),COLUMN(HostBuild[Hostname])),""),""),"")</f>
        <v/>
      </c>
      <c r="B32" s="424" t="str">
        <f>IF(AND(NOT(ISBLANK(E32)),E32&lt;&gt;"(blank)"),IFERROR(IF(INDEX(HostBuild[],MATCH(E32,HostBuild[Alias],0),COLUMN(HostBuild[Status]))&lt;&gt;0,INDEX(HostBuild[],MATCH(E32,HostBuild[Alias],0),COLUMN(HostBuild[Status])),""),""),"")</f>
        <v/>
      </c>
      <c r="C32" s="425" t="str">
        <f>IF(AND(NOT(ISBLANK(E32)),E32&lt;&gt;"(blank)"),IFERROR(IF(INDEX(HostBuild[],MATCH(E32,HostBuild[Alias],0),COLUMN(HostBuild[CTI Target Completion]))&lt;&gt;0,INDEX(HostBuild[],MATCH(E32,HostBuild[Alias],0),COLUMN(HostBuild[CTI Target Completion])),""),""),"")</f>
        <v/>
      </c>
      <c r="D32" s="262" t="str">
        <f>IF(AND(NOT(ISBLANK(E32)),E32&lt;&gt;"(blank)"),IFERROR(IF(INDEX(HostBuild[],MATCH(E32,HostBuild[Alias],0),COLUMN(HostBuild[Description]))&lt;&gt;0,INDEX(HostBuild[],MATCH(E32,HostBuild[Alias],0),COLUMN(HostBuild[Description])),""),""),"")</f>
        <v>ESB-Digital -BW</v>
      </c>
      <c r="E32" s="281" t="s">
        <v>3953</v>
      </c>
      <c r="F32" s="270"/>
      <c r="G32" s="387">
        <v>2</v>
      </c>
      <c r="H32" s="272">
        <v>16</v>
      </c>
      <c r="I32" s="272">
        <v>256</v>
      </c>
      <c r="J32" s="272">
        <v>337</v>
      </c>
      <c r="K32" s="272">
        <v>337</v>
      </c>
      <c r="L32" s="272">
        <v>0</v>
      </c>
      <c r="M32" s="272"/>
      <c r="N32" s="266">
        <v>1398.400625</v>
      </c>
    </row>
    <row r="33" spans="1:14">
      <c r="A33" s="3" t="str">
        <f>IF(AND(NOT(ISBLANK(E33)),E33&lt;&gt;"(blank)"),IFERROR(IF(INDEX(HostBuild[],MATCH(E33,HostBuild[Alias],0),COLUMN(HostBuild[Hostname]))&lt;&gt;0,INDEX(HostBuild[],MATCH(E33,HostBuild[Alias],0),COLUMN(HostBuild[Hostname])),""),""),"")</f>
        <v/>
      </c>
      <c r="B33" s="424" t="str">
        <f>IF(AND(NOT(ISBLANK(E33)),E33&lt;&gt;"(blank)"),IFERROR(IF(INDEX(HostBuild[],MATCH(E33,HostBuild[Alias],0),COLUMN(HostBuild[Status]))&lt;&gt;0,INDEX(HostBuild[],MATCH(E33,HostBuild[Alias],0),COLUMN(HostBuild[Status])),""),""),"")</f>
        <v/>
      </c>
      <c r="C33" s="425" t="str">
        <f>IF(AND(NOT(ISBLANK(E33)),E33&lt;&gt;"(blank)"),IFERROR(IF(INDEX(HostBuild[],MATCH(E33,HostBuild[Alias],0),COLUMN(HostBuild[CTI Target Completion]))&lt;&gt;0,INDEX(HostBuild[],MATCH(E33,HostBuild[Alias],0),COLUMN(HostBuild[CTI Target Completion])),""),""),"")</f>
        <v/>
      </c>
      <c r="D33" s="262" t="str">
        <f>IF(AND(NOT(ISBLANK(E33)),E33&lt;&gt;"(blank)"),IFERROR(IF(INDEX(HostBuild[],MATCH(E33,HostBuild[Alias],0),COLUMN(HostBuild[Description]))&lt;&gt;0,INDEX(HostBuild[],MATCH(E33,HostBuild[Alias],0),COLUMN(HostBuild[Description])),""),""),"")</f>
        <v>ESB-Digital -BW</v>
      </c>
      <c r="E33" s="281" t="s">
        <v>3954</v>
      </c>
      <c r="F33" s="270"/>
      <c r="G33" s="387">
        <v>2</v>
      </c>
      <c r="H33" s="272">
        <v>16</v>
      </c>
      <c r="I33" s="272">
        <v>256</v>
      </c>
      <c r="J33" s="272">
        <v>337</v>
      </c>
      <c r="K33" s="272">
        <v>337</v>
      </c>
      <c r="L33" s="272">
        <v>0</v>
      </c>
      <c r="M33" s="272"/>
      <c r="N33" s="266">
        <v>1398.400625</v>
      </c>
    </row>
    <row r="34" spans="1:14">
      <c r="A34" s="3" t="str">
        <f>IF(AND(NOT(ISBLANK(E34)),E34&lt;&gt;"(blank)"),IFERROR(IF(INDEX(HostBuild[],MATCH(E34,HostBuild[Alias],0),COLUMN(HostBuild[Hostname]))&lt;&gt;0,INDEX(HostBuild[],MATCH(E34,HostBuild[Alias],0),COLUMN(HostBuild[Hostname])),""),""),"")</f>
        <v/>
      </c>
      <c r="B34" s="424" t="str">
        <f>IF(AND(NOT(ISBLANK(E34)),E34&lt;&gt;"(blank)"),IFERROR(IF(INDEX(HostBuild[],MATCH(E34,HostBuild[Alias],0),COLUMN(HostBuild[Status]))&lt;&gt;0,INDEX(HostBuild[],MATCH(E34,HostBuild[Alias],0),COLUMN(HostBuild[Status])),""),""),"")</f>
        <v/>
      </c>
      <c r="C34" s="425" t="str">
        <f>IF(AND(NOT(ISBLANK(E34)),E34&lt;&gt;"(blank)"),IFERROR(IF(INDEX(HostBuild[],MATCH(E34,HostBuild[Alias],0),COLUMN(HostBuild[CTI Target Completion]))&lt;&gt;0,INDEX(HostBuild[],MATCH(E34,HostBuild[Alias],0),COLUMN(HostBuild[CTI Target Completion])),""),""),"")</f>
        <v/>
      </c>
      <c r="D34" s="262" t="str">
        <f>IF(AND(NOT(ISBLANK(E34)),E34&lt;&gt;"(blank)"),IFERROR(IF(INDEX(HostBuild[],MATCH(E34,HostBuild[Alias],0),COLUMN(HostBuild[Description]))&lt;&gt;0,INDEX(HostBuild[],MATCH(E34,HostBuild[Alias],0),COLUMN(HostBuild[Description])),""),""),"")</f>
        <v>ESB-Digital -BW</v>
      </c>
      <c r="E34" s="281" t="s">
        <v>3955</v>
      </c>
      <c r="F34" s="270"/>
      <c r="G34" s="387">
        <v>2</v>
      </c>
      <c r="H34" s="272">
        <v>16</v>
      </c>
      <c r="I34" s="272">
        <v>256</v>
      </c>
      <c r="J34" s="272">
        <v>337</v>
      </c>
      <c r="K34" s="272">
        <v>337</v>
      </c>
      <c r="L34" s="272">
        <v>0</v>
      </c>
      <c r="M34" s="272"/>
      <c r="N34" s="266">
        <v>1398.400625</v>
      </c>
    </row>
    <row r="35" spans="1:14">
      <c r="A35" s="3" t="str">
        <f>IF(AND(NOT(ISBLANK(E35)),E35&lt;&gt;"(blank)"),IFERROR(IF(INDEX(HostBuild[],MATCH(E35,HostBuild[Alias],0),COLUMN(HostBuild[Hostname]))&lt;&gt;0,INDEX(HostBuild[],MATCH(E35,HostBuild[Alias],0),COLUMN(HostBuild[Hostname])),""),""),"")</f>
        <v/>
      </c>
      <c r="B35" s="424" t="str">
        <f>IF(AND(NOT(ISBLANK(E35)),E35&lt;&gt;"(blank)"),IFERROR(IF(INDEX(HostBuild[],MATCH(E35,HostBuild[Alias],0),COLUMN(HostBuild[Status]))&lt;&gt;0,INDEX(HostBuild[],MATCH(E35,HostBuild[Alias],0),COLUMN(HostBuild[Status])),""),""),"")</f>
        <v/>
      </c>
      <c r="C35" s="425" t="str">
        <f>IF(AND(NOT(ISBLANK(E35)),E35&lt;&gt;"(blank)"),IFERROR(IF(INDEX(HostBuild[],MATCH(E35,HostBuild[Alias],0),COLUMN(HostBuild[CTI Target Completion]))&lt;&gt;0,INDEX(HostBuild[],MATCH(E35,HostBuild[Alias],0),COLUMN(HostBuild[CTI Target Completion])),""),""),"")</f>
        <v/>
      </c>
      <c r="D35" s="262" t="str">
        <f>IF(AND(NOT(ISBLANK(E35)),E35&lt;&gt;"(blank)"),IFERROR(IF(INDEX(HostBuild[],MATCH(E35,HostBuild[Alias],0),COLUMN(HostBuild[Description]))&lt;&gt;0,INDEX(HostBuild[],MATCH(E35,HostBuild[Alias],0),COLUMN(HostBuild[Description])),""),""),"")</f>
        <v>ESB-Digital - EMS</v>
      </c>
      <c r="E35" s="281" t="s">
        <v>3943</v>
      </c>
      <c r="F35" s="270"/>
      <c r="G35" s="387">
        <v>2</v>
      </c>
      <c r="H35" s="272">
        <v>16</v>
      </c>
      <c r="I35" s="272">
        <v>256</v>
      </c>
      <c r="J35" s="272">
        <v>471.8</v>
      </c>
      <c r="K35" s="272">
        <v>471.8</v>
      </c>
      <c r="L35" s="272">
        <v>0</v>
      </c>
      <c r="M35" s="272"/>
      <c r="N35" s="266">
        <v>1786.6518749999998</v>
      </c>
    </row>
    <row r="36" spans="1:14">
      <c r="A36" s="3" t="str">
        <f>IF(AND(NOT(ISBLANK(E36)),E36&lt;&gt;"(blank)"),IFERROR(IF(INDEX(HostBuild[],MATCH(E36,HostBuild[Alias],0),COLUMN(HostBuild[Hostname]))&lt;&gt;0,INDEX(HostBuild[],MATCH(E36,HostBuild[Alias],0),COLUMN(HostBuild[Hostname])),""),""),"")</f>
        <v/>
      </c>
      <c r="B36" s="424" t="str">
        <f>IF(AND(NOT(ISBLANK(E36)),E36&lt;&gt;"(blank)"),IFERROR(IF(INDEX(HostBuild[],MATCH(E36,HostBuild[Alias],0),COLUMN(HostBuild[Status]))&lt;&gt;0,INDEX(HostBuild[],MATCH(E36,HostBuild[Alias],0),COLUMN(HostBuild[Status])),""),""),"")</f>
        <v/>
      </c>
      <c r="C36" s="425" t="str">
        <f>IF(AND(NOT(ISBLANK(E36)),E36&lt;&gt;"(blank)"),IFERROR(IF(INDEX(HostBuild[],MATCH(E36,HostBuild[Alias],0),COLUMN(HostBuild[CTI Target Completion]))&lt;&gt;0,INDEX(HostBuild[],MATCH(E36,HostBuild[Alias],0),COLUMN(HostBuild[CTI Target Completion])),""),""),"")</f>
        <v/>
      </c>
      <c r="D36" s="262" t="str">
        <f>IF(AND(NOT(ISBLANK(E36)),E36&lt;&gt;"(blank)"),IFERROR(IF(INDEX(HostBuild[],MATCH(E36,HostBuild[Alias],0),COLUMN(HostBuild[Description]))&lt;&gt;0,INDEX(HostBuild[],MATCH(E36,HostBuild[Alias],0),COLUMN(HostBuild[Description])),""),""),"")</f>
        <v>ESB-Digital - EMS</v>
      </c>
      <c r="E36" s="281" t="s">
        <v>3944</v>
      </c>
      <c r="F36" s="270"/>
      <c r="G36" s="387">
        <v>2</v>
      </c>
      <c r="H36" s="272">
        <v>16</v>
      </c>
      <c r="I36" s="272">
        <v>256</v>
      </c>
      <c r="J36" s="272">
        <v>337</v>
      </c>
      <c r="K36" s="272">
        <v>337</v>
      </c>
      <c r="L36" s="272">
        <v>0</v>
      </c>
      <c r="M36" s="272"/>
      <c r="N36" s="266">
        <v>1398.400625</v>
      </c>
    </row>
    <row r="37" spans="1:14">
      <c r="A37" s="3" t="str">
        <f>IF(AND(NOT(ISBLANK(E37)),E37&lt;&gt;"(blank)"),IFERROR(IF(INDEX(HostBuild[],MATCH(E37,HostBuild[Alias],0),COLUMN(HostBuild[Hostname]))&lt;&gt;0,INDEX(HostBuild[],MATCH(E37,HostBuild[Alias],0),COLUMN(HostBuild[Hostname])),""),""),"")</f>
        <v/>
      </c>
      <c r="B37" s="424" t="str">
        <f>IF(AND(NOT(ISBLANK(E37)),E37&lt;&gt;"(blank)"),IFERROR(IF(INDEX(HostBuild[],MATCH(E37,HostBuild[Alias],0),COLUMN(HostBuild[Status]))&lt;&gt;0,INDEX(HostBuild[],MATCH(E37,HostBuild[Alias],0),COLUMN(HostBuild[Status])),""),""),"")</f>
        <v/>
      </c>
      <c r="C37" s="425" t="str">
        <f>IF(AND(NOT(ISBLANK(E37)),E37&lt;&gt;"(blank)"),IFERROR(IF(INDEX(HostBuild[],MATCH(E37,HostBuild[Alias],0),COLUMN(HostBuild[CTI Target Completion]))&lt;&gt;0,INDEX(HostBuild[],MATCH(E37,HostBuild[Alias],0),COLUMN(HostBuild[CTI Target Completion])),""),""),"")</f>
        <v/>
      </c>
      <c r="D37" s="262" t="str">
        <f>IF(AND(NOT(ISBLANK(E37)),E37&lt;&gt;"(blank)"),IFERROR(IF(INDEX(HostBuild[],MATCH(E37,HostBuild[Alias],0),COLUMN(HostBuild[Description]))&lt;&gt;0,INDEX(HostBuild[],MATCH(E37,HostBuild[Alias],0),COLUMN(HostBuild[Description])),""),""),"")</f>
        <v>ESB-Digital - EMS</v>
      </c>
      <c r="E37" s="281" t="s">
        <v>3945</v>
      </c>
      <c r="F37" s="270"/>
      <c r="G37" s="387">
        <v>2</v>
      </c>
      <c r="H37" s="272">
        <v>16</v>
      </c>
      <c r="I37" s="272">
        <v>256</v>
      </c>
      <c r="J37" s="272">
        <v>471.8</v>
      </c>
      <c r="K37" s="272">
        <v>471.8</v>
      </c>
      <c r="L37" s="272">
        <v>0</v>
      </c>
      <c r="M37" s="272"/>
      <c r="N37" s="266">
        <v>1786.6518749999998</v>
      </c>
    </row>
    <row r="38" spans="1:14">
      <c r="A38" s="3" t="str">
        <f>IF(AND(NOT(ISBLANK(E38)),E38&lt;&gt;"(blank)"),IFERROR(IF(INDEX(HostBuild[],MATCH(E38,HostBuild[Alias],0),COLUMN(HostBuild[Hostname]))&lt;&gt;0,INDEX(HostBuild[],MATCH(E38,HostBuild[Alias],0),COLUMN(HostBuild[Hostname])),""),""),"")</f>
        <v/>
      </c>
      <c r="B38" s="424" t="str">
        <f>IF(AND(NOT(ISBLANK(E38)),E38&lt;&gt;"(blank)"),IFERROR(IF(INDEX(HostBuild[],MATCH(E38,HostBuild[Alias],0),COLUMN(HostBuild[Status]))&lt;&gt;0,INDEX(HostBuild[],MATCH(E38,HostBuild[Alias],0),COLUMN(HostBuild[Status])),""),""),"")</f>
        <v/>
      </c>
      <c r="C38" s="425" t="str">
        <f>IF(AND(NOT(ISBLANK(E38)),E38&lt;&gt;"(blank)"),IFERROR(IF(INDEX(HostBuild[],MATCH(E38,HostBuild[Alias],0),COLUMN(HostBuild[CTI Target Completion]))&lt;&gt;0,INDEX(HostBuild[],MATCH(E38,HostBuild[Alias],0),COLUMN(HostBuild[CTI Target Completion])),""),""),"")</f>
        <v/>
      </c>
      <c r="D38" s="262" t="str">
        <f>IF(AND(NOT(ISBLANK(E38)),E38&lt;&gt;"(blank)"),IFERROR(IF(INDEX(HostBuild[],MATCH(E38,HostBuild[Alias],0),COLUMN(HostBuild[Description]))&lt;&gt;0,INDEX(HostBuild[],MATCH(E38,HostBuild[Alias],0),COLUMN(HostBuild[Description])),""),""),"")</f>
        <v>ESB-Digital - EMS</v>
      </c>
      <c r="E38" s="281" t="s">
        <v>3946</v>
      </c>
      <c r="F38" s="270"/>
      <c r="G38" s="387">
        <v>2</v>
      </c>
      <c r="H38" s="272">
        <v>16</v>
      </c>
      <c r="I38" s="272">
        <v>256</v>
      </c>
      <c r="J38" s="272">
        <v>337</v>
      </c>
      <c r="K38" s="272">
        <v>337</v>
      </c>
      <c r="L38" s="272">
        <v>0</v>
      </c>
      <c r="M38" s="272"/>
      <c r="N38" s="266">
        <v>1398.400625</v>
      </c>
    </row>
    <row r="39" spans="1:14">
      <c r="A39" s="3" t="str">
        <f>IF(AND(NOT(ISBLANK(E39)),E39&lt;&gt;"(blank)"),IFERROR(IF(INDEX(HostBuild[],MATCH(E39,HostBuild[Alias],0),COLUMN(HostBuild[Hostname]))&lt;&gt;0,INDEX(HostBuild[],MATCH(E39,HostBuild[Alias],0),COLUMN(HostBuild[Hostname])),""),""),"")</f>
        <v/>
      </c>
      <c r="B39" s="424" t="str">
        <f>IF(AND(NOT(ISBLANK(E39)),E39&lt;&gt;"(blank)"),IFERROR(IF(INDEX(HostBuild[],MATCH(E39,HostBuild[Alias],0),COLUMN(HostBuild[Status]))&lt;&gt;0,INDEX(HostBuild[],MATCH(E39,HostBuild[Alias],0),COLUMN(HostBuild[Status])),""),""),"")</f>
        <v/>
      </c>
      <c r="C39" s="425" t="str">
        <f>IF(AND(NOT(ISBLANK(E39)),E39&lt;&gt;"(blank)"),IFERROR(IF(INDEX(HostBuild[],MATCH(E39,HostBuild[Alias],0),COLUMN(HostBuild[CTI Target Completion]))&lt;&gt;0,INDEX(HostBuild[],MATCH(E39,HostBuild[Alias],0),COLUMN(HostBuild[CTI Target Completion])),""),""),"")</f>
        <v/>
      </c>
      <c r="D39" s="262" t="str">
        <f>IF(AND(NOT(ISBLANK(E39)),E39&lt;&gt;"(blank)"),IFERROR(IF(INDEX(HostBuild[],MATCH(E39,HostBuild[Alias],0),COLUMN(HostBuild[Description]))&lt;&gt;0,INDEX(HostBuild[],MATCH(E39,HostBuild[Alias],0),COLUMN(HostBuild[Description])),""),""),"")</f>
        <v>Dataguard- Oracle RAC-ESB</v>
      </c>
      <c r="E39" s="281" t="s">
        <v>3978</v>
      </c>
      <c r="F39" s="270"/>
      <c r="G39" s="387">
        <v>0</v>
      </c>
      <c r="H39" s="272">
        <v>0</v>
      </c>
      <c r="I39" s="272">
        <v>0</v>
      </c>
      <c r="J39" s="272">
        <v>101.10000000000001</v>
      </c>
      <c r="K39" s="272">
        <v>101.10000000000001</v>
      </c>
      <c r="L39" s="272">
        <v>0</v>
      </c>
      <c r="M39" s="272"/>
      <c r="N39" s="266">
        <v>292.19468750000004</v>
      </c>
    </row>
    <row r="40" spans="1:14">
      <c r="A40" s="3" t="str">
        <f>IF(AND(NOT(ISBLANK(E40)),E40&lt;&gt;"(blank)"),IFERROR(IF(INDEX(HostBuild[],MATCH(E40,HostBuild[Alias],0),COLUMN(HostBuild[Hostname]))&lt;&gt;0,INDEX(HostBuild[],MATCH(E40,HostBuild[Alias],0),COLUMN(HostBuild[Hostname])),""),""),"")</f>
        <v/>
      </c>
      <c r="B40" s="424" t="str">
        <f>IF(AND(NOT(ISBLANK(E40)),E40&lt;&gt;"(blank)"),IFERROR(IF(INDEX(HostBuild[],MATCH(E40,HostBuild[Alias],0),COLUMN(HostBuild[Status]))&lt;&gt;0,INDEX(HostBuild[],MATCH(E40,HostBuild[Alias],0),COLUMN(HostBuild[Status])),""),""),"")</f>
        <v/>
      </c>
      <c r="C40" s="425" t="str">
        <f>IF(AND(NOT(ISBLANK(E40)),E40&lt;&gt;"(blank)"),IFERROR(IF(INDEX(HostBuild[],MATCH(E40,HostBuild[Alias],0),COLUMN(HostBuild[CTI Target Completion]))&lt;&gt;0,INDEX(HostBuild[],MATCH(E40,HostBuild[Alias],0),COLUMN(HostBuild[CTI Target Completion])),""),""),"")</f>
        <v/>
      </c>
      <c r="D40" s="262" t="str">
        <f>IF(AND(NOT(ISBLANK(E40)),E40&lt;&gt;"(blank)"),IFERROR(IF(INDEX(HostBuild[],MATCH(E40,HostBuild[Alias],0),COLUMN(HostBuild[Description]))&lt;&gt;0,INDEX(HostBuild[],MATCH(E40,HostBuild[Alias],0),COLUMN(HostBuild[Description])),""),""),"")</f>
        <v>ESTMT</v>
      </c>
      <c r="E40" s="281" t="s">
        <v>4044</v>
      </c>
      <c r="F40" s="270"/>
      <c r="G40" s="387">
        <v>1</v>
      </c>
      <c r="H40" s="272">
        <v>2</v>
      </c>
      <c r="I40" s="272">
        <v>16</v>
      </c>
      <c r="J40" s="272">
        <v>101.10000000000001</v>
      </c>
      <c r="K40" s="272">
        <v>101.10000000000001</v>
      </c>
      <c r="L40" s="272">
        <v>0</v>
      </c>
      <c r="M40" s="272"/>
      <c r="N40" s="266">
        <v>884.66818750000004</v>
      </c>
    </row>
    <row r="41" spans="1:14">
      <c r="A41" s="3" t="str">
        <f>IF(AND(NOT(ISBLANK(E41)),E41&lt;&gt;"(blank)"),IFERROR(IF(INDEX(HostBuild[],MATCH(E41,HostBuild[Alias],0),COLUMN(HostBuild[Hostname]))&lt;&gt;0,INDEX(HostBuild[],MATCH(E41,HostBuild[Alias],0),COLUMN(HostBuild[Hostname])),""),""),"")</f>
        <v/>
      </c>
      <c r="B41" s="424" t="str">
        <f>IF(AND(NOT(ISBLANK(E41)),E41&lt;&gt;"(blank)"),IFERROR(IF(INDEX(HostBuild[],MATCH(E41,HostBuild[Alias],0),COLUMN(HostBuild[Status]))&lt;&gt;0,INDEX(HostBuild[],MATCH(E41,HostBuild[Alias],0),COLUMN(HostBuild[Status])),""),""),"")</f>
        <v/>
      </c>
      <c r="C41" s="425" t="str">
        <f>IF(AND(NOT(ISBLANK(E41)),E41&lt;&gt;"(blank)"),IFERROR(IF(INDEX(HostBuild[],MATCH(E41,HostBuild[Alias],0),COLUMN(HostBuild[CTI Target Completion]))&lt;&gt;0,INDEX(HostBuild[],MATCH(E41,HostBuild[Alias],0),COLUMN(HostBuild[CTI Target Completion])),""),""),"")</f>
        <v/>
      </c>
      <c r="D41" s="262" t="str">
        <f>IF(AND(NOT(ISBLANK(E41)),E41&lt;&gt;"(blank)"),IFERROR(IF(INDEX(HostBuild[],MATCH(E41,HostBuild[Alias],0),COLUMN(HostBuild[Description]))&lt;&gt;0,INDEX(HostBuild[],MATCH(E41,HostBuild[Alias],0),COLUMN(HostBuild[Description])),""),""),"")</f>
        <v>ESTMT</v>
      </c>
      <c r="E41" s="281" t="s">
        <v>4045</v>
      </c>
      <c r="F41" s="270"/>
      <c r="G41" s="387">
        <v>1</v>
      </c>
      <c r="H41" s="272">
        <v>2</v>
      </c>
      <c r="I41" s="272">
        <v>16</v>
      </c>
      <c r="J41" s="272">
        <v>101.10000000000001</v>
      </c>
      <c r="K41" s="272">
        <v>101.10000000000001</v>
      </c>
      <c r="L41" s="272">
        <v>0</v>
      </c>
      <c r="M41" s="272"/>
      <c r="N41" s="266">
        <v>884.66818750000004</v>
      </c>
    </row>
    <row r="42" spans="1:14">
      <c r="A42" s="3" t="str">
        <f>IF(AND(NOT(ISBLANK(E42)),E42&lt;&gt;"(blank)"),IFERROR(IF(INDEX(HostBuild[],MATCH(E42,HostBuild[Alias],0),COLUMN(HostBuild[Hostname]))&lt;&gt;0,INDEX(HostBuild[],MATCH(E42,HostBuild[Alias],0),COLUMN(HostBuild[Hostname])),""),""),"")</f>
        <v/>
      </c>
      <c r="B42" s="424" t="str">
        <f>IF(AND(NOT(ISBLANK(E42)),E42&lt;&gt;"(blank)"),IFERROR(IF(INDEX(HostBuild[],MATCH(E42,HostBuild[Alias],0),COLUMN(HostBuild[Status]))&lt;&gt;0,INDEX(HostBuild[],MATCH(E42,HostBuild[Alias],0),COLUMN(HostBuild[Status])),""),""),"")</f>
        <v/>
      </c>
      <c r="C42" s="425" t="str">
        <f>IF(AND(NOT(ISBLANK(E42)),E42&lt;&gt;"(blank)"),IFERROR(IF(INDEX(HostBuild[],MATCH(E42,HostBuild[Alias],0),COLUMN(HostBuild[CTI Target Completion]))&lt;&gt;0,INDEX(HostBuild[],MATCH(E42,HostBuild[Alias],0),COLUMN(HostBuild[CTI Target Completion])),""),""),"")</f>
        <v/>
      </c>
      <c r="D42" s="262" t="str">
        <f>IF(AND(NOT(ISBLANK(E42)),E42&lt;&gt;"(blank)"),IFERROR(IF(INDEX(HostBuild[],MATCH(E42,HostBuild[Alias],0),COLUMN(HostBuild[Description]))&lt;&gt;0,INDEX(HostBuild[],MATCH(E42,HostBuild[Alias],0),COLUMN(HostBuild[Description])),""),""),"")</f>
        <v>MQ</v>
      </c>
      <c r="E42" s="281" t="s">
        <v>4131</v>
      </c>
      <c r="F42" s="270"/>
      <c r="G42" s="387">
        <v>0</v>
      </c>
      <c r="H42" s="272">
        <v>0</v>
      </c>
      <c r="I42" s="272">
        <v>0</v>
      </c>
      <c r="J42" s="272">
        <v>0</v>
      </c>
      <c r="K42" s="272">
        <v>0</v>
      </c>
      <c r="L42" s="272">
        <v>0</v>
      </c>
      <c r="M42" s="272"/>
      <c r="N42" s="266">
        <v>0</v>
      </c>
    </row>
    <row r="43" spans="1:14">
      <c r="A43" s="3" t="str">
        <f>IF(AND(NOT(ISBLANK(E43)),E43&lt;&gt;"(blank)"),IFERROR(IF(INDEX(HostBuild[],MATCH(E43,HostBuild[Alias],0),COLUMN(HostBuild[Hostname]))&lt;&gt;0,INDEX(HostBuild[],MATCH(E43,HostBuild[Alias],0),COLUMN(HostBuild[Hostname])),""),""),"")</f>
        <v/>
      </c>
      <c r="B43" s="424" t="str">
        <f>IF(AND(NOT(ISBLANK(E43)),E43&lt;&gt;"(blank)"),IFERROR(IF(INDEX(HostBuild[],MATCH(E43,HostBuild[Alias],0),COLUMN(HostBuild[Status]))&lt;&gt;0,INDEX(HostBuild[],MATCH(E43,HostBuild[Alias],0),COLUMN(HostBuild[Status])),""),""),"")</f>
        <v/>
      </c>
      <c r="C43" s="425" t="str">
        <f>IF(AND(NOT(ISBLANK(E43)),E43&lt;&gt;"(blank)"),IFERROR(IF(INDEX(HostBuild[],MATCH(E43,HostBuild[Alias],0),COLUMN(HostBuild[CTI Target Completion]))&lt;&gt;0,INDEX(HostBuild[],MATCH(E43,HostBuild[Alias],0),COLUMN(HostBuild[CTI Target Completion])),""),""),"")</f>
        <v/>
      </c>
      <c r="D43" s="262" t="str">
        <f>IF(AND(NOT(ISBLANK(E43)),E43&lt;&gt;"(blank)"),IFERROR(IF(INDEX(HostBuild[],MATCH(E43,HostBuild[Alias],0),COLUMN(HostBuild[Description]))&lt;&gt;0,INDEX(HostBuild[],MATCH(E43,HostBuild[Alias],0),COLUMN(HostBuild[Description])),""),""),"")</f>
        <v>MQ</v>
      </c>
      <c r="E43" s="281" t="s">
        <v>3995</v>
      </c>
      <c r="F43" s="270"/>
      <c r="G43" s="387">
        <v>0</v>
      </c>
      <c r="H43" s="272">
        <v>0</v>
      </c>
      <c r="I43" s="272">
        <v>0</v>
      </c>
      <c r="J43" s="272">
        <v>67.400000000000006</v>
      </c>
      <c r="K43" s="272">
        <v>67.400000000000006</v>
      </c>
      <c r="L43" s="272">
        <v>0</v>
      </c>
      <c r="M43" s="272"/>
      <c r="N43" s="266">
        <v>78.900125000000003</v>
      </c>
    </row>
    <row r="44" spans="1:14">
      <c r="A44" s="3" t="str">
        <f>IF(AND(NOT(ISBLANK(E44)),E44&lt;&gt;"(blank)"),IFERROR(IF(INDEX(HostBuild[],MATCH(E44,HostBuild[Alias],0),COLUMN(HostBuild[Hostname]))&lt;&gt;0,INDEX(HostBuild[],MATCH(E44,HostBuild[Alias],0),COLUMN(HostBuild[Hostname])),""),""),"")</f>
        <v/>
      </c>
      <c r="B44" s="424" t="str">
        <f>IF(AND(NOT(ISBLANK(E44)),E44&lt;&gt;"(blank)"),IFERROR(IF(INDEX(HostBuild[],MATCH(E44,HostBuild[Alias],0),COLUMN(HostBuild[Status]))&lt;&gt;0,INDEX(HostBuild[],MATCH(E44,HostBuild[Alias],0),COLUMN(HostBuild[Status])),""),""),"")</f>
        <v/>
      </c>
      <c r="C44" s="425" t="str">
        <f>IF(AND(NOT(ISBLANK(E44)),E44&lt;&gt;"(blank)"),IFERROR(IF(INDEX(HostBuild[],MATCH(E44,HostBuild[Alias],0),COLUMN(HostBuild[CTI Target Completion]))&lt;&gt;0,INDEX(HostBuild[],MATCH(E44,HostBuild[Alias],0),COLUMN(HostBuild[CTI Target Completion])),""),""),"")</f>
        <v/>
      </c>
      <c r="D44" s="262" t="str">
        <f>IF(AND(NOT(ISBLANK(E44)),E44&lt;&gt;"(blank)"),IFERROR(IF(INDEX(HostBuild[],MATCH(E44,HostBuild[Alias],0),COLUMN(HostBuild[Description]))&lt;&gt;0,INDEX(HostBuild[],MATCH(E44,HostBuild[Alias],0),COLUMN(HostBuild[Description])),""),""),"")</f>
        <v>MQ</v>
      </c>
      <c r="E44" s="281" t="s">
        <v>4132</v>
      </c>
      <c r="F44" s="270"/>
      <c r="G44" s="387">
        <v>0</v>
      </c>
      <c r="H44" s="272">
        <v>0</v>
      </c>
      <c r="I44" s="272">
        <v>0</v>
      </c>
      <c r="J44" s="272">
        <v>0</v>
      </c>
      <c r="K44" s="272">
        <v>0</v>
      </c>
      <c r="L44" s="272">
        <v>0</v>
      </c>
      <c r="M44" s="272"/>
      <c r="N44" s="266">
        <v>0</v>
      </c>
    </row>
    <row r="45" spans="1:14">
      <c r="A45" s="3" t="str">
        <f>IF(AND(NOT(ISBLANK(E45)),E45&lt;&gt;"(blank)"),IFERROR(IF(INDEX(HostBuild[],MATCH(E45,HostBuild[Alias],0),COLUMN(HostBuild[Hostname]))&lt;&gt;0,INDEX(HostBuild[],MATCH(E45,HostBuild[Alias],0),COLUMN(HostBuild[Hostname])),""),""),"")</f>
        <v/>
      </c>
      <c r="B45" s="424" t="str">
        <f>IF(AND(NOT(ISBLANK(E45)),E45&lt;&gt;"(blank)"),IFERROR(IF(INDEX(HostBuild[],MATCH(E45,HostBuild[Alias],0),COLUMN(HostBuild[Status]))&lt;&gt;0,INDEX(HostBuild[],MATCH(E45,HostBuild[Alias],0),COLUMN(HostBuild[Status])),""),""),"")</f>
        <v/>
      </c>
      <c r="C45" s="425" t="str">
        <f>IF(AND(NOT(ISBLANK(E45)),E45&lt;&gt;"(blank)"),IFERROR(IF(INDEX(HostBuild[],MATCH(E45,HostBuild[Alias],0),COLUMN(HostBuild[CTI Target Completion]))&lt;&gt;0,INDEX(HostBuild[],MATCH(E45,HostBuild[Alias],0),COLUMN(HostBuild[CTI Target Completion])),""),""),"")</f>
        <v/>
      </c>
      <c r="D45" s="262" t="str">
        <f>IF(AND(NOT(ISBLANK(E45)),E45&lt;&gt;"(blank)"),IFERROR(IF(INDEX(HostBuild[],MATCH(E45,HostBuild[Alias],0),COLUMN(HostBuild[Description]))&lt;&gt;0,INDEX(HostBuild[],MATCH(E45,HostBuild[Alias],0),COLUMN(HostBuild[Description])),""),""),"")</f>
        <v>MQ</v>
      </c>
      <c r="E45" s="281" t="s">
        <v>3996</v>
      </c>
      <c r="F45" s="270"/>
      <c r="G45" s="387">
        <v>0</v>
      </c>
      <c r="H45" s="272">
        <v>0</v>
      </c>
      <c r="I45" s="272">
        <v>0</v>
      </c>
      <c r="J45" s="272">
        <v>67.400000000000006</v>
      </c>
      <c r="K45" s="272">
        <v>67.400000000000006</v>
      </c>
      <c r="L45" s="272">
        <v>0</v>
      </c>
      <c r="M45" s="272"/>
      <c r="N45" s="266">
        <v>78.900125000000003</v>
      </c>
    </row>
    <row r="46" spans="1:14">
      <c r="A46" s="3" t="str">
        <f>IF(AND(NOT(ISBLANK(E46)),E46&lt;&gt;"(blank)"),IFERROR(IF(INDEX(HostBuild[],MATCH(E46,HostBuild[Alias],0),COLUMN(HostBuild[Hostname]))&lt;&gt;0,INDEX(HostBuild[],MATCH(E46,HostBuild[Alias],0),COLUMN(HostBuild[Hostname])),""),""),"")</f>
        <v/>
      </c>
      <c r="B46" s="424" t="str">
        <f>IF(AND(NOT(ISBLANK(E46)),E46&lt;&gt;"(blank)"),IFERROR(IF(INDEX(HostBuild[],MATCH(E46,HostBuild[Alias],0),COLUMN(HostBuild[Status]))&lt;&gt;0,INDEX(HostBuild[],MATCH(E46,HostBuild[Alias],0),COLUMN(HostBuild[Status])),""),""),"")</f>
        <v/>
      </c>
      <c r="C46" s="425" t="str">
        <f>IF(AND(NOT(ISBLANK(E46)),E46&lt;&gt;"(blank)"),IFERROR(IF(INDEX(HostBuild[],MATCH(E46,HostBuild[Alias],0),COLUMN(HostBuild[CTI Target Completion]))&lt;&gt;0,INDEX(HostBuild[],MATCH(E46,HostBuild[Alias],0),COLUMN(HostBuild[CTI Target Completion])),""),""),"")</f>
        <v/>
      </c>
      <c r="D46" s="262" t="str">
        <f>IF(AND(NOT(ISBLANK(E46)),E46&lt;&gt;"(blank)"),IFERROR(IF(INDEX(HostBuild[],MATCH(E46,HostBuild[Alias],0),COLUMN(HostBuild[Description]))&lt;&gt;0,INDEX(HostBuild[],MATCH(E46,HostBuild[Alias],0),COLUMN(HostBuild[Description])),""),""),"")</f>
        <v>MQ</v>
      </c>
      <c r="E46" s="281" t="s">
        <v>4133</v>
      </c>
      <c r="F46" s="270"/>
      <c r="G46" s="387">
        <v>0</v>
      </c>
      <c r="H46" s="272">
        <v>0</v>
      </c>
      <c r="I46" s="272">
        <v>0</v>
      </c>
      <c r="J46" s="272">
        <v>0</v>
      </c>
      <c r="K46" s="272">
        <v>0</v>
      </c>
      <c r="L46" s="272">
        <v>0</v>
      </c>
      <c r="M46" s="272"/>
      <c r="N46" s="266">
        <v>0</v>
      </c>
    </row>
    <row r="47" spans="1:14">
      <c r="A47" s="3" t="str">
        <f>IF(AND(NOT(ISBLANK(E47)),E47&lt;&gt;"(blank)"),IFERROR(IF(INDEX(HostBuild[],MATCH(E47,HostBuild[Alias],0),COLUMN(HostBuild[Hostname]))&lt;&gt;0,INDEX(HostBuild[],MATCH(E47,HostBuild[Alias],0),COLUMN(HostBuild[Hostname])),""),""),"")</f>
        <v/>
      </c>
      <c r="B47" s="424" t="str">
        <f>IF(AND(NOT(ISBLANK(E47)),E47&lt;&gt;"(blank)"),IFERROR(IF(INDEX(HostBuild[],MATCH(E47,HostBuild[Alias],0),COLUMN(HostBuild[Status]))&lt;&gt;0,INDEX(HostBuild[],MATCH(E47,HostBuild[Alias],0),COLUMN(HostBuild[Status])),""),""),"")</f>
        <v/>
      </c>
      <c r="C47" s="425" t="str">
        <f>IF(AND(NOT(ISBLANK(E47)),E47&lt;&gt;"(blank)"),IFERROR(IF(INDEX(HostBuild[],MATCH(E47,HostBuild[Alias],0),COLUMN(HostBuild[CTI Target Completion]))&lt;&gt;0,INDEX(HostBuild[],MATCH(E47,HostBuild[Alias],0),COLUMN(HostBuild[CTI Target Completion])),""),""),"")</f>
        <v/>
      </c>
      <c r="D47" s="262" t="str">
        <f>IF(AND(NOT(ISBLANK(E47)),E47&lt;&gt;"(blank)"),IFERROR(IF(INDEX(HostBuild[],MATCH(E47,HostBuild[Alias],0),COLUMN(HostBuild[Description]))&lt;&gt;0,INDEX(HostBuild[],MATCH(E47,HostBuild[Alias],0),COLUMN(HostBuild[Description])),""),""),"")</f>
        <v>MQ</v>
      </c>
      <c r="E47" s="281" t="s">
        <v>3997</v>
      </c>
      <c r="F47" s="270"/>
      <c r="G47" s="387">
        <v>0</v>
      </c>
      <c r="H47" s="272">
        <v>0</v>
      </c>
      <c r="I47" s="272">
        <v>0</v>
      </c>
      <c r="J47" s="272">
        <v>67.400000000000006</v>
      </c>
      <c r="K47" s="272">
        <v>67.400000000000006</v>
      </c>
      <c r="L47" s="272">
        <v>0</v>
      </c>
      <c r="M47" s="272"/>
      <c r="N47" s="266">
        <v>78.900125000000003</v>
      </c>
    </row>
    <row r="48" spans="1:14">
      <c r="A48" s="3" t="str">
        <f>IF(AND(NOT(ISBLANK(E48)),E48&lt;&gt;"(blank)"),IFERROR(IF(INDEX(HostBuild[],MATCH(E48,HostBuild[Alias],0),COLUMN(HostBuild[Hostname]))&lt;&gt;0,INDEX(HostBuild[],MATCH(E48,HostBuild[Alias],0),COLUMN(HostBuild[Hostname])),""),""),"")</f>
        <v/>
      </c>
      <c r="B48" s="424" t="str">
        <f>IF(AND(NOT(ISBLANK(E48)),E48&lt;&gt;"(blank)"),IFERROR(IF(INDEX(HostBuild[],MATCH(E48,HostBuild[Alias],0),COLUMN(HostBuild[Status]))&lt;&gt;0,INDEX(HostBuild[],MATCH(E48,HostBuild[Alias],0),COLUMN(HostBuild[Status])),""),""),"")</f>
        <v/>
      </c>
      <c r="C48" s="425" t="str">
        <f>IF(AND(NOT(ISBLANK(E48)),E48&lt;&gt;"(blank)"),IFERROR(IF(INDEX(HostBuild[],MATCH(E48,HostBuild[Alias],0),COLUMN(HostBuild[CTI Target Completion]))&lt;&gt;0,INDEX(HostBuild[],MATCH(E48,HostBuild[Alias],0),COLUMN(HostBuild[CTI Target Completion])),""),""),"")</f>
        <v/>
      </c>
      <c r="D48" s="262" t="str">
        <f>IF(AND(NOT(ISBLANK(E48)),E48&lt;&gt;"(blank)"),IFERROR(IF(INDEX(HostBuild[],MATCH(E48,HostBuild[Alias],0),COLUMN(HostBuild[Description]))&lt;&gt;0,INDEX(HostBuild[],MATCH(E48,HostBuild[Alias],0),COLUMN(HostBuild[Description])),""),""),"")</f>
        <v>MQ</v>
      </c>
      <c r="E48" s="281" t="s">
        <v>4134</v>
      </c>
      <c r="F48" s="270"/>
      <c r="G48" s="387">
        <v>0</v>
      </c>
      <c r="H48" s="272">
        <v>0</v>
      </c>
      <c r="I48" s="272">
        <v>0</v>
      </c>
      <c r="J48" s="272">
        <v>0</v>
      </c>
      <c r="K48" s="272">
        <v>0</v>
      </c>
      <c r="L48" s="272">
        <v>0</v>
      </c>
      <c r="M48" s="272"/>
      <c r="N48" s="266">
        <v>0</v>
      </c>
    </row>
    <row r="49" spans="1:14">
      <c r="A49" s="3" t="str">
        <f>IF(AND(NOT(ISBLANK(E49)),E49&lt;&gt;"(blank)"),IFERROR(IF(INDEX(HostBuild[],MATCH(E49,HostBuild[Alias],0),COLUMN(HostBuild[Hostname]))&lt;&gt;0,INDEX(HostBuild[],MATCH(E49,HostBuild[Alias],0),COLUMN(HostBuild[Hostname])),""),""),"")</f>
        <v/>
      </c>
      <c r="B49" s="424" t="str">
        <f>IF(AND(NOT(ISBLANK(E49)),E49&lt;&gt;"(blank)"),IFERROR(IF(INDEX(HostBuild[],MATCH(E49,HostBuild[Alias],0),COLUMN(HostBuild[Status]))&lt;&gt;0,INDEX(HostBuild[],MATCH(E49,HostBuild[Alias],0),COLUMN(HostBuild[Status])),""),""),"")</f>
        <v/>
      </c>
      <c r="C49" s="425" t="str">
        <f>IF(AND(NOT(ISBLANK(E49)),E49&lt;&gt;"(blank)"),IFERROR(IF(INDEX(HostBuild[],MATCH(E49,HostBuild[Alias],0),COLUMN(HostBuild[CTI Target Completion]))&lt;&gt;0,INDEX(HostBuild[],MATCH(E49,HostBuild[Alias],0),COLUMN(HostBuild[CTI Target Completion])),""),""),"")</f>
        <v/>
      </c>
      <c r="D49" s="262" t="str">
        <f>IF(AND(NOT(ISBLANK(E49)),E49&lt;&gt;"(blank)"),IFERROR(IF(INDEX(HostBuild[],MATCH(E49,HostBuild[Alias],0),COLUMN(HostBuild[Description]))&lt;&gt;0,INDEX(HostBuild[],MATCH(E49,HostBuild[Alias],0),COLUMN(HostBuild[Description])),""),""),"")</f>
        <v>MQ</v>
      </c>
      <c r="E49" s="281" t="s">
        <v>3998</v>
      </c>
      <c r="F49" s="270"/>
      <c r="G49" s="387">
        <v>0</v>
      </c>
      <c r="H49" s="272">
        <v>0</v>
      </c>
      <c r="I49" s="272">
        <v>0</v>
      </c>
      <c r="J49" s="272">
        <v>67.400000000000006</v>
      </c>
      <c r="K49" s="272">
        <v>67.400000000000006</v>
      </c>
      <c r="L49" s="272">
        <v>0</v>
      </c>
      <c r="M49" s="272"/>
      <c r="N49" s="266">
        <v>78.900125000000003</v>
      </c>
    </row>
    <row r="50" spans="1:14">
      <c r="A50" s="3" t="str">
        <f>IF(AND(NOT(ISBLANK(E50)),E50&lt;&gt;"(blank)"),IFERROR(IF(INDEX(HostBuild[],MATCH(E50,HostBuild[Alias],0),COLUMN(HostBuild[Hostname]))&lt;&gt;0,INDEX(HostBuild[],MATCH(E50,HostBuild[Alias],0),COLUMN(HostBuild[Hostname])),""),""),"")</f>
        <v/>
      </c>
      <c r="B50" s="424" t="str">
        <f>IF(AND(NOT(ISBLANK(E50)),E50&lt;&gt;"(blank)"),IFERROR(IF(INDEX(HostBuild[],MATCH(E50,HostBuild[Alias],0),COLUMN(HostBuild[Status]))&lt;&gt;0,INDEX(HostBuild[],MATCH(E50,HostBuild[Alias],0),COLUMN(HostBuild[Status])),""),""),"")</f>
        <v/>
      </c>
      <c r="C50" s="425" t="str">
        <f>IF(AND(NOT(ISBLANK(E50)),E50&lt;&gt;"(blank)"),IFERROR(IF(INDEX(HostBuild[],MATCH(E50,HostBuild[Alias],0),COLUMN(HostBuild[CTI Target Completion]))&lt;&gt;0,INDEX(HostBuild[],MATCH(E50,HostBuild[Alias],0),COLUMN(HostBuild[CTI Target Completion])),""),""),"")</f>
        <v/>
      </c>
      <c r="D50" s="262" t="str">
        <f>IF(AND(NOT(ISBLANK(E50)),E50&lt;&gt;"(blank)"),IFERROR(IF(INDEX(HostBuild[],MATCH(E50,HostBuild[Alias],0),COLUMN(HostBuild[Description]))&lt;&gt;0,INDEX(HostBuild[],MATCH(E50,HostBuild[Alias],0),COLUMN(HostBuild[Description])),""),""),"")</f>
        <v>Oracle RAC - ESB</v>
      </c>
      <c r="E50" s="281" t="s">
        <v>3979</v>
      </c>
      <c r="F50" s="270"/>
      <c r="G50" s="387">
        <v>0</v>
      </c>
      <c r="H50" s="272">
        <v>0</v>
      </c>
      <c r="I50" s="272">
        <v>0</v>
      </c>
      <c r="J50" s="272">
        <v>101.10000000000001</v>
      </c>
      <c r="K50" s="272">
        <v>101.10000000000001</v>
      </c>
      <c r="L50" s="272">
        <v>0</v>
      </c>
      <c r="M50" s="272"/>
      <c r="N50" s="266">
        <v>292.19468750000004</v>
      </c>
    </row>
    <row r="51" spans="1:14">
      <c r="A51" s="3" t="str">
        <f>IF(AND(NOT(ISBLANK(E51)),E51&lt;&gt;"(blank)"),IFERROR(IF(INDEX(HostBuild[],MATCH(E51,HostBuild[Alias],0),COLUMN(HostBuild[Hostname]))&lt;&gt;0,INDEX(HostBuild[],MATCH(E51,HostBuild[Alias],0),COLUMN(HostBuild[Hostname])),""),""),"")</f>
        <v/>
      </c>
      <c r="B51" s="424" t="str">
        <f>IF(AND(NOT(ISBLANK(E51)),E51&lt;&gt;"(blank)"),IFERROR(IF(INDEX(HostBuild[],MATCH(E51,HostBuild[Alias],0),COLUMN(HostBuild[Status]))&lt;&gt;0,INDEX(HostBuild[],MATCH(E51,HostBuild[Alias],0),COLUMN(HostBuild[Status])),""),""),"")</f>
        <v/>
      </c>
      <c r="C51" s="425" t="str">
        <f>IF(AND(NOT(ISBLANK(E51)),E51&lt;&gt;"(blank)"),IFERROR(IF(INDEX(HostBuild[],MATCH(E51,HostBuild[Alias],0),COLUMN(HostBuild[CTI Target Completion]))&lt;&gt;0,INDEX(HostBuild[],MATCH(E51,HostBuild[Alias],0),COLUMN(HostBuild[CTI Target Completion])),""),""),"")</f>
        <v/>
      </c>
      <c r="D51" s="262" t="str">
        <f>IF(AND(NOT(ISBLANK(E51)),E51&lt;&gt;"(blank)"),IFERROR(IF(INDEX(HostBuild[],MATCH(E51,HostBuild[Alias],0),COLUMN(HostBuild[Description]))&lt;&gt;0,INDEX(HostBuild[],MATCH(E51,HostBuild[Alias],0),COLUMN(HostBuild[Description])),""),""),"")</f>
        <v>Oracle RAC - ESB,</v>
      </c>
      <c r="E51" s="281" t="s">
        <v>3980</v>
      </c>
      <c r="F51" s="270"/>
      <c r="G51" s="387">
        <v>0</v>
      </c>
      <c r="H51" s="272">
        <v>0</v>
      </c>
      <c r="I51" s="272">
        <v>0</v>
      </c>
      <c r="J51" s="272">
        <v>0</v>
      </c>
      <c r="K51" s="272">
        <v>0</v>
      </c>
      <c r="L51" s="272">
        <v>0</v>
      </c>
      <c r="M51" s="272"/>
      <c r="N51" s="266">
        <v>0</v>
      </c>
    </row>
    <row r="52" spans="1:14">
      <c r="A52" s="3" t="str">
        <f>IF(AND(NOT(ISBLANK(E52)),E52&lt;&gt;"(blank)"),IFERROR(IF(INDEX(HostBuild[],MATCH(E52,HostBuild[Alias],0),COLUMN(HostBuild[Hostname]))&lt;&gt;0,INDEX(HostBuild[],MATCH(E52,HostBuild[Alias],0),COLUMN(HostBuild[Hostname])),""),""),"")</f>
        <v/>
      </c>
      <c r="B52" s="424" t="str">
        <f>IF(AND(NOT(ISBLANK(E52)),E52&lt;&gt;"(blank)"),IFERROR(IF(INDEX(HostBuild[],MATCH(E52,HostBuild[Alias],0),COLUMN(HostBuild[Status]))&lt;&gt;0,INDEX(HostBuild[],MATCH(E52,HostBuild[Alias],0),COLUMN(HostBuild[Status])),""),""),"")</f>
        <v/>
      </c>
      <c r="C52" s="425" t="str">
        <f>IF(AND(NOT(ISBLANK(E52)),E52&lt;&gt;"(blank)"),IFERROR(IF(INDEX(HostBuild[],MATCH(E52,HostBuild[Alias],0),COLUMN(HostBuild[CTI Target Completion]))&lt;&gt;0,INDEX(HostBuild[],MATCH(E52,HostBuild[Alias],0),COLUMN(HostBuild[CTI Target Completion])),""),""),"")</f>
        <v/>
      </c>
      <c r="D52" s="262" t="str">
        <f>IF(AND(NOT(ISBLANK(E52)),E52&lt;&gt;"(blank)"),IFERROR(IF(INDEX(HostBuild[],MATCH(E52,HostBuild[Alias],0),COLUMN(HostBuild[Description]))&lt;&gt;0,INDEX(HostBuild[],MATCH(E52,HostBuild[Alias],0),COLUMN(HostBuild[Description])),""),""),"")</f>
        <v>Oracle RAC - ESB</v>
      </c>
      <c r="E52" s="281" t="s">
        <v>3993</v>
      </c>
      <c r="F52" s="270"/>
      <c r="G52" s="387">
        <v>2</v>
      </c>
      <c r="H52" s="272">
        <v>2</v>
      </c>
      <c r="I52" s="272">
        <v>128</v>
      </c>
      <c r="J52" s="272">
        <v>1314.3000000000002</v>
      </c>
      <c r="K52" s="272">
        <v>1314.3000000000002</v>
      </c>
      <c r="L52" s="272">
        <v>0</v>
      </c>
      <c r="M52" s="272"/>
      <c r="N52" s="266">
        <v>4357.3114375000005</v>
      </c>
    </row>
    <row r="53" spans="1:14">
      <c r="A53" s="3" t="str">
        <f>IF(AND(NOT(ISBLANK(E53)),E53&lt;&gt;"(blank)"),IFERROR(IF(INDEX(HostBuild[],MATCH(E53,HostBuild[Alias],0),COLUMN(HostBuild[Hostname]))&lt;&gt;0,INDEX(HostBuild[],MATCH(E53,HostBuild[Alias],0),COLUMN(HostBuild[Hostname])),""),""),"")</f>
        <v/>
      </c>
      <c r="B53" s="424" t="str">
        <f>IF(AND(NOT(ISBLANK(E53)),E53&lt;&gt;"(blank)"),IFERROR(IF(INDEX(HostBuild[],MATCH(E53,HostBuild[Alias],0),COLUMN(HostBuild[Status]))&lt;&gt;0,INDEX(HostBuild[],MATCH(E53,HostBuild[Alias],0),COLUMN(HostBuild[Status])),""),""),"")</f>
        <v/>
      </c>
      <c r="C53" s="425" t="str">
        <f>IF(AND(NOT(ISBLANK(E53)),E53&lt;&gt;"(blank)"),IFERROR(IF(INDEX(HostBuild[],MATCH(E53,HostBuild[Alias],0),COLUMN(HostBuild[CTI Target Completion]))&lt;&gt;0,INDEX(HostBuild[],MATCH(E53,HostBuild[Alias],0),COLUMN(HostBuild[CTI Target Completion])),""),""),"")</f>
        <v/>
      </c>
      <c r="D53" s="262" t="str">
        <f>IF(AND(NOT(ISBLANK(E53)),E53&lt;&gt;"(blank)"),IFERROR(IF(INDEX(HostBuild[],MATCH(E53,HostBuild[Alias],0),COLUMN(HostBuild[Description]))&lt;&gt;0,INDEX(HostBuild[],MATCH(E53,HostBuild[Alias],0),COLUMN(HostBuild[Description])),""),""),"")</f>
        <v>Oracle RAC - ESB</v>
      </c>
      <c r="E53" s="281" t="s">
        <v>3994</v>
      </c>
      <c r="F53" s="270"/>
      <c r="G53" s="387">
        <v>2</v>
      </c>
      <c r="H53" s="272">
        <v>2</v>
      </c>
      <c r="I53" s="272">
        <v>128</v>
      </c>
      <c r="J53" s="272">
        <v>303.3</v>
      </c>
      <c r="K53" s="272">
        <v>303.3</v>
      </c>
      <c r="L53" s="272">
        <v>0</v>
      </c>
      <c r="M53" s="272"/>
      <c r="N53" s="266">
        <v>2689.0045625000002</v>
      </c>
    </row>
    <row r="54" spans="1:14">
      <c r="A54" s="3" t="str">
        <f>IF(AND(NOT(ISBLANK(E54)),E54&lt;&gt;"(blank)"),IFERROR(IF(INDEX(HostBuild[],MATCH(E54,HostBuild[Alias],0),COLUMN(HostBuild[Hostname]))&lt;&gt;0,INDEX(HostBuild[],MATCH(E54,HostBuild[Alias],0),COLUMN(HostBuild[Hostname])),""),""),"")</f>
        <v/>
      </c>
      <c r="B54" s="424" t="str">
        <f>IF(AND(NOT(ISBLANK(E54)),E54&lt;&gt;"(blank)"),IFERROR(IF(INDEX(HostBuild[],MATCH(E54,HostBuild[Alias],0),COLUMN(HostBuild[Status]))&lt;&gt;0,INDEX(HostBuild[],MATCH(E54,HostBuild[Alias],0),COLUMN(HostBuild[Status])),""),""),"")</f>
        <v/>
      </c>
      <c r="C54" s="425" t="str">
        <f>IF(AND(NOT(ISBLANK(E54)),E54&lt;&gt;"(blank)"),IFERROR(IF(INDEX(HostBuild[],MATCH(E54,HostBuild[Alias],0),COLUMN(HostBuild[CTI Target Completion]))&lt;&gt;0,INDEX(HostBuild[],MATCH(E54,HostBuild[Alias],0),COLUMN(HostBuild[CTI Target Completion])),""),""),"")</f>
        <v/>
      </c>
      <c r="D54" s="262" t="str">
        <f>IF(AND(NOT(ISBLANK(E54)),E54&lt;&gt;"(blank)"),IFERROR(IF(INDEX(HostBuild[],MATCH(E54,HostBuild[Alias],0),COLUMN(HostBuild[Description]))&lt;&gt;0,INDEX(HostBuild[],MATCH(E54,HostBuild[Alias],0),COLUMN(HostBuild[Description])),""),""),"")</f>
        <v>ESB-PAT-BW</v>
      </c>
      <c r="E54" s="281" t="s">
        <v>4008</v>
      </c>
      <c r="F54" s="270"/>
      <c r="G54" s="387">
        <v>0</v>
      </c>
      <c r="H54" s="272">
        <v>0</v>
      </c>
      <c r="I54" s="272">
        <v>0</v>
      </c>
      <c r="J54" s="272">
        <v>0</v>
      </c>
      <c r="K54" s="272">
        <v>0</v>
      </c>
      <c r="L54" s="272">
        <v>0</v>
      </c>
      <c r="M54" s="272"/>
      <c r="N54" s="266">
        <v>0</v>
      </c>
    </row>
    <row r="55" spans="1:14">
      <c r="A55" s="3" t="str">
        <f>IF(AND(NOT(ISBLANK(E55)),E55&lt;&gt;"(blank)"),IFERROR(IF(INDEX(HostBuild[],MATCH(E55,HostBuild[Alias],0),COLUMN(HostBuild[Hostname]))&lt;&gt;0,INDEX(HostBuild[],MATCH(E55,HostBuild[Alias],0),COLUMN(HostBuild[Hostname])),""),""),"")</f>
        <v/>
      </c>
      <c r="B55" s="424" t="str">
        <f>IF(AND(NOT(ISBLANK(E55)),E55&lt;&gt;"(blank)"),IFERROR(IF(INDEX(HostBuild[],MATCH(E55,HostBuild[Alias],0),COLUMN(HostBuild[Status]))&lt;&gt;0,INDEX(HostBuild[],MATCH(E55,HostBuild[Alias],0),COLUMN(HostBuild[Status])),""),""),"")</f>
        <v/>
      </c>
      <c r="C55" s="425" t="str">
        <f>IF(AND(NOT(ISBLANK(E55)),E55&lt;&gt;"(blank)"),IFERROR(IF(INDEX(HostBuild[],MATCH(E55,HostBuild[Alias],0),COLUMN(HostBuild[CTI Target Completion]))&lt;&gt;0,INDEX(HostBuild[],MATCH(E55,HostBuild[Alias],0),COLUMN(HostBuild[CTI Target Completion])),""),""),"")</f>
        <v/>
      </c>
      <c r="D55" s="262" t="str">
        <f>IF(AND(NOT(ISBLANK(E55)),E55&lt;&gt;"(blank)"),IFERROR(IF(INDEX(HostBuild[],MATCH(E55,HostBuild[Alias],0),COLUMN(HostBuild[Description]))&lt;&gt;0,INDEX(HostBuild[],MATCH(E55,HostBuild[Alias],0),COLUMN(HostBuild[Description])),""),""),"")</f>
        <v>ESB-PAT-BW</v>
      </c>
      <c r="E55" s="281" t="s">
        <v>4009</v>
      </c>
      <c r="F55" s="270"/>
      <c r="G55" s="387">
        <v>0</v>
      </c>
      <c r="H55" s="272">
        <v>0</v>
      </c>
      <c r="I55" s="272">
        <v>0</v>
      </c>
      <c r="J55" s="272">
        <v>0</v>
      </c>
      <c r="K55" s="272">
        <v>0</v>
      </c>
      <c r="L55" s="272">
        <v>0</v>
      </c>
      <c r="M55" s="272"/>
      <c r="N55" s="266">
        <v>0</v>
      </c>
    </row>
    <row r="56" spans="1:14">
      <c r="A56" s="3" t="str">
        <f>IF(AND(NOT(ISBLANK(E56)),E56&lt;&gt;"(blank)"),IFERROR(IF(INDEX(HostBuild[],MATCH(E56,HostBuild[Alias],0),COLUMN(HostBuild[Hostname]))&lt;&gt;0,INDEX(HostBuild[],MATCH(E56,HostBuild[Alias],0),COLUMN(HostBuild[Hostname])),""),""),"")</f>
        <v/>
      </c>
      <c r="B56" s="424" t="str">
        <f>IF(AND(NOT(ISBLANK(E56)),E56&lt;&gt;"(blank)"),IFERROR(IF(INDEX(HostBuild[],MATCH(E56,HostBuild[Alias],0),COLUMN(HostBuild[Status]))&lt;&gt;0,INDEX(HostBuild[],MATCH(E56,HostBuild[Alias],0),COLUMN(HostBuild[Status])),""),""),"")</f>
        <v/>
      </c>
      <c r="C56" s="425" t="str">
        <f>IF(AND(NOT(ISBLANK(E56)),E56&lt;&gt;"(blank)"),IFERROR(IF(INDEX(HostBuild[],MATCH(E56,HostBuild[Alias],0),COLUMN(HostBuild[CTI Target Completion]))&lt;&gt;0,INDEX(HostBuild[],MATCH(E56,HostBuild[Alias],0),COLUMN(HostBuild[CTI Target Completion])),""),""),"")</f>
        <v/>
      </c>
      <c r="D56" s="262" t="str">
        <f>IF(AND(NOT(ISBLANK(E56)),E56&lt;&gt;"(blank)"),IFERROR(IF(INDEX(HostBuild[],MATCH(E56,HostBuild[Alias],0),COLUMN(HostBuild[Description]))&lt;&gt;0,INDEX(HostBuild[],MATCH(E56,HostBuild[Alias],0),COLUMN(HostBuild[Description])),""),""),"")</f>
        <v>ESB-PAT-BW</v>
      </c>
      <c r="E56" s="281" t="s">
        <v>4010</v>
      </c>
      <c r="F56" s="270"/>
      <c r="G56" s="387">
        <v>0</v>
      </c>
      <c r="H56" s="272">
        <v>0</v>
      </c>
      <c r="I56" s="272">
        <v>0</v>
      </c>
      <c r="J56" s="272">
        <v>0</v>
      </c>
      <c r="K56" s="272">
        <v>0</v>
      </c>
      <c r="L56" s="272">
        <v>0</v>
      </c>
      <c r="M56" s="272"/>
      <c r="N56" s="266">
        <v>0</v>
      </c>
    </row>
    <row r="57" spans="1:14">
      <c r="A57" s="3" t="str">
        <f>IF(AND(NOT(ISBLANK(E57)),E57&lt;&gt;"(blank)"),IFERROR(IF(INDEX(HostBuild[],MATCH(E57,HostBuild[Alias],0),COLUMN(HostBuild[Hostname]))&lt;&gt;0,INDEX(HostBuild[],MATCH(E57,HostBuild[Alias],0),COLUMN(HostBuild[Hostname])),""),""),"")</f>
        <v/>
      </c>
      <c r="B57" s="424" t="str">
        <f>IF(AND(NOT(ISBLANK(E57)),E57&lt;&gt;"(blank)"),IFERROR(IF(INDEX(HostBuild[],MATCH(E57,HostBuild[Alias],0),COLUMN(HostBuild[Status]))&lt;&gt;0,INDEX(HostBuild[],MATCH(E57,HostBuild[Alias],0),COLUMN(HostBuild[Status])),""),""),"")</f>
        <v/>
      </c>
      <c r="C57" s="425" t="str">
        <f>IF(AND(NOT(ISBLANK(E57)),E57&lt;&gt;"(blank)"),IFERROR(IF(INDEX(HostBuild[],MATCH(E57,HostBuild[Alias],0),COLUMN(HostBuild[CTI Target Completion]))&lt;&gt;0,INDEX(HostBuild[],MATCH(E57,HostBuild[Alias],0),COLUMN(HostBuild[CTI Target Completion])),""),""),"")</f>
        <v/>
      </c>
      <c r="D57" s="262" t="str">
        <f>IF(AND(NOT(ISBLANK(E57)),E57&lt;&gt;"(blank)"),IFERROR(IF(INDEX(HostBuild[],MATCH(E57,HostBuild[Alias],0),COLUMN(HostBuild[Description]))&lt;&gt;0,INDEX(HostBuild[],MATCH(E57,HostBuild[Alias],0),COLUMN(HostBuild[Description])),""),""),"")</f>
        <v>ESB-PAT-BW</v>
      </c>
      <c r="E57" s="281" t="s">
        <v>4011</v>
      </c>
      <c r="F57" s="270"/>
      <c r="G57" s="387">
        <v>0</v>
      </c>
      <c r="H57" s="272">
        <v>0</v>
      </c>
      <c r="I57" s="272">
        <v>0</v>
      </c>
      <c r="J57" s="272">
        <v>0</v>
      </c>
      <c r="K57" s="272">
        <v>0</v>
      </c>
      <c r="L57" s="272">
        <v>0</v>
      </c>
      <c r="M57" s="272"/>
      <c r="N57" s="266">
        <v>0</v>
      </c>
    </row>
    <row r="58" spans="1:14">
      <c r="A58" s="3" t="str">
        <f>IF(AND(NOT(ISBLANK(E58)),E58&lt;&gt;"(blank)"),IFERROR(IF(INDEX(HostBuild[],MATCH(E58,HostBuild[Alias],0),COLUMN(HostBuild[Hostname]))&lt;&gt;0,INDEX(HostBuild[],MATCH(E58,HostBuild[Alias],0),COLUMN(HostBuild[Hostname])),""),""),"")</f>
        <v/>
      </c>
      <c r="B58" s="424" t="str">
        <f>IF(AND(NOT(ISBLANK(E58)),E58&lt;&gt;"(blank)"),IFERROR(IF(INDEX(HostBuild[],MATCH(E58,HostBuild[Alias],0),COLUMN(HostBuild[Status]))&lt;&gt;0,INDEX(HostBuild[],MATCH(E58,HostBuild[Alias],0),COLUMN(HostBuild[Status])),""),""),"")</f>
        <v/>
      </c>
      <c r="C58" s="425" t="str">
        <f>IF(AND(NOT(ISBLANK(E58)),E58&lt;&gt;"(blank)"),IFERROR(IF(INDEX(HostBuild[],MATCH(E58,HostBuild[Alias],0),COLUMN(HostBuild[CTI Target Completion]))&lt;&gt;0,INDEX(HostBuild[],MATCH(E58,HostBuild[Alias],0),COLUMN(HostBuild[CTI Target Completion])),""),""),"")</f>
        <v/>
      </c>
      <c r="D58" s="262" t="str">
        <f>IF(AND(NOT(ISBLANK(E58)),E58&lt;&gt;"(blank)"),IFERROR(IF(INDEX(HostBuild[],MATCH(E58,HostBuild[Alias],0),COLUMN(HostBuild[Description]))&lt;&gt;0,INDEX(HostBuild[],MATCH(E58,HostBuild[Alias],0),COLUMN(HostBuild[Description])),""),""),"")</f>
        <v>ESB-PAT-BW</v>
      </c>
      <c r="E58" s="281" t="s">
        <v>4129</v>
      </c>
      <c r="F58" s="270"/>
      <c r="G58" s="387">
        <v>0</v>
      </c>
      <c r="H58" s="272">
        <v>0</v>
      </c>
      <c r="I58" s="272">
        <v>0</v>
      </c>
      <c r="J58" s="272">
        <v>0</v>
      </c>
      <c r="K58" s="272">
        <v>0</v>
      </c>
      <c r="L58" s="272">
        <v>0</v>
      </c>
      <c r="M58" s="272"/>
      <c r="N58" s="266">
        <v>0</v>
      </c>
    </row>
    <row r="59" spans="1:14">
      <c r="A59" s="3" t="str">
        <f>IF(AND(NOT(ISBLANK(E59)),E59&lt;&gt;"(blank)"),IFERROR(IF(INDEX(HostBuild[],MATCH(E59,HostBuild[Alias],0),COLUMN(HostBuild[Hostname]))&lt;&gt;0,INDEX(HostBuild[],MATCH(E59,HostBuild[Alias],0),COLUMN(HostBuild[Hostname])),""),""),"")</f>
        <v/>
      </c>
      <c r="B59" s="424" t="str">
        <f>IF(AND(NOT(ISBLANK(E59)),E59&lt;&gt;"(blank)"),IFERROR(IF(INDEX(HostBuild[],MATCH(E59,HostBuild[Alias],0),COLUMN(HostBuild[Status]))&lt;&gt;0,INDEX(HostBuild[],MATCH(E59,HostBuild[Alias],0),COLUMN(HostBuild[Status])),""),""),"")</f>
        <v/>
      </c>
      <c r="C59" s="425" t="str">
        <f>IF(AND(NOT(ISBLANK(E59)),E59&lt;&gt;"(blank)"),IFERROR(IF(INDEX(HostBuild[],MATCH(E59,HostBuild[Alias],0),COLUMN(HostBuild[CTI Target Completion]))&lt;&gt;0,INDEX(HostBuild[],MATCH(E59,HostBuild[Alias],0),COLUMN(HostBuild[CTI Target Completion])),""),""),"")</f>
        <v/>
      </c>
      <c r="D59" s="262" t="str">
        <f>IF(AND(NOT(ISBLANK(E59)),E59&lt;&gt;"(blank)"),IFERROR(IF(INDEX(HostBuild[],MATCH(E59,HostBuild[Alias],0),COLUMN(HostBuild[Description]))&lt;&gt;0,INDEX(HostBuild[],MATCH(E59,HostBuild[Alias],0),COLUMN(HostBuild[Description])),""),""),"")</f>
        <v>ESB-PAT-BW</v>
      </c>
      <c r="E59" s="281" t="s">
        <v>4130</v>
      </c>
      <c r="F59" s="270"/>
      <c r="G59" s="387">
        <v>0</v>
      </c>
      <c r="H59" s="272">
        <v>0</v>
      </c>
      <c r="I59" s="272">
        <v>0</v>
      </c>
      <c r="J59" s="272">
        <v>0</v>
      </c>
      <c r="K59" s="272">
        <v>0</v>
      </c>
      <c r="L59" s="272">
        <v>0</v>
      </c>
      <c r="M59" s="272"/>
      <c r="N59" s="266">
        <v>0</v>
      </c>
    </row>
    <row r="60" spans="1:14">
      <c r="A60" s="3" t="str">
        <f>IF(AND(NOT(ISBLANK(E60)),E60&lt;&gt;"(blank)"),IFERROR(IF(INDEX(HostBuild[],MATCH(E60,HostBuild[Alias],0),COLUMN(HostBuild[Hostname]))&lt;&gt;0,INDEX(HostBuild[],MATCH(E60,HostBuild[Alias],0),COLUMN(HostBuild[Hostname])),""),""),"")</f>
        <v/>
      </c>
      <c r="B60" s="424" t="str">
        <f>IF(AND(NOT(ISBLANK(E60)),E60&lt;&gt;"(blank)"),IFERROR(IF(INDEX(HostBuild[],MATCH(E60,HostBuild[Alias],0),COLUMN(HostBuild[Status]))&lt;&gt;0,INDEX(HostBuild[],MATCH(E60,HostBuild[Alias],0),COLUMN(HostBuild[Status])),""),""),"")</f>
        <v/>
      </c>
      <c r="C60" s="425" t="str">
        <f>IF(AND(NOT(ISBLANK(E60)),E60&lt;&gt;"(blank)"),IFERROR(IF(INDEX(HostBuild[],MATCH(E60,HostBuild[Alias],0),COLUMN(HostBuild[CTI Target Completion]))&lt;&gt;0,INDEX(HostBuild[],MATCH(E60,HostBuild[Alias],0),COLUMN(HostBuild[CTI Target Completion])),""),""),"")</f>
        <v/>
      </c>
      <c r="D60" s="262" t="str">
        <f>IF(AND(NOT(ISBLANK(E60)),E60&lt;&gt;"(blank)"),IFERROR(IF(INDEX(HostBuild[],MATCH(E60,HostBuild[Alias],0),COLUMN(HostBuild[Description]))&lt;&gt;0,INDEX(HostBuild[],MATCH(E60,HostBuild[Alias],0),COLUMN(HostBuild[Description])),""),""),"")</f>
        <v>ESB [V5,V6], CMR, SNF - EMS</v>
      </c>
      <c r="E60" s="281" t="s">
        <v>4135</v>
      </c>
      <c r="F60" s="270"/>
      <c r="G60" s="387">
        <v>0</v>
      </c>
      <c r="H60" s="272">
        <v>0</v>
      </c>
      <c r="I60" s="272">
        <v>0</v>
      </c>
      <c r="J60" s="272">
        <v>0</v>
      </c>
      <c r="K60" s="272">
        <v>0</v>
      </c>
      <c r="L60" s="272">
        <v>0</v>
      </c>
      <c r="M60" s="272"/>
      <c r="N60" s="266">
        <v>0</v>
      </c>
    </row>
    <row r="61" spans="1:14">
      <c r="A61" s="3" t="str">
        <f>IF(AND(NOT(ISBLANK(E61)),E61&lt;&gt;"(blank)"),IFERROR(IF(INDEX(HostBuild[],MATCH(E61,HostBuild[Alias],0),COLUMN(HostBuild[Hostname]))&lt;&gt;0,INDEX(HostBuild[],MATCH(E61,HostBuild[Alias],0),COLUMN(HostBuild[Hostname])),""),""),"")</f>
        <v/>
      </c>
      <c r="B61" s="424" t="str">
        <f>IF(AND(NOT(ISBLANK(E61)),E61&lt;&gt;"(blank)"),IFERROR(IF(INDEX(HostBuild[],MATCH(E61,HostBuild[Alias],0),COLUMN(HostBuild[Status]))&lt;&gt;0,INDEX(HostBuild[],MATCH(E61,HostBuild[Alias],0),COLUMN(HostBuild[Status])),""),""),"")</f>
        <v/>
      </c>
      <c r="C61" s="425" t="str">
        <f>IF(AND(NOT(ISBLANK(E61)),E61&lt;&gt;"(blank)"),IFERROR(IF(INDEX(HostBuild[],MATCH(E61,HostBuild[Alias],0),COLUMN(HostBuild[CTI Target Completion]))&lt;&gt;0,INDEX(HostBuild[],MATCH(E61,HostBuild[Alias],0),COLUMN(HostBuild[CTI Target Completion])),""),""),"")</f>
        <v/>
      </c>
      <c r="D61" s="262" t="str">
        <f>IF(AND(NOT(ISBLANK(E61)),E61&lt;&gt;"(blank)"),IFERROR(IF(INDEX(HostBuild[],MATCH(E61,HostBuild[Alias],0),COLUMN(HostBuild[Description]))&lt;&gt;0,INDEX(HostBuild[],MATCH(E61,HostBuild[Alias],0),COLUMN(HostBuild[Description])),""),""),"")</f>
        <v>ESB [V5,V6], CMR, SNF - EMS</v>
      </c>
      <c r="E61" s="281" t="s">
        <v>4001</v>
      </c>
      <c r="F61" s="270"/>
      <c r="G61" s="387">
        <v>0</v>
      </c>
      <c r="H61" s="272">
        <v>0</v>
      </c>
      <c r="I61" s="272">
        <v>0</v>
      </c>
      <c r="J61" s="272">
        <v>67.400000000000006</v>
      </c>
      <c r="K61" s="272">
        <v>67.400000000000006</v>
      </c>
      <c r="L61" s="272">
        <v>0</v>
      </c>
      <c r="M61" s="272"/>
      <c r="N61" s="266">
        <v>194.12562500000001</v>
      </c>
    </row>
    <row r="62" spans="1:14">
      <c r="A62" s="3" t="str">
        <f>IF(AND(NOT(ISBLANK(E62)),E62&lt;&gt;"(blank)"),IFERROR(IF(INDEX(HostBuild[],MATCH(E62,HostBuild[Alias],0),COLUMN(HostBuild[Hostname]))&lt;&gt;0,INDEX(HostBuild[],MATCH(E62,HostBuild[Alias],0),COLUMN(HostBuild[Hostname])),""),""),"")</f>
        <v/>
      </c>
      <c r="B62" s="424" t="str">
        <f>IF(AND(NOT(ISBLANK(E62)),E62&lt;&gt;"(blank)"),IFERROR(IF(INDEX(HostBuild[],MATCH(E62,HostBuild[Alias],0),COLUMN(HostBuild[Status]))&lt;&gt;0,INDEX(HostBuild[],MATCH(E62,HostBuild[Alias],0),COLUMN(HostBuild[Status])),""),""),"")</f>
        <v/>
      </c>
      <c r="C62" s="425" t="str">
        <f>IF(AND(NOT(ISBLANK(E62)),E62&lt;&gt;"(blank)"),IFERROR(IF(INDEX(HostBuild[],MATCH(E62,HostBuild[Alias],0),COLUMN(HostBuild[CTI Target Completion]))&lt;&gt;0,INDEX(HostBuild[],MATCH(E62,HostBuild[Alias],0),COLUMN(HostBuild[CTI Target Completion])),""),""),"")</f>
        <v/>
      </c>
      <c r="D62" s="262" t="str">
        <f>IF(AND(NOT(ISBLANK(E62)),E62&lt;&gt;"(blank)"),IFERROR(IF(INDEX(HostBuild[],MATCH(E62,HostBuild[Alias],0),COLUMN(HostBuild[Description]))&lt;&gt;0,INDEX(HostBuild[],MATCH(E62,HostBuild[Alias],0),COLUMN(HostBuild[Description])),""),""),"")</f>
        <v>ESB [V5,V6], CMR, SNF - EMS</v>
      </c>
      <c r="E62" s="281" t="s">
        <v>4136</v>
      </c>
      <c r="F62" s="270"/>
      <c r="G62" s="387">
        <v>0</v>
      </c>
      <c r="H62" s="272">
        <v>0</v>
      </c>
      <c r="I62" s="272">
        <v>0</v>
      </c>
      <c r="J62" s="272">
        <v>0</v>
      </c>
      <c r="K62" s="272">
        <v>0</v>
      </c>
      <c r="L62" s="272">
        <v>0</v>
      </c>
      <c r="M62" s="272"/>
      <c r="N62" s="266">
        <v>0</v>
      </c>
    </row>
    <row r="63" spans="1:14">
      <c r="A63" s="3" t="str">
        <f>IF(AND(NOT(ISBLANK(E63)),E63&lt;&gt;"(blank)"),IFERROR(IF(INDEX(HostBuild[],MATCH(E63,HostBuild[Alias],0),COLUMN(HostBuild[Hostname]))&lt;&gt;0,INDEX(HostBuild[],MATCH(E63,HostBuild[Alias],0),COLUMN(HostBuild[Hostname])),""),""),"")</f>
        <v/>
      </c>
      <c r="B63" s="424" t="str">
        <f>IF(AND(NOT(ISBLANK(E63)),E63&lt;&gt;"(blank)"),IFERROR(IF(INDEX(HostBuild[],MATCH(E63,HostBuild[Alias],0),COLUMN(HostBuild[Status]))&lt;&gt;0,INDEX(HostBuild[],MATCH(E63,HostBuild[Alias],0),COLUMN(HostBuild[Status])),""),""),"")</f>
        <v/>
      </c>
      <c r="C63" s="425" t="str">
        <f>IF(AND(NOT(ISBLANK(E63)),E63&lt;&gt;"(blank)"),IFERROR(IF(INDEX(HostBuild[],MATCH(E63,HostBuild[Alias],0),COLUMN(HostBuild[CTI Target Completion]))&lt;&gt;0,INDEX(HostBuild[],MATCH(E63,HostBuild[Alias],0),COLUMN(HostBuild[CTI Target Completion])),""),""),"")</f>
        <v/>
      </c>
      <c r="D63" s="262" t="str">
        <f>IF(AND(NOT(ISBLANK(E63)),E63&lt;&gt;"(blank)"),IFERROR(IF(INDEX(HostBuild[],MATCH(E63,HostBuild[Alias],0),COLUMN(HostBuild[Description]))&lt;&gt;0,INDEX(HostBuild[],MATCH(E63,HostBuild[Alias],0),COLUMN(HostBuild[Description])),""),""),"")</f>
        <v>ESB [V5,V6], CMR, SNF - EMS</v>
      </c>
      <c r="E63" s="281" t="s">
        <v>4002</v>
      </c>
      <c r="F63" s="270"/>
      <c r="G63" s="387">
        <v>0</v>
      </c>
      <c r="H63" s="272">
        <v>0</v>
      </c>
      <c r="I63" s="272">
        <v>0</v>
      </c>
      <c r="J63" s="272">
        <v>67.400000000000006</v>
      </c>
      <c r="K63" s="272">
        <v>67.400000000000006</v>
      </c>
      <c r="L63" s="272">
        <v>0</v>
      </c>
      <c r="M63" s="272"/>
      <c r="N63" s="266">
        <v>78.900125000000003</v>
      </c>
    </row>
    <row r="64" spans="1:14">
      <c r="A64" s="3" t="str">
        <f>IF(AND(NOT(ISBLANK(E64)),E64&lt;&gt;"(blank)"),IFERROR(IF(INDEX(HostBuild[],MATCH(E64,HostBuild[Alias],0),COLUMN(HostBuild[Hostname]))&lt;&gt;0,INDEX(HostBuild[],MATCH(E64,HostBuild[Alias],0),COLUMN(HostBuild[Hostname])),""),""),"")</f>
        <v/>
      </c>
      <c r="B64" s="424" t="str">
        <f>IF(AND(NOT(ISBLANK(E64)),E64&lt;&gt;"(blank)"),IFERROR(IF(INDEX(HostBuild[],MATCH(E64,HostBuild[Alias],0),COLUMN(HostBuild[Status]))&lt;&gt;0,INDEX(HostBuild[],MATCH(E64,HostBuild[Alias],0),COLUMN(HostBuild[Status])),""),""),"")</f>
        <v/>
      </c>
      <c r="C64" s="425" t="str">
        <f>IF(AND(NOT(ISBLANK(E64)),E64&lt;&gt;"(blank)"),IFERROR(IF(INDEX(HostBuild[],MATCH(E64,HostBuild[Alias],0),COLUMN(HostBuild[CTI Target Completion]))&lt;&gt;0,INDEX(HostBuild[],MATCH(E64,HostBuild[Alias],0),COLUMN(HostBuild[CTI Target Completion])),""),""),"")</f>
        <v/>
      </c>
      <c r="D64" s="262" t="str">
        <f>IF(AND(NOT(ISBLANK(E64)),E64&lt;&gt;"(blank)"),IFERROR(IF(INDEX(HostBuild[],MATCH(E64,HostBuild[Alias],0),COLUMN(HostBuild[Description]))&lt;&gt;0,INDEX(HostBuild[],MATCH(E64,HostBuild[Alias],0),COLUMN(HostBuild[Description])),""),""),"")</f>
        <v>ESB [V5,V6], CMR, SNF - EMS</v>
      </c>
      <c r="E64" s="281" t="s">
        <v>4137</v>
      </c>
      <c r="F64" s="270"/>
      <c r="G64" s="387">
        <v>0</v>
      </c>
      <c r="H64" s="272">
        <v>0</v>
      </c>
      <c r="I64" s="272">
        <v>0</v>
      </c>
      <c r="J64" s="272">
        <v>0</v>
      </c>
      <c r="K64" s="272">
        <v>0</v>
      </c>
      <c r="L64" s="272">
        <v>0</v>
      </c>
      <c r="M64" s="272"/>
      <c r="N64" s="266">
        <v>0</v>
      </c>
    </row>
    <row r="65" spans="1:14">
      <c r="A65" s="3" t="str">
        <f>IF(AND(NOT(ISBLANK(E65)),E65&lt;&gt;"(blank)"),IFERROR(IF(INDEX(HostBuild[],MATCH(E65,HostBuild[Alias],0),COLUMN(HostBuild[Hostname]))&lt;&gt;0,INDEX(HostBuild[],MATCH(E65,HostBuild[Alias],0),COLUMN(HostBuild[Hostname])),""),""),"")</f>
        <v/>
      </c>
      <c r="B65" s="424" t="str">
        <f>IF(AND(NOT(ISBLANK(E65)),E65&lt;&gt;"(blank)"),IFERROR(IF(INDEX(HostBuild[],MATCH(E65,HostBuild[Alias],0),COLUMN(HostBuild[Status]))&lt;&gt;0,INDEX(HostBuild[],MATCH(E65,HostBuild[Alias],0),COLUMN(HostBuild[Status])),""),""),"")</f>
        <v/>
      </c>
      <c r="C65" s="425" t="str">
        <f>IF(AND(NOT(ISBLANK(E65)),E65&lt;&gt;"(blank)"),IFERROR(IF(INDEX(HostBuild[],MATCH(E65,HostBuild[Alias],0),COLUMN(HostBuild[CTI Target Completion]))&lt;&gt;0,INDEX(HostBuild[],MATCH(E65,HostBuild[Alias],0),COLUMN(HostBuild[CTI Target Completion])),""),""),"")</f>
        <v/>
      </c>
      <c r="D65" s="262" t="str">
        <f>IF(AND(NOT(ISBLANK(E65)),E65&lt;&gt;"(blank)"),IFERROR(IF(INDEX(HostBuild[],MATCH(E65,HostBuild[Alias],0),COLUMN(HostBuild[Description]))&lt;&gt;0,INDEX(HostBuild[],MATCH(E65,HostBuild[Alias],0),COLUMN(HostBuild[Description])),""),""),"")</f>
        <v>ESB [V5,V6], CMR, SNF - EMS</v>
      </c>
      <c r="E65" s="281" t="s">
        <v>4003</v>
      </c>
      <c r="F65" s="270"/>
      <c r="G65" s="387">
        <v>0</v>
      </c>
      <c r="H65" s="272">
        <v>0</v>
      </c>
      <c r="I65" s="272">
        <v>0</v>
      </c>
      <c r="J65" s="272">
        <v>67.400000000000006</v>
      </c>
      <c r="K65" s="272">
        <v>67.400000000000006</v>
      </c>
      <c r="L65" s="272">
        <v>0</v>
      </c>
      <c r="M65" s="272"/>
      <c r="N65" s="266">
        <v>194.12562500000001</v>
      </c>
    </row>
    <row r="66" spans="1:14">
      <c r="A66" s="3" t="str">
        <f>IF(AND(NOT(ISBLANK(E66)),E66&lt;&gt;"(blank)"),IFERROR(IF(INDEX(HostBuild[],MATCH(E66,HostBuild[Alias],0),COLUMN(HostBuild[Hostname]))&lt;&gt;0,INDEX(HostBuild[],MATCH(E66,HostBuild[Alias],0),COLUMN(HostBuild[Hostname])),""),""),"")</f>
        <v/>
      </c>
      <c r="B66" s="424" t="str">
        <f>IF(AND(NOT(ISBLANK(E66)),E66&lt;&gt;"(blank)"),IFERROR(IF(INDEX(HostBuild[],MATCH(E66,HostBuild[Alias],0),COLUMN(HostBuild[Status]))&lt;&gt;0,INDEX(HostBuild[],MATCH(E66,HostBuild[Alias],0),COLUMN(HostBuild[Status])),""),""),"")</f>
        <v/>
      </c>
      <c r="C66" s="425" t="str">
        <f>IF(AND(NOT(ISBLANK(E66)),E66&lt;&gt;"(blank)"),IFERROR(IF(INDEX(HostBuild[],MATCH(E66,HostBuild[Alias],0),COLUMN(HostBuild[CTI Target Completion]))&lt;&gt;0,INDEX(HostBuild[],MATCH(E66,HostBuild[Alias],0),COLUMN(HostBuild[CTI Target Completion])),""),""),"")</f>
        <v/>
      </c>
      <c r="D66" s="262" t="str">
        <f>IF(AND(NOT(ISBLANK(E66)),E66&lt;&gt;"(blank)"),IFERROR(IF(INDEX(HostBuild[],MATCH(E66,HostBuild[Alias],0),COLUMN(HostBuild[Description]))&lt;&gt;0,INDEX(HostBuild[],MATCH(E66,HostBuild[Alias],0),COLUMN(HostBuild[Description])),""),""),"")</f>
        <v>ESB [V5,V6], CMR, SNF - EMS</v>
      </c>
      <c r="E66" s="281" t="s">
        <v>4138</v>
      </c>
      <c r="F66" s="270"/>
      <c r="G66" s="387">
        <v>0</v>
      </c>
      <c r="H66" s="272">
        <v>0</v>
      </c>
      <c r="I66" s="272">
        <v>0</v>
      </c>
      <c r="J66" s="272">
        <v>0</v>
      </c>
      <c r="K66" s="272">
        <v>0</v>
      </c>
      <c r="L66" s="272">
        <v>0</v>
      </c>
      <c r="M66" s="272"/>
      <c r="N66" s="266">
        <v>0</v>
      </c>
    </row>
    <row r="67" spans="1:14">
      <c r="A67" s="3" t="str">
        <f>IF(AND(NOT(ISBLANK(E67)),E67&lt;&gt;"(blank)"),IFERROR(IF(INDEX(HostBuild[],MATCH(E67,HostBuild[Alias],0),COLUMN(HostBuild[Hostname]))&lt;&gt;0,INDEX(HostBuild[],MATCH(E67,HostBuild[Alias],0),COLUMN(HostBuild[Hostname])),""),""),"")</f>
        <v/>
      </c>
      <c r="B67" s="424" t="str">
        <f>IF(AND(NOT(ISBLANK(E67)),E67&lt;&gt;"(blank)"),IFERROR(IF(INDEX(HostBuild[],MATCH(E67,HostBuild[Alias],0),COLUMN(HostBuild[Status]))&lt;&gt;0,INDEX(HostBuild[],MATCH(E67,HostBuild[Alias],0),COLUMN(HostBuild[Status])),""),""),"")</f>
        <v/>
      </c>
      <c r="C67" s="425" t="str">
        <f>IF(AND(NOT(ISBLANK(E67)),E67&lt;&gt;"(blank)"),IFERROR(IF(INDEX(HostBuild[],MATCH(E67,HostBuild[Alias],0),COLUMN(HostBuild[CTI Target Completion]))&lt;&gt;0,INDEX(HostBuild[],MATCH(E67,HostBuild[Alias],0),COLUMN(HostBuild[CTI Target Completion])),""),""),"")</f>
        <v/>
      </c>
      <c r="D67" s="262" t="str">
        <f>IF(AND(NOT(ISBLANK(E67)),E67&lt;&gt;"(blank)"),IFERROR(IF(INDEX(HostBuild[],MATCH(E67,HostBuild[Alias],0),COLUMN(HostBuild[Description]))&lt;&gt;0,INDEX(HostBuild[],MATCH(E67,HostBuild[Alias],0),COLUMN(HostBuild[Description])),""),""),"")</f>
        <v>ESB [V5,V6], CMR, SNF - EMS</v>
      </c>
      <c r="E67" s="281" t="s">
        <v>4004</v>
      </c>
      <c r="F67" s="270"/>
      <c r="G67" s="387">
        <v>0</v>
      </c>
      <c r="H67" s="272">
        <v>0</v>
      </c>
      <c r="I67" s="272">
        <v>0</v>
      </c>
      <c r="J67" s="272">
        <v>67.400000000000006</v>
      </c>
      <c r="K67" s="272">
        <v>67.400000000000006</v>
      </c>
      <c r="L67" s="272">
        <v>0</v>
      </c>
      <c r="M67" s="272"/>
      <c r="N67" s="266">
        <v>78.900125000000003</v>
      </c>
    </row>
    <row r="68" spans="1:14">
      <c r="A68" s="3" t="str">
        <f>IF(AND(NOT(ISBLANK(E68)),E68&lt;&gt;"(blank)"),IFERROR(IF(INDEX(HostBuild[],MATCH(E68,HostBuild[Alias],0),COLUMN(HostBuild[Hostname]))&lt;&gt;0,INDEX(HostBuild[],MATCH(E68,HostBuild[Alias],0),COLUMN(HostBuild[Hostname])),""),""),"")</f>
        <v/>
      </c>
      <c r="B68" s="424" t="str">
        <f>IF(AND(NOT(ISBLANK(E68)),E68&lt;&gt;"(blank)"),IFERROR(IF(INDEX(HostBuild[],MATCH(E68,HostBuild[Alias],0),COLUMN(HostBuild[Status]))&lt;&gt;0,INDEX(HostBuild[],MATCH(E68,HostBuild[Alias],0),COLUMN(HostBuild[Status])),""),""),"")</f>
        <v/>
      </c>
      <c r="C68" s="425" t="str">
        <f>IF(AND(NOT(ISBLANK(E68)),E68&lt;&gt;"(blank)"),IFERROR(IF(INDEX(HostBuild[],MATCH(E68,HostBuild[Alias],0),COLUMN(HostBuild[CTI Target Completion]))&lt;&gt;0,INDEX(HostBuild[],MATCH(E68,HostBuild[Alias],0),COLUMN(HostBuild[CTI Target Completion])),""),""),"")</f>
        <v/>
      </c>
      <c r="D68" s="262" t="str">
        <f>IF(AND(NOT(ISBLANK(E68)),E68&lt;&gt;"(blank)"),IFERROR(IF(INDEX(HostBuild[],MATCH(E68,HostBuild[Alias],0),COLUMN(HostBuild[Description]))&lt;&gt;0,INDEX(HostBuild[],MATCH(E68,HostBuild[Alias],0),COLUMN(HostBuild[Description])),""),""),"")</f>
        <v>Oracle HACMP  - Tibco, RMAN</v>
      </c>
      <c r="E68" s="281" t="s">
        <v>3981</v>
      </c>
      <c r="F68" s="270"/>
      <c r="G68" s="387">
        <v>0</v>
      </c>
      <c r="H68" s="272">
        <v>0</v>
      </c>
      <c r="I68" s="272">
        <v>0</v>
      </c>
      <c r="J68" s="272">
        <v>101.10000000000001</v>
      </c>
      <c r="K68" s="272">
        <v>101.10000000000001</v>
      </c>
      <c r="L68" s="272">
        <v>0</v>
      </c>
      <c r="M68" s="272"/>
      <c r="N68" s="266">
        <v>292.19468750000004</v>
      </c>
    </row>
    <row r="69" spans="1:14">
      <c r="A69" s="3" t="str">
        <f>IF(AND(NOT(ISBLANK(E69)),E69&lt;&gt;"(blank)"),IFERROR(IF(INDEX(HostBuild[],MATCH(E69,HostBuild[Alias],0),COLUMN(HostBuild[Hostname]))&lt;&gt;0,INDEX(HostBuild[],MATCH(E69,HostBuild[Alias],0),COLUMN(HostBuild[Hostname])),""),""),"")</f>
        <v/>
      </c>
      <c r="B69" s="424" t="str">
        <f>IF(AND(NOT(ISBLANK(E69)),E69&lt;&gt;"(blank)"),IFERROR(IF(INDEX(HostBuild[],MATCH(E69,HostBuild[Alias],0),COLUMN(HostBuild[Status]))&lt;&gt;0,INDEX(HostBuild[],MATCH(E69,HostBuild[Alias],0),COLUMN(HostBuild[Status])),""),""),"")</f>
        <v/>
      </c>
      <c r="C69" s="425" t="str">
        <f>IF(AND(NOT(ISBLANK(E69)),E69&lt;&gt;"(blank)"),IFERROR(IF(INDEX(HostBuild[],MATCH(E69,HostBuild[Alias],0),COLUMN(HostBuild[CTI Target Completion]))&lt;&gt;0,INDEX(HostBuild[],MATCH(E69,HostBuild[Alias],0),COLUMN(HostBuild[CTI Target Completion])),""),""),"")</f>
        <v/>
      </c>
      <c r="D69" s="262" t="str">
        <f>IF(AND(NOT(ISBLANK(E69)),E69&lt;&gt;"(blank)"),IFERROR(IF(INDEX(HostBuild[],MATCH(E69,HostBuild[Alias],0),COLUMN(HostBuild[Description]))&lt;&gt;0,INDEX(HostBuild[],MATCH(E69,HostBuild[Alias],0),COLUMN(HostBuild[Description])),""),""),"")</f>
        <v>Oracle HACMP - Tibco, RMAN</v>
      </c>
      <c r="E69" s="281" t="s">
        <v>3982</v>
      </c>
      <c r="F69" s="270"/>
      <c r="G69" s="387">
        <v>0</v>
      </c>
      <c r="H69" s="272">
        <v>0</v>
      </c>
      <c r="I69" s="272">
        <v>0</v>
      </c>
      <c r="J69" s="272">
        <v>0</v>
      </c>
      <c r="K69" s="272">
        <v>0</v>
      </c>
      <c r="L69" s="272">
        <v>0</v>
      </c>
      <c r="M69" s="272"/>
      <c r="N69" s="266">
        <v>0</v>
      </c>
    </row>
    <row r="70" spans="1:14">
      <c r="A70" s="3" t="str">
        <f>IF(AND(NOT(ISBLANK(E70)),E70&lt;&gt;"(blank)"),IFERROR(IF(INDEX(HostBuild[],MATCH(E70,HostBuild[Alias],0),COLUMN(HostBuild[Hostname]))&lt;&gt;0,INDEX(HostBuild[],MATCH(E70,HostBuild[Alias],0),COLUMN(HostBuild[Hostname])),""),""),"")</f>
        <v/>
      </c>
      <c r="B70" s="424" t="str">
        <f>IF(AND(NOT(ISBLANK(E70)),E70&lt;&gt;"(blank)"),IFERROR(IF(INDEX(HostBuild[],MATCH(E70,HostBuild[Alias],0),COLUMN(HostBuild[Status]))&lt;&gt;0,INDEX(HostBuild[],MATCH(E70,HostBuild[Alias],0),COLUMN(HostBuild[Status])),""),""),"")</f>
        <v/>
      </c>
      <c r="C70" s="425" t="str">
        <f>IF(AND(NOT(ISBLANK(E70)),E70&lt;&gt;"(blank)"),IFERROR(IF(INDEX(HostBuild[],MATCH(E70,HostBuild[Alias],0),COLUMN(HostBuild[CTI Target Completion]))&lt;&gt;0,INDEX(HostBuild[],MATCH(E70,HostBuild[Alias],0),COLUMN(HostBuild[CTI Target Completion])),""),""),"")</f>
        <v/>
      </c>
      <c r="D70" s="262" t="str">
        <f>IF(AND(NOT(ISBLANK(E70)),E70&lt;&gt;"(blank)"),IFERROR(IF(INDEX(HostBuild[],MATCH(E70,HostBuild[Alias],0),COLUMN(HostBuild[Description]))&lt;&gt;0,INDEX(HostBuild[],MATCH(E70,HostBuild[Alias],0),COLUMN(HostBuild[Description])),""),""),"")</f>
        <v xml:space="preserve">ESB\CI\CP\COPS\SNF\CMR-EMS </v>
      </c>
      <c r="E70" s="281" t="s">
        <v>4124</v>
      </c>
      <c r="F70" s="270"/>
      <c r="G70" s="387">
        <v>0</v>
      </c>
      <c r="H70" s="272">
        <v>0</v>
      </c>
      <c r="I70" s="272">
        <v>0</v>
      </c>
      <c r="J70" s="272">
        <v>269.60000000000002</v>
      </c>
      <c r="K70" s="272">
        <v>269.60000000000002</v>
      </c>
      <c r="L70" s="272">
        <v>0</v>
      </c>
      <c r="M70" s="272"/>
      <c r="N70" s="266">
        <v>335.54849999999999</v>
      </c>
    </row>
    <row r="71" spans="1:14">
      <c r="A71" s="3" t="str">
        <f>IF(AND(NOT(ISBLANK(E71)),E71&lt;&gt;"(blank)"),IFERROR(IF(INDEX(HostBuild[],MATCH(E71,HostBuild[Alias],0),COLUMN(HostBuild[Hostname]))&lt;&gt;0,INDEX(HostBuild[],MATCH(E71,HostBuild[Alias],0),COLUMN(HostBuild[Hostname])),""),""),"")</f>
        <v/>
      </c>
      <c r="B71" s="424" t="str">
        <f>IF(AND(NOT(ISBLANK(E71)),E71&lt;&gt;"(blank)"),IFERROR(IF(INDEX(HostBuild[],MATCH(E71,HostBuild[Alias],0),COLUMN(HostBuild[Status]))&lt;&gt;0,INDEX(HostBuild[],MATCH(E71,HostBuild[Alias],0),COLUMN(HostBuild[Status])),""),""),"")</f>
        <v/>
      </c>
      <c r="C71" s="425" t="str">
        <f>IF(AND(NOT(ISBLANK(E71)),E71&lt;&gt;"(blank)"),IFERROR(IF(INDEX(HostBuild[],MATCH(E71,HostBuild[Alias],0),COLUMN(HostBuild[CTI Target Completion]))&lt;&gt;0,INDEX(HostBuild[],MATCH(E71,HostBuild[Alias],0),COLUMN(HostBuild[CTI Target Completion])),""),""),"")</f>
        <v/>
      </c>
      <c r="D71" s="262" t="str">
        <f>IF(AND(NOT(ISBLANK(E71)),E71&lt;&gt;"(blank)"),IFERROR(IF(INDEX(HostBuild[],MATCH(E71,HostBuild[Alias],0),COLUMN(HostBuild[Description]))&lt;&gt;0,INDEX(HostBuild[],MATCH(E71,HostBuild[Alias],0),COLUMN(HostBuild[Description])),""),""),"")</f>
        <v>ESB/CMR</v>
      </c>
      <c r="E71" s="281" t="s">
        <v>4125</v>
      </c>
      <c r="F71" s="270"/>
      <c r="G71" s="387">
        <v>0</v>
      </c>
      <c r="H71" s="272">
        <v>0</v>
      </c>
      <c r="I71" s="272">
        <v>0</v>
      </c>
      <c r="J71" s="272">
        <v>269.60000000000002</v>
      </c>
      <c r="K71" s="272">
        <v>269.60000000000002</v>
      </c>
      <c r="L71" s="272">
        <v>0</v>
      </c>
      <c r="M71" s="272"/>
      <c r="N71" s="266">
        <v>335.54849999999999</v>
      </c>
    </row>
    <row r="72" spans="1:14">
      <c r="A72" s="3" t="str">
        <f>IF(AND(NOT(ISBLANK(E72)),E72&lt;&gt;"(blank)"),IFERROR(IF(INDEX(HostBuild[],MATCH(E72,HostBuild[Alias],0),COLUMN(HostBuild[Hostname]))&lt;&gt;0,INDEX(HostBuild[],MATCH(E72,HostBuild[Alias],0),COLUMN(HostBuild[Hostname])),""),""),"")</f>
        <v/>
      </c>
      <c r="B72" s="424" t="str">
        <f>IF(AND(NOT(ISBLANK(E72)),E72&lt;&gt;"(blank)"),IFERROR(IF(INDEX(HostBuild[],MATCH(E72,HostBuild[Alias],0),COLUMN(HostBuild[Status]))&lt;&gt;0,INDEX(HostBuild[],MATCH(E72,HostBuild[Alias],0),COLUMN(HostBuild[Status])),""),""),"")</f>
        <v/>
      </c>
      <c r="C72" s="425" t="str">
        <f>IF(AND(NOT(ISBLANK(E72)),E72&lt;&gt;"(blank)"),IFERROR(IF(INDEX(HostBuild[],MATCH(E72,HostBuild[Alias],0),COLUMN(HostBuild[CTI Target Completion]))&lt;&gt;0,INDEX(HostBuild[],MATCH(E72,HostBuild[Alias],0),COLUMN(HostBuild[CTI Target Completion])),""),""),"")</f>
        <v/>
      </c>
      <c r="D72" s="262" t="str">
        <f>IF(AND(NOT(ISBLANK(E72)),E72&lt;&gt;"(blank)"),IFERROR(IF(INDEX(HostBuild[],MATCH(E72,HostBuild[Alias],0),COLUMN(HostBuild[Description]))&lt;&gt;0,INDEX(HostBuild[],MATCH(E72,HostBuild[Alias],0),COLUMN(HostBuild[Description])),""),""),"")</f>
        <v>CitiAlert Server</v>
      </c>
      <c r="E72" s="281" t="s">
        <v>4042</v>
      </c>
      <c r="F72" s="270"/>
      <c r="G72" s="387">
        <v>1</v>
      </c>
      <c r="H72" s="272">
        <v>1</v>
      </c>
      <c r="I72" s="272">
        <v>48</v>
      </c>
      <c r="J72" s="272">
        <v>707.7</v>
      </c>
      <c r="K72" s="272">
        <v>707.7</v>
      </c>
      <c r="L72" s="272">
        <v>0</v>
      </c>
      <c r="M72" s="272"/>
      <c r="N72" s="266">
        <v>2360.7523124999998</v>
      </c>
    </row>
    <row r="73" spans="1:14">
      <c r="A73" s="3" t="str">
        <f>IF(AND(NOT(ISBLANK(E73)),E73&lt;&gt;"(blank)"),IFERROR(IF(INDEX(HostBuild[],MATCH(E73,HostBuild[Alias],0),COLUMN(HostBuild[Hostname]))&lt;&gt;0,INDEX(HostBuild[],MATCH(E73,HostBuild[Alias],0),COLUMN(HostBuild[Hostname])),""),""),"")</f>
        <v/>
      </c>
      <c r="B73" s="424" t="str">
        <f>IF(AND(NOT(ISBLANK(E73)),E73&lt;&gt;"(blank)"),IFERROR(IF(INDEX(HostBuild[],MATCH(E73,HostBuild[Alias],0),COLUMN(HostBuild[Status]))&lt;&gt;0,INDEX(HostBuild[],MATCH(E73,HostBuild[Alias],0),COLUMN(HostBuild[Status])),""),""),"")</f>
        <v/>
      </c>
      <c r="C73" s="425" t="str">
        <f>IF(AND(NOT(ISBLANK(E73)),E73&lt;&gt;"(blank)"),IFERROR(IF(INDEX(HostBuild[],MATCH(E73,HostBuild[Alias],0),COLUMN(HostBuild[CTI Target Completion]))&lt;&gt;0,INDEX(HostBuild[],MATCH(E73,HostBuild[Alias],0),COLUMN(HostBuild[CTI Target Completion])),""),""),"")</f>
        <v/>
      </c>
      <c r="D73" s="262" t="str">
        <f>IF(AND(NOT(ISBLANK(E73)),E73&lt;&gt;"(blank)"),IFERROR(IF(INDEX(HostBuild[],MATCH(E73,HostBuild[Alias],0),COLUMN(HostBuild[Description]))&lt;&gt;0,INDEX(HostBuild[],MATCH(E73,HostBuild[Alias],0),COLUMN(HostBuild[Description])),""),""),"")</f>
        <v>CitiAlert Server</v>
      </c>
      <c r="E73" s="281" t="s">
        <v>4043</v>
      </c>
      <c r="F73" s="270"/>
      <c r="G73" s="387">
        <v>1</v>
      </c>
      <c r="H73" s="272">
        <v>1</v>
      </c>
      <c r="I73" s="272">
        <v>48</v>
      </c>
      <c r="J73" s="272">
        <v>101.10000000000001</v>
      </c>
      <c r="K73" s="272">
        <v>101.10000000000001</v>
      </c>
      <c r="L73" s="272">
        <v>0</v>
      </c>
      <c r="M73" s="272"/>
      <c r="N73" s="266">
        <v>1359.7681874999998</v>
      </c>
    </row>
    <row r="74" spans="1:14">
      <c r="A74" s="3" t="str">
        <f>IF(AND(NOT(ISBLANK(E74)),E74&lt;&gt;"(blank)"),IFERROR(IF(INDEX(HostBuild[],MATCH(E74,HostBuild[Alias],0),COLUMN(HostBuild[Hostname]))&lt;&gt;0,INDEX(HostBuild[],MATCH(E74,HostBuild[Alias],0),COLUMN(HostBuild[Hostname])),""),""),"")</f>
        <v/>
      </c>
      <c r="B74" s="424" t="str">
        <f>IF(AND(NOT(ISBLANK(E74)),E74&lt;&gt;"(blank)"),IFERROR(IF(INDEX(HostBuild[],MATCH(E74,HostBuild[Alias],0),COLUMN(HostBuild[Status]))&lt;&gt;0,INDEX(HostBuild[],MATCH(E74,HostBuild[Alias],0),COLUMN(HostBuild[Status])),""),""),"")</f>
        <v/>
      </c>
      <c r="C74" s="425" t="str">
        <f>IF(AND(NOT(ISBLANK(E74)),E74&lt;&gt;"(blank)"),IFERROR(IF(INDEX(HostBuild[],MATCH(E74,HostBuild[Alias],0),COLUMN(HostBuild[CTI Target Completion]))&lt;&gt;0,INDEX(HostBuild[],MATCH(E74,HostBuild[Alias],0),COLUMN(HostBuild[CTI Target Completion])),""),""),"")</f>
        <v/>
      </c>
      <c r="D74" s="262" t="str">
        <f>IF(AND(NOT(ISBLANK(E74)),E74&lt;&gt;"(blank)"),IFERROR(IF(INDEX(HostBuild[],MATCH(E74,HostBuild[Alias],0),COLUMN(HostBuild[Description]))&lt;&gt;0,INDEX(HostBuild[],MATCH(E74,HostBuild[Alias],0),COLUMN(HostBuild[Description])),""),""),"")</f>
        <v>ESB-Digital -BW</v>
      </c>
      <c r="E74" s="281" t="s">
        <v>3963</v>
      </c>
      <c r="F74" s="270"/>
      <c r="G74" s="387">
        <v>2</v>
      </c>
      <c r="H74" s="272">
        <v>0</v>
      </c>
      <c r="I74" s="272">
        <v>256</v>
      </c>
      <c r="J74" s="272">
        <v>0</v>
      </c>
      <c r="K74" s="272">
        <v>0</v>
      </c>
      <c r="L74" s="272">
        <v>0</v>
      </c>
      <c r="M74" s="272"/>
      <c r="N74" s="266">
        <v>1003.9</v>
      </c>
    </row>
    <row r="75" spans="1:14">
      <c r="A75" s="3" t="str">
        <f>IF(AND(NOT(ISBLANK(E75)),E75&lt;&gt;"(blank)"),IFERROR(IF(INDEX(HostBuild[],MATCH(E75,HostBuild[Alias],0),COLUMN(HostBuild[Hostname]))&lt;&gt;0,INDEX(HostBuild[],MATCH(E75,HostBuild[Alias],0),COLUMN(HostBuild[Hostname])),""),""),"")</f>
        <v/>
      </c>
      <c r="B75" s="424" t="str">
        <f>IF(AND(NOT(ISBLANK(E75)),E75&lt;&gt;"(blank)"),IFERROR(IF(INDEX(HostBuild[],MATCH(E75,HostBuild[Alias],0),COLUMN(HostBuild[Status]))&lt;&gt;0,INDEX(HostBuild[],MATCH(E75,HostBuild[Alias],0),COLUMN(HostBuild[Status])),""),""),"")</f>
        <v/>
      </c>
      <c r="C75" s="425" t="str">
        <f>IF(AND(NOT(ISBLANK(E75)),E75&lt;&gt;"(blank)"),IFERROR(IF(INDEX(HostBuild[],MATCH(E75,HostBuild[Alias],0),COLUMN(HostBuild[CTI Target Completion]))&lt;&gt;0,INDEX(HostBuild[],MATCH(E75,HostBuild[Alias],0),COLUMN(HostBuild[CTI Target Completion])),""),""),"")</f>
        <v/>
      </c>
      <c r="D75" s="262" t="str">
        <f>IF(AND(NOT(ISBLANK(E75)),E75&lt;&gt;"(blank)"),IFERROR(IF(INDEX(HostBuild[],MATCH(E75,HostBuild[Alias],0),COLUMN(HostBuild[Description]))&lt;&gt;0,INDEX(HostBuild[],MATCH(E75,HostBuild[Alias],0),COLUMN(HostBuild[Description])),""),""),"")</f>
        <v>ESB-Digital -BW</v>
      </c>
      <c r="E75" s="281" t="s">
        <v>3972</v>
      </c>
      <c r="F75" s="270"/>
      <c r="G75" s="387">
        <v>2</v>
      </c>
      <c r="H75" s="272">
        <v>0</v>
      </c>
      <c r="I75" s="272">
        <v>256</v>
      </c>
      <c r="J75" s="272">
        <v>0</v>
      </c>
      <c r="K75" s="272">
        <v>0</v>
      </c>
      <c r="L75" s="272">
        <v>0</v>
      </c>
      <c r="M75" s="272"/>
      <c r="N75" s="266">
        <v>1003.9</v>
      </c>
    </row>
    <row r="76" spans="1:14">
      <c r="A76" s="3" t="str">
        <f>IF(AND(NOT(ISBLANK(E76)),E76&lt;&gt;"(blank)"),IFERROR(IF(INDEX(HostBuild[],MATCH(E76,HostBuild[Alias],0),COLUMN(HostBuild[Hostname]))&lt;&gt;0,INDEX(HostBuild[],MATCH(E76,HostBuild[Alias],0),COLUMN(HostBuild[Hostname])),""),""),"")</f>
        <v/>
      </c>
      <c r="B76" s="424" t="str">
        <f>IF(AND(NOT(ISBLANK(E76)),E76&lt;&gt;"(blank)"),IFERROR(IF(INDEX(HostBuild[],MATCH(E76,HostBuild[Alias],0),COLUMN(HostBuild[Status]))&lt;&gt;0,INDEX(HostBuild[],MATCH(E76,HostBuild[Alias],0),COLUMN(HostBuild[Status])),""),""),"")</f>
        <v/>
      </c>
      <c r="C76" s="425" t="str">
        <f>IF(AND(NOT(ISBLANK(E76)),E76&lt;&gt;"(blank)"),IFERROR(IF(INDEX(HostBuild[],MATCH(E76,HostBuild[Alias],0),COLUMN(HostBuild[CTI Target Completion]))&lt;&gt;0,INDEX(HostBuild[],MATCH(E76,HostBuild[Alias],0),COLUMN(HostBuild[CTI Target Completion])),""),""),"")</f>
        <v/>
      </c>
      <c r="D76" s="262" t="str">
        <f>IF(AND(NOT(ISBLANK(E76)),E76&lt;&gt;"(blank)"),IFERROR(IF(INDEX(HostBuild[],MATCH(E76,HostBuild[Alias],0),COLUMN(HostBuild[Description]))&lt;&gt;0,INDEX(HostBuild[],MATCH(E76,HostBuild[Alias],0),COLUMN(HostBuild[Description])),""),""),"")</f>
        <v>ESB-Digital -BW</v>
      </c>
      <c r="E76" s="281" t="s">
        <v>3973</v>
      </c>
      <c r="F76" s="270"/>
      <c r="G76" s="387">
        <v>2</v>
      </c>
      <c r="H76" s="272">
        <v>0</v>
      </c>
      <c r="I76" s="272">
        <v>256</v>
      </c>
      <c r="J76" s="272">
        <v>0</v>
      </c>
      <c r="K76" s="272">
        <v>0</v>
      </c>
      <c r="L76" s="272">
        <v>0</v>
      </c>
      <c r="M76" s="272"/>
      <c r="N76" s="266">
        <v>1003.9</v>
      </c>
    </row>
    <row r="77" spans="1:14">
      <c r="A77" s="3" t="str">
        <f>IF(AND(NOT(ISBLANK(E77)),E77&lt;&gt;"(blank)"),IFERROR(IF(INDEX(HostBuild[],MATCH(E77,HostBuild[Alias],0),COLUMN(HostBuild[Hostname]))&lt;&gt;0,INDEX(HostBuild[],MATCH(E77,HostBuild[Alias],0),COLUMN(HostBuild[Hostname])),""),""),"")</f>
        <v/>
      </c>
      <c r="B77" s="424" t="str">
        <f>IF(AND(NOT(ISBLANK(E77)),E77&lt;&gt;"(blank)"),IFERROR(IF(INDEX(HostBuild[],MATCH(E77,HostBuild[Alias],0),COLUMN(HostBuild[Status]))&lt;&gt;0,INDEX(HostBuild[],MATCH(E77,HostBuild[Alias],0),COLUMN(HostBuild[Status])),""),""),"")</f>
        <v/>
      </c>
      <c r="C77" s="425" t="str">
        <f>IF(AND(NOT(ISBLANK(E77)),E77&lt;&gt;"(blank)"),IFERROR(IF(INDEX(HostBuild[],MATCH(E77,HostBuild[Alias],0),COLUMN(HostBuild[CTI Target Completion]))&lt;&gt;0,INDEX(HostBuild[],MATCH(E77,HostBuild[Alias],0),COLUMN(HostBuild[CTI Target Completion])),""),""),"")</f>
        <v/>
      </c>
      <c r="D77" s="262" t="str">
        <f>IF(AND(NOT(ISBLANK(E77)),E77&lt;&gt;"(blank)"),IFERROR(IF(INDEX(HostBuild[],MATCH(E77,HostBuild[Alias],0),COLUMN(HostBuild[Description]))&lt;&gt;0,INDEX(HostBuild[],MATCH(E77,HostBuild[Alias],0),COLUMN(HostBuild[Description])),""),""),"")</f>
        <v>ESB-Digital -BW</v>
      </c>
      <c r="E77" s="281" t="s">
        <v>3974</v>
      </c>
      <c r="F77" s="270"/>
      <c r="G77" s="387">
        <v>2</v>
      </c>
      <c r="H77" s="272">
        <v>0</v>
      </c>
      <c r="I77" s="272">
        <v>256</v>
      </c>
      <c r="J77" s="272">
        <v>0</v>
      </c>
      <c r="K77" s="272">
        <v>0</v>
      </c>
      <c r="L77" s="272">
        <v>0</v>
      </c>
      <c r="M77" s="272"/>
      <c r="N77" s="266">
        <v>1003.9</v>
      </c>
    </row>
    <row r="78" spans="1:14">
      <c r="A78" s="3" t="str">
        <f>IF(AND(NOT(ISBLANK(E78)),E78&lt;&gt;"(blank)"),IFERROR(IF(INDEX(HostBuild[],MATCH(E78,HostBuild[Alias],0),COLUMN(HostBuild[Hostname]))&lt;&gt;0,INDEX(HostBuild[],MATCH(E78,HostBuild[Alias],0),COLUMN(HostBuild[Hostname])),""),""),"")</f>
        <v/>
      </c>
      <c r="B78" s="424" t="str">
        <f>IF(AND(NOT(ISBLANK(E78)),E78&lt;&gt;"(blank)"),IFERROR(IF(INDEX(HostBuild[],MATCH(E78,HostBuild[Alias],0),COLUMN(HostBuild[Status]))&lt;&gt;0,INDEX(HostBuild[],MATCH(E78,HostBuild[Alias],0),COLUMN(HostBuild[Status])),""),""),"")</f>
        <v/>
      </c>
      <c r="C78" s="425" t="str">
        <f>IF(AND(NOT(ISBLANK(E78)),E78&lt;&gt;"(blank)"),IFERROR(IF(INDEX(HostBuild[],MATCH(E78,HostBuild[Alias],0),COLUMN(HostBuild[CTI Target Completion]))&lt;&gt;0,INDEX(HostBuild[],MATCH(E78,HostBuild[Alias],0),COLUMN(HostBuild[CTI Target Completion])),""),""),"")</f>
        <v/>
      </c>
      <c r="D78" s="262" t="str">
        <f>IF(AND(NOT(ISBLANK(E78)),E78&lt;&gt;"(blank)"),IFERROR(IF(INDEX(HostBuild[],MATCH(E78,HostBuild[Alias],0),COLUMN(HostBuild[Description]))&lt;&gt;0,INDEX(HostBuild[],MATCH(E78,HostBuild[Alias],0),COLUMN(HostBuild[Description])),""),""),"")</f>
        <v>ESB-Digital -BW</v>
      </c>
      <c r="E78" s="281" t="s">
        <v>3964</v>
      </c>
      <c r="F78" s="270"/>
      <c r="G78" s="387">
        <v>2</v>
      </c>
      <c r="H78" s="272">
        <v>0</v>
      </c>
      <c r="I78" s="272">
        <v>256</v>
      </c>
      <c r="J78" s="272">
        <v>0</v>
      </c>
      <c r="K78" s="272">
        <v>0</v>
      </c>
      <c r="L78" s="272">
        <v>0</v>
      </c>
      <c r="M78" s="272"/>
      <c r="N78" s="266">
        <v>1003.9</v>
      </c>
    </row>
    <row r="79" spans="1:14">
      <c r="A79" s="3" t="str">
        <f>IF(AND(NOT(ISBLANK(E79)),E79&lt;&gt;"(blank)"),IFERROR(IF(INDEX(HostBuild[],MATCH(E79,HostBuild[Alias],0),COLUMN(HostBuild[Hostname]))&lt;&gt;0,INDEX(HostBuild[],MATCH(E79,HostBuild[Alias],0),COLUMN(HostBuild[Hostname])),""),""),"")</f>
        <v/>
      </c>
      <c r="B79" s="424" t="str">
        <f>IF(AND(NOT(ISBLANK(E79)),E79&lt;&gt;"(blank)"),IFERROR(IF(INDEX(HostBuild[],MATCH(E79,HostBuild[Alias],0),COLUMN(HostBuild[Status]))&lt;&gt;0,INDEX(HostBuild[],MATCH(E79,HostBuild[Alias],0),COLUMN(HostBuild[Status])),""),""),"")</f>
        <v/>
      </c>
      <c r="C79" s="425" t="str">
        <f>IF(AND(NOT(ISBLANK(E79)),E79&lt;&gt;"(blank)"),IFERROR(IF(INDEX(HostBuild[],MATCH(E79,HostBuild[Alias],0),COLUMN(HostBuild[CTI Target Completion]))&lt;&gt;0,INDEX(HostBuild[],MATCH(E79,HostBuild[Alias],0),COLUMN(HostBuild[CTI Target Completion])),""),""),"")</f>
        <v/>
      </c>
      <c r="D79" s="262" t="str">
        <f>IF(AND(NOT(ISBLANK(E79)),E79&lt;&gt;"(blank)"),IFERROR(IF(INDEX(HostBuild[],MATCH(E79,HostBuild[Alias],0),COLUMN(HostBuild[Description]))&lt;&gt;0,INDEX(HostBuild[],MATCH(E79,HostBuild[Alias],0),COLUMN(HostBuild[Description])),""),""),"")</f>
        <v>ESB-Digital -BW</v>
      </c>
      <c r="E79" s="281" t="s">
        <v>3965</v>
      </c>
      <c r="F79" s="270"/>
      <c r="G79" s="387">
        <v>2</v>
      </c>
      <c r="H79" s="272">
        <v>0</v>
      </c>
      <c r="I79" s="272">
        <v>256</v>
      </c>
      <c r="J79" s="272">
        <v>0</v>
      </c>
      <c r="K79" s="272">
        <v>0</v>
      </c>
      <c r="L79" s="272">
        <v>0</v>
      </c>
      <c r="M79" s="272"/>
      <c r="N79" s="266">
        <v>1003.9</v>
      </c>
    </row>
    <row r="80" spans="1:14">
      <c r="A80" s="3" t="str">
        <f>IF(AND(NOT(ISBLANK(E80)),E80&lt;&gt;"(blank)"),IFERROR(IF(INDEX(HostBuild[],MATCH(E80,HostBuild[Alias],0),COLUMN(HostBuild[Hostname]))&lt;&gt;0,INDEX(HostBuild[],MATCH(E80,HostBuild[Alias],0),COLUMN(HostBuild[Hostname])),""),""),"")</f>
        <v/>
      </c>
      <c r="B80" s="424" t="str">
        <f>IF(AND(NOT(ISBLANK(E80)),E80&lt;&gt;"(blank)"),IFERROR(IF(INDEX(HostBuild[],MATCH(E80,HostBuild[Alias],0),COLUMN(HostBuild[Status]))&lt;&gt;0,INDEX(HostBuild[],MATCH(E80,HostBuild[Alias],0),COLUMN(HostBuild[Status])),""),""),"")</f>
        <v/>
      </c>
      <c r="C80" s="425" t="str">
        <f>IF(AND(NOT(ISBLANK(E80)),E80&lt;&gt;"(blank)"),IFERROR(IF(INDEX(HostBuild[],MATCH(E80,HostBuild[Alias],0),COLUMN(HostBuild[CTI Target Completion]))&lt;&gt;0,INDEX(HostBuild[],MATCH(E80,HostBuild[Alias],0),COLUMN(HostBuild[CTI Target Completion])),""),""),"")</f>
        <v/>
      </c>
      <c r="D80" s="262" t="str">
        <f>IF(AND(NOT(ISBLANK(E80)),E80&lt;&gt;"(blank)"),IFERROR(IF(INDEX(HostBuild[],MATCH(E80,HostBuild[Alias],0),COLUMN(HostBuild[Description]))&lt;&gt;0,INDEX(HostBuild[],MATCH(E80,HostBuild[Alias],0),COLUMN(HostBuild[Description])),""),""),"")</f>
        <v>ESB-Digital -BW</v>
      </c>
      <c r="E80" s="281" t="s">
        <v>3966</v>
      </c>
      <c r="F80" s="270"/>
      <c r="G80" s="387">
        <v>2</v>
      </c>
      <c r="H80" s="272">
        <v>0</v>
      </c>
      <c r="I80" s="272">
        <v>256</v>
      </c>
      <c r="J80" s="272">
        <v>0</v>
      </c>
      <c r="K80" s="272">
        <v>0</v>
      </c>
      <c r="L80" s="272">
        <v>0</v>
      </c>
      <c r="M80" s="272"/>
      <c r="N80" s="266">
        <v>1003.9</v>
      </c>
    </row>
    <row r="81" spans="1:14">
      <c r="A81" s="3" t="str">
        <f>IF(AND(NOT(ISBLANK(E81)),E81&lt;&gt;"(blank)"),IFERROR(IF(INDEX(HostBuild[],MATCH(E81,HostBuild[Alias],0),COLUMN(HostBuild[Hostname]))&lt;&gt;0,INDEX(HostBuild[],MATCH(E81,HostBuild[Alias],0),COLUMN(HostBuild[Hostname])),""),""),"")</f>
        <v/>
      </c>
      <c r="B81" s="424" t="str">
        <f>IF(AND(NOT(ISBLANK(E81)),E81&lt;&gt;"(blank)"),IFERROR(IF(INDEX(HostBuild[],MATCH(E81,HostBuild[Alias],0),COLUMN(HostBuild[Status]))&lt;&gt;0,INDEX(HostBuild[],MATCH(E81,HostBuild[Alias],0),COLUMN(HostBuild[Status])),""),""),"")</f>
        <v/>
      </c>
      <c r="C81" s="425" t="str">
        <f>IF(AND(NOT(ISBLANK(E81)),E81&lt;&gt;"(blank)"),IFERROR(IF(INDEX(HostBuild[],MATCH(E81,HostBuild[Alias],0),COLUMN(HostBuild[CTI Target Completion]))&lt;&gt;0,INDEX(HostBuild[],MATCH(E81,HostBuild[Alias],0),COLUMN(HostBuild[CTI Target Completion])),""),""),"")</f>
        <v/>
      </c>
      <c r="D81" s="262" t="str">
        <f>IF(AND(NOT(ISBLANK(E81)),E81&lt;&gt;"(blank)"),IFERROR(IF(INDEX(HostBuild[],MATCH(E81,HostBuild[Alias],0),COLUMN(HostBuild[Description]))&lt;&gt;0,INDEX(HostBuild[],MATCH(E81,HostBuild[Alias],0),COLUMN(HostBuild[Description])),""),""),"")</f>
        <v>ESB-Digital -BW</v>
      </c>
      <c r="E81" s="281" t="s">
        <v>3967</v>
      </c>
      <c r="F81" s="270"/>
      <c r="G81" s="387">
        <v>2</v>
      </c>
      <c r="H81" s="272">
        <v>0</v>
      </c>
      <c r="I81" s="272">
        <v>256</v>
      </c>
      <c r="J81" s="272">
        <v>0</v>
      </c>
      <c r="K81" s="272">
        <v>0</v>
      </c>
      <c r="L81" s="272">
        <v>0</v>
      </c>
      <c r="M81" s="272"/>
      <c r="N81" s="266">
        <v>1003.9</v>
      </c>
    </row>
    <row r="82" spans="1:14">
      <c r="A82" s="3" t="str">
        <f>IF(AND(NOT(ISBLANK(E82)),E82&lt;&gt;"(blank)"),IFERROR(IF(INDEX(HostBuild[],MATCH(E82,HostBuild[Alias],0),COLUMN(HostBuild[Hostname]))&lt;&gt;0,INDEX(HostBuild[],MATCH(E82,HostBuild[Alias],0),COLUMN(HostBuild[Hostname])),""),""),"")</f>
        <v/>
      </c>
      <c r="B82" s="424" t="str">
        <f>IF(AND(NOT(ISBLANK(E82)),E82&lt;&gt;"(blank)"),IFERROR(IF(INDEX(HostBuild[],MATCH(E82,HostBuild[Alias],0),COLUMN(HostBuild[Status]))&lt;&gt;0,INDEX(HostBuild[],MATCH(E82,HostBuild[Alias],0),COLUMN(HostBuild[Status])),""),""),"")</f>
        <v/>
      </c>
      <c r="C82" s="425" t="str">
        <f>IF(AND(NOT(ISBLANK(E82)),E82&lt;&gt;"(blank)"),IFERROR(IF(INDEX(HostBuild[],MATCH(E82,HostBuild[Alias],0),COLUMN(HostBuild[CTI Target Completion]))&lt;&gt;0,INDEX(HostBuild[],MATCH(E82,HostBuild[Alias],0),COLUMN(HostBuild[CTI Target Completion])),""),""),"")</f>
        <v/>
      </c>
      <c r="D82" s="262" t="str">
        <f>IF(AND(NOT(ISBLANK(E82)),E82&lt;&gt;"(blank)"),IFERROR(IF(INDEX(HostBuild[],MATCH(E82,HostBuild[Alias],0),COLUMN(HostBuild[Description]))&lt;&gt;0,INDEX(HostBuild[],MATCH(E82,HostBuild[Alias],0),COLUMN(HostBuild[Description])),""),""),"")</f>
        <v>ESB-Digital -BW</v>
      </c>
      <c r="E82" s="281" t="s">
        <v>3968</v>
      </c>
      <c r="F82" s="270"/>
      <c r="G82" s="387">
        <v>2</v>
      </c>
      <c r="H82" s="272">
        <v>0</v>
      </c>
      <c r="I82" s="272">
        <v>256</v>
      </c>
      <c r="J82" s="272">
        <v>0</v>
      </c>
      <c r="K82" s="272">
        <v>0</v>
      </c>
      <c r="L82" s="272">
        <v>0</v>
      </c>
      <c r="M82" s="272"/>
      <c r="N82" s="266">
        <v>1003.9</v>
      </c>
    </row>
    <row r="83" spans="1:14">
      <c r="A83" s="3" t="str">
        <f>IF(AND(NOT(ISBLANK(E83)),E83&lt;&gt;"(blank)"),IFERROR(IF(INDEX(HostBuild[],MATCH(E83,HostBuild[Alias],0),COLUMN(HostBuild[Hostname]))&lt;&gt;0,INDEX(HostBuild[],MATCH(E83,HostBuild[Alias],0),COLUMN(HostBuild[Hostname])),""),""),"")</f>
        <v/>
      </c>
      <c r="B83" s="424" t="str">
        <f>IF(AND(NOT(ISBLANK(E83)),E83&lt;&gt;"(blank)"),IFERROR(IF(INDEX(HostBuild[],MATCH(E83,HostBuild[Alias],0),COLUMN(HostBuild[Status]))&lt;&gt;0,INDEX(HostBuild[],MATCH(E83,HostBuild[Alias],0),COLUMN(HostBuild[Status])),""),""),"")</f>
        <v/>
      </c>
      <c r="C83" s="425" t="str">
        <f>IF(AND(NOT(ISBLANK(E83)),E83&lt;&gt;"(blank)"),IFERROR(IF(INDEX(HostBuild[],MATCH(E83,HostBuild[Alias],0),COLUMN(HostBuild[CTI Target Completion]))&lt;&gt;0,INDEX(HostBuild[],MATCH(E83,HostBuild[Alias],0),COLUMN(HostBuild[CTI Target Completion])),""),""),"")</f>
        <v/>
      </c>
      <c r="D83" s="262" t="str">
        <f>IF(AND(NOT(ISBLANK(E83)),E83&lt;&gt;"(blank)"),IFERROR(IF(INDEX(HostBuild[],MATCH(E83,HostBuild[Alias],0),COLUMN(HostBuild[Description]))&lt;&gt;0,INDEX(HostBuild[],MATCH(E83,HostBuild[Alias],0),COLUMN(HostBuild[Description])),""),""),"")</f>
        <v>ESB-Digital -BW</v>
      </c>
      <c r="E83" s="281" t="s">
        <v>3969</v>
      </c>
      <c r="F83" s="270"/>
      <c r="G83" s="387">
        <v>2</v>
      </c>
      <c r="H83" s="272">
        <v>0</v>
      </c>
      <c r="I83" s="272">
        <v>256</v>
      </c>
      <c r="J83" s="272">
        <v>0</v>
      </c>
      <c r="K83" s="272">
        <v>0</v>
      </c>
      <c r="L83" s="272">
        <v>0</v>
      </c>
      <c r="M83" s="272"/>
      <c r="N83" s="266">
        <v>1003.9</v>
      </c>
    </row>
    <row r="84" spans="1:14">
      <c r="A84" s="3" t="str">
        <f>IF(AND(NOT(ISBLANK(E84)),E84&lt;&gt;"(blank)"),IFERROR(IF(INDEX(HostBuild[],MATCH(E84,HostBuild[Alias],0),COLUMN(HostBuild[Hostname]))&lt;&gt;0,INDEX(HostBuild[],MATCH(E84,HostBuild[Alias],0),COLUMN(HostBuild[Hostname])),""),""),"")</f>
        <v/>
      </c>
      <c r="B84" s="424" t="str">
        <f>IF(AND(NOT(ISBLANK(E84)),E84&lt;&gt;"(blank)"),IFERROR(IF(INDEX(HostBuild[],MATCH(E84,HostBuild[Alias],0),COLUMN(HostBuild[Status]))&lt;&gt;0,INDEX(HostBuild[],MATCH(E84,HostBuild[Alias],0),COLUMN(HostBuild[Status])),""),""),"")</f>
        <v/>
      </c>
      <c r="C84" s="425" t="str">
        <f>IF(AND(NOT(ISBLANK(E84)),E84&lt;&gt;"(blank)"),IFERROR(IF(INDEX(HostBuild[],MATCH(E84,HostBuild[Alias],0),COLUMN(HostBuild[CTI Target Completion]))&lt;&gt;0,INDEX(HostBuild[],MATCH(E84,HostBuild[Alias],0),COLUMN(HostBuild[CTI Target Completion])),""),""),"")</f>
        <v/>
      </c>
      <c r="D84" s="262" t="str">
        <f>IF(AND(NOT(ISBLANK(E84)),E84&lt;&gt;"(blank)"),IFERROR(IF(INDEX(HostBuild[],MATCH(E84,HostBuild[Alias],0),COLUMN(HostBuild[Description]))&lt;&gt;0,INDEX(HostBuild[],MATCH(E84,HostBuild[Alias],0),COLUMN(HostBuild[Description])),""),""),"")</f>
        <v>ESB-Digital -BW</v>
      </c>
      <c r="E84" s="281" t="s">
        <v>3970</v>
      </c>
      <c r="F84" s="270"/>
      <c r="G84" s="387">
        <v>2</v>
      </c>
      <c r="H84" s="272">
        <v>0</v>
      </c>
      <c r="I84" s="272">
        <v>256</v>
      </c>
      <c r="J84" s="272">
        <v>0</v>
      </c>
      <c r="K84" s="272">
        <v>0</v>
      </c>
      <c r="L84" s="272">
        <v>0</v>
      </c>
      <c r="M84" s="272"/>
      <c r="N84" s="266">
        <v>1003.9</v>
      </c>
    </row>
    <row r="85" spans="1:14">
      <c r="A85" s="3" t="str">
        <f>IF(AND(NOT(ISBLANK(E85)),E85&lt;&gt;"(blank)"),IFERROR(IF(INDEX(HostBuild[],MATCH(E85,HostBuild[Alias],0),COLUMN(HostBuild[Hostname]))&lt;&gt;0,INDEX(HostBuild[],MATCH(E85,HostBuild[Alias],0),COLUMN(HostBuild[Hostname])),""),""),"")</f>
        <v/>
      </c>
      <c r="B85" s="424" t="str">
        <f>IF(AND(NOT(ISBLANK(E85)),E85&lt;&gt;"(blank)"),IFERROR(IF(INDEX(HostBuild[],MATCH(E85,HostBuild[Alias],0),COLUMN(HostBuild[Status]))&lt;&gt;0,INDEX(HostBuild[],MATCH(E85,HostBuild[Alias],0),COLUMN(HostBuild[Status])),""),""),"")</f>
        <v/>
      </c>
      <c r="C85" s="425" t="str">
        <f>IF(AND(NOT(ISBLANK(E85)),E85&lt;&gt;"(blank)"),IFERROR(IF(INDEX(HostBuild[],MATCH(E85,HostBuild[Alias],0),COLUMN(HostBuild[CTI Target Completion]))&lt;&gt;0,INDEX(HostBuild[],MATCH(E85,HostBuild[Alias],0),COLUMN(HostBuild[CTI Target Completion])),""),""),"")</f>
        <v/>
      </c>
      <c r="D85" s="262" t="str">
        <f>IF(AND(NOT(ISBLANK(E85)),E85&lt;&gt;"(blank)"),IFERROR(IF(INDEX(HostBuild[],MATCH(E85,HostBuild[Alias],0),COLUMN(HostBuild[Description]))&lt;&gt;0,INDEX(HostBuild[],MATCH(E85,HostBuild[Alias],0),COLUMN(HostBuild[Description])),""),""),"")</f>
        <v>ESB-Digital -BW</v>
      </c>
      <c r="E85" s="281" t="s">
        <v>3971</v>
      </c>
      <c r="F85" s="270"/>
      <c r="G85" s="387">
        <v>2</v>
      </c>
      <c r="H85" s="272">
        <v>0</v>
      </c>
      <c r="I85" s="272">
        <v>256</v>
      </c>
      <c r="J85" s="272">
        <v>0</v>
      </c>
      <c r="K85" s="272">
        <v>0</v>
      </c>
      <c r="L85" s="272">
        <v>0</v>
      </c>
      <c r="M85" s="272"/>
      <c r="N85" s="266">
        <v>1003.9</v>
      </c>
    </row>
    <row r="86" spans="1:14">
      <c r="A86" s="3" t="str">
        <f>IF(AND(NOT(ISBLANK(E86)),E86&lt;&gt;"(blank)"),IFERROR(IF(INDEX(HostBuild[],MATCH(E86,HostBuild[Alias],0),COLUMN(HostBuild[Hostname]))&lt;&gt;0,INDEX(HostBuild[],MATCH(E86,HostBuild[Alias],0),COLUMN(HostBuild[Hostname])),""),""),"")</f>
        <v/>
      </c>
      <c r="B86" s="424" t="str">
        <f>IF(AND(NOT(ISBLANK(E86)),E86&lt;&gt;"(blank)"),IFERROR(IF(INDEX(HostBuild[],MATCH(E86,HostBuild[Alias],0),COLUMN(HostBuild[Status]))&lt;&gt;0,INDEX(HostBuild[],MATCH(E86,HostBuild[Alias],0),COLUMN(HostBuild[Status])),""),""),"")</f>
        <v/>
      </c>
      <c r="C86" s="425" t="str">
        <f>IF(AND(NOT(ISBLANK(E86)),E86&lt;&gt;"(blank)"),IFERROR(IF(INDEX(HostBuild[],MATCH(E86,HostBuild[Alias],0),COLUMN(HostBuild[CTI Target Completion]))&lt;&gt;0,INDEX(HostBuild[],MATCH(E86,HostBuild[Alias],0),COLUMN(HostBuild[CTI Target Completion])),""),""),"")</f>
        <v/>
      </c>
      <c r="D86" s="262" t="str">
        <f>IF(AND(NOT(ISBLANK(E86)),E86&lt;&gt;"(blank)"),IFERROR(IF(INDEX(HostBuild[],MATCH(E86,HostBuild[Alias],0),COLUMN(HostBuild[Description]))&lt;&gt;0,INDEX(HostBuild[],MATCH(E86,HostBuild[Alias],0),COLUMN(HostBuild[Description])),""),""),"")</f>
        <v>ESB-Digital - EMS</v>
      </c>
      <c r="E86" s="281" t="s">
        <v>3959</v>
      </c>
      <c r="F86" s="270"/>
      <c r="G86" s="387">
        <v>2</v>
      </c>
      <c r="H86" s="272">
        <v>0</v>
      </c>
      <c r="I86" s="272">
        <v>256</v>
      </c>
      <c r="J86" s="272">
        <v>0</v>
      </c>
      <c r="K86" s="272">
        <v>0</v>
      </c>
      <c r="L86" s="272">
        <v>0</v>
      </c>
      <c r="M86" s="272"/>
      <c r="N86" s="266">
        <v>1003.9</v>
      </c>
    </row>
    <row r="87" spans="1:14">
      <c r="A87" s="3" t="str">
        <f>IF(AND(NOT(ISBLANK(E87)),E87&lt;&gt;"(blank)"),IFERROR(IF(INDEX(HostBuild[],MATCH(E87,HostBuild[Alias],0),COLUMN(HostBuild[Hostname]))&lt;&gt;0,INDEX(HostBuild[],MATCH(E87,HostBuild[Alias],0),COLUMN(HostBuild[Hostname])),""),""),"")</f>
        <v/>
      </c>
      <c r="B87" s="424" t="str">
        <f>IF(AND(NOT(ISBLANK(E87)),E87&lt;&gt;"(blank)"),IFERROR(IF(INDEX(HostBuild[],MATCH(E87,HostBuild[Alias],0),COLUMN(HostBuild[Status]))&lt;&gt;0,INDEX(HostBuild[],MATCH(E87,HostBuild[Alias],0),COLUMN(HostBuild[Status])),""),""),"")</f>
        <v/>
      </c>
      <c r="C87" s="425" t="str">
        <f>IF(AND(NOT(ISBLANK(E87)),E87&lt;&gt;"(blank)"),IFERROR(IF(INDEX(HostBuild[],MATCH(E87,HostBuild[Alias],0),COLUMN(HostBuild[CTI Target Completion]))&lt;&gt;0,INDEX(HostBuild[],MATCH(E87,HostBuild[Alias],0),COLUMN(HostBuild[CTI Target Completion])),""),""),"")</f>
        <v/>
      </c>
      <c r="D87" s="262" t="str">
        <f>IF(AND(NOT(ISBLANK(E87)),E87&lt;&gt;"(blank)"),IFERROR(IF(INDEX(HostBuild[],MATCH(E87,HostBuild[Alias],0),COLUMN(HostBuild[Description]))&lt;&gt;0,INDEX(HostBuild[],MATCH(E87,HostBuild[Alias],0),COLUMN(HostBuild[Description])),""),""),"")</f>
        <v>ESB-Digital - EMS</v>
      </c>
      <c r="E87" s="281" t="s">
        <v>3960</v>
      </c>
      <c r="F87" s="270"/>
      <c r="G87" s="387">
        <v>2</v>
      </c>
      <c r="H87" s="272">
        <v>0</v>
      </c>
      <c r="I87" s="272">
        <v>256</v>
      </c>
      <c r="J87" s="272">
        <v>0</v>
      </c>
      <c r="K87" s="272">
        <v>0</v>
      </c>
      <c r="L87" s="272">
        <v>0</v>
      </c>
      <c r="M87" s="272"/>
      <c r="N87" s="266">
        <v>1003.9</v>
      </c>
    </row>
    <row r="88" spans="1:14">
      <c r="A88" s="3" t="str">
        <f>IF(AND(NOT(ISBLANK(E88)),E88&lt;&gt;"(blank)"),IFERROR(IF(INDEX(HostBuild[],MATCH(E88,HostBuild[Alias],0),COLUMN(HostBuild[Hostname]))&lt;&gt;0,INDEX(HostBuild[],MATCH(E88,HostBuild[Alias],0),COLUMN(HostBuild[Hostname])),""),""),"")</f>
        <v/>
      </c>
      <c r="B88" s="424" t="str">
        <f>IF(AND(NOT(ISBLANK(E88)),E88&lt;&gt;"(blank)"),IFERROR(IF(INDEX(HostBuild[],MATCH(E88,HostBuild[Alias],0),COLUMN(HostBuild[Status]))&lt;&gt;0,INDEX(HostBuild[],MATCH(E88,HostBuild[Alias],0),COLUMN(HostBuild[Status])),""),""),"")</f>
        <v/>
      </c>
      <c r="C88" s="425" t="str">
        <f>IF(AND(NOT(ISBLANK(E88)),E88&lt;&gt;"(blank)"),IFERROR(IF(INDEX(HostBuild[],MATCH(E88,HostBuild[Alias],0),COLUMN(HostBuild[CTI Target Completion]))&lt;&gt;0,INDEX(HostBuild[],MATCH(E88,HostBuild[Alias],0),COLUMN(HostBuild[CTI Target Completion])),""),""),"")</f>
        <v/>
      </c>
      <c r="D88" s="262" t="str">
        <f>IF(AND(NOT(ISBLANK(E88)),E88&lt;&gt;"(blank)"),IFERROR(IF(INDEX(HostBuild[],MATCH(E88,HostBuild[Alias],0),COLUMN(HostBuild[Description]))&lt;&gt;0,INDEX(HostBuild[],MATCH(E88,HostBuild[Alias],0),COLUMN(HostBuild[Description])),""),""),"")</f>
        <v>ESB-Digital - EMS</v>
      </c>
      <c r="E88" s="281" t="s">
        <v>3961</v>
      </c>
      <c r="F88" s="270"/>
      <c r="G88" s="387">
        <v>2</v>
      </c>
      <c r="H88" s="272">
        <v>0</v>
      </c>
      <c r="I88" s="272">
        <v>256</v>
      </c>
      <c r="J88" s="272">
        <v>0</v>
      </c>
      <c r="K88" s="272">
        <v>0</v>
      </c>
      <c r="L88" s="272">
        <v>0</v>
      </c>
      <c r="M88" s="272"/>
      <c r="N88" s="266">
        <v>1003.9</v>
      </c>
    </row>
    <row r="89" spans="1:14">
      <c r="A89" s="3" t="str">
        <f>IF(AND(NOT(ISBLANK(E89)),E89&lt;&gt;"(blank)"),IFERROR(IF(INDEX(HostBuild[],MATCH(E89,HostBuild[Alias],0),COLUMN(HostBuild[Hostname]))&lt;&gt;0,INDEX(HostBuild[],MATCH(E89,HostBuild[Alias],0),COLUMN(HostBuild[Hostname])),""),""),"")</f>
        <v/>
      </c>
      <c r="B89" s="424" t="str">
        <f>IF(AND(NOT(ISBLANK(E89)),E89&lt;&gt;"(blank)"),IFERROR(IF(INDEX(HostBuild[],MATCH(E89,HostBuild[Alias],0),COLUMN(HostBuild[Status]))&lt;&gt;0,INDEX(HostBuild[],MATCH(E89,HostBuild[Alias],0),COLUMN(HostBuild[Status])),""),""),"")</f>
        <v/>
      </c>
      <c r="C89" s="425" t="str">
        <f>IF(AND(NOT(ISBLANK(E89)),E89&lt;&gt;"(blank)"),IFERROR(IF(INDEX(HostBuild[],MATCH(E89,HostBuild[Alias],0),COLUMN(HostBuild[CTI Target Completion]))&lt;&gt;0,INDEX(HostBuild[],MATCH(E89,HostBuild[Alias],0),COLUMN(HostBuild[CTI Target Completion])),""),""),"")</f>
        <v/>
      </c>
      <c r="D89" s="262" t="str">
        <f>IF(AND(NOT(ISBLANK(E89)),E89&lt;&gt;"(blank)"),IFERROR(IF(INDEX(HostBuild[],MATCH(E89,HostBuild[Alias],0),COLUMN(HostBuild[Description]))&lt;&gt;0,INDEX(HostBuild[],MATCH(E89,HostBuild[Alias],0),COLUMN(HostBuild[Description])),""),""),"")</f>
        <v>ESB-Digital - EMS</v>
      </c>
      <c r="E89" s="281" t="s">
        <v>3962</v>
      </c>
      <c r="F89" s="270"/>
      <c r="G89" s="387">
        <v>2</v>
      </c>
      <c r="H89" s="272">
        <v>0</v>
      </c>
      <c r="I89" s="272">
        <v>256</v>
      </c>
      <c r="J89" s="272">
        <v>0</v>
      </c>
      <c r="K89" s="272">
        <v>0</v>
      </c>
      <c r="L89" s="272">
        <v>0</v>
      </c>
      <c r="M89" s="272"/>
      <c r="N89" s="266">
        <v>1003.9</v>
      </c>
    </row>
    <row r="90" spans="1:14">
      <c r="A90" s="3" t="str">
        <f>IF(AND(NOT(ISBLANK(E90)),E90&lt;&gt;"(blank)"),IFERROR(IF(INDEX(HostBuild[],MATCH(E90,HostBuild[Alias],0),COLUMN(HostBuild[Hostname]))&lt;&gt;0,INDEX(HostBuild[],MATCH(E90,HostBuild[Alias],0),COLUMN(HostBuild[Hostname])),""),""),"")</f>
        <v/>
      </c>
      <c r="B90" s="424" t="str">
        <f>IF(AND(NOT(ISBLANK(E90)),E90&lt;&gt;"(blank)"),IFERROR(IF(INDEX(HostBuild[],MATCH(E90,HostBuild[Alias],0),COLUMN(HostBuild[Status]))&lt;&gt;0,INDEX(HostBuild[],MATCH(E90,HostBuild[Alias],0),COLUMN(HostBuild[Status])),""),""),"")</f>
        <v/>
      </c>
      <c r="C90" s="425" t="str">
        <f>IF(AND(NOT(ISBLANK(E90)),E90&lt;&gt;"(blank)"),IFERROR(IF(INDEX(HostBuild[],MATCH(E90,HostBuild[Alias],0),COLUMN(HostBuild[CTI Target Completion]))&lt;&gt;0,INDEX(HostBuild[],MATCH(E90,HostBuild[Alias],0),COLUMN(HostBuild[CTI Target Completion])),""),""),"")</f>
        <v/>
      </c>
      <c r="D90" s="262" t="str">
        <f>IF(AND(NOT(ISBLANK(E90)),E90&lt;&gt;"(blank)"),IFERROR(IF(INDEX(HostBuild[],MATCH(E90,HostBuild[Alias],0),COLUMN(HostBuild[Description]))&lt;&gt;0,INDEX(HostBuild[],MATCH(E90,HostBuild[Alias],0),COLUMN(HostBuild[Description])),""),""),"")</f>
        <v>Dataguard- Oracle RAC-ESB</v>
      </c>
      <c r="E90" s="281" t="s">
        <v>3989</v>
      </c>
      <c r="F90" s="270"/>
      <c r="G90" s="387">
        <v>0</v>
      </c>
      <c r="H90" s="272">
        <v>0</v>
      </c>
      <c r="I90" s="272">
        <v>0</v>
      </c>
      <c r="J90" s="272"/>
      <c r="K90" s="272"/>
      <c r="L90" s="272">
        <v>0</v>
      </c>
      <c r="M90" s="272"/>
      <c r="N90" s="266">
        <v>0</v>
      </c>
    </row>
    <row r="91" spans="1:14">
      <c r="A91" s="3" t="str">
        <f>IF(AND(NOT(ISBLANK(E91)),E91&lt;&gt;"(blank)"),IFERROR(IF(INDEX(HostBuild[],MATCH(E91,HostBuild[Alias],0),COLUMN(HostBuild[Hostname]))&lt;&gt;0,INDEX(HostBuild[],MATCH(E91,HostBuild[Alias],0),COLUMN(HostBuild[Hostname])),""),""),"")</f>
        <v/>
      </c>
      <c r="B91" s="424" t="str">
        <f>IF(AND(NOT(ISBLANK(E91)),E91&lt;&gt;"(blank)"),IFERROR(IF(INDEX(HostBuild[],MATCH(E91,HostBuild[Alias],0),COLUMN(HostBuild[Status]))&lt;&gt;0,INDEX(HostBuild[],MATCH(E91,HostBuild[Alias],0),COLUMN(HostBuild[Status])),""),""),"")</f>
        <v/>
      </c>
      <c r="C91" s="425" t="str">
        <f>IF(AND(NOT(ISBLANK(E91)),E91&lt;&gt;"(blank)"),IFERROR(IF(INDEX(HostBuild[],MATCH(E91,HostBuild[Alias],0),COLUMN(HostBuild[CTI Target Completion]))&lt;&gt;0,INDEX(HostBuild[],MATCH(E91,HostBuild[Alias],0),COLUMN(HostBuild[CTI Target Completion])),""),""),"")</f>
        <v/>
      </c>
      <c r="D91" s="262" t="str">
        <f>IF(AND(NOT(ISBLANK(E91)),E91&lt;&gt;"(blank)"),IFERROR(IF(INDEX(HostBuild[],MATCH(E91,HostBuild[Alias],0),COLUMN(HostBuild[Description]))&lt;&gt;0,INDEX(HostBuild[],MATCH(E91,HostBuild[Alias],0),COLUMN(HostBuild[Description])),""),""),"")</f>
        <v>Dataguard- Oracle RAC-ESB</v>
      </c>
      <c r="E91" s="281" t="s">
        <v>4106</v>
      </c>
      <c r="F91" s="270"/>
      <c r="G91" s="387">
        <v>0</v>
      </c>
      <c r="H91" s="272">
        <v>0</v>
      </c>
      <c r="I91" s="272">
        <v>0</v>
      </c>
      <c r="J91" s="272">
        <v>303.3</v>
      </c>
      <c r="K91" s="272">
        <v>303.3</v>
      </c>
      <c r="L91" s="272">
        <v>0</v>
      </c>
      <c r="M91" s="272"/>
      <c r="N91" s="266">
        <v>167.00456250000002</v>
      </c>
    </row>
    <row r="92" spans="1:14">
      <c r="A92" s="3" t="str">
        <f>IF(AND(NOT(ISBLANK(E92)),E92&lt;&gt;"(blank)"),IFERROR(IF(INDEX(HostBuild[],MATCH(E92,HostBuild[Alias],0),COLUMN(HostBuild[Hostname]))&lt;&gt;0,INDEX(HostBuild[],MATCH(E92,HostBuild[Alias],0),COLUMN(HostBuild[Hostname])),""),""),"")</f>
        <v/>
      </c>
      <c r="B92" s="424" t="str">
        <f>IF(AND(NOT(ISBLANK(E92)),E92&lt;&gt;"(blank)"),IFERROR(IF(INDEX(HostBuild[],MATCH(E92,HostBuild[Alias],0),COLUMN(HostBuild[Status]))&lt;&gt;0,INDEX(HostBuild[],MATCH(E92,HostBuild[Alias],0),COLUMN(HostBuild[Status])),""),""),"")</f>
        <v/>
      </c>
      <c r="C92" s="425" t="str">
        <f>IF(AND(NOT(ISBLANK(E92)),E92&lt;&gt;"(blank)"),IFERROR(IF(INDEX(HostBuild[],MATCH(E92,HostBuild[Alias],0),COLUMN(HostBuild[CTI Target Completion]))&lt;&gt;0,INDEX(HostBuild[],MATCH(E92,HostBuild[Alias],0),COLUMN(HostBuild[CTI Target Completion])),""),""),"")</f>
        <v/>
      </c>
      <c r="D92" s="262" t="str">
        <f>IF(AND(NOT(ISBLANK(E92)),E92&lt;&gt;"(blank)"),IFERROR(IF(INDEX(HostBuild[],MATCH(E92,HostBuild[Alias],0),COLUMN(HostBuild[Description]))&lt;&gt;0,INDEX(HostBuild[],MATCH(E92,HostBuild[Alias],0),COLUMN(HostBuild[Description])),""),""),"")</f>
        <v>ESTMT</v>
      </c>
      <c r="E92" s="281" t="s">
        <v>4070</v>
      </c>
      <c r="F92" s="270"/>
      <c r="G92" s="387">
        <v>1</v>
      </c>
      <c r="H92" s="272">
        <v>1</v>
      </c>
      <c r="I92" s="272">
        <v>16</v>
      </c>
      <c r="J92" s="272">
        <v>67.400000000000006</v>
      </c>
      <c r="K92" s="272">
        <v>67.400000000000006</v>
      </c>
      <c r="L92" s="272">
        <v>0</v>
      </c>
      <c r="M92" s="272"/>
      <c r="N92" s="266">
        <v>866.11212499999999</v>
      </c>
    </row>
    <row r="93" spans="1:14">
      <c r="A93" s="3" t="str">
        <f>IF(AND(NOT(ISBLANK(E93)),E93&lt;&gt;"(blank)"),IFERROR(IF(INDEX(HostBuild[],MATCH(E93,HostBuild[Alias],0),COLUMN(HostBuild[Hostname]))&lt;&gt;0,INDEX(HostBuild[],MATCH(E93,HostBuild[Alias],0),COLUMN(HostBuild[Hostname])),""),""),"")</f>
        <v/>
      </c>
      <c r="B93" s="424" t="str">
        <f>IF(AND(NOT(ISBLANK(E93)),E93&lt;&gt;"(blank)"),IFERROR(IF(INDEX(HostBuild[],MATCH(E93,HostBuild[Alias],0),COLUMN(HostBuild[Status]))&lt;&gt;0,INDEX(HostBuild[],MATCH(E93,HostBuild[Alias],0),COLUMN(HostBuild[Status])),""),""),"")</f>
        <v/>
      </c>
      <c r="C93" s="425" t="str">
        <f>IF(AND(NOT(ISBLANK(E93)),E93&lt;&gt;"(blank)"),IFERROR(IF(INDEX(HostBuild[],MATCH(E93,HostBuild[Alias],0),COLUMN(HostBuild[CTI Target Completion]))&lt;&gt;0,INDEX(HostBuild[],MATCH(E93,HostBuild[Alias],0),COLUMN(HostBuild[CTI Target Completion])),""),""),"")</f>
        <v/>
      </c>
      <c r="D93" s="262" t="str">
        <f>IF(AND(NOT(ISBLANK(E93)),E93&lt;&gt;"(blank)"),IFERROR(IF(INDEX(HostBuild[],MATCH(E93,HostBuild[Alias],0),COLUMN(HostBuild[Description]))&lt;&gt;0,INDEX(HostBuild[],MATCH(E93,HostBuild[Alias],0),COLUMN(HostBuild[Description])),""),""),"")</f>
        <v>MQ</v>
      </c>
      <c r="E93" s="281" t="s">
        <v>4109</v>
      </c>
      <c r="F93" s="270"/>
      <c r="G93" s="387">
        <v>0</v>
      </c>
      <c r="H93" s="272">
        <v>0</v>
      </c>
      <c r="I93" s="272">
        <v>0</v>
      </c>
      <c r="J93" s="272">
        <v>67.400000000000006</v>
      </c>
      <c r="K93" s="272">
        <v>67.400000000000006</v>
      </c>
      <c r="L93" s="272">
        <v>0</v>
      </c>
      <c r="M93" s="272"/>
      <c r="N93" s="266">
        <v>78.900125000000003</v>
      </c>
    </row>
    <row r="94" spans="1:14">
      <c r="A94" s="3" t="str">
        <f>IF(AND(NOT(ISBLANK(E94)),E94&lt;&gt;"(blank)"),IFERROR(IF(INDEX(HostBuild[],MATCH(E94,HostBuild[Alias],0),COLUMN(HostBuild[Hostname]))&lt;&gt;0,INDEX(HostBuild[],MATCH(E94,HostBuild[Alias],0),COLUMN(HostBuild[Hostname])),""),""),"")</f>
        <v/>
      </c>
      <c r="B94" s="424" t="str">
        <f>IF(AND(NOT(ISBLANK(E94)),E94&lt;&gt;"(blank)"),IFERROR(IF(INDEX(HostBuild[],MATCH(E94,HostBuild[Alias],0),COLUMN(HostBuild[Status]))&lt;&gt;0,INDEX(HostBuild[],MATCH(E94,HostBuild[Alias],0),COLUMN(HostBuild[Status])),""),""),"")</f>
        <v/>
      </c>
      <c r="C94" s="425" t="str">
        <f>IF(AND(NOT(ISBLANK(E94)),E94&lt;&gt;"(blank)"),IFERROR(IF(INDEX(HostBuild[],MATCH(E94,HostBuild[Alias],0),COLUMN(HostBuild[CTI Target Completion]))&lt;&gt;0,INDEX(HostBuild[],MATCH(E94,HostBuild[Alias],0),COLUMN(HostBuild[CTI Target Completion])),""),""),"")</f>
        <v/>
      </c>
      <c r="D94" s="262" t="str">
        <f>IF(AND(NOT(ISBLANK(E94)),E94&lt;&gt;"(blank)"),IFERROR(IF(INDEX(HostBuild[],MATCH(E94,HostBuild[Alias],0),COLUMN(HostBuild[Description]))&lt;&gt;0,INDEX(HostBuild[],MATCH(E94,HostBuild[Alias],0),COLUMN(HostBuild[Description])),""),""),"")</f>
        <v>MQ</v>
      </c>
      <c r="E94" s="281" t="s">
        <v>4110</v>
      </c>
      <c r="F94" s="270"/>
      <c r="G94" s="387">
        <v>0</v>
      </c>
      <c r="H94" s="272">
        <v>0</v>
      </c>
      <c r="I94" s="272">
        <v>0</v>
      </c>
      <c r="J94" s="272">
        <v>67.400000000000006</v>
      </c>
      <c r="K94" s="272">
        <v>67.400000000000006</v>
      </c>
      <c r="L94" s="272">
        <v>0</v>
      </c>
      <c r="M94" s="272"/>
      <c r="N94" s="266">
        <v>78.900125000000003</v>
      </c>
    </row>
    <row r="95" spans="1:14">
      <c r="A95" s="3" t="str">
        <f>IF(AND(NOT(ISBLANK(E95)),E95&lt;&gt;"(blank)"),IFERROR(IF(INDEX(HostBuild[],MATCH(E95,HostBuild[Alias],0),COLUMN(HostBuild[Hostname]))&lt;&gt;0,INDEX(HostBuild[],MATCH(E95,HostBuild[Alias],0),COLUMN(HostBuild[Hostname])),""),""),"")</f>
        <v/>
      </c>
      <c r="B95" s="424" t="str">
        <f>IF(AND(NOT(ISBLANK(E95)),E95&lt;&gt;"(blank)"),IFERROR(IF(INDEX(HostBuild[],MATCH(E95,HostBuild[Alias],0),COLUMN(HostBuild[Status]))&lt;&gt;0,INDEX(HostBuild[],MATCH(E95,HostBuild[Alias],0),COLUMN(HostBuild[Status])),""),""),"")</f>
        <v/>
      </c>
      <c r="C95" s="425" t="str">
        <f>IF(AND(NOT(ISBLANK(E95)),E95&lt;&gt;"(blank)"),IFERROR(IF(INDEX(HostBuild[],MATCH(E95,HostBuild[Alias],0),COLUMN(HostBuild[CTI Target Completion]))&lt;&gt;0,INDEX(HostBuild[],MATCH(E95,HostBuild[Alias],0),COLUMN(HostBuild[CTI Target Completion])),""),""),"")</f>
        <v/>
      </c>
      <c r="D95" s="262" t="str">
        <f>IF(AND(NOT(ISBLANK(E95)),E95&lt;&gt;"(blank)"),IFERROR(IF(INDEX(HostBuild[],MATCH(E95,HostBuild[Alias],0),COLUMN(HostBuild[Description]))&lt;&gt;0,INDEX(HostBuild[],MATCH(E95,HostBuild[Alias],0),COLUMN(HostBuild[Description])),""),""),"")</f>
        <v>MQ</v>
      </c>
      <c r="E95" s="281" t="s">
        <v>4111</v>
      </c>
      <c r="F95" s="270"/>
      <c r="G95" s="387">
        <v>0</v>
      </c>
      <c r="H95" s="272">
        <v>0</v>
      </c>
      <c r="I95" s="272">
        <v>0</v>
      </c>
      <c r="J95" s="272">
        <v>67.400000000000006</v>
      </c>
      <c r="K95" s="272">
        <v>67.400000000000006</v>
      </c>
      <c r="L95" s="272">
        <v>0</v>
      </c>
      <c r="M95" s="272"/>
      <c r="N95" s="266">
        <v>78.900125000000003</v>
      </c>
    </row>
    <row r="96" spans="1:14">
      <c r="A96" s="3" t="str">
        <f>IF(AND(NOT(ISBLANK(E96)),E96&lt;&gt;"(blank)"),IFERROR(IF(INDEX(HostBuild[],MATCH(E96,HostBuild[Alias],0),COLUMN(HostBuild[Hostname]))&lt;&gt;0,INDEX(HostBuild[],MATCH(E96,HostBuild[Alias],0),COLUMN(HostBuild[Hostname])),""),""),"")</f>
        <v/>
      </c>
      <c r="B96" s="424" t="str">
        <f>IF(AND(NOT(ISBLANK(E96)),E96&lt;&gt;"(blank)"),IFERROR(IF(INDEX(HostBuild[],MATCH(E96,HostBuild[Alias],0),COLUMN(HostBuild[Status]))&lt;&gt;0,INDEX(HostBuild[],MATCH(E96,HostBuild[Alias],0),COLUMN(HostBuild[Status])),""),""),"")</f>
        <v/>
      </c>
      <c r="C96" s="425" t="str">
        <f>IF(AND(NOT(ISBLANK(E96)),E96&lt;&gt;"(blank)"),IFERROR(IF(INDEX(HostBuild[],MATCH(E96,HostBuild[Alias],0),COLUMN(HostBuild[CTI Target Completion]))&lt;&gt;0,INDEX(HostBuild[],MATCH(E96,HostBuild[Alias],0),COLUMN(HostBuild[CTI Target Completion])),""),""),"")</f>
        <v/>
      </c>
      <c r="D96" s="262" t="str">
        <f>IF(AND(NOT(ISBLANK(E96)),E96&lt;&gt;"(blank)"),IFERROR(IF(INDEX(HostBuild[],MATCH(E96,HostBuild[Alias],0),COLUMN(HostBuild[Description]))&lt;&gt;0,INDEX(HostBuild[],MATCH(E96,HostBuild[Alias],0),COLUMN(HostBuild[Description])),""),""),"")</f>
        <v>MQ</v>
      </c>
      <c r="E96" s="281" t="s">
        <v>4112</v>
      </c>
      <c r="F96" s="270"/>
      <c r="G96" s="387">
        <v>0</v>
      </c>
      <c r="H96" s="272">
        <v>0</v>
      </c>
      <c r="I96" s="272">
        <v>0</v>
      </c>
      <c r="J96" s="272">
        <v>67.400000000000006</v>
      </c>
      <c r="K96" s="272">
        <v>67.400000000000006</v>
      </c>
      <c r="L96" s="272">
        <v>0</v>
      </c>
      <c r="M96" s="272"/>
      <c r="N96" s="266">
        <v>78.900125000000003</v>
      </c>
    </row>
    <row r="97" spans="1:14">
      <c r="A97" s="3" t="str">
        <f>IF(AND(NOT(ISBLANK(E97)),E97&lt;&gt;"(blank)"),IFERROR(IF(INDEX(HostBuild[],MATCH(E97,HostBuild[Alias],0),COLUMN(HostBuild[Hostname]))&lt;&gt;0,INDEX(HostBuild[],MATCH(E97,HostBuild[Alias],0),COLUMN(HostBuild[Hostname])),""),""),"")</f>
        <v/>
      </c>
      <c r="B97" s="424" t="str">
        <f>IF(AND(NOT(ISBLANK(E97)),E97&lt;&gt;"(blank)"),IFERROR(IF(INDEX(HostBuild[],MATCH(E97,HostBuild[Alias],0),COLUMN(HostBuild[Status]))&lt;&gt;0,INDEX(HostBuild[],MATCH(E97,HostBuild[Alias],0),COLUMN(HostBuild[Status])),""),""),"")</f>
        <v/>
      </c>
      <c r="C97" s="425" t="str">
        <f>IF(AND(NOT(ISBLANK(E97)),E97&lt;&gt;"(blank)"),IFERROR(IF(INDEX(HostBuild[],MATCH(E97,HostBuild[Alias],0),COLUMN(HostBuild[CTI Target Completion]))&lt;&gt;0,INDEX(HostBuild[],MATCH(E97,HostBuild[Alias],0),COLUMN(HostBuild[CTI Target Completion])),""),""),"")</f>
        <v/>
      </c>
      <c r="D97" s="262" t="str">
        <f>IF(AND(NOT(ISBLANK(E97)),E97&lt;&gt;"(blank)"),IFERROR(IF(INDEX(HostBuild[],MATCH(E97,HostBuild[Alias],0),COLUMN(HostBuild[Description]))&lt;&gt;0,INDEX(HostBuild[],MATCH(E97,HostBuild[Alias],0),COLUMN(HostBuild[Description])),""),""),"")</f>
        <v>Oracle RAC - ESB</v>
      </c>
      <c r="E97" s="281" t="s">
        <v>3987</v>
      </c>
      <c r="F97" s="270"/>
      <c r="G97" s="387">
        <v>0</v>
      </c>
      <c r="H97" s="272">
        <v>0</v>
      </c>
      <c r="I97" s="272">
        <v>0</v>
      </c>
      <c r="J97" s="272"/>
      <c r="K97" s="272"/>
      <c r="L97" s="272">
        <v>0</v>
      </c>
      <c r="M97" s="272"/>
      <c r="N97" s="266">
        <v>0</v>
      </c>
    </row>
    <row r="98" spans="1:14">
      <c r="A98" s="3" t="str">
        <f>IF(AND(NOT(ISBLANK(E98)),E98&lt;&gt;"(blank)"),IFERROR(IF(INDEX(HostBuild[],MATCH(E98,HostBuild[Alias],0),COLUMN(HostBuild[Hostname]))&lt;&gt;0,INDEX(HostBuild[],MATCH(E98,HostBuild[Alias],0),COLUMN(HostBuild[Hostname])),""),""),"")</f>
        <v/>
      </c>
      <c r="B98" s="424" t="str">
        <f>IF(AND(NOT(ISBLANK(E98)),E98&lt;&gt;"(blank)"),IFERROR(IF(INDEX(HostBuild[],MATCH(E98,HostBuild[Alias],0),COLUMN(HostBuild[Status]))&lt;&gt;0,INDEX(HostBuild[],MATCH(E98,HostBuild[Alias],0),COLUMN(HostBuild[Status])),""),""),"")</f>
        <v/>
      </c>
      <c r="C98" s="425" t="str">
        <f>IF(AND(NOT(ISBLANK(E98)),E98&lt;&gt;"(blank)"),IFERROR(IF(INDEX(HostBuild[],MATCH(E98,HostBuild[Alias],0),COLUMN(HostBuild[CTI Target Completion]))&lt;&gt;0,INDEX(HostBuild[],MATCH(E98,HostBuild[Alias],0),COLUMN(HostBuild[CTI Target Completion])),""),""),"")</f>
        <v/>
      </c>
      <c r="D98" s="262" t="str">
        <f>IF(AND(NOT(ISBLANK(E98)),E98&lt;&gt;"(blank)"),IFERROR(IF(INDEX(HostBuild[],MATCH(E98,HostBuild[Alias],0),COLUMN(HostBuild[Description]))&lt;&gt;0,INDEX(HostBuild[],MATCH(E98,HostBuild[Alias],0),COLUMN(HostBuild[Description])),""),""),"")</f>
        <v>Oracle RAC - ESB</v>
      </c>
      <c r="E98" s="281" t="s">
        <v>4104</v>
      </c>
      <c r="F98" s="270"/>
      <c r="G98" s="387">
        <v>0</v>
      </c>
      <c r="H98" s="272">
        <v>0</v>
      </c>
      <c r="I98" s="272">
        <v>0</v>
      </c>
      <c r="J98" s="272">
        <v>101.10000000000001</v>
      </c>
      <c r="K98" s="272">
        <v>101.10000000000001</v>
      </c>
      <c r="L98" s="272">
        <v>0</v>
      </c>
      <c r="M98" s="272"/>
      <c r="N98" s="266">
        <v>292.19468750000004</v>
      </c>
    </row>
    <row r="99" spans="1:14">
      <c r="A99" s="3" t="str">
        <f>IF(AND(NOT(ISBLANK(E99)),E99&lt;&gt;"(blank)"),IFERROR(IF(INDEX(HostBuild[],MATCH(E99,HostBuild[Alias],0),COLUMN(HostBuild[Hostname]))&lt;&gt;0,INDEX(HostBuild[],MATCH(E99,HostBuild[Alias],0),COLUMN(HostBuild[Hostname])),""),""),"")</f>
        <v/>
      </c>
      <c r="B99" s="424" t="str">
        <f>IF(AND(NOT(ISBLANK(E99)),E99&lt;&gt;"(blank)"),IFERROR(IF(INDEX(HostBuild[],MATCH(E99,HostBuild[Alias],0),COLUMN(HostBuild[Status]))&lt;&gt;0,INDEX(HostBuild[],MATCH(E99,HostBuild[Alias],0),COLUMN(HostBuild[Status])),""),""),"")</f>
        <v/>
      </c>
      <c r="C99" s="425" t="str">
        <f>IF(AND(NOT(ISBLANK(E99)),E99&lt;&gt;"(blank)"),IFERROR(IF(INDEX(HostBuild[],MATCH(E99,HostBuild[Alias],0),COLUMN(HostBuild[CTI Target Completion]))&lt;&gt;0,INDEX(HostBuild[],MATCH(E99,HostBuild[Alias],0),COLUMN(HostBuild[CTI Target Completion])),""),""),"")</f>
        <v/>
      </c>
      <c r="D99" s="262" t="str">
        <f>IF(AND(NOT(ISBLANK(E99)),E99&lt;&gt;"(blank)"),IFERROR(IF(INDEX(HostBuild[],MATCH(E99,HostBuild[Alias],0),COLUMN(HostBuild[Description]))&lt;&gt;0,INDEX(HostBuild[],MATCH(E99,HostBuild[Alias],0),COLUMN(HostBuild[Description])),""),""),"")</f>
        <v>Oracle RAC - ESB</v>
      </c>
      <c r="E99" s="281" t="s">
        <v>3988</v>
      </c>
      <c r="F99" s="270"/>
      <c r="G99" s="387">
        <v>0</v>
      </c>
      <c r="H99" s="272">
        <v>0</v>
      </c>
      <c r="I99" s="272">
        <v>0</v>
      </c>
      <c r="J99" s="272"/>
      <c r="K99" s="272"/>
      <c r="L99" s="272">
        <v>0</v>
      </c>
      <c r="M99" s="272"/>
      <c r="N99" s="266">
        <v>0</v>
      </c>
    </row>
    <row r="100" spans="1:14">
      <c r="A100" s="3" t="str">
        <f>IF(AND(NOT(ISBLANK(E100)),E100&lt;&gt;"(blank)"),IFERROR(IF(INDEX(HostBuild[],MATCH(E100,HostBuild[Alias],0),COLUMN(HostBuild[Hostname]))&lt;&gt;0,INDEX(HostBuild[],MATCH(E100,HostBuild[Alias],0),COLUMN(HostBuild[Hostname])),""),""),"")</f>
        <v/>
      </c>
      <c r="B100" s="424" t="str">
        <f>IF(AND(NOT(ISBLANK(E100)),E100&lt;&gt;"(blank)"),IFERROR(IF(INDEX(HostBuild[],MATCH(E100,HostBuild[Alias],0),COLUMN(HostBuild[Status]))&lt;&gt;0,INDEX(HostBuild[],MATCH(E100,HostBuild[Alias],0),COLUMN(HostBuild[Status])),""),""),"")</f>
        <v/>
      </c>
      <c r="C100" s="425" t="str">
        <f>IF(AND(NOT(ISBLANK(E100)),E100&lt;&gt;"(blank)"),IFERROR(IF(INDEX(HostBuild[],MATCH(E100,HostBuild[Alias],0),COLUMN(HostBuild[CTI Target Completion]))&lt;&gt;0,INDEX(HostBuild[],MATCH(E100,HostBuild[Alias],0),COLUMN(HostBuild[CTI Target Completion])),""),""),"")</f>
        <v/>
      </c>
      <c r="D100" s="262" t="str">
        <f>IF(AND(NOT(ISBLANK(E100)),E100&lt;&gt;"(blank)"),IFERROR(IF(INDEX(HostBuild[],MATCH(E100,HostBuild[Alias],0),COLUMN(HostBuild[Description]))&lt;&gt;0,INDEX(HostBuild[],MATCH(E100,HostBuild[Alias],0),COLUMN(HostBuild[Description])),""),""),"")</f>
        <v>Oracle RAC - ESB</v>
      </c>
      <c r="E100" s="281" t="s">
        <v>4105</v>
      </c>
      <c r="F100" s="270"/>
      <c r="G100" s="387">
        <v>0</v>
      </c>
      <c r="H100" s="272">
        <v>0</v>
      </c>
      <c r="I100" s="272">
        <v>0</v>
      </c>
      <c r="J100" s="272">
        <v>0</v>
      </c>
      <c r="K100" s="272">
        <v>0</v>
      </c>
      <c r="L100" s="272">
        <v>0</v>
      </c>
      <c r="M100" s="272"/>
      <c r="N100" s="266">
        <v>0</v>
      </c>
    </row>
    <row r="101" spans="1:14">
      <c r="A101" s="3" t="str">
        <f>IF(AND(NOT(ISBLANK(E101)),E101&lt;&gt;"(blank)"),IFERROR(IF(INDEX(HostBuild[],MATCH(E101,HostBuild[Alias],0),COLUMN(HostBuild[Hostname]))&lt;&gt;0,INDEX(HostBuild[],MATCH(E101,HostBuild[Alias],0),COLUMN(HostBuild[Hostname])),""),""),"")</f>
        <v/>
      </c>
      <c r="B101" s="424" t="str">
        <f>IF(AND(NOT(ISBLANK(E101)),E101&lt;&gt;"(blank)"),IFERROR(IF(INDEX(HostBuild[],MATCH(E101,HostBuild[Alias],0),COLUMN(HostBuild[Status]))&lt;&gt;0,INDEX(HostBuild[],MATCH(E101,HostBuild[Alias],0),COLUMN(HostBuild[Status])),""),""),"")</f>
        <v/>
      </c>
      <c r="C101" s="425" t="str">
        <f>IF(AND(NOT(ISBLANK(E101)),E101&lt;&gt;"(blank)"),IFERROR(IF(INDEX(HostBuild[],MATCH(E101,HostBuild[Alias],0),COLUMN(HostBuild[CTI Target Completion]))&lt;&gt;0,INDEX(HostBuild[],MATCH(E101,HostBuild[Alias],0),COLUMN(HostBuild[CTI Target Completion])),""),""),"")</f>
        <v/>
      </c>
      <c r="D101" s="262" t="str">
        <f>IF(AND(NOT(ISBLANK(E101)),E101&lt;&gt;"(blank)"),IFERROR(IF(INDEX(HostBuild[],MATCH(E101,HostBuild[Alias],0),COLUMN(HostBuild[Description]))&lt;&gt;0,INDEX(HostBuild[],MATCH(E101,HostBuild[Alias],0),COLUMN(HostBuild[Description])),""),""),"")</f>
        <v>ESB [V5,V6], CMR, SNF - EMS</v>
      </c>
      <c r="E101" s="281" t="s">
        <v>4113</v>
      </c>
      <c r="F101" s="270"/>
      <c r="G101" s="387">
        <v>0</v>
      </c>
      <c r="H101" s="272">
        <v>0</v>
      </c>
      <c r="I101" s="272">
        <v>0</v>
      </c>
      <c r="J101" s="272">
        <v>67.400000000000006</v>
      </c>
      <c r="K101" s="272">
        <v>67.400000000000006</v>
      </c>
      <c r="L101" s="272">
        <v>0</v>
      </c>
      <c r="M101" s="272"/>
      <c r="N101" s="266">
        <v>194.12562500000001</v>
      </c>
    </row>
    <row r="102" spans="1:14">
      <c r="A102" s="3" t="str">
        <f>IF(AND(NOT(ISBLANK(E102)),E102&lt;&gt;"(blank)"),IFERROR(IF(INDEX(HostBuild[],MATCH(E102,HostBuild[Alias],0),COLUMN(HostBuild[Hostname]))&lt;&gt;0,INDEX(HostBuild[],MATCH(E102,HostBuild[Alias],0),COLUMN(HostBuild[Hostname])),""),""),"")</f>
        <v/>
      </c>
      <c r="B102" s="424" t="str">
        <f>IF(AND(NOT(ISBLANK(E102)),E102&lt;&gt;"(blank)"),IFERROR(IF(INDEX(HostBuild[],MATCH(E102,HostBuild[Alias],0),COLUMN(HostBuild[Status]))&lt;&gt;0,INDEX(HostBuild[],MATCH(E102,HostBuild[Alias],0),COLUMN(HostBuild[Status])),""),""),"")</f>
        <v/>
      </c>
      <c r="C102" s="425" t="str">
        <f>IF(AND(NOT(ISBLANK(E102)),E102&lt;&gt;"(blank)"),IFERROR(IF(INDEX(HostBuild[],MATCH(E102,HostBuild[Alias],0),COLUMN(HostBuild[CTI Target Completion]))&lt;&gt;0,INDEX(HostBuild[],MATCH(E102,HostBuild[Alias],0),COLUMN(HostBuild[CTI Target Completion])),""),""),"")</f>
        <v/>
      </c>
      <c r="D102" s="262" t="str">
        <f>IF(AND(NOT(ISBLANK(E102)),E102&lt;&gt;"(blank)"),IFERROR(IF(INDEX(HostBuild[],MATCH(E102,HostBuild[Alias],0),COLUMN(HostBuild[Description]))&lt;&gt;0,INDEX(HostBuild[],MATCH(E102,HostBuild[Alias],0),COLUMN(HostBuild[Description])),""),""),"")</f>
        <v>ESB [V5,V6], CMR, SNF - EMS</v>
      </c>
      <c r="E102" s="281" t="s">
        <v>4114</v>
      </c>
      <c r="F102" s="270"/>
      <c r="G102" s="387">
        <v>0</v>
      </c>
      <c r="H102" s="272">
        <v>0</v>
      </c>
      <c r="I102" s="272">
        <v>0</v>
      </c>
      <c r="J102" s="272">
        <v>67.400000000000006</v>
      </c>
      <c r="K102" s="272">
        <v>67.400000000000006</v>
      </c>
      <c r="L102" s="272">
        <v>0</v>
      </c>
      <c r="M102" s="272"/>
      <c r="N102" s="266">
        <v>78.900125000000003</v>
      </c>
    </row>
    <row r="103" spans="1:14">
      <c r="A103" s="3" t="str">
        <f>IF(AND(NOT(ISBLANK(E103)),E103&lt;&gt;"(blank)"),IFERROR(IF(INDEX(HostBuild[],MATCH(E103,HostBuild[Alias],0),COLUMN(HostBuild[Hostname]))&lt;&gt;0,INDEX(HostBuild[],MATCH(E103,HostBuild[Alias],0),COLUMN(HostBuild[Hostname])),""),""),"")</f>
        <v/>
      </c>
      <c r="B103" s="424" t="str">
        <f>IF(AND(NOT(ISBLANK(E103)),E103&lt;&gt;"(blank)"),IFERROR(IF(INDEX(HostBuild[],MATCH(E103,HostBuild[Alias],0),COLUMN(HostBuild[Status]))&lt;&gt;0,INDEX(HostBuild[],MATCH(E103,HostBuild[Alias],0),COLUMN(HostBuild[Status])),""),""),"")</f>
        <v/>
      </c>
      <c r="C103" s="425" t="str">
        <f>IF(AND(NOT(ISBLANK(E103)),E103&lt;&gt;"(blank)"),IFERROR(IF(INDEX(HostBuild[],MATCH(E103,HostBuild[Alias],0),COLUMN(HostBuild[CTI Target Completion]))&lt;&gt;0,INDEX(HostBuild[],MATCH(E103,HostBuild[Alias],0),COLUMN(HostBuild[CTI Target Completion])),""),""),"")</f>
        <v/>
      </c>
      <c r="D103" s="262" t="str">
        <f>IF(AND(NOT(ISBLANK(E103)),E103&lt;&gt;"(blank)"),IFERROR(IF(INDEX(HostBuild[],MATCH(E103,HostBuild[Alias],0),COLUMN(HostBuild[Description]))&lt;&gt;0,INDEX(HostBuild[],MATCH(E103,HostBuild[Alias],0),COLUMN(HostBuild[Description])),""),""),"")</f>
        <v>ESB [V5,V6], CMR, SNF - EMS</v>
      </c>
      <c r="E103" s="281" t="s">
        <v>4115</v>
      </c>
      <c r="F103" s="270"/>
      <c r="G103" s="387">
        <v>0</v>
      </c>
      <c r="H103" s="272">
        <v>0</v>
      </c>
      <c r="I103" s="272">
        <v>0</v>
      </c>
      <c r="J103" s="272">
        <v>67.400000000000006</v>
      </c>
      <c r="K103" s="272">
        <v>67.400000000000006</v>
      </c>
      <c r="L103" s="272">
        <v>0</v>
      </c>
      <c r="M103" s="272"/>
      <c r="N103" s="266">
        <v>194.12562500000001</v>
      </c>
    </row>
    <row r="104" spans="1:14">
      <c r="A104" s="3" t="str">
        <f>IF(AND(NOT(ISBLANK(E104)),E104&lt;&gt;"(blank)"),IFERROR(IF(INDEX(HostBuild[],MATCH(E104,HostBuild[Alias],0),COLUMN(HostBuild[Hostname]))&lt;&gt;0,INDEX(HostBuild[],MATCH(E104,HostBuild[Alias],0),COLUMN(HostBuild[Hostname])),""),""),"")</f>
        <v/>
      </c>
      <c r="B104" s="424" t="str">
        <f>IF(AND(NOT(ISBLANK(E104)),E104&lt;&gt;"(blank)"),IFERROR(IF(INDEX(HostBuild[],MATCH(E104,HostBuild[Alias],0),COLUMN(HostBuild[Status]))&lt;&gt;0,INDEX(HostBuild[],MATCH(E104,HostBuild[Alias],0),COLUMN(HostBuild[Status])),""),""),"")</f>
        <v/>
      </c>
      <c r="C104" s="425" t="str">
        <f>IF(AND(NOT(ISBLANK(E104)),E104&lt;&gt;"(blank)"),IFERROR(IF(INDEX(HostBuild[],MATCH(E104,HostBuild[Alias],0),COLUMN(HostBuild[CTI Target Completion]))&lt;&gt;0,INDEX(HostBuild[],MATCH(E104,HostBuild[Alias],0),COLUMN(HostBuild[CTI Target Completion])),""),""),"")</f>
        <v/>
      </c>
      <c r="D104" s="262" t="str">
        <f>IF(AND(NOT(ISBLANK(E104)),E104&lt;&gt;"(blank)"),IFERROR(IF(INDEX(HostBuild[],MATCH(E104,HostBuild[Alias],0),COLUMN(HostBuild[Description]))&lt;&gt;0,INDEX(HostBuild[],MATCH(E104,HostBuild[Alias],0),COLUMN(HostBuild[Description])),""),""),"")</f>
        <v>ESB [V5,V6], CMR, SNF - EMS</v>
      </c>
      <c r="E104" s="281" t="s">
        <v>4116</v>
      </c>
      <c r="F104" s="270"/>
      <c r="G104" s="387">
        <v>0</v>
      </c>
      <c r="H104" s="272">
        <v>0</v>
      </c>
      <c r="I104" s="272">
        <v>0</v>
      </c>
      <c r="J104" s="272">
        <v>67.400000000000006</v>
      </c>
      <c r="K104" s="272">
        <v>67.400000000000006</v>
      </c>
      <c r="L104" s="272">
        <v>0</v>
      </c>
      <c r="M104" s="272"/>
      <c r="N104" s="266">
        <v>78.900125000000003</v>
      </c>
    </row>
    <row r="105" spans="1:14">
      <c r="A105" s="3" t="str">
        <f>IF(AND(NOT(ISBLANK(E105)),E105&lt;&gt;"(blank)"),IFERROR(IF(INDEX(HostBuild[],MATCH(E105,HostBuild[Alias],0),COLUMN(HostBuild[Hostname]))&lt;&gt;0,INDEX(HostBuild[],MATCH(E105,HostBuild[Alias],0),COLUMN(HostBuild[Hostname])),""),""),"")</f>
        <v/>
      </c>
      <c r="B105" s="424" t="str">
        <f>IF(AND(NOT(ISBLANK(E105)),E105&lt;&gt;"(blank)"),IFERROR(IF(INDEX(HostBuild[],MATCH(E105,HostBuild[Alias],0),COLUMN(HostBuild[Status]))&lt;&gt;0,INDEX(HostBuild[],MATCH(E105,HostBuild[Alias],0),COLUMN(HostBuild[Status])),""),""),"")</f>
        <v/>
      </c>
      <c r="C105" s="425" t="str">
        <f>IF(AND(NOT(ISBLANK(E105)),E105&lt;&gt;"(blank)"),IFERROR(IF(INDEX(HostBuild[],MATCH(E105,HostBuild[Alias],0),COLUMN(HostBuild[CTI Target Completion]))&lt;&gt;0,INDEX(HostBuild[],MATCH(E105,HostBuild[Alias],0),COLUMN(HostBuild[CTI Target Completion])),""),""),"")</f>
        <v/>
      </c>
      <c r="D105" s="262" t="str">
        <f>IF(AND(NOT(ISBLANK(E105)),E105&lt;&gt;"(blank)"),IFERROR(IF(INDEX(HostBuild[],MATCH(E105,HostBuild[Alias],0),COLUMN(HostBuild[Description]))&lt;&gt;0,INDEX(HostBuild[],MATCH(E105,HostBuild[Alias],0),COLUMN(HostBuild[Description])),""),""),"")</f>
        <v>Oracle HACMP  - Tibco, RMAN</v>
      </c>
      <c r="E105" s="281" t="s">
        <v>3990</v>
      </c>
      <c r="F105" s="270"/>
      <c r="G105" s="387">
        <v>0</v>
      </c>
      <c r="H105" s="272">
        <v>0</v>
      </c>
      <c r="I105" s="272">
        <v>0</v>
      </c>
      <c r="J105" s="272"/>
      <c r="K105" s="272"/>
      <c r="L105" s="272">
        <v>0</v>
      </c>
      <c r="M105" s="272"/>
      <c r="N105" s="266">
        <v>0</v>
      </c>
    </row>
    <row r="106" spans="1:14">
      <c r="A106" s="3" t="str">
        <f>IF(AND(NOT(ISBLANK(E106)),E106&lt;&gt;"(blank)"),IFERROR(IF(INDEX(HostBuild[],MATCH(E106,HostBuild[Alias],0),COLUMN(HostBuild[Hostname]))&lt;&gt;0,INDEX(HostBuild[],MATCH(E106,HostBuild[Alias],0),COLUMN(HostBuild[Hostname])),""),""),"")</f>
        <v/>
      </c>
      <c r="B106" s="424" t="str">
        <f>IF(AND(NOT(ISBLANK(E106)),E106&lt;&gt;"(blank)"),IFERROR(IF(INDEX(HostBuild[],MATCH(E106,HostBuild[Alias],0),COLUMN(HostBuild[Status]))&lt;&gt;0,INDEX(HostBuild[],MATCH(E106,HostBuild[Alias],0),COLUMN(HostBuild[Status])),""),""),"")</f>
        <v/>
      </c>
      <c r="C106" s="425" t="str">
        <f>IF(AND(NOT(ISBLANK(E106)),E106&lt;&gt;"(blank)"),IFERROR(IF(INDEX(HostBuild[],MATCH(E106,HostBuild[Alias],0),COLUMN(HostBuild[CTI Target Completion]))&lt;&gt;0,INDEX(HostBuild[],MATCH(E106,HostBuild[Alias],0),COLUMN(HostBuild[CTI Target Completion])),""),""),"")</f>
        <v/>
      </c>
      <c r="D106" s="262" t="str">
        <f>IF(AND(NOT(ISBLANK(E106)),E106&lt;&gt;"(blank)"),IFERROR(IF(INDEX(HostBuild[],MATCH(E106,HostBuild[Alias],0),COLUMN(HostBuild[Description]))&lt;&gt;0,INDEX(HostBuild[],MATCH(E106,HostBuild[Alias],0),COLUMN(HostBuild[Description])),""),""),"")</f>
        <v>Oracle HACMP  - Tibco, RMAN</v>
      </c>
      <c r="E106" s="281" t="s">
        <v>4107</v>
      </c>
      <c r="F106" s="270"/>
      <c r="G106" s="387">
        <v>0</v>
      </c>
      <c r="H106" s="272">
        <v>0</v>
      </c>
      <c r="I106" s="272">
        <v>0</v>
      </c>
      <c r="J106" s="272">
        <v>303.3</v>
      </c>
      <c r="K106" s="272">
        <v>303.3</v>
      </c>
      <c r="L106" s="272">
        <v>0</v>
      </c>
      <c r="M106" s="272"/>
      <c r="N106" s="266">
        <v>278.16706250000004</v>
      </c>
    </row>
    <row r="107" spans="1:14">
      <c r="A107" s="3" t="str">
        <f>IF(AND(NOT(ISBLANK(E107)),E107&lt;&gt;"(blank)"),IFERROR(IF(INDEX(HostBuild[],MATCH(E107,HostBuild[Alias],0),COLUMN(HostBuild[Hostname]))&lt;&gt;0,INDEX(HostBuild[],MATCH(E107,HostBuild[Alias],0),COLUMN(HostBuild[Hostname])),""),""),"")</f>
        <v/>
      </c>
      <c r="B107" s="424" t="str">
        <f>IF(AND(NOT(ISBLANK(E107)),E107&lt;&gt;"(blank)"),IFERROR(IF(INDEX(HostBuild[],MATCH(E107,HostBuild[Alias],0),COLUMN(HostBuild[Status]))&lt;&gt;0,INDEX(HostBuild[],MATCH(E107,HostBuild[Alias],0),COLUMN(HostBuild[Status])),""),""),"")</f>
        <v/>
      </c>
      <c r="C107" s="425" t="str">
        <f>IF(AND(NOT(ISBLANK(E107)),E107&lt;&gt;"(blank)"),IFERROR(IF(INDEX(HostBuild[],MATCH(E107,HostBuild[Alias],0),COLUMN(HostBuild[CTI Target Completion]))&lt;&gt;0,INDEX(HostBuild[],MATCH(E107,HostBuild[Alias],0),COLUMN(HostBuild[CTI Target Completion])),""),""),"")</f>
        <v/>
      </c>
      <c r="D107" s="262" t="str">
        <f>IF(AND(NOT(ISBLANK(E107)),E107&lt;&gt;"(blank)"),IFERROR(IF(INDEX(HostBuild[],MATCH(E107,HostBuild[Alias],0),COLUMN(HostBuild[Description]))&lt;&gt;0,INDEX(HostBuild[],MATCH(E107,HostBuild[Alias],0),COLUMN(HostBuild[Description])),""),""),"")</f>
        <v>Oracle HACMP - Tibco, RMAN</v>
      </c>
      <c r="E107" s="281" t="s">
        <v>3991</v>
      </c>
      <c r="F107" s="270"/>
      <c r="G107" s="387">
        <v>0</v>
      </c>
      <c r="H107" s="272">
        <v>0</v>
      </c>
      <c r="I107" s="272">
        <v>0</v>
      </c>
      <c r="J107" s="272"/>
      <c r="K107" s="272"/>
      <c r="L107" s="272">
        <v>0</v>
      </c>
      <c r="M107" s="272"/>
      <c r="N107" s="266">
        <v>0</v>
      </c>
    </row>
    <row r="108" spans="1:14">
      <c r="A108" s="3" t="str">
        <f>IF(AND(NOT(ISBLANK(E108)),E108&lt;&gt;"(blank)"),IFERROR(IF(INDEX(HostBuild[],MATCH(E108,HostBuild[Alias],0),COLUMN(HostBuild[Hostname]))&lt;&gt;0,INDEX(HostBuild[],MATCH(E108,HostBuild[Alias],0),COLUMN(HostBuild[Hostname])),""),""),"")</f>
        <v/>
      </c>
      <c r="B108" s="424" t="str">
        <f>IF(AND(NOT(ISBLANK(E108)),E108&lt;&gt;"(blank)"),IFERROR(IF(INDEX(HostBuild[],MATCH(E108,HostBuild[Alias],0),COLUMN(HostBuild[Status]))&lt;&gt;0,INDEX(HostBuild[],MATCH(E108,HostBuild[Alias],0),COLUMN(HostBuild[Status])),""),""),"")</f>
        <v/>
      </c>
      <c r="C108" s="425" t="str">
        <f>IF(AND(NOT(ISBLANK(E108)),E108&lt;&gt;"(blank)"),IFERROR(IF(INDEX(HostBuild[],MATCH(E108,HostBuild[Alias],0),COLUMN(HostBuild[CTI Target Completion]))&lt;&gt;0,INDEX(HostBuild[],MATCH(E108,HostBuild[Alias],0),COLUMN(HostBuild[CTI Target Completion])),""),""),"")</f>
        <v/>
      </c>
      <c r="D108" s="262" t="str">
        <f>IF(AND(NOT(ISBLANK(E108)),E108&lt;&gt;"(blank)"),IFERROR(IF(INDEX(HostBuild[],MATCH(E108,HostBuild[Alias],0),COLUMN(HostBuild[Description]))&lt;&gt;0,INDEX(HostBuild[],MATCH(E108,HostBuild[Alias],0),COLUMN(HostBuild[Description])),""),""),"")</f>
        <v>Oracle HACMP - Tibco, RMAN</v>
      </c>
      <c r="E108" s="281" t="s">
        <v>4108</v>
      </c>
      <c r="F108" s="270"/>
      <c r="G108" s="387">
        <v>0</v>
      </c>
      <c r="H108" s="272">
        <v>0</v>
      </c>
      <c r="I108" s="272">
        <v>0</v>
      </c>
      <c r="J108" s="272">
        <v>0</v>
      </c>
      <c r="K108" s="272">
        <v>0</v>
      </c>
      <c r="L108" s="272">
        <v>0</v>
      </c>
      <c r="M108" s="272"/>
      <c r="N108" s="266">
        <v>0</v>
      </c>
    </row>
    <row r="109" spans="1:14">
      <c r="A109" s="3" t="str">
        <f>IF(AND(NOT(ISBLANK(E109)),E109&lt;&gt;"(blank)"),IFERROR(IF(INDEX(HostBuild[],MATCH(E109,HostBuild[Alias],0),COLUMN(HostBuild[Hostname]))&lt;&gt;0,INDEX(HostBuild[],MATCH(E109,HostBuild[Alias],0),COLUMN(HostBuild[Hostname])),""),""),"")</f>
        <v/>
      </c>
      <c r="B109" s="424" t="str">
        <f>IF(AND(NOT(ISBLANK(E109)),E109&lt;&gt;"(blank)"),IFERROR(IF(INDEX(HostBuild[],MATCH(E109,HostBuild[Alias],0),COLUMN(HostBuild[Status]))&lt;&gt;0,INDEX(HostBuild[],MATCH(E109,HostBuild[Alias],0),COLUMN(HostBuild[Status])),""),""),"")</f>
        <v/>
      </c>
      <c r="C109" s="425" t="str">
        <f>IF(AND(NOT(ISBLANK(E109)),E109&lt;&gt;"(blank)"),IFERROR(IF(INDEX(HostBuild[],MATCH(E109,HostBuild[Alias],0),COLUMN(HostBuild[CTI Target Completion]))&lt;&gt;0,INDEX(HostBuild[],MATCH(E109,HostBuild[Alias],0),COLUMN(HostBuild[CTI Target Completion])),""),""),"")</f>
        <v/>
      </c>
      <c r="D109" s="262" t="str">
        <f>IF(AND(NOT(ISBLANK(E109)),E109&lt;&gt;"(blank)"),IFERROR(IF(INDEX(HostBuild[],MATCH(E109,HostBuild[Alias],0),COLUMN(HostBuild[Description]))&lt;&gt;0,INDEX(HostBuild[],MATCH(E109,HostBuild[Alias],0),COLUMN(HostBuild[Description])),""),""),"")</f>
        <v>ESB-Digital -BW</v>
      </c>
      <c r="E109" s="281" t="s">
        <v>4096</v>
      </c>
      <c r="F109" s="270"/>
      <c r="G109" s="387">
        <v>0</v>
      </c>
      <c r="H109" s="272">
        <v>16</v>
      </c>
      <c r="I109" s="272">
        <v>0</v>
      </c>
      <c r="J109" s="272">
        <v>168.5</v>
      </c>
      <c r="K109" s="272">
        <v>168.5</v>
      </c>
      <c r="L109" s="272">
        <v>0</v>
      </c>
      <c r="M109" s="272"/>
      <c r="N109" s="266">
        <v>279.8803125</v>
      </c>
    </row>
    <row r="110" spans="1:14">
      <c r="A110" s="3" t="str">
        <f>IF(AND(NOT(ISBLANK(E110)),E110&lt;&gt;"(blank)"),IFERROR(IF(INDEX(HostBuild[],MATCH(E110,HostBuild[Alias],0),COLUMN(HostBuild[Hostname]))&lt;&gt;0,INDEX(HostBuild[],MATCH(E110,HostBuild[Alias],0),COLUMN(HostBuild[Hostname])),""),""),"")</f>
        <v/>
      </c>
      <c r="B110" s="424" t="str">
        <f>IF(AND(NOT(ISBLANK(E110)),E110&lt;&gt;"(blank)"),IFERROR(IF(INDEX(HostBuild[],MATCH(E110,HostBuild[Alias],0),COLUMN(HostBuild[Status]))&lt;&gt;0,INDEX(HostBuild[],MATCH(E110,HostBuild[Alias],0),COLUMN(HostBuild[Status])),""),""),"")</f>
        <v/>
      </c>
      <c r="C110" s="425" t="str">
        <f>IF(AND(NOT(ISBLANK(E110)),E110&lt;&gt;"(blank)"),IFERROR(IF(INDEX(HostBuild[],MATCH(E110,HostBuild[Alias],0),COLUMN(HostBuild[CTI Target Completion]))&lt;&gt;0,INDEX(HostBuild[],MATCH(E110,HostBuild[Alias],0),COLUMN(HostBuild[CTI Target Completion])),""),""),"")</f>
        <v/>
      </c>
      <c r="D110" s="262" t="str">
        <f>IF(AND(NOT(ISBLANK(E110)),E110&lt;&gt;"(blank)"),IFERROR(IF(INDEX(HostBuild[],MATCH(E110,HostBuild[Alias],0),COLUMN(HostBuild[Description]))&lt;&gt;0,INDEX(HostBuild[],MATCH(E110,HostBuild[Alias],0),COLUMN(HostBuild[Description])),""),""),"")</f>
        <v>ESB-Digital -BW</v>
      </c>
      <c r="E110" s="281" t="s">
        <v>4120</v>
      </c>
      <c r="F110" s="270"/>
      <c r="G110" s="387">
        <v>0</v>
      </c>
      <c r="H110" s="272">
        <v>0</v>
      </c>
      <c r="I110" s="272">
        <v>0</v>
      </c>
      <c r="J110" s="272">
        <v>168.5</v>
      </c>
      <c r="K110" s="272">
        <v>168.5</v>
      </c>
      <c r="L110" s="272">
        <v>0</v>
      </c>
      <c r="M110" s="272"/>
      <c r="N110" s="266">
        <v>92.780312500000008</v>
      </c>
    </row>
    <row r="111" spans="1:14">
      <c r="A111" s="3" t="str">
        <f>IF(AND(NOT(ISBLANK(E111)),E111&lt;&gt;"(blank)"),IFERROR(IF(INDEX(HostBuild[],MATCH(E111,HostBuild[Alias],0),COLUMN(HostBuild[Hostname]))&lt;&gt;0,INDEX(HostBuild[],MATCH(E111,HostBuild[Alias],0),COLUMN(HostBuild[Hostname])),""),""),"")</f>
        <v/>
      </c>
      <c r="B111" s="424" t="str">
        <f>IF(AND(NOT(ISBLANK(E111)),E111&lt;&gt;"(blank)"),IFERROR(IF(INDEX(HostBuild[],MATCH(E111,HostBuild[Alias],0),COLUMN(HostBuild[Status]))&lt;&gt;0,INDEX(HostBuild[],MATCH(E111,HostBuild[Alias],0),COLUMN(HostBuild[Status])),""),""),"")</f>
        <v/>
      </c>
      <c r="C111" s="425" t="str">
        <f>IF(AND(NOT(ISBLANK(E111)),E111&lt;&gt;"(blank)"),IFERROR(IF(INDEX(HostBuild[],MATCH(E111,HostBuild[Alias],0),COLUMN(HostBuild[CTI Target Completion]))&lt;&gt;0,INDEX(HostBuild[],MATCH(E111,HostBuild[Alias],0),COLUMN(HostBuild[CTI Target Completion])),""),""),"")</f>
        <v/>
      </c>
      <c r="D111" s="262" t="str">
        <f>IF(AND(NOT(ISBLANK(E111)),E111&lt;&gt;"(blank)"),IFERROR(IF(INDEX(HostBuild[],MATCH(E111,HostBuild[Alias],0),COLUMN(HostBuild[Description]))&lt;&gt;0,INDEX(HostBuild[],MATCH(E111,HostBuild[Alias],0),COLUMN(HostBuild[Description])),""),""),"")</f>
        <v>ESB-Digital -BW</v>
      </c>
      <c r="E111" s="281" t="s">
        <v>4121</v>
      </c>
      <c r="F111" s="270"/>
      <c r="G111" s="387">
        <v>0</v>
      </c>
      <c r="H111" s="272">
        <v>0</v>
      </c>
      <c r="I111" s="272">
        <v>0</v>
      </c>
      <c r="J111" s="272">
        <v>168.5</v>
      </c>
      <c r="K111" s="272">
        <v>168.5</v>
      </c>
      <c r="L111" s="272">
        <v>0</v>
      </c>
      <c r="M111" s="272"/>
      <c r="N111" s="266">
        <v>92.780312500000008</v>
      </c>
    </row>
    <row r="112" spans="1:14">
      <c r="A112" s="3" t="str">
        <f>IF(AND(NOT(ISBLANK(E112)),E112&lt;&gt;"(blank)"),IFERROR(IF(INDEX(HostBuild[],MATCH(E112,HostBuild[Alias],0),COLUMN(HostBuild[Hostname]))&lt;&gt;0,INDEX(HostBuild[],MATCH(E112,HostBuild[Alias],0),COLUMN(HostBuild[Hostname])),""),""),"")</f>
        <v/>
      </c>
      <c r="B112" s="424" t="str">
        <f>IF(AND(NOT(ISBLANK(E112)),E112&lt;&gt;"(blank)"),IFERROR(IF(INDEX(HostBuild[],MATCH(E112,HostBuild[Alias],0),COLUMN(HostBuild[Status]))&lt;&gt;0,INDEX(HostBuild[],MATCH(E112,HostBuild[Alias],0),COLUMN(HostBuild[Status])),""),""),"")</f>
        <v/>
      </c>
      <c r="C112" s="425" t="str">
        <f>IF(AND(NOT(ISBLANK(E112)),E112&lt;&gt;"(blank)"),IFERROR(IF(INDEX(HostBuild[],MATCH(E112,HostBuild[Alias],0),COLUMN(HostBuild[CTI Target Completion]))&lt;&gt;0,INDEX(HostBuild[],MATCH(E112,HostBuild[Alias],0),COLUMN(HostBuild[CTI Target Completion])),""),""),"")</f>
        <v/>
      </c>
      <c r="D112" s="262" t="str">
        <f>IF(AND(NOT(ISBLANK(E112)),E112&lt;&gt;"(blank)"),IFERROR(IF(INDEX(HostBuild[],MATCH(E112,HostBuild[Alias],0),COLUMN(HostBuild[Description]))&lt;&gt;0,INDEX(HostBuild[],MATCH(E112,HostBuild[Alias],0),COLUMN(HostBuild[Description])),""),""),"")</f>
        <v>ESB-Digital -BW</v>
      </c>
      <c r="E112" s="281" t="s">
        <v>4122</v>
      </c>
      <c r="F112" s="270"/>
      <c r="G112" s="387">
        <v>0</v>
      </c>
      <c r="H112" s="272">
        <v>0</v>
      </c>
      <c r="I112" s="272">
        <v>0</v>
      </c>
      <c r="J112" s="272">
        <v>168.5</v>
      </c>
      <c r="K112" s="272">
        <v>168.5</v>
      </c>
      <c r="L112" s="272">
        <v>0</v>
      </c>
      <c r="M112" s="272"/>
      <c r="N112" s="266">
        <v>92.780312500000008</v>
      </c>
    </row>
    <row r="113" spans="1:14">
      <c r="A113" s="3" t="str">
        <f>IF(AND(NOT(ISBLANK(E113)),E113&lt;&gt;"(blank)"),IFERROR(IF(INDEX(HostBuild[],MATCH(E113,HostBuild[Alias],0),COLUMN(HostBuild[Hostname]))&lt;&gt;0,INDEX(HostBuild[],MATCH(E113,HostBuild[Alias],0),COLUMN(HostBuild[Hostname])),""),""),"")</f>
        <v/>
      </c>
      <c r="B113" s="424" t="str">
        <f>IF(AND(NOT(ISBLANK(E113)),E113&lt;&gt;"(blank)"),IFERROR(IF(INDEX(HostBuild[],MATCH(E113,HostBuild[Alias],0),COLUMN(HostBuild[Status]))&lt;&gt;0,INDEX(HostBuild[],MATCH(E113,HostBuild[Alias],0),COLUMN(HostBuild[Status])),""),""),"")</f>
        <v/>
      </c>
      <c r="C113" s="425" t="str">
        <f>IF(AND(NOT(ISBLANK(E113)),E113&lt;&gt;"(blank)"),IFERROR(IF(INDEX(HostBuild[],MATCH(E113,HostBuild[Alias],0),COLUMN(HostBuild[CTI Target Completion]))&lt;&gt;0,INDEX(HostBuild[],MATCH(E113,HostBuild[Alias],0),COLUMN(HostBuild[CTI Target Completion])),""),""),"")</f>
        <v/>
      </c>
      <c r="D113" s="262" t="str">
        <f>IF(AND(NOT(ISBLANK(E113)),E113&lt;&gt;"(blank)"),IFERROR(IF(INDEX(HostBuild[],MATCH(E113,HostBuild[Alias],0),COLUMN(HostBuild[Description]))&lt;&gt;0,INDEX(HostBuild[],MATCH(E113,HostBuild[Alias],0),COLUMN(HostBuild[Description])),""),""),"")</f>
        <v>ESB-Digital -BW</v>
      </c>
      <c r="E113" s="281" t="s">
        <v>4097</v>
      </c>
      <c r="F113" s="270"/>
      <c r="G113" s="387">
        <v>0</v>
      </c>
      <c r="H113" s="272">
        <v>16</v>
      </c>
      <c r="I113" s="272">
        <v>0</v>
      </c>
      <c r="J113" s="272">
        <v>168.5</v>
      </c>
      <c r="K113" s="272">
        <v>168.5</v>
      </c>
      <c r="L113" s="272">
        <v>0</v>
      </c>
      <c r="M113" s="272"/>
      <c r="N113" s="266">
        <v>279.8803125</v>
      </c>
    </row>
    <row r="114" spans="1:14">
      <c r="A114" s="3" t="str">
        <f>IF(AND(NOT(ISBLANK(E114)),E114&lt;&gt;"(blank)"),IFERROR(IF(INDEX(HostBuild[],MATCH(E114,HostBuild[Alias],0),COLUMN(HostBuild[Hostname]))&lt;&gt;0,INDEX(HostBuild[],MATCH(E114,HostBuild[Alias],0),COLUMN(HostBuild[Hostname])),""),""),"")</f>
        <v/>
      </c>
      <c r="B114" s="424" t="str">
        <f>IF(AND(NOT(ISBLANK(E114)),E114&lt;&gt;"(blank)"),IFERROR(IF(INDEX(HostBuild[],MATCH(E114,HostBuild[Alias],0),COLUMN(HostBuild[Status]))&lt;&gt;0,INDEX(HostBuild[],MATCH(E114,HostBuild[Alias],0),COLUMN(HostBuild[Status])),""),""),"")</f>
        <v/>
      </c>
      <c r="C114" s="425" t="str">
        <f>IF(AND(NOT(ISBLANK(E114)),E114&lt;&gt;"(blank)"),IFERROR(IF(INDEX(HostBuild[],MATCH(E114,HostBuild[Alias],0),COLUMN(HostBuild[CTI Target Completion]))&lt;&gt;0,INDEX(HostBuild[],MATCH(E114,HostBuild[Alias],0),COLUMN(HostBuild[CTI Target Completion])),""),""),"")</f>
        <v/>
      </c>
      <c r="D114" s="262" t="str">
        <f>IF(AND(NOT(ISBLANK(E114)),E114&lt;&gt;"(blank)"),IFERROR(IF(INDEX(HostBuild[],MATCH(E114,HostBuild[Alias],0),COLUMN(HostBuild[Description]))&lt;&gt;0,INDEX(HostBuild[],MATCH(E114,HostBuild[Alias],0),COLUMN(HostBuild[Description])),""),""),"")</f>
        <v>ESB-Digital -BW</v>
      </c>
      <c r="E114" s="281" t="s">
        <v>4098</v>
      </c>
      <c r="F114" s="270"/>
      <c r="G114" s="387">
        <v>0</v>
      </c>
      <c r="H114" s="272">
        <v>16</v>
      </c>
      <c r="I114" s="272">
        <v>0</v>
      </c>
      <c r="J114" s="272">
        <v>168.5</v>
      </c>
      <c r="K114" s="272">
        <v>168.5</v>
      </c>
      <c r="L114" s="272">
        <v>0</v>
      </c>
      <c r="M114" s="272"/>
      <c r="N114" s="266">
        <v>279.8803125</v>
      </c>
    </row>
    <row r="115" spans="1:14">
      <c r="A115" s="3" t="str">
        <f>IF(AND(NOT(ISBLANK(E115)),E115&lt;&gt;"(blank)"),IFERROR(IF(INDEX(HostBuild[],MATCH(E115,HostBuild[Alias],0),COLUMN(HostBuild[Hostname]))&lt;&gt;0,INDEX(HostBuild[],MATCH(E115,HostBuild[Alias],0),COLUMN(HostBuild[Hostname])),""),""),"")</f>
        <v/>
      </c>
      <c r="B115" s="424" t="str">
        <f>IF(AND(NOT(ISBLANK(E115)),E115&lt;&gt;"(blank)"),IFERROR(IF(INDEX(HostBuild[],MATCH(E115,HostBuild[Alias],0),COLUMN(HostBuild[Status]))&lt;&gt;0,INDEX(HostBuild[],MATCH(E115,HostBuild[Alias],0),COLUMN(HostBuild[Status])),""),""),"")</f>
        <v/>
      </c>
      <c r="C115" s="425" t="str">
        <f>IF(AND(NOT(ISBLANK(E115)),E115&lt;&gt;"(blank)"),IFERROR(IF(INDEX(HostBuild[],MATCH(E115,HostBuild[Alias],0),COLUMN(HostBuild[CTI Target Completion]))&lt;&gt;0,INDEX(HostBuild[],MATCH(E115,HostBuild[Alias],0),COLUMN(HostBuild[CTI Target Completion])),""),""),"")</f>
        <v/>
      </c>
      <c r="D115" s="262" t="str">
        <f>IF(AND(NOT(ISBLANK(E115)),E115&lt;&gt;"(blank)"),IFERROR(IF(INDEX(HostBuild[],MATCH(E115,HostBuild[Alias],0),COLUMN(HostBuild[Description]))&lt;&gt;0,INDEX(HostBuild[],MATCH(E115,HostBuild[Alias],0),COLUMN(HostBuild[Description])),""),""),"")</f>
        <v>ESB-Digital -BW</v>
      </c>
      <c r="E115" s="281" t="s">
        <v>4099</v>
      </c>
      <c r="F115" s="270"/>
      <c r="G115" s="387">
        <v>0</v>
      </c>
      <c r="H115" s="272">
        <v>16</v>
      </c>
      <c r="I115" s="272">
        <v>0</v>
      </c>
      <c r="J115" s="272">
        <v>168.5</v>
      </c>
      <c r="K115" s="272">
        <v>168.5</v>
      </c>
      <c r="L115" s="272">
        <v>0</v>
      </c>
      <c r="M115" s="272"/>
      <c r="N115" s="266">
        <v>279.8803125</v>
      </c>
    </row>
    <row r="116" spans="1:14">
      <c r="A116" s="3" t="str">
        <f>IF(AND(NOT(ISBLANK(E116)),E116&lt;&gt;"(blank)"),IFERROR(IF(INDEX(HostBuild[],MATCH(E116,HostBuild[Alias],0),COLUMN(HostBuild[Hostname]))&lt;&gt;0,INDEX(HostBuild[],MATCH(E116,HostBuild[Alias],0),COLUMN(HostBuild[Hostname])),""),""),"")</f>
        <v/>
      </c>
      <c r="B116" s="424" t="str">
        <f>IF(AND(NOT(ISBLANK(E116)),E116&lt;&gt;"(blank)"),IFERROR(IF(INDEX(HostBuild[],MATCH(E116,HostBuild[Alias],0),COLUMN(HostBuild[Status]))&lt;&gt;0,INDEX(HostBuild[],MATCH(E116,HostBuild[Alias],0),COLUMN(HostBuild[Status])),""),""),"")</f>
        <v/>
      </c>
      <c r="C116" s="425" t="str">
        <f>IF(AND(NOT(ISBLANK(E116)),E116&lt;&gt;"(blank)"),IFERROR(IF(INDEX(HostBuild[],MATCH(E116,HostBuild[Alias],0),COLUMN(HostBuild[CTI Target Completion]))&lt;&gt;0,INDEX(HostBuild[],MATCH(E116,HostBuild[Alias],0),COLUMN(HostBuild[CTI Target Completion])),""),""),"")</f>
        <v/>
      </c>
      <c r="D116" s="262" t="str">
        <f>IF(AND(NOT(ISBLANK(E116)),E116&lt;&gt;"(blank)"),IFERROR(IF(INDEX(HostBuild[],MATCH(E116,HostBuild[Alias],0),COLUMN(HostBuild[Description]))&lt;&gt;0,INDEX(HostBuild[],MATCH(E116,HostBuild[Alias],0),COLUMN(HostBuild[Description])),""),""),"")</f>
        <v>ESB-Digital -BW</v>
      </c>
      <c r="E116" s="281" t="s">
        <v>4100</v>
      </c>
      <c r="F116" s="270"/>
      <c r="G116" s="387">
        <v>0</v>
      </c>
      <c r="H116" s="272">
        <v>16</v>
      </c>
      <c r="I116" s="272">
        <v>0</v>
      </c>
      <c r="J116" s="272">
        <v>168.5</v>
      </c>
      <c r="K116" s="272">
        <v>168.5</v>
      </c>
      <c r="L116" s="272">
        <v>0</v>
      </c>
      <c r="M116" s="272"/>
      <c r="N116" s="266">
        <v>279.8803125</v>
      </c>
    </row>
    <row r="117" spans="1:14">
      <c r="A117" s="3" t="str">
        <f>IF(AND(NOT(ISBLANK(E117)),E117&lt;&gt;"(blank)"),IFERROR(IF(INDEX(HostBuild[],MATCH(E117,HostBuild[Alias],0),COLUMN(HostBuild[Hostname]))&lt;&gt;0,INDEX(HostBuild[],MATCH(E117,HostBuild[Alias],0),COLUMN(HostBuild[Hostname])),""),""),"")</f>
        <v/>
      </c>
      <c r="B117" s="424" t="str">
        <f>IF(AND(NOT(ISBLANK(E117)),E117&lt;&gt;"(blank)"),IFERROR(IF(INDEX(HostBuild[],MATCH(E117,HostBuild[Alias],0),COLUMN(HostBuild[Status]))&lt;&gt;0,INDEX(HostBuild[],MATCH(E117,HostBuild[Alias],0),COLUMN(HostBuild[Status])),""),""),"")</f>
        <v/>
      </c>
      <c r="C117" s="425" t="str">
        <f>IF(AND(NOT(ISBLANK(E117)),E117&lt;&gt;"(blank)"),IFERROR(IF(INDEX(HostBuild[],MATCH(E117,HostBuild[Alias],0),COLUMN(HostBuild[CTI Target Completion]))&lt;&gt;0,INDEX(HostBuild[],MATCH(E117,HostBuild[Alias],0),COLUMN(HostBuild[CTI Target Completion])),""),""),"")</f>
        <v/>
      </c>
      <c r="D117" s="262" t="str">
        <f>IF(AND(NOT(ISBLANK(E117)),E117&lt;&gt;"(blank)"),IFERROR(IF(INDEX(HostBuild[],MATCH(E117,HostBuild[Alias],0),COLUMN(HostBuild[Description]))&lt;&gt;0,INDEX(HostBuild[],MATCH(E117,HostBuild[Alias],0),COLUMN(HostBuild[Description])),""),""),"")</f>
        <v>ESB-Digital -BW</v>
      </c>
      <c r="E117" s="281" t="s">
        <v>4101</v>
      </c>
      <c r="F117" s="270"/>
      <c r="G117" s="387">
        <v>0</v>
      </c>
      <c r="H117" s="272">
        <v>16</v>
      </c>
      <c r="I117" s="272">
        <v>0</v>
      </c>
      <c r="J117" s="272">
        <v>168.5</v>
      </c>
      <c r="K117" s="272">
        <v>168.5</v>
      </c>
      <c r="L117" s="272">
        <v>0</v>
      </c>
      <c r="M117" s="272"/>
      <c r="N117" s="266">
        <v>279.8803125</v>
      </c>
    </row>
    <row r="118" spans="1:14">
      <c r="A118" s="3" t="str">
        <f>IF(AND(NOT(ISBLANK(E118)),E118&lt;&gt;"(blank)"),IFERROR(IF(INDEX(HostBuild[],MATCH(E118,HostBuild[Alias],0),COLUMN(HostBuild[Hostname]))&lt;&gt;0,INDEX(HostBuild[],MATCH(E118,HostBuild[Alias],0),COLUMN(HostBuild[Hostname])),""),""),"")</f>
        <v/>
      </c>
      <c r="B118" s="424" t="str">
        <f>IF(AND(NOT(ISBLANK(E118)),E118&lt;&gt;"(blank)"),IFERROR(IF(INDEX(HostBuild[],MATCH(E118,HostBuild[Alias],0),COLUMN(HostBuild[Status]))&lt;&gt;0,INDEX(HostBuild[],MATCH(E118,HostBuild[Alias],0),COLUMN(HostBuild[Status])),""),""),"")</f>
        <v/>
      </c>
      <c r="C118" s="425" t="str">
        <f>IF(AND(NOT(ISBLANK(E118)),E118&lt;&gt;"(blank)"),IFERROR(IF(INDEX(HostBuild[],MATCH(E118,HostBuild[Alias],0),COLUMN(HostBuild[CTI Target Completion]))&lt;&gt;0,INDEX(HostBuild[],MATCH(E118,HostBuild[Alias],0),COLUMN(HostBuild[CTI Target Completion])),""),""),"")</f>
        <v/>
      </c>
      <c r="D118" s="262" t="str">
        <f>IF(AND(NOT(ISBLANK(E118)),E118&lt;&gt;"(blank)"),IFERROR(IF(INDEX(HostBuild[],MATCH(E118,HostBuild[Alias],0),COLUMN(HostBuild[Description]))&lt;&gt;0,INDEX(HostBuild[],MATCH(E118,HostBuild[Alias],0),COLUMN(HostBuild[Description])),""),""),"")</f>
        <v>ESB-Digital -BW</v>
      </c>
      <c r="E118" s="281" t="s">
        <v>4117</v>
      </c>
      <c r="F118" s="270"/>
      <c r="G118" s="387">
        <v>0</v>
      </c>
      <c r="H118" s="272">
        <v>16</v>
      </c>
      <c r="I118" s="272">
        <v>0</v>
      </c>
      <c r="J118" s="272">
        <v>168.5</v>
      </c>
      <c r="K118" s="272">
        <v>168.5</v>
      </c>
      <c r="L118" s="272">
        <v>0</v>
      </c>
      <c r="M118" s="272"/>
      <c r="N118" s="266">
        <v>391.04281249999997</v>
      </c>
    </row>
    <row r="119" spans="1:14">
      <c r="A119" s="3" t="str">
        <f>IF(AND(NOT(ISBLANK(E119)),E119&lt;&gt;"(blank)"),IFERROR(IF(INDEX(HostBuild[],MATCH(E119,HostBuild[Alias],0),COLUMN(HostBuild[Hostname]))&lt;&gt;0,INDEX(HostBuild[],MATCH(E119,HostBuild[Alias],0),COLUMN(HostBuild[Hostname])),""),""),"")</f>
        <v/>
      </c>
      <c r="B119" s="424" t="str">
        <f>IF(AND(NOT(ISBLANK(E119)),E119&lt;&gt;"(blank)"),IFERROR(IF(INDEX(HostBuild[],MATCH(E119,HostBuild[Alias],0),COLUMN(HostBuild[Status]))&lt;&gt;0,INDEX(HostBuild[],MATCH(E119,HostBuild[Alias],0),COLUMN(HostBuild[Status])),""),""),"")</f>
        <v/>
      </c>
      <c r="C119" s="425" t="str">
        <f>IF(AND(NOT(ISBLANK(E119)),E119&lt;&gt;"(blank)"),IFERROR(IF(INDEX(HostBuild[],MATCH(E119,HostBuild[Alias],0),COLUMN(HostBuild[CTI Target Completion]))&lt;&gt;0,INDEX(HostBuild[],MATCH(E119,HostBuild[Alias],0),COLUMN(HostBuild[CTI Target Completion])),""),""),"")</f>
        <v/>
      </c>
      <c r="D119" s="262" t="str">
        <f>IF(AND(NOT(ISBLANK(E119)),E119&lt;&gt;"(blank)"),IFERROR(IF(INDEX(HostBuild[],MATCH(E119,HostBuild[Alias],0),COLUMN(HostBuild[Description]))&lt;&gt;0,INDEX(HostBuild[],MATCH(E119,HostBuild[Alias],0),COLUMN(HostBuild[Description])),""),""),"")</f>
        <v>ESB-Digital -BW</v>
      </c>
      <c r="E119" s="281" t="s">
        <v>4118</v>
      </c>
      <c r="F119" s="270"/>
      <c r="G119" s="387">
        <v>0</v>
      </c>
      <c r="H119" s="272">
        <v>16</v>
      </c>
      <c r="I119" s="272">
        <v>0</v>
      </c>
      <c r="J119" s="272">
        <v>168.5</v>
      </c>
      <c r="K119" s="272">
        <v>168.5</v>
      </c>
      <c r="L119" s="272">
        <v>0</v>
      </c>
      <c r="M119" s="272"/>
      <c r="N119" s="266">
        <v>279.8803125</v>
      </c>
    </row>
    <row r="120" spans="1:14">
      <c r="A120" s="3" t="str">
        <f>IF(AND(NOT(ISBLANK(E120)),E120&lt;&gt;"(blank)"),IFERROR(IF(INDEX(HostBuild[],MATCH(E120,HostBuild[Alias],0),COLUMN(HostBuild[Hostname]))&lt;&gt;0,INDEX(HostBuild[],MATCH(E120,HostBuild[Alias],0),COLUMN(HostBuild[Hostname])),""),""),"")</f>
        <v/>
      </c>
      <c r="B120" s="424" t="str">
        <f>IF(AND(NOT(ISBLANK(E120)),E120&lt;&gt;"(blank)"),IFERROR(IF(INDEX(HostBuild[],MATCH(E120,HostBuild[Alias],0),COLUMN(HostBuild[Status]))&lt;&gt;0,INDEX(HostBuild[],MATCH(E120,HostBuild[Alias],0),COLUMN(HostBuild[Status])),""),""),"")</f>
        <v/>
      </c>
      <c r="C120" s="425" t="str">
        <f>IF(AND(NOT(ISBLANK(E120)),E120&lt;&gt;"(blank)"),IFERROR(IF(INDEX(HostBuild[],MATCH(E120,HostBuild[Alias],0),COLUMN(HostBuild[CTI Target Completion]))&lt;&gt;0,INDEX(HostBuild[],MATCH(E120,HostBuild[Alias],0),COLUMN(HostBuild[CTI Target Completion])),""),""),"")</f>
        <v/>
      </c>
      <c r="D120" s="262" t="str">
        <f>IF(AND(NOT(ISBLANK(E120)),E120&lt;&gt;"(blank)"),IFERROR(IF(INDEX(HostBuild[],MATCH(E120,HostBuild[Alias],0),COLUMN(HostBuild[Description]))&lt;&gt;0,INDEX(HostBuild[],MATCH(E120,HostBuild[Alias],0),COLUMN(HostBuild[Description])),""),""),"")</f>
        <v>ESB-Digital -BW</v>
      </c>
      <c r="E120" s="281" t="s">
        <v>4119</v>
      </c>
      <c r="F120" s="270"/>
      <c r="G120" s="387">
        <v>0</v>
      </c>
      <c r="H120" s="272">
        <v>0</v>
      </c>
      <c r="I120" s="272">
        <v>0</v>
      </c>
      <c r="J120" s="272">
        <v>168.5</v>
      </c>
      <c r="K120" s="272">
        <v>168.5</v>
      </c>
      <c r="L120" s="272">
        <v>0</v>
      </c>
      <c r="M120" s="272"/>
      <c r="N120" s="266">
        <v>92.780312500000008</v>
      </c>
    </row>
    <row r="121" spans="1:14">
      <c r="A121" s="3" t="str">
        <f>IF(AND(NOT(ISBLANK(E121)),E121&lt;&gt;"(blank)"),IFERROR(IF(INDEX(HostBuild[],MATCH(E121,HostBuild[Alias],0),COLUMN(HostBuild[Hostname]))&lt;&gt;0,INDEX(HostBuild[],MATCH(E121,HostBuild[Alias],0),COLUMN(HostBuild[Hostname])),""),""),"")</f>
        <v/>
      </c>
      <c r="B121" s="424" t="str">
        <f>IF(AND(NOT(ISBLANK(E121)),E121&lt;&gt;"(blank)"),IFERROR(IF(INDEX(HostBuild[],MATCH(E121,HostBuild[Alias],0),COLUMN(HostBuild[Status]))&lt;&gt;0,INDEX(HostBuild[],MATCH(E121,HostBuild[Alias],0),COLUMN(HostBuild[Status])),""),""),"")</f>
        <v/>
      </c>
      <c r="C121" s="425" t="str">
        <f>IF(AND(NOT(ISBLANK(E121)),E121&lt;&gt;"(blank)"),IFERROR(IF(INDEX(HostBuild[],MATCH(E121,HostBuild[Alias],0),COLUMN(HostBuild[CTI Target Completion]))&lt;&gt;0,INDEX(HostBuild[],MATCH(E121,HostBuild[Alias],0),COLUMN(HostBuild[CTI Target Completion])),""),""),"")</f>
        <v/>
      </c>
      <c r="D121" s="262" t="str">
        <f>IF(AND(NOT(ISBLANK(E121)),E121&lt;&gt;"(blank)"),IFERROR(IF(INDEX(HostBuild[],MATCH(E121,HostBuild[Alias],0),COLUMN(HostBuild[Description]))&lt;&gt;0,INDEX(HostBuild[],MATCH(E121,HostBuild[Alias],0),COLUMN(HostBuild[Description])),""),""),"")</f>
        <v>ESB-Digital - EMS</v>
      </c>
      <c r="E121" s="281" t="s">
        <v>4092</v>
      </c>
      <c r="F121" s="270"/>
      <c r="G121" s="387">
        <v>0</v>
      </c>
      <c r="H121" s="272">
        <v>16</v>
      </c>
      <c r="I121" s="272">
        <v>0</v>
      </c>
      <c r="J121" s="272">
        <v>303.3</v>
      </c>
      <c r="K121" s="272">
        <v>303.3</v>
      </c>
      <c r="L121" s="272">
        <v>0</v>
      </c>
      <c r="M121" s="272"/>
      <c r="N121" s="266">
        <v>500.97956249999999</v>
      </c>
    </row>
    <row r="122" spans="1:14">
      <c r="A122" s="3" t="str">
        <f>IF(AND(NOT(ISBLANK(E122)),E122&lt;&gt;"(blank)"),IFERROR(IF(INDEX(HostBuild[],MATCH(E122,HostBuild[Alias],0),COLUMN(HostBuild[Hostname]))&lt;&gt;0,INDEX(HostBuild[],MATCH(E122,HostBuild[Alias],0),COLUMN(HostBuild[Hostname])),""),""),"")</f>
        <v/>
      </c>
      <c r="B122" s="424" t="str">
        <f>IF(AND(NOT(ISBLANK(E122)),E122&lt;&gt;"(blank)"),IFERROR(IF(INDEX(HostBuild[],MATCH(E122,HostBuild[Alias],0),COLUMN(HostBuild[Status]))&lt;&gt;0,INDEX(HostBuild[],MATCH(E122,HostBuild[Alias],0),COLUMN(HostBuild[Status])),""),""),"")</f>
        <v/>
      </c>
      <c r="C122" s="425" t="str">
        <f>IF(AND(NOT(ISBLANK(E122)),E122&lt;&gt;"(blank)"),IFERROR(IF(INDEX(HostBuild[],MATCH(E122,HostBuild[Alias],0),COLUMN(HostBuild[CTI Target Completion]))&lt;&gt;0,INDEX(HostBuild[],MATCH(E122,HostBuild[Alias],0),COLUMN(HostBuild[CTI Target Completion])),""),""),"")</f>
        <v/>
      </c>
      <c r="D122" s="262" t="str">
        <f>IF(AND(NOT(ISBLANK(E122)),E122&lt;&gt;"(blank)"),IFERROR(IF(INDEX(HostBuild[],MATCH(E122,HostBuild[Alias],0),COLUMN(HostBuild[Description]))&lt;&gt;0,INDEX(HostBuild[],MATCH(E122,HostBuild[Alias],0),COLUMN(HostBuild[Description])),""),""),"")</f>
        <v>ESB-Digital - EMS</v>
      </c>
      <c r="E122" s="281" t="s">
        <v>4093</v>
      </c>
      <c r="F122" s="270"/>
      <c r="G122" s="387">
        <v>0</v>
      </c>
      <c r="H122" s="272">
        <v>16</v>
      </c>
      <c r="I122" s="272">
        <v>0</v>
      </c>
      <c r="J122" s="272">
        <v>168.5</v>
      </c>
      <c r="K122" s="272">
        <v>168.5</v>
      </c>
      <c r="L122" s="272">
        <v>0</v>
      </c>
      <c r="M122" s="272"/>
      <c r="N122" s="266">
        <v>279.8803125</v>
      </c>
    </row>
    <row r="123" spans="1:14">
      <c r="A123" s="3" t="str">
        <f>IF(AND(NOT(ISBLANK(E123)),E123&lt;&gt;"(blank)"),IFERROR(IF(INDEX(HostBuild[],MATCH(E123,HostBuild[Alias],0),COLUMN(HostBuild[Hostname]))&lt;&gt;0,INDEX(HostBuild[],MATCH(E123,HostBuild[Alias],0),COLUMN(HostBuild[Hostname])),""),""),"")</f>
        <v/>
      </c>
      <c r="B123" s="424" t="str">
        <f>IF(AND(NOT(ISBLANK(E123)),E123&lt;&gt;"(blank)"),IFERROR(IF(INDEX(HostBuild[],MATCH(E123,HostBuild[Alias],0),COLUMN(HostBuild[Status]))&lt;&gt;0,INDEX(HostBuild[],MATCH(E123,HostBuild[Alias],0),COLUMN(HostBuild[Status])),""),""),"")</f>
        <v/>
      </c>
      <c r="C123" s="425" t="str">
        <f>IF(AND(NOT(ISBLANK(E123)),E123&lt;&gt;"(blank)"),IFERROR(IF(INDEX(HostBuild[],MATCH(E123,HostBuild[Alias],0),COLUMN(HostBuild[CTI Target Completion]))&lt;&gt;0,INDEX(HostBuild[],MATCH(E123,HostBuild[Alias],0),COLUMN(HostBuild[CTI Target Completion])),""),""),"")</f>
        <v/>
      </c>
      <c r="D123" s="262" t="str">
        <f>IF(AND(NOT(ISBLANK(E123)),E123&lt;&gt;"(blank)"),IFERROR(IF(INDEX(HostBuild[],MATCH(E123,HostBuild[Alias],0),COLUMN(HostBuild[Description]))&lt;&gt;0,INDEX(HostBuild[],MATCH(E123,HostBuild[Alias],0),COLUMN(HostBuild[Description])),""),""),"")</f>
        <v>ESB-Digital - EMS</v>
      </c>
      <c r="E123" s="281" t="s">
        <v>4094</v>
      </c>
      <c r="F123" s="270"/>
      <c r="G123" s="387">
        <v>0</v>
      </c>
      <c r="H123" s="272">
        <v>16</v>
      </c>
      <c r="I123" s="272">
        <v>0</v>
      </c>
      <c r="J123" s="272">
        <v>303.3</v>
      </c>
      <c r="K123" s="272">
        <v>303.3</v>
      </c>
      <c r="L123" s="272">
        <v>0</v>
      </c>
      <c r="M123" s="272"/>
      <c r="N123" s="266">
        <v>500.97956249999999</v>
      </c>
    </row>
    <row r="124" spans="1:14">
      <c r="A124" s="3" t="str">
        <f>IF(AND(NOT(ISBLANK(E124)),E124&lt;&gt;"(blank)"),IFERROR(IF(INDEX(HostBuild[],MATCH(E124,HostBuild[Alias],0),COLUMN(HostBuild[Hostname]))&lt;&gt;0,INDEX(HostBuild[],MATCH(E124,HostBuild[Alias],0),COLUMN(HostBuild[Hostname])),""),""),"")</f>
        <v/>
      </c>
      <c r="B124" s="424" t="str">
        <f>IF(AND(NOT(ISBLANK(E124)),E124&lt;&gt;"(blank)"),IFERROR(IF(INDEX(HostBuild[],MATCH(E124,HostBuild[Alias],0),COLUMN(HostBuild[Status]))&lt;&gt;0,INDEX(HostBuild[],MATCH(E124,HostBuild[Alias],0),COLUMN(HostBuild[Status])),""),""),"")</f>
        <v/>
      </c>
      <c r="C124" s="425" t="str">
        <f>IF(AND(NOT(ISBLANK(E124)),E124&lt;&gt;"(blank)"),IFERROR(IF(INDEX(HostBuild[],MATCH(E124,HostBuild[Alias],0),COLUMN(HostBuild[CTI Target Completion]))&lt;&gt;0,INDEX(HostBuild[],MATCH(E124,HostBuild[Alias],0),COLUMN(HostBuild[CTI Target Completion])),""),""),"")</f>
        <v/>
      </c>
      <c r="D124" s="262" t="str">
        <f>IF(AND(NOT(ISBLANK(E124)),E124&lt;&gt;"(blank)"),IFERROR(IF(INDEX(HostBuild[],MATCH(E124,HostBuild[Alias],0),COLUMN(HostBuild[Description]))&lt;&gt;0,INDEX(HostBuild[],MATCH(E124,HostBuild[Alias],0),COLUMN(HostBuild[Description])),""),""),"")</f>
        <v>ESB-Digital - EMS</v>
      </c>
      <c r="E124" s="281" t="s">
        <v>4095</v>
      </c>
      <c r="F124" s="270"/>
      <c r="G124" s="387">
        <v>0</v>
      </c>
      <c r="H124" s="272">
        <v>16</v>
      </c>
      <c r="I124" s="272">
        <v>0</v>
      </c>
      <c r="J124" s="272">
        <v>168.5</v>
      </c>
      <c r="K124" s="272">
        <v>168.5</v>
      </c>
      <c r="L124" s="272">
        <v>0</v>
      </c>
      <c r="M124" s="272"/>
      <c r="N124" s="266">
        <v>279.8803125</v>
      </c>
    </row>
    <row r="125" spans="1:14">
      <c r="A125" s="3" t="str">
        <f>IF(AND(NOT(ISBLANK(E125)),E125&lt;&gt;"(blank)"),IFERROR(IF(INDEX(HostBuild[],MATCH(E125,HostBuild[Alias],0),COLUMN(HostBuild[Hostname]))&lt;&gt;0,INDEX(HostBuild[],MATCH(E125,HostBuild[Alias],0),COLUMN(HostBuild[Hostname])),""),""),"")</f>
        <v/>
      </c>
      <c r="B125" s="424" t="str">
        <f>IF(AND(NOT(ISBLANK(E125)),E125&lt;&gt;"(blank)"),IFERROR(IF(INDEX(HostBuild[],MATCH(E125,HostBuild[Alias],0),COLUMN(HostBuild[Status]))&lt;&gt;0,INDEX(HostBuild[],MATCH(E125,HostBuild[Alias],0),COLUMN(HostBuild[Status])),""),""),"")</f>
        <v/>
      </c>
      <c r="C125" s="425" t="str">
        <f>IF(AND(NOT(ISBLANK(E125)),E125&lt;&gt;"(blank)"),IFERROR(IF(INDEX(HostBuild[],MATCH(E125,HostBuild[Alias],0),COLUMN(HostBuild[CTI Target Completion]))&lt;&gt;0,INDEX(HostBuild[],MATCH(E125,HostBuild[Alias],0),COLUMN(HostBuild[CTI Target Completion])),""),""),"")</f>
        <v/>
      </c>
      <c r="D125" s="262" t="str">
        <f>IF(AND(NOT(ISBLANK(E125)),E125&lt;&gt;"(blank)"),IFERROR(IF(INDEX(HostBuild[],MATCH(E125,HostBuild[Alias],0),COLUMN(HostBuild[Description]))&lt;&gt;0,INDEX(HostBuild[],MATCH(E125,HostBuild[Alias],0),COLUMN(HostBuild[Description])),""),""),"")</f>
        <v>OracleDB -TCONS,/URS/ ESB,/CMR,/Citiplanner,/CLMS</v>
      </c>
      <c r="E125" s="281" t="s">
        <v>4123</v>
      </c>
      <c r="F125" s="270"/>
      <c r="G125" s="387">
        <v>0</v>
      </c>
      <c r="H125" s="272">
        <v>0</v>
      </c>
      <c r="I125" s="272">
        <v>0</v>
      </c>
      <c r="J125" s="272">
        <v>505.50000000000006</v>
      </c>
      <c r="K125" s="272">
        <v>505.50000000000006</v>
      </c>
      <c r="L125" s="272">
        <v>0</v>
      </c>
      <c r="M125" s="272"/>
      <c r="N125" s="266">
        <v>465.44093750000002</v>
      </c>
    </row>
    <row r="126" spans="1:14">
      <c r="A126" s="3" t="str">
        <f>IF(AND(NOT(ISBLANK(E126)),E126&lt;&gt;"(blank)"),IFERROR(IF(INDEX(HostBuild[],MATCH(E126,HostBuild[Alias],0),COLUMN(HostBuild[Hostname]))&lt;&gt;0,INDEX(HostBuild[],MATCH(E126,HostBuild[Alias],0),COLUMN(HostBuild[Hostname])),""),""),"")</f>
        <v/>
      </c>
      <c r="B126" s="424" t="str">
        <f>IF(AND(NOT(ISBLANK(E126)),E126&lt;&gt;"(blank)"),IFERROR(IF(INDEX(HostBuild[],MATCH(E126,HostBuild[Alias],0),COLUMN(HostBuild[Status]))&lt;&gt;0,INDEX(HostBuild[],MATCH(E126,HostBuild[Alias],0),COLUMN(HostBuild[Status])),""),""),"")</f>
        <v/>
      </c>
      <c r="C126" s="425" t="str">
        <f>IF(AND(NOT(ISBLANK(E126)),E126&lt;&gt;"(blank)"),IFERROR(IF(INDEX(HostBuild[],MATCH(E126,HostBuild[Alias],0),COLUMN(HostBuild[CTI Target Completion]))&lt;&gt;0,INDEX(HostBuild[],MATCH(E126,HostBuild[Alias],0),COLUMN(HostBuild[CTI Target Completion])),""),""),"")</f>
        <v/>
      </c>
      <c r="D126" s="262" t="str">
        <f>IF(AND(NOT(ISBLANK(E126)),E126&lt;&gt;"(blank)"),IFERROR(IF(INDEX(HostBuild[],MATCH(E126,HostBuild[Alias],0),COLUMN(HostBuild[Description]))&lt;&gt;0,INDEX(HostBuild[],MATCH(E126,HostBuild[Alias],0),COLUMN(HostBuild[Description])),""),""),"")</f>
        <v>Web Server</v>
      </c>
      <c r="E126" s="281" t="s">
        <v>4072</v>
      </c>
      <c r="F126" s="270"/>
      <c r="G126" s="387">
        <v>2</v>
      </c>
      <c r="H126" s="272">
        <v>16</v>
      </c>
      <c r="I126" s="272">
        <v>128</v>
      </c>
      <c r="J126" s="272">
        <v>909.90000000000009</v>
      </c>
      <c r="K126" s="272">
        <v>909.90000000000009</v>
      </c>
      <c r="L126" s="272">
        <v>0</v>
      </c>
      <c r="M126" s="272"/>
      <c r="N126" s="266">
        <v>1389.7136875000001</v>
      </c>
    </row>
    <row r="127" spans="1:14">
      <c r="A127" s="3" t="str">
        <f>IF(AND(NOT(ISBLANK(E127)),E127&lt;&gt;"(blank)"),IFERROR(IF(INDEX(HostBuild[],MATCH(E127,HostBuild[Alias],0),COLUMN(HostBuild[Hostname]))&lt;&gt;0,INDEX(HostBuild[],MATCH(E127,HostBuild[Alias],0),COLUMN(HostBuild[Hostname])),""),""),"")</f>
        <v/>
      </c>
      <c r="B127" s="424" t="str">
        <f>IF(AND(NOT(ISBLANK(E127)),E127&lt;&gt;"(blank)"),IFERROR(IF(INDEX(HostBuild[],MATCH(E127,HostBuild[Alias],0),COLUMN(HostBuild[Status]))&lt;&gt;0,INDEX(HostBuild[],MATCH(E127,HostBuild[Alias],0),COLUMN(HostBuild[Status])),""),""),"")</f>
        <v/>
      </c>
      <c r="C127" s="425" t="str">
        <f>IF(AND(NOT(ISBLANK(E127)),E127&lt;&gt;"(blank)"),IFERROR(IF(INDEX(HostBuild[],MATCH(E127,HostBuild[Alias],0),COLUMN(HostBuild[CTI Target Completion]))&lt;&gt;0,INDEX(HostBuild[],MATCH(E127,HostBuild[Alias],0),COLUMN(HostBuild[CTI Target Completion])),""),""),"")</f>
        <v/>
      </c>
      <c r="D127" s="262" t="str">
        <f>IF(AND(NOT(ISBLANK(E127)),E127&lt;&gt;"(blank)"),IFERROR(IF(INDEX(HostBuild[],MATCH(E127,HostBuild[Alias],0),COLUMN(HostBuild[Description]))&lt;&gt;0,INDEX(HostBuild[],MATCH(E127,HostBuild[Alias],0),COLUMN(HostBuild[Description])),""),""),"")</f>
        <v>GR1 App Server</v>
      </c>
      <c r="E127" s="281" t="s">
        <v>4073</v>
      </c>
      <c r="F127" s="270"/>
      <c r="G127" s="387">
        <v>2</v>
      </c>
      <c r="H127" s="272">
        <v>16</v>
      </c>
      <c r="I127" s="272">
        <v>128</v>
      </c>
      <c r="J127" s="272">
        <v>808.80000000000007</v>
      </c>
      <c r="K127" s="272">
        <v>808.80000000000007</v>
      </c>
      <c r="L127" s="272">
        <v>0</v>
      </c>
      <c r="M127" s="272"/>
      <c r="N127" s="266">
        <v>1334.0455000000002</v>
      </c>
    </row>
    <row r="128" spans="1:14">
      <c r="A128" s="3" t="str">
        <f>IF(AND(NOT(ISBLANK(E128)),E128&lt;&gt;"(blank)"),IFERROR(IF(INDEX(HostBuild[],MATCH(E128,HostBuild[Alias],0),COLUMN(HostBuild[Hostname]))&lt;&gt;0,INDEX(HostBuild[],MATCH(E128,HostBuild[Alias],0),COLUMN(HostBuild[Hostname])),""),""),"")</f>
        <v/>
      </c>
      <c r="B128" s="424" t="str">
        <f>IF(AND(NOT(ISBLANK(E128)),E128&lt;&gt;"(blank)"),IFERROR(IF(INDEX(HostBuild[],MATCH(E128,HostBuild[Alias],0),COLUMN(HostBuild[Status]))&lt;&gt;0,INDEX(HostBuild[],MATCH(E128,HostBuild[Alias],0),COLUMN(HostBuild[Status])),""),""),"")</f>
        <v/>
      </c>
      <c r="C128" s="425" t="str">
        <f>IF(AND(NOT(ISBLANK(E128)),E128&lt;&gt;"(blank)"),IFERROR(IF(INDEX(HostBuild[],MATCH(E128,HostBuild[Alias],0),COLUMN(HostBuild[CTI Target Completion]))&lt;&gt;0,INDEX(HostBuild[],MATCH(E128,HostBuild[Alias],0),COLUMN(HostBuild[CTI Target Completion])),""),""),"")</f>
        <v/>
      </c>
      <c r="D128" s="262" t="str">
        <f>IF(AND(NOT(ISBLANK(E128)),E128&lt;&gt;"(blank)"),IFERROR(IF(INDEX(HostBuild[],MATCH(E128,HostBuild[Alias],0),COLUMN(HostBuild[Description]))&lt;&gt;0,INDEX(HostBuild[],MATCH(E128,HostBuild[Alias],0),COLUMN(HostBuild[Description])),""),""),"")</f>
        <v>GR2 App Server</v>
      </c>
      <c r="E128" s="281" t="s">
        <v>4074</v>
      </c>
      <c r="F128" s="270"/>
      <c r="G128" s="387">
        <v>2</v>
      </c>
      <c r="H128" s="272">
        <v>16</v>
      </c>
      <c r="I128" s="272">
        <v>128</v>
      </c>
      <c r="J128" s="272">
        <v>808.80000000000007</v>
      </c>
      <c r="K128" s="272">
        <v>808.80000000000007</v>
      </c>
      <c r="L128" s="272">
        <v>0</v>
      </c>
      <c r="M128" s="272"/>
      <c r="N128" s="266">
        <v>1334.0455000000002</v>
      </c>
    </row>
    <row r="129" spans="1:14">
      <c r="A129" s="3" t="str">
        <f>IF(AND(NOT(ISBLANK(E129)),E129&lt;&gt;"(blank)"),IFERROR(IF(INDEX(HostBuild[],MATCH(E129,HostBuild[Alias],0),COLUMN(HostBuild[Hostname]))&lt;&gt;0,INDEX(HostBuild[],MATCH(E129,HostBuild[Alias],0),COLUMN(HostBuild[Hostname])),""),""),"")</f>
        <v/>
      </c>
      <c r="B129" s="424" t="str">
        <f>IF(AND(NOT(ISBLANK(E129)),E129&lt;&gt;"(blank)"),IFERROR(IF(INDEX(HostBuild[],MATCH(E129,HostBuild[Alias],0),COLUMN(HostBuild[Status]))&lt;&gt;0,INDEX(HostBuild[],MATCH(E129,HostBuild[Alias],0),COLUMN(HostBuild[Status])),""),""),"")</f>
        <v/>
      </c>
      <c r="C129" s="425" t="str">
        <f>IF(AND(NOT(ISBLANK(E129)),E129&lt;&gt;"(blank)"),IFERROR(IF(INDEX(HostBuild[],MATCH(E129,HostBuild[Alias],0),COLUMN(HostBuild[CTI Target Completion]))&lt;&gt;0,INDEX(HostBuild[],MATCH(E129,HostBuild[Alias],0),COLUMN(HostBuild[CTI Target Completion])),""),""),"")</f>
        <v/>
      </c>
      <c r="D129" s="262" t="str">
        <f>IF(AND(NOT(ISBLANK(E129)),E129&lt;&gt;"(blank)"),IFERROR(IF(INDEX(HostBuild[],MATCH(E129,HostBuild[Alias],0),COLUMN(HostBuild[Description]))&lt;&gt;0,INDEX(HostBuild[],MATCH(E129,HostBuild[Alias],0),COLUMN(HostBuild[Description])),""),""),"")</f>
        <v>GR1 App Server</v>
      </c>
      <c r="E129" s="281" t="s">
        <v>4075</v>
      </c>
      <c r="F129" s="270"/>
      <c r="G129" s="387">
        <v>2</v>
      </c>
      <c r="H129" s="272">
        <v>16</v>
      </c>
      <c r="I129" s="272">
        <v>128</v>
      </c>
      <c r="J129" s="272">
        <v>1011.0000000000001</v>
      </c>
      <c r="K129" s="272">
        <v>1011.0000000000001</v>
      </c>
      <c r="L129" s="272">
        <v>0</v>
      </c>
      <c r="M129" s="272"/>
      <c r="N129" s="266">
        <v>1445.381875</v>
      </c>
    </row>
    <row r="130" spans="1:14">
      <c r="A130" s="3" t="str">
        <f>IF(AND(NOT(ISBLANK(E130)),E130&lt;&gt;"(blank)"),IFERROR(IF(INDEX(HostBuild[],MATCH(E130,HostBuild[Alias],0),COLUMN(HostBuild[Hostname]))&lt;&gt;0,INDEX(HostBuild[],MATCH(E130,HostBuild[Alias],0),COLUMN(HostBuild[Hostname])),""),""),"")</f>
        <v/>
      </c>
      <c r="B130" s="424" t="str">
        <f>IF(AND(NOT(ISBLANK(E130)),E130&lt;&gt;"(blank)"),IFERROR(IF(INDEX(HostBuild[],MATCH(E130,HostBuild[Alias],0),COLUMN(HostBuild[Status]))&lt;&gt;0,INDEX(HostBuild[],MATCH(E130,HostBuild[Alias],0),COLUMN(HostBuild[Status])),""),""),"")</f>
        <v/>
      </c>
      <c r="C130" s="425" t="str">
        <f>IF(AND(NOT(ISBLANK(E130)),E130&lt;&gt;"(blank)"),IFERROR(IF(INDEX(HostBuild[],MATCH(E130,HostBuild[Alias],0),COLUMN(HostBuild[CTI Target Completion]))&lt;&gt;0,INDEX(HostBuild[],MATCH(E130,HostBuild[Alias],0),COLUMN(HostBuild[CTI Target Completion])),""),""),"")</f>
        <v/>
      </c>
      <c r="D130" s="262" t="str">
        <f>IF(AND(NOT(ISBLANK(E130)),E130&lt;&gt;"(blank)"),IFERROR(IF(INDEX(HostBuild[],MATCH(E130,HostBuild[Alias],0),COLUMN(HostBuild[Description]))&lt;&gt;0,INDEX(HostBuild[],MATCH(E130,HostBuild[Alias],0),COLUMN(HostBuild[Description])),""),""),"")</f>
        <v>GR2 App Server</v>
      </c>
      <c r="E130" s="281" t="s">
        <v>4076</v>
      </c>
      <c r="F130" s="270"/>
      <c r="G130" s="387">
        <v>2</v>
      </c>
      <c r="H130" s="272">
        <v>16</v>
      </c>
      <c r="I130" s="272">
        <v>128</v>
      </c>
      <c r="J130" s="272">
        <v>1011.0000000000001</v>
      </c>
      <c r="K130" s="272">
        <v>1011.0000000000001</v>
      </c>
      <c r="L130" s="272">
        <v>0</v>
      </c>
      <c r="M130" s="272"/>
      <c r="N130" s="266">
        <v>1445.381875</v>
      </c>
    </row>
    <row r="131" spans="1:14">
      <c r="A131" s="3" t="str">
        <f>IF(AND(NOT(ISBLANK(E131)),E131&lt;&gt;"(blank)"),IFERROR(IF(INDEX(HostBuild[],MATCH(E131,HostBuild[Alias],0),COLUMN(HostBuild[Hostname]))&lt;&gt;0,INDEX(HostBuild[],MATCH(E131,HostBuild[Alias],0),COLUMN(HostBuild[Hostname])),""),""),"")</f>
        <v/>
      </c>
      <c r="B131" s="424" t="str">
        <f>IF(AND(NOT(ISBLANK(E131)),E131&lt;&gt;"(blank)"),IFERROR(IF(INDEX(HostBuild[],MATCH(E131,HostBuild[Alias],0),COLUMN(HostBuild[Status]))&lt;&gt;0,INDEX(HostBuild[],MATCH(E131,HostBuild[Alias],0),COLUMN(HostBuild[Status])),""),""),"")</f>
        <v/>
      </c>
      <c r="C131" s="425" t="str">
        <f>IF(AND(NOT(ISBLANK(E131)),E131&lt;&gt;"(blank)"),IFERROR(IF(INDEX(HostBuild[],MATCH(E131,HostBuild[Alias],0),COLUMN(HostBuild[CTI Target Completion]))&lt;&gt;0,INDEX(HostBuild[],MATCH(E131,HostBuild[Alias],0),COLUMN(HostBuild[CTI Target Completion])),""),""),"")</f>
        <v/>
      </c>
      <c r="D131" s="262" t="str">
        <f>IF(AND(NOT(ISBLANK(E131)),E131&lt;&gt;"(blank)"),IFERROR(IF(INDEX(HostBuild[],MATCH(E131,HostBuild[Alias],0),COLUMN(HostBuild[Description]))&lt;&gt;0,INDEX(HostBuild[],MATCH(E131,HostBuild[Alias],0),COLUMN(HostBuild[Description])),""),""),"")</f>
        <v>DB Server</v>
      </c>
      <c r="E131" s="281" t="s">
        <v>4077</v>
      </c>
      <c r="F131" s="270"/>
      <c r="G131" s="387">
        <v>2</v>
      </c>
      <c r="H131" s="272">
        <v>16</v>
      </c>
      <c r="I131" s="272">
        <v>128</v>
      </c>
      <c r="J131" s="272">
        <v>1718.7000000000003</v>
      </c>
      <c r="K131" s="272">
        <v>1718.7000000000003</v>
      </c>
      <c r="L131" s="272">
        <v>0</v>
      </c>
      <c r="M131" s="272"/>
      <c r="N131" s="266">
        <v>1835.0591875000002</v>
      </c>
    </row>
    <row r="132" spans="1:14">
      <c r="A132" s="3" t="str">
        <f>IF(AND(NOT(ISBLANK(E132)),E132&lt;&gt;"(blank)"),IFERROR(IF(INDEX(HostBuild[],MATCH(E132,HostBuild[Alias],0),COLUMN(HostBuild[Hostname]))&lt;&gt;0,INDEX(HostBuild[],MATCH(E132,HostBuild[Alias],0),COLUMN(HostBuild[Hostname])),""),""),"")</f>
        <v/>
      </c>
      <c r="B132" s="424" t="str">
        <f>IF(AND(NOT(ISBLANK(E132)),E132&lt;&gt;"(blank)"),IFERROR(IF(INDEX(HostBuild[],MATCH(E132,HostBuild[Alias],0),COLUMN(HostBuild[Status]))&lt;&gt;0,INDEX(HostBuild[],MATCH(E132,HostBuild[Alias],0),COLUMN(HostBuild[Status])),""),""),"")</f>
        <v/>
      </c>
      <c r="C132" s="425" t="str">
        <f>IF(AND(NOT(ISBLANK(E132)),E132&lt;&gt;"(blank)"),IFERROR(IF(INDEX(HostBuild[],MATCH(E132,HostBuild[Alias],0),COLUMN(HostBuild[CTI Target Completion]))&lt;&gt;0,INDEX(HostBuild[],MATCH(E132,HostBuild[Alias],0),COLUMN(HostBuild[CTI Target Completion])),""),""),"")</f>
        <v/>
      </c>
      <c r="D132" s="262" t="str">
        <f>IF(AND(NOT(ISBLANK(E132)),E132&lt;&gt;"(blank)"),IFERROR(IF(INDEX(HostBuild[],MATCH(E132,HostBuild[Alias],0),COLUMN(HostBuild[Description]))&lt;&gt;0,INDEX(HostBuild[],MATCH(E132,HostBuild[Alias],0),COLUMN(HostBuild[Description])),""),""),"")</f>
        <v>CitiAlert Server</v>
      </c>
      <c r="E132" s="281" t="s">
        <v>4081</v>
      </c>
      <c r="F132" s="270"/>
      <c r="G132" s="387">
        <v>1</v>
      </c>
      <c r="H132" s="272">
        <v>1</v>
      </c>
      <c r="I132" s="272">
        <v>128</v>
      </c>
      <c r="J132" s="272">
        <v>606.6</v>
      </c>
      <c r="K132" s="272">
        <v>606.6</v>
      </c>
      <c r="L132" s="272">
        <v>0</v>
      </c>
      <c r="M132" s="272"/>
      <c r="N132" s="266">
        <v>2358.1091249999995</v>
      </c>
    </row>
    <row r="133" spans="1:14">
      <c r="A133" s="3" t="str">
        <f>IF(AND(NOT(ISBLANK(E133)),E133&lt;&gt;"(blank)"),IFERROR(IF(INDEX(HostBuild[],MATCH(E133,HostBuild[Alias],0),COLUMN(HostBuild[Hostname]))&lt;&gt;0,INDEX(HostBuild[],MATCH(E133,HostBuild[Alias],0),COLUMN(HostBuild[Hostname])),""),""),"")</f>
        <v/>
      </c>
      <c r="B133" s="424" t="str">
        <f>IF(AND(NOT(ISBLANK(E133)),E133&lt;&gt;"(blank)"),IFERROR(IF(INDEX(HostBuild[],MATCH(E133,HostBuild[Alias],0),COLUMN(HostBuild[Status]))&lt;&gt;0,INDEX(HostBuild[],MATCH(E133,HostBuild[Alias],0),COLUMN(HostBuild[Status])),""),""),"")</f>
        <v/>
      </c>
      <c r="C133" s="425" t="str">
        <f>IF(AND(NOT(ISBLANK(E133)),E133&lt;&gt;"(blank)"),IFERROR(IF(INDEX(HostBuild[],MATCH(E133,HostBuild[Alias],0),COLUMN(HostBuild[CTI Target Completion]))&lt;&gt;0,INDEX(HostBuild[],MATCH(E133,HostBuild[Alias],0),COLUMN(HostBuild[CTI Target Completion])),""),""),"")</f>
        <v/>
      </c>
      <c r="D133" s="262" t="str">
        <f>IF(AND(NOT(ISBLANK(E133)),E133&lt;&gt;"(blank)"),IFERROR(IF(INDEX(HostBuild[],MATCH(E133,HostBuild[Alias],0),COLUMN(HostBuild[Description]))&lt;&gt;0,INDEX(HostBuild[],MATCH(E133,HostBuild[Alias],0),COLUMN(HostBuild[Description])),""),""),"")</f>
        <v>ESTMT</v>
      </c>
      <c r="E133" s="281" t="s">
        <v>4082</v>
      </c>
      <c r="F133" s="270"/>
      <c r="G133" s="387">
        <v>1</v>
      </c>
      <c r="H133" s="272">
        <v>2</v>
      </c>
      <c r="I133" s="272">
        <v>48</v>
      </c>
      <c r="J133" s="272">
        <v>606.6</v>
      </c>
      <c r="K133" s="272">
        <v>606.6</v>
      </c>
      <c r="L133" s="272">
        <v>0</v>
      </c>
      <c r="M133" s="272"/>
      <c r="N133" s="266">
        <v>1638.1091249999999</v>
      </c>
    </row>
    <row r="134" spans="1:14">
      <c r="A134" s="3" t="str">
        <f>IF(AND(NOT(ISBLANK(E134)),E134&lt;&gt;"(blank)"),IFERROR(IF(INDEX(HostBuild[],MATCH(E134,HostBuild[Alias],0),COLUMN(HostBuild[Hostname]))&lt;&gt;0,INDEX(HostBuild[],MATCH(E134,HostBuild[Alias],0),COLUMN(HostBuild[Hostname])),""),""),"")</f>
        <v/>
      </c>
      <c r="B134" s="424" t="str">
        <f>IF(AND(NOT(ISBLANK(E134)),E134&lt;&gt;"(blank)"),IFERROR(IF(INDEX(HostBuild[],MATCH(E134,HostBuild[Alias],0),COLUMN(HostBuild[Status]))&lt;&gt;0,INDEX(HostBuild[],MATCH(E134,HostBuild[Alias],0),COLUMN(HostBuild[Status])),""),""),"")</f>
        <v/>
      </c>
      <c r="C134" s="425" t="str">
        <f>IF(AND(NOT(ISBLANK(E134)),E134&lt;&gt;"(blank)"),IFERROR(IF(INDEX(HostBuild[],MATCH(E134,HostBuild[Alias],0),COLUMN(HostBuild[CTI Target Completion]))&lt;&gt;0,INDEX(HostBuild[],MATCH(E134,HostBuild[Alias],0),COLUMN(HostBuild[CTI Target Completion])),""),""),"")</f>
        <v/>
      </c>
      <c r="D134" s="262" t="str">
        <f>IF(AND(NOT(ISBLANK(E134)),E134&lt;&gt;"(blank)"),IFERROR(IF(INDEX(HostBuild[],MATCH(E134,HostBuild[Alias],0),COLUMN(HostBuild[Description]))&lt;&gt;0,INDEX(HostBuild[],MATCH(E134,HostBuild[Alias],0),COLUMN(HostBuild[Description])),""),""),"")</f>
        <v>Web Server</v>
      </c>
      <c r="E134" s="281" t="s">
        <v>4051</v>
      </c>
      <c r="F134" s="270"/>
      <c r="G134" s="387">
        <v>2</v>
      </c>
      <c r="H134" s="272">
        <v>16</v>
      </c>
      <c r="I134" s="272">
        <v>128</v>
      </c>
      <c r="J134" s="272">
        <v>808.80000000000007</v>
      </c>
      <c r="K134" s="272">
        <v>808.80000000000007</v>
      </c>
      <c r="L134" s="272">
        <v>0</v>
      </c>
      <c r="M134" s="272"/>
      <c r="N134" s="266">
        <v>1334.0455000000002</v>
      </c>
    </row>
    <row r="135" spans="1:14">
      <c r="A135" s="3" t="str">
        <f>IF(AND(NOT(ISBLANK(E135)),E135&lt;&gt;"(blank)"),IFERROR(IF(INDEX(HostBuild[],MATCH(E135,HostBuild[Alias],0),COLUMN(HostBuild[Hostname]))&lt;&gt;0,INDEX(HostBuild[],MATCH(E135,HostBuild[Alias],0),COLUMN(HostBuild[Hostname])),""),""),"")</f>
        <v/>
      </c>
      <c r="B135" s="424" t="str">
        <f>IF(AND(NOT(ISBLANK(E135)),E135&lt;&gt;"(blank)"),IFERROR(IF(INDEX(HostBuild[],MATCH(E135,HostBuild[Alias],0),COLUMN(HostBuild[Status]))&lt;&gt;0,INDEX(HostBuild[],MATCH(E135,HostBuild[Alias],0),COLUMN(HostBuild[Status])),""),""),"")</f>
        <v/>
      </c>
      <c r="C135" s="425" t="str">
        <f>IF(AND(NOT(ISBLANK(E135)),E135&lt;&gt;"(blank)"),IFERROR(IF(INDEX(HostBuild[],MATCH(E135,HostBuild[Alias],0),COLUMN(HostBuild[CTI Target Completion]))&lt;&gt;0,INDEX(HostBuild[],MATCH(E135,HostBuild[Alias],0),COLUMN(HostBuild[CTI Target Completion])),""),""),"")</f>
        <v/>
      </c>
      <c r="D135" s="262" t="str">
        <f>IF(AND(NOT(ISBLANK(E135)),E135&lt;&gt;"(blank)"),IFERROR(IF(INDEX(HostBuild[],MATCH(E135,HostBuild[Alias],0),COLUMN(HostBuild[Description]))&lt;&gt;0,INDEX(HostBuild[],MATCH(E135,HostBuild[Alias],0),COLUMN(HostBuild[Description])),""),""),"")</f>
        <v>DB Server Cluster1</v>
      </c>
      <c r="E135" s="281" t="s">
        <v>4060</v>
      </c>
      <c r="F135" s="270"/>
      <c r="G135" s="387">
        <v>2</v>
      </c>
      <c r="H135" s="272">
        <v>16</v>
      </c>
      <c r="I135" s="272">
        <v>128</v>
      </c>
      <c r="J135" s="272">
        <v>370.70000000000005</v>
      </c>
      <c r="K135" s="272">
        <v>370.70000000000005</v>
      </c>
      <c r="L135" s="272">
        <v>0</v>
      </c>
      <c r="M135" s="272"/>
      <c r="N135" s="266">
        <v>1092.8166875000002</v>
      </c>
    </row>
    <row r="136" spans="1:14">
      <c r="A136" s="3" t="str">
        <f>IF(AND(NOT(ISBLANK(E136)),E136&lt;&gt;"(blank)"),IFERROR(IF(INDEX(HostBuild[],MATCH(E136,HostBuild[Alias],0),COLUMN(HostBuild[Hostname]))&lt;&gt;0,INDEX(HostBuild[],MATCH(E136,HostBuild[Alias],0),COLUMN(HostBuild[Hostname])),""),""),"")</f>
        <v/>
      </c>
      <c r="B136" s="424" t="str">
        <f>IF(AND(NOT(ISBLANK(E136)),E136&lt;&gt;"(blank)"),IFERROR(IF(INDEX(HostBuild[],MATCH(E136,HostBuild[Alias],0),COLUMN(HostBuild[Status]))&lt;&gt;0,INDEX(HostBuild[],MATCH(E136,HostBuild[Alias],0),COLUMN(HostBuild[Status])),""),""),"")</f>
        <v/>
      </c>
      <c r="C136" s="425" t="str">
        <f>IF(AND(NOT(ISBLANK(E136)),E136&lt;&gt;"(blank)"),IFERROR(IF(INDEX(HostBuild[],MATCH(E136,HostBuild[Alias],0),COLUMN(HostBuild[CTI Target Completion]))&lt;&gt;0,INDEX(HostBuild[],MATCH(E136,HostBuild[Alias],0),COLUMN(HostBuild[CTI Target Completion])),""),""),"")</f>
        <v/>
      </c>
      <c r="D136" s="262" t="str">
        <f>IF(AND(NOT(ISBLANK(E136)),E136&lt;&gt;"(blank)"),IFERROR(IF(INDEX(HostBuild[],MATCH(E136,HostBuild[Alias],0),COLUMN(HostBuild[Description]))&lt;&gt;0,INDEX(HostBuild[],MATCH(E136,HostBuild[Alias],0),COLUMN(HostBuild[Description])),""),""),"")</f>
        <v>Data Guard Cluster1</v>
      </c>
      <c r="E136" s="281" t="s">
        <v>4061</v>
      </c>
      <c r="F136" s="270"/>
      <c r="G136" s="387">
        <v>2</v>
      </c>
      <c r="H136" s="272">
        <v>16</v>
      </c>
      <c r="I136" s="272">
        <v>128</v>
      </c>
      <c r="J136" s="272">
        <v>1853.5000000000002</v>
      </c>
      <c r="K136" s="272">
        <v>1853.5000000000002</v>
      </c>
      <c r="L136" s="272">
        <v>0</v>
      </c>
      <c r="M136" s="272"/>
      <c r="N136" s="266">
        <v>3576.7209375000007</v>
      </c>
    </row>
    <row r="137" spans="1:14">
      <c r="A137" s="3" t="str">
        <f>IF(AND(NOT(ISBLANK(E137)),E137&lt;&gt;"(blank)"),IFERROR(IF(INDEX(HostBuild[],MATCH(E137,HostBuild[Alias],0),COLUMN(HostBuild[Hostname]))&lt;&gt;0,INDEX(HostBuild[],MATCH(E137,HostBuild[Alias],0),COLUMN(HostBuild[Hostname])),""),""),"")</f>
        <v/>
      </c>
      <c r="B137" s="424" t="str">
        <f>IF(AND(NOT(ISBLANK(E137)),E137&lt;&gt;"(blank)"),IFERROR(IF(INDEX(HostBuild[],MATCH(E137,HostBuild[Alias],0),COLUMN(HostBuild[Status]))&lt;&gt;0,INDEX(HostBuild[],MATCH(E137,HostBuild[Alias],0),COLUMN(HostBuild[Status])),""),""),"")</f>
        <v/>
      </c>
      <c r="C137" s="425" t="str">
        <f>IF(AND(NOT(ISBLANK(E137)),E137&lt;&gt;"(blank)"),IFERROR(IF(INDEX(HostBuild[],MATCH(E137,HostBuild[Alias],0),COLUMN(HostBuild[CTI Target Completion]))&lt;&gt;0,INDEX(HostBuild[],MATCH(E137,HostBuild[Alias],0),COLUMN(HostBuild[CTI Target Completion])),""),""),"")</f>
        <v/>
      </c>
      <c r="D137" s="262" t="str">
        <f>IF(AND(NOT(ISBLANK(E137)),E137&lt;&gt;"(blank)"),IFERROR(IF(INDEX(HostBuild[],MATCH(E137,HostBuild[Alias],0),COLUMN(HostBuild[Description]))&lt;&gt;0,INDEX(HostBuild[],MATCH(E137,HostBuild[Alias],0),COLUMN(HostBuild[Description])),""),""),"")</f>
        <v>Data Guard Cluster1</v>
      </c>
      <c r="E137" s="281" t="s">
        <v>4062</v>
      </c>
      <c r="F137" s="270"/>
      <c r="G137" s="387">
        <v>2</v>
      </c>
      <c r="H137" s="272">
        <v>16</v>
      </c>
      <c r="I137" s="272">
        <v>128</v>
      </c>
      <c r="J137" s="272">
        <v>370.70000000000005</v>
      </c>
      <c r="K137" s="272">
        <v>370.70000000000005</v>
      </c>
      <c r="L137" s="272">
        <v>0</v>
      </c>
      <c r="M137" s="272"/>
      <c r="N137" s="266">
        <v>1092.8166875000002</v>
      </c>
    </row>
    <row r="138" spans="1:14">
      <c r="A138" s="3" t="str">
        <f>IF(AND(NOT(ISBLANK(E138)),E138&lt;&gt;"(blank)"),IFERROR(IF(INDEX(HostBuild[],MATCH(E138,HostBuild[Alias],0),COLUMN(HostBuild[Hostname]))&lt;&gt;0,INDEX(HostBuild[],MATCH(E138,HostBuild[Alias],0),COLUMN(HostBuild[Hostname])),""),""),"")</f>
        <v/>
      </c>
      <c r="B138" s="424" t="str">
        <f>IF(AND(NOT(ISBLANK(E138)),E138&lt;&gt;"(blank)"),IFERROR(IF(INDEX(HostBuild[],MATCH(E138,HostBuild[Alias],0),COLUMN(HostBuild[Status]))&lt;&gt;0,INDEX(HostBuild[],MATCH(E138,HostBuild[Alias],0),COLUMN(HostBuild[Status])),""),""),"")</f>
        <v/>
      </c>
      <c r="C138" s="425" t="str">
        <f>IF(AND(NOT(ISBLANK(E138)),E138&lt;&gt;"(blank)"),IFERROR(IF(INDEX(HostBuild[],MATCH(E138,HostBuild[Alias],0),COLUMN(HostBuild[CTI Target Completion]))&lt;&gt;0,INDEX(HostBuild[],MATCH(E138,HostBuild[Alias],0),COLUMN(HostBuild[CTI Target Completion])),""),""),"")</f>
        <v/>
      </c>
      <c r="D138" s="262" t="str">
        <f>IF(AND(NOT(ISBLANK(E138)),E138&lt;&gt;"(blank)"),IFERROR(IF(INDEX(HostBuild[],MATCH(E138,HostBuild[Alias],0),COLUMN(HostBuild[Description]))&lt;&gt;0,INDEX(HostBuild[],MATCH(E138,HostBuild[Alias],0),COLUMN(HostBuild[Description])),""),""),"")</f>
        <v>DB Server Cluster2</v>
      </c>
      <c r="E138" s="281" t="s">
        <v>4063</v>
      </c>
      <c r="F138" s="270"/>
      <c r="G138" s="387">
        <v>2</v>
      </c>
      <c r="H138" s="272">
        <v>16</v>
      </c>
      <c r="I138" s="272">
        <v>128</v>
      </c>
      <c r="J138" s="272">
        <v>1853.5000000000002</v>
      </c>
      <c r="K138" s="272">
        <v>1853.5000000000002</v>
      </c>
      <c r="L138" s="272">
        <v>0</v>
      </c>
      <c r="M138" s="272"/>
      <c r="N138" s="266">
        <v>3576.7209375000007</v>
      </c>
    </row>
    <row r="139" spans="1:14">
      <c r="A139" s="3" t="str">
        <f>IF(AND(NOT(ISBLANK(E139)),E139&lt;&gt;"(blank)"),IFERROR(IF(INDEX(HostBuild[],MATCH(E139,HostBuild[Alias],0),COLUMN(HostBuild[Hostname]))&lt;&gt;0,INDEX(HostBuild[],MATCH(E139,HostBuild[Alias],0),COLUMN(HostBuild[Hostname])),""),""),"")</f>
        <v/>
      </c>
      <c r="B139" s="424" t="str">
        <f>IF(AND(NOT(ISBLANK(E139)),E139&lt;&gt;"(blank)"),IFERROR(IF(INDEX(HostBuild[],MATCH(E139,HostBuild[Alias],0),COLUMN(HostBuild[Status]))&lt;&gt;0,INDEX(HostBuild[],MATCH(E139,HostBuild[Alias],0),COLUMN(HostBuild[Status])),""),""),"")</f>
        <v/>
      </c>
      <c r="C139" s="425" t="str">
        <f>IF(AND(NOT(ISBLANK(E139)),E139&lt;&gt;"(blank)"),IFERROR(IF(INDEX(HostBuild[],MATCH(E139,HostBuild[Alias],0),COLUMN(HostBuild[CTI Target Completion]))&lt;&gt;0,INDEX(HostBuild[],MATCH(E139,HostBuild[Alias],0),COLUMN(HostBuild[CTI Target Completion])),""),""),"")</f>
        <v/>
      </c>
      <c r="D139" s="262" t="str">
        <f>IF(AND(NOT(ISBLANK(E139)),E139&lt;&gt;"(blank)"),IFERROR(IF(INDEX(HostBuild[],MATCH(E139,HostBuild[Alias],0),COLUMN(HostBuild[Description]))&lt;&gt;0,INDEX(HostBuild[],MATCH(E139,HostBuild[Alias],0),COLUMN(HostBuild[Description])),""),""),"")</f>
        <v>DB Server Cluster2</v>
      </c>
      <c r="E139" s="281" t="s">
        <v>4064</v>
      </c>
      <c r="F139" s="270"/>
      <c r="G139" s="387">
        <v>2</v>
      </c>
      <c r="H139" s="272">
        <v>16</v>
      </c>
      <c r="I139" s="272">
        <v>128</v>
      </c>
      <c r="J139" s="272">
        <v>370.70000000000005</v>
      </c>
      <c r="K139" s="272">
        <v>370.70000000000005</v>
      </c>
      <c r="L139" s="272">
        <v>0</v>
      </c>
      <c r="M139" s="272"/>
      <c r="N139" s="266">
        <v>1092.8166875000002</v>
      </c>
    </row>
    <row r="140" spans="1:14">
      <c r="A140" s="3" t="str">
        <f>IF(AND(NOT(ISBLANK(E140)),E140&lt;&gt;"(blank)"),IFERROR(IF(INDEX(HostBuild[],MATCH(E140,HostBuild[Alias],0),COLUMN(HostBuild[Hostname]))&lt;&gt;0,INDEX(HostBuild[],MATCH(E140,HostBuild[Alias],0),COLUMN(HostBuild[Hostname])),""),""),"")</f>
        <v/>
      </c>
      <c r="B140" s="424" t="str">
        <f>IF(AND(NOT(ISBLANK(E140)),E140&lt;&gt;"(blank)"),IFERROR(IF(INDEX(HostBuild[],MATCH(E140,HostBuild[Alias],0),COLUMN(HostBuild[Status]))&lt;&gt;0,INDEX(HostBuild[],MATCH(E140,HostBuild[Alias],0),COLUMN(HostBuild[Status])),""),""),"")</f>
        <v/>
      </c>
      <c r="C140" s="425" t="str">
        <f>IF(AND(NOT(ISBLANK(E140)),E140&lt;&gt;"(blank)"),IFERROR(IF(INDEX(HostBuild[],MATCH(E140,HostBuild[Alias],0),COLUMN(HostBuild[CTI Target Completion]))&lt;&gt;0,INDEX(HostBuild[],MATCH(E140,HostBuild[Alias],0),COLUMN(HostBuild[CTI Target Completion])),""),""),"")</f>
        <v/>
      </c>
      <c r="D140" s="262" t="str">
        <f>IF(AND(NOT(ISBLANK(E140)),E140&lt;&gt;"(blank)"),IFERROR(IF(INDEX(HostBuild[],MATCH(E140,HostBuild[Alias],0),COLUMN(HostBuild[Description]))&lt;&gt;0,INDEX(HostBuild[],MATCH(E140,HostBuild[Alias],0),COLUMN(HostBuild[Description])),""),""),"")</f>
        <v>Data Guard Cluster2</v>
      </c>
      <c r="E140" s="281" t="s">
        <v>4065</v>
      </c>
      <c r="F140" s="270"/>
      <c r="G140" s="387">
        <v>2</v>
      </c>
      <c r="H140" s="272">
        <v>16</v>
      </c>
      <c r="I140" s="272">
        <v>128</v>
      </c>
      <c r="J140" s="272">
        <v>1853.5000000000002</v>
      </c>
      <c r="K140" s="272">
        <v>1853.5000000000002</v>
      </c>
      <c r="L140" s="272">
        <v>0</v>
      </c>
      <c r="M140" s="272"/>
      <c r="N140" s="266">
        <v>3576.7209375000007</v>
      </c>
    </row>
    <row r="141" spans="1:14">
      <c r="A141" s="3" t="str">
        <f>IF(AND(NOT(ISBLANK(E141)),E141&lt;&gt;"(blank)"),IFERROR(IF(INDEX(HostBuild[],MATCH(E141,HostBuild[Alias],0),COLUMN(HostBuild[Hostname]))&lt;&gt;0,INDEX(HostBuild[],MATCH(E141,HostBuild[Alias],0),COLUMN(HostBuild[Hostname])),""),""),"")</f>
        <v/>
      </c>
      <c r="B141" s="424" t="str">
        <f>IF(AND(NOT(ISBLANK(E141)),E141&lt;&gt;"(blank)"),IFERROR(IF(INDEX(HostBuild[],MATCH(E141,HostBuild[Alias],0),COLUMN(HostBuild[Status]))&lt;&gt;0,INDEX(HostBuild[],MATCH(E141,HostBuild[Alias],0),COLUMN(HostBuild[Status])),""),""),"")</f>
        <v/>
      </c>
      <c r="C141" s="425" t="str">
        <f>IF(AND(NOT(ISBLANK(E141)),E141&lt;&gt;"(blank)"),IFERROR(IF(INDEX(HostBuild[],MATCH(E141,HostBuild[Alias],0),COLUMN(HostBuild[CTI Target Completion]))&lt;&gt;0,INDEX(HostBuild[],MATCH(E141,HostBuild[Alias],0),COLUMN(HostBuild[CTI Target Completion])),""),""),"")</f>
        <v/>
      </c>
      <c r="D141" s="262" t="str">
        <f>IF(AND(NOT(ISBLANK(E141)),E141&lt;&gt;"(blank)"),IFERROR(IF(INDEX(HostBuild[],MATCH(E141,HostBuild[Alias],0),COLUMN(HostBuild[Description]))&lt;&gt;0,INDEX(HostBuild[],MATCH(E141,HostBuild[Alias],0),COLUMN(HostBuild[Description])),""),""),"")</f>
        <v>Data Guard Cluster2</v>
      </c>
      <c r="E141" s="281" t="s">
        <v>4066</v>
      </c>
      <c r="F141" s="270"/>
      <c r="G141" s="387">
        <v>2</v>
      </c>
      <c r="H141" s="272">
        <v>16</v>
      </c>
      <c r="I141" s="272">
        <v>128</v>
      </c>
      <c r="J141" s="272">
        <v>370.70000000000005</v>
      </c>
      <c r="K141" s="272">
        <v>370.70000000000005</v>
      </c>
      <c r="L141" s="272">
        <v>0</v>
      </c>
      <c r="M141" s="272"/>
      <c r="N141" s="266">
        <v>1092.8166875000002</v>
      </c>
    </row>
    <row r="142" spans="1:14">
      <c r="A142" s="3" t="str">
        <f>IF(AND(NOT(ISBLANK(E142)),E142&lt;&gt;"(blank)"),IFERROR(IF(INDEX(HostBuild[],MATCH(E142,HostBuild[Alias],0),COLUMN(HostBuild[Hostname]))&lt;&gt;0,INDEX(HostBuild[],MATCH(E142,HostBuild[Alias],0),COLUMN(HostBuild[Hostname])),""),""),"")</f>
        <v/>
      </c>
      <c r="B142" s="424" t="str">
        <f>IF(AND(NOT(ISBLANK(E142)),E142&lt;&gt;"(blank)"),IFERROR(IF(INDEX(HostBuild[],MATCH(E142,HostBuild[Alias],0),COLUMN(HostBuild[Status]))&lt;&gt;0,INDEX(HostBuild[],MATCH(E142,HostBuild[Alias],0),COLUMN(HostBuild[Status])),""),""),"")</f>
        <v/>
      </c>
      <c r="C142" s="425" t="str">
        <f>IF(AND(NOT(ISBLANK(E142)),E142&lt;&gt;"(blank)"),IFERROR(IF(INDEX(HostBuild[],MATCH(E142,HostBuild[Alias],0),COLUMN(HostBuild[CTI Target Completion]))&lt;&gt;0,INDEX(HostBuild[],MATCH(E142,HostBuild[Alias],0),COLUMN(HostBuild[CTI Target Completion])),""),""),"")</f>
        <v/>
      </c>
      <c r="D142" s="262" t="str">
        <f>IF(AND(NOT(ISBLANK(E142)),E142&lt;&gt;"(blank)"),IFERROR(IF(INDEX(HostBuild[],MATCH(E142,HostBuild[Alias],0),COLUMN(HostBuild[Description]))&lt;&gt;0,INDEX(HostBuild[],MATCH(E142,HostBuild[Alias],0),COLUMN(HostBuild[Description])),""),""),"")</f>
        <v>Web Server</v>
      </c>
      <c r="E142" s="281" t="s">
        <v>4052</v>
      </c>
      <c r="F142" s="270"/>
      <c r="G142" s="387">
        <v>2</v>
      </c>
      <c r="H142" s="272">
        <v>16</v>
      </c>
      <c r="I142" s="272">
        <v>128</v>
      </c>
      <c r="J142" s="272">
        <v>808.80000000000007</v>
      </c>
      <c r="K142" s="272">
        <v>808.80000000000007</v>
      </c>
      <c r="L142" s="272">
        <v>0</v>
      </c>
      <c r="M142" s="272"/>
      <c r="N142" s="266">
        <v>1334.0455000000002</v>
      </c>
    </row>
    <row r="143" spans="1:14">
      <c r="A143" s="3" t="str">
        <f>IF(AND(NOT(ISBLANK(E143)),E143&lt;&gt;"(blank)"),IFERROR(IF(INDEX(HostBuild[],MATCH(E143,HostBuild[Alias],0),COLUMN(HostBuild[Hostname]))&lt;&gt;0,INDEX(HostBuild[],MATCH(E143,HostBuild[Alias],0),COLUMN(HostBuild[Hostname])),""),""),"")</f>
        <v/>
      </c>
      <c r="B143" s="424" t="str">
        <f>IF(AND(NOT(ISBLANK(E143)),E143&lt;&gt;"(blank)"),IFERROR(IF(INDEX(HostBuild[],MATCH(E143,HostBuild[Alias],0),COLUMN(HostBuild[Status]))&lt;&gt;0,INDEX(HostBuild[],MATCH(E143,HostBuild[Alias],0),COLUMN(HostBuild[Status])),""),""),"")</f>
        <v/>
      </c>
      <c r="C143" s="425" t="str">
        <f>IF(AND(NOT(ISBLANK(E143)),E143&lt;&gt;"(blank)"),IFERROR(IF(INDEX(HostBuild[],MATCH(E143,HostBuild[Alias],0),COLUMN(HostBuild[CTI Target Completion]))&lt;&gt;0,INDEX(HostBuild[],MATCH(E143,HostBuild[Alias],0),COLUMN(HostBuild[CTI Target Completion])),""),""),"")</f>
        <v/>
      </c>
      <c r="D143" s="262" t="str">
        <f>IF(AND(NOT(ISBLANK(E143)),E143&lt;&gt;"(blank)"),IFERROR(IF(INDEX(HostBuild[],MATCH(E143,HostBuild[Alias],0),COLUMN(HostBuild[Description]))&lt;&gt;0,INDEX(HostBuild[],MATCH(E143,HostBuild[Alias],0),COLUMN(HostBuild[Description])),""),""),"")</f>
        <v>GR1 App Server</v>
      </c>
      <c r="E143" s="281" t="s">
        <v>4053</v>
      </c>
      <c r="F143" s="270"/>
      <c r="G143" s="387">
        <v>2</v>
      </c>
      <c r="H143" s="272">
        <v>16</v>
      </c>
      <c r="I143" s="272">
        <v>128</v>
      </c>
      <c r="J143" s="272">
        <v>808.80000000000007</v>
      </c>
      <c r="K143" s="272">
        <v>808.80000000000007</v>
      </c>
      <c r="L143" s="272">
        <v>0</v>
      </c>
      <c r="M143" s="272"/>
      <c r="N143" s="266">
        <v>1334.0455000000002</v>
      </c>
    </row>
    <row r="144" spans="1:14">
      <c r="A144" s="3" t="str">
        <f>IF(AND(NOT(ISBLANK(E144)),E144&lt;&gt;"(blank)"),IFERROR(IF(INDEX(HostBuild[],MATCH(E144,HostBuild[Alias],0),COLUMN(HostBuild[Hostname]))&lt;&gt;0,INDEX(HostBuild[],MATCH(E144,HostBuild[Alias],0),COLUMN(HostBuild[Hostname])),""),""),"")</f>
        <v/>
      </c>
      <c r="B144" s="424" t="str">
        <f>IF(AND(NOT(ISBLANK(E144)),E144&lt;&gt;"(blank)"),IFERROR(IF(INDEX(HostBuild[],MATCH(E144,HostBuild[Alias],0),COLUMN(HostBuild[Status]))&lt;&gt;0,INDEX(HostBuild[],MATCH(E144,HostBuild[Alias],0),COLUMN(HostBuild[Status])),""),""),"")</f>
        <v/>
      </c>
      <c r="C144" s="425" t="str">
        <f>IF(AND(NOT(ISBLANK(E144)),E144&lt;&gt;"(blank)"),IFERROR(IF(INDEX(HostBuild[],MATCH(E144,HostBuild[Alias],0),COLUMN(HostBuild[CTI Target Completion]))&lt;&gt;0,INDEX(HostBuild[],MATCH(E144,HostBuild[Alias],0),COLUMN(HostBuild[CTI Target Completion])),""),""),"")</f>
        <v/>
      </c>
      <c r="D144" s="262" t="str">
        <f>IF(AND(NOT(ISBLANK(E144)),E144&lt;&gt;"(blank)"),IFERROR(IF(INDEX(HostBuild[],MATCH(E144,HostBuild[Alias],0),COLUMN(HostBuild[Description]))&lt;&gt;0,INDEX(HostBuild[],MATCH(E144,HostBuild[Alias],0),COLUMN(HostBuild[Description])),""),""),"")</f>
        <v>GR1 App Server</v>
      </c>
      <c r="E144" s="281" t="s">
        <v>4054</v>
      </c>
      <c r="F144" s="270"/>
      <c r="G144" s="387">
        <v>2</v>
      </c>
      <c r="H144" s="272">
        <v>16</v>
      </c>
      <c r="I144" s="272">
        <v>128</v>
      </c>
      <c r="J144" s="272">
        <v>808.80000000000007</v>
      </c>
      <c r="K144" s="272">
        <v>808.80000000000007</v>
      </c>
      <c r="L144" s="272">
        <v>0</v>
      </c>
      <c r="M144" s="272"/>
      <c r="N144" s="266">
        <v>1334.0455000000002</v>
      </c>
    </row>
    <row r="145" spans="1:14">
      <c r="A145" s="3" t="str">
        <f>IF(AND(NOT(ISBLANK(E145)),E145&lt;&gt;"(blank)"),IFERROR(IF(INDEX(HostBuild[],MATCH(E145,HostBuild[Alias],0),COLUMN(HostBuild[Hostname]))&lt;&gt;0,INDEX(HostBuild[],MATCH(E145,HostBuild[Alias],0),COLUMN(HostBuild[Hostname])),""),""),"")</f>
        <v/>
      </c>
      <c r="B145" s="424" t="str">
        <f>IF(AND(NOT(ISBLANK(E145)),E145&lt;&gt;"(blank)"),IFERROR(IF(INDEX(HostBuild[],MATCH(E145,HostBuild[Alias],0),COLUMN(HostBuild[Status]))&lt;&gt;0,INDEX(HostBuild[],MATCH(E145,HostBuild[Alias],0),COLUMN(HostBuild[Status])),""),""),"")</f>
        <v/>
      </c>
      <c r="C145" s="425" t="str">
        <f>IF(AND(NOT(ISBLANK(E145)),E145&lt;&gt;"(blank)"),IFERROR(IF(INDEX(HostBuild[],MATCH(E145,HostBuild[Alias],0),COLUMN(HostBuild[CTI Target Completion]))&lt;&gt;0,INDEX(HostBuild[],MATCH(E145,HostBuild[Alias],0),COLUMN(HostBuild[CTI Target Completion])),""),""),"")</f>
        <v/>
      </c>
      <c r="D145" s="262" t="str">
        <f>IF(AND(NOT(ISBLANK(E145)),E145&lt;&gt;"(blank)"),IFERROR(IF(INDEX(HostBuild[],MATCH(E145,HostBuild[Alias],0),COLUMN(HostBuild[Description]))&lt;&gt;0,INDEX(HostBuild[],MATCH(E145,HostBuild[Alias],0),COLUMN(HostBuild[Description])),""),""),"")</f>
        <v>GR2 App Server</v>
      </c>
      <c r="E145" s="281" t="s">
        <v>4055</v>
      </c>
      <c r="F145" s="270"/>
      <c r="G145" s="387">
        <v>2</v>
      </c>
      <c r="H145" s="272">
        <v>16</v>
      </c>
      <c r="I145" s="272">
        <v>128</v>
      </c>
      <c r="J145" s="272">
        <v>808.80000000000007</v>
      </c>
      <c r="K145" s="272">
        <v>808.80000000000007</v>
      </c>
      <c r="L145" s="272">
        <v>0</v>
      </c>
      <c r="M145" s="272"/>
      <c r="N145" s="266">
        <v>1334.0455000000002</v>
      </c>
    </row>
    <row r="146" spans="1:14">
      <c r="A146" s="3" t="str">
        <f>IF(AND(NOT(ISBLANK(E146)),E146&lt;&gt;"(blank)"),IFERROR(IF(INDEX(HostBuild[],MATCH(E146,HostBuild[Alias],0),COLUMN(HostBuild[Hostname]))&lt;&gt;0,INDEX(HostBuild[],MATCH(E146,HostBuild[Alias],0),COLUMN(HostBuild[Hostname])),""),""),"")</f>
        <v/>
      </c>
      <c r="B146" s="424" t="str">
        <f>IF(AND(NOT(ISBLANK(E146)),E146&lt;&gt;"(blank)"),IFERROR(IF(INDEX(HostBuild[],MATCH(E146,HostBuild[Alias],0),COLUMN(HostBuild[Status]))&lt;&gt;0,INDEX(HostBuild[],MATCH(E146,HostBuild[Alias],0),COLUMN(HostBuild[Status])),""),""),"")</f>
        <v/>
      </c>
      <c r="C146" s="425" t="str">
        <f>IF(AND(NOT(ISBLANK(E146)),E146&lt;&gt;"(blank)"),IFERROR(IF(INDEX(HostBuild[],MATCH(E146,HostBuild[Alias],0),COLUMN(HostBuild[CTI Target Completion]))&lt;&gt;0,INDEX(HostBuild[],MATCH(E146,HostBuild[Alias],0),COLUMN(HostBuild[CTI Target Completion])),""),""),"")</f>
        <v/>
      </c>
      <c r="D146" s="262" t="str">
        <f>IF(AND(NOT(ISBLANK(E146)),E146&lt;&gt;"(blank)"),IFERROR(IF(INDEX(HostBuild[],MATCH(E146,HostBuild[Alias],0),COLUMN(HostBuild[Description]))&lt;&gt;0,INDEX(HostBuild[],MATCH(E146,HostBuild[Alias],0),COLUMN(HostBuild[Description])),""),""),"")</f>
        <v>GR2 App Server</v>
      </c>
      <c r="E146" s="281" t="s">
        <v>4056</v>
      </c>
      <c r="F146" s="270"/>
      <c r="G146" s="387">
        <v>2</v>
      </c>
      <c r="H146" s="272">
        <v>16</v>
      </c>
      <c r="I146" s="272">
        <v>128</v>
      </c>
      <c r="J146" s="272">
        <v>808.80000000000007</v>
      </c>
      <c r="K146" s="272">
        <v>808.80000000000007</v>
      </c>
      <c r="L146" s="272">
        <v>0</v>
      </c>
      <c r="M146" s="272"/>
      <c r="N146" s="266">
        <v>1334.0455000000002</v>
      </c>
    </row>
    <row r="147" spans="1:14">
      <c r="A147" s="3" t="str">
        <f>IF(AND(NOT(ISBLANK(E147)),E147&lt;&gt;"(blank)"),IFERROR(IF(INDEX(HostBuild[],MATCH(E147,HostBuild[Alias],0),COLUMN(HostBuild[Hostname]))&lt;&gt;0,INDEX(HostBuild[],MATCH(E147,HostBuild[Alias],0),COLUMN(HostBuild[Hostname])),""),""),"")</f>
        <v/>
      </c>
      <c r="B147" s="424" t="str">
        <f>IF(AND(NOT(ISBLANK(E147)),E147&lt;&gt;"(blank)"),IFERROR(IF(INDEX(HostBuild[],MATCH(E147,HostBuild[Alias],0),COLUMN(HostBuild[Status]))&lt;&gt;0,INDEX(HostBuild[],MATCH(E147,HostBuild[Alias],0),COLUMN(HostBuild[Status])),""),""),"")</f>
        <v/>
      </c>
      <c r="C147" s="425" t="str">
        <f>IF(AND(NOT(ISBLANK(E147)),E147&lt;&gt;"(blank)"),IFERROR(IF(INDEX(HostBuild[],MATCH(E147,HostBuild[Alias],0),COLUMN(HostBuild[CTI Target Completion]))&lt;&gt;0,INDEX(HostBuild[],MATCH(E147,HostBuild[Alias],0),COLUMN(HostBuild[CTI Target Completion])),""),""),"")</f>
        <v/>
      </c>
      <c r="D147" s="262" t="str">
        <f>IF(AND(NOT(ISBLANK(E147)),E147&lt;&gt;"(blank)"),IFERROR(IF(INDEX(HostBuild[],MATCH(E147,HostBuild[Alias],0),COLUMN(HostBuild[Description]))&lt;&gt;0,INDEX(HostBuild[],MATCH(E147,HostBuild[Alias],0),COLUMN(HostBuild[Description])),""),""),"")</f>
        <v>GR3 App Server</v>
      </c>
      <c r="E147" s="281" t="s">
        <v>4057</v>
      </c>
      <c r="F147" s="270"/>
      <c r="G147" s="387">
        <v>2</v>
      </c>
      <c r="H147" s="272">
        <v>16</v>
      </c>
      <c r="I147" s="272">
        <v>128</v>
      </c>
      <c r="J147" s="272">
        <v>808.80000000000007</v>
      </c>
      <c r="K147" s="272">
        <v>808.80000000000007</v>
      </c>
      <c r="L147" s="272">
        <v>0</v>
      </c>
      <c r="M147" s="272"/>
      <c r="N147" s="266">
        <v>1334.0455000000002</v>
      </c>
    </row>
    <row r="148" spans="1:14">
      <c r="A148" s="3" t="str">
        <f>IF(AND(NOT(ISBLANK(E148)),E148&lt;&gt;"(blank)"),IFERROR(IF(INDEX(HostBuild[],MATCH(E148,HostBuild[Alias],0),COLUMN(HostBuild[Hostname]))&lt;&gt;0,INDEX(HostBuild[],MATCH(E148,HostBuild[Alias],0),COLUMN(HostBuild[Hostname])),""),""),"")</f>
        <v/>
      </c>
      <c r="B148" s="424" t="str">
        <f>IF(AND(NOT(ISBLANK(E148)),E148&lt;&gt;"(blank)"),IFERROR(IF(INDEX(HostBuild[],MATCH(E148,HostBuild[Alias],0),COLUMN(HostBuild[Status]))&lt;&gt;0,INDEX(HostBuild[],MATCH(E148,HostBuild[Alias],0),COLUMN(HostBuild[Status])),""),""),"")</f>
        <v/>
      </c>
      <c r="C148" s="425" t="str">
        <f>IF(AND(NOT(ISBLANK(E148)),E148&lt;&gt;"(blank)"),IFERROR(IF(INDEX(HostBuild[],MATCH(E148,HostBuild[Alias],0),COLUMN(HostBuild[CTI Target Completion]))&lt;&gt;0,INDEX(HostBuild[],MATCH(E148,HostBuild[Alias],0),COLUMN(HostBuild[CTI Target Completion])),""),""),"")</f>
        <v/>
      </c>
      <c r="D148" s="262" t="str">
        <f>IF(AND(NOT(ISBLANK(E148)),E148&lt;&gt;"(blank)"),IFERROR(IF(INDEX(HostBuild[],MATCH(E148,HostBuild[Alias],0),COLUMN(HostBuild[Description]))&lt;&gt;0,INDEX(HostBuild[],MATCH(E148,HostBuild[Alias],0),COLUMN(HostBuild[Description])),""),""),"")</f>
        <v>GR3 App Server</v>
      </c>
      <c r="E148" s="281" t="s">
        <v>4058</v>
      </c>
      <c r="F148" s="270"/>
      <c r="G148" s="387">
        <v>2</v>
      </c>
      <c r="H148" s="272">
        <v>16</v>
      </c>
      <c r="I148" s="272">
        <v>128</v>
      </c>
      <c r="J148" s="272">
        <v>808.80000000000007</v>
      </c>
      <c r="K148" s="272">
        <v>808.80000000000007</v>
      </c>
      <c r="L148" s="272">
        <v>0</v>
      </c>
      <c r="M148" s="272"/>
      <c r="N148" s="266">
        <v>1334.0455000000002</v>
      </c>
    </row>
    <row r="149" spans="1:14">
      <c r="A149" s="3" t="str">
        <f>IF(AND(NOT(ISBLANK(E149)),E149&lt;&gt;"(blank)"),IFERROR(IF(INDEX(HostBuild[],MATCH(E149,HostBuild[Alias],0),COLUMN(HostBuild[Hostname]))&lt;&gt;0,INDEX(HostBuild[],MATCH(E149,HostBuild[Alias],0),COLUMN(HostBuild[Hostname])),""),""),"")</f>
        <v/>
      </c>
      <c r="B149" s="424" t="str">
        <f>IF(AND(NOT(ISBLANK(E149)),E149&lt;&gt;"(blank)"),IFERROR(IF(INDEX(HostBuild[],MATCH(E149,HostBuild[Alias],0),COLUMN(HostBuild[Status]))&lt;&gt;0,INDEX(HostBuild[],MATCH(E149,HostBuild[Alias],0),COLUMN(HostBuild[Status])),""),""),"")</f>
        <v/>
      </c>
      <c r="C149" s="425" t="str">
        <f>IF(AND(NOT(ISBLANK(E149)),E149&lt;&gt;"(blank)"),IFERROR(IF(INDEX(HostBuild[],MATCH(E149,HostBuild[Alias],0),COLUMN(HostBuild[CTI Target Completion]))&lt;&gt;0,INDEX(HostBuild[],MATCH(E149,HostBuild[Alias],0),COLUMN(HostBuild[CTI Target Completion])),""),""),"")</f>
        <v/>
      </c>
      <c r="D149" s="262" t="str">
        <f>IF(AND(NOT(ISBLANK(E149)),E149&lt;&gt;"(blank)"),IFERROR(IF(INDEX(HostBuild[],MATCH(E149,HostBuild[Alias],0),COLUMN(HostBuild[Description]))&lt;&gt;0,INDEX(HostBuild[],MATCH(E149,HostBuild[Alias],0),COLUMN(HostBuild[Description])),""),""),"")</f>
        <v>DB Server Cluster1</v>
      </c>
      <c r="E149" s="281" t="s">
        <v>4059</v>
      </c>
      <c r="F149" s="270"/>
      <c r="G149" s="387">
        <v>2</v>
      </c>
      <c r="H149" s="272">
        <v>16</v>
      </c>
      <c r="I149" s="272">
        <v>128</v>
      </c>
      <c r="J149" s="272">
        <v>1853.5000000000002</v>
      </c>
      <c r="K149" s="272">
        <v>1853.5000000000002</v>
      </c>
      <c r="L149" s="272">
        <v>0</v>
      </c>
      <c r="M149" s="272"/>
      <c r="N149" s="266">
        <v>3576.7209375000007</v>
      </c>
    </row>
    <row r="150" spans="1:14">
      <c r="A150" s="3" t="str">
        <f>IF(AND(NOT(ISBLANK(E150)),E150&lt;&gt;"(blank)"),IFERROR(IF(INDEX(HostBuild[],MATCH(E150,HostBuild[Alias],0),COLUMN(HostBuild[Hostname]))&lt;&gt;0,INDEX(HostBuild[],MATCH(E150,HostBuild[Alias],0),COLUMN(HostBuild[Hostname])),""),""),"")</f>
        <v/>
      </c>
      <c r="B150" s="424" t="str">
        <f>IF(AND(NOT(ISBLANK(E150)),E150&lt;&gt;"(blank)"),IFERROR(IF(INDEX(HostBuild[],MATCH(E150,HostBuild[Alias],0),COLUMN(HostBuild[Status]))&lt;&gt;0,INDEX(HostBuild[],MATCH(E150,HostBuild[Alias],0),COLUMN(HostBuild[Status])),""),""),"")</f>
        <v/>
      </c>
      <c r="C150" s="425" t="str">
        <f>IF(AND(NOT(ISBLANK(E150)),E150&lt;&gt;"(blank)"),IFERROR(IF(INDEX(HostBuild[],MATCH(E150,HostBuild[Alias],0),COLUMN(HostBuild[CTI Target Completion]))&lt;&gt;0,INDEX(HostBuild[],MATCH(E150,HostBuild[Alias],0),COLUMN(HostBuild[CTI Target Completion])),""),""),"")</f>
        <v/>
      </c>
      <c r="D150" s="262" t="str">
        <f>IF(AND(NOT(ISBLANK(E150)),E150&lt;&gt;"(blank)"),IFERROR(IF(INDEX(HostBuild[],MATCH(E150,HostBuild[Alias],0),COLUMN(HostBuild[Description]))&lt;&gt;0,INDEX(HostBuild[],MATCH(E150,HostBuild[Alias],0),COLUMN(HostBuild[Description])),""),""),"")</f>
        <v>CitiAlert Server</v>
      </c>
      <c r="E150" s="281" t="s">
        <v>4068</v>
      </c>
      <c r="F150" s="270"/>
      <c r="G150" s="387">
        <v>1</v>
      </c>
      <c r="H150" s="272">
        <v>1</v>
      </c>
      <c r="I150" s="272">
        <v>32</v>
      </c>
      <c r="J150" s="272">
        <v>606.6</v>
      </c>
      <c r="K150" s="272">
        <v>606.6</v>
      </c>
      <c r="L150" s="272">
        <v>0</v>
      </c>
      <c r="M150" s="272"/>
      <c r="N150" s="266">
        <v>2049.9216249999999</v>
      </c>
    </row>
    <row r="151" spans="1:14">
      <c r="A151" s="3" t="str">
        <f>IF(AND(NOT(ISBLANK(E151)),E151&lt;&gt;"(blank)"),IFERROR(IF(INDEX(HostBuild[],MATCH(E151,HostBuild[Alias],0),COLUMN(HostBuild[Hostname]))&lt;&gt;0,INDEX(HostBuild[],MATCH(E151,HostBuild[Alias],0),COLUMN(HostBuild[Hostname])),""),""),"")</f>
        <v/>
      </c>
      <c r="B151" s="424" t="str">
        <f>IF(AND(NOT(ISBLANK(E151)),E151&lt;&gt;"(blank)"),IFERROR(IF(INDEX(HostBuild[],MATCH(E151,HostBuild[Alias],0),COLUMN(HostBuild[Status]))&lt;&gt;0,INDEX(HostBuild[],MATCH(E151,HostBuild[Alias],0),COLUMN(HostBuild[Status])),""),""),"")</f>
        <v/>
      </c>
      <c r="C151" s="425" t="str">
        <f>IF(AND(NOT(ISBLANK(E151)),E151&lt;&gt;"(blank)"),IFERROR(IF(INDEX(HostBuild[],MATCH(E151,HostBuild[Alias],0),COLUMN(HostBuild[CTI Target Completion]))&lt;&gt;0,INDEX(HostBuild[],MATCH(E151,HostBuild[Alias],0),COLUMN(HostBuild[CTI Target Completion])),""),""),"")</f>
        <v/>
      </c>
      <c r="D151" s="262" t="str">
        <f>IF(AND(NOT(ISBLANK(E151)),E151&lt;&gt;"(blank)"),IFERROR(IF(INDEX(HostBuild[],MATCH(E151,HostBuild[Alias],0),COLUMN(HostBuild[Description]))&lt;&gt;0,INDEX(HostBuild[],MATCH(E151,HostBuild[Alias],0),COLUMN(HostBuild[Description])),""),""),"")</f>
        <v>CitiAlert Server</v>
      </c>
      <c r="E151" s="281" t="s">
        <v>4069</v>
      </c>
      <c r="F151" s="270"/>
      <c r="G151" s="387">
        <v>1</v>
      </c>
      <c r="H151" s="272">
        <v>1</v>
      </c>
      <c r="I151" s="272">
        <v>32</v>
      </c>
      <c r="J151" s="272">
        <v>101.10000000000001</v>
      </c>
      <c r="K151" s="272">
        <v>101.10000000000001</v>
      </c>
      <c r="L151" s="272">
        <v>0</v>
      </c>
      <c r="M151" s="272"/>
      <c r="N151" s="266">
        <v>1215.7681874999998</v>
      </c>
    </row>
    <row r="152" spans="1:14">
      <c r="A152" s="3" t="str">
        <f>IF(AND(NOT(ISBLANK(E152)),E152&lt;&gt;"(blank)"),IFERROR(IF(INDEX(HostBuild[],MATCH(E152,HostBuild[Alias],0),COLUMN(HostBuild[Hostname]))&lt;&gt;0,INDEX(HostBuild[],MATCH(E152,HostBuild[Alias],0),COLUMN(HostBuild[Hostname])),""),""),"")</f>
        <v/>
      </c>
      <c r="B152" s="424" t="str">
        <f>IF(AND(NOT(ISBLANK(E152)),E152&lt;&gt;"(blank)"),IFERROR(IF(INDEX(HostBuild[],MATCH(E152,HostBuild[Alias],0),COLUMN(HostBuild[Status]))&lt;&gt;0,INDEX(HostBuild[],MATCH(E152,HostBuild[Alias],0),COLUMN(HostBuild[Status])),""),""),"")</f>
        <v/>
      </c>
      <c r="C152" s="425" t="str">
        <f>IF(AND(NOT(ISBLANK(E152)),E152&lt;&gt;"(blank)"),IFERROR(IF(INDEX(HostBuild[],MATCH(E152,HostBuild[Alias],0),COLUMN(HostBuild[CTI Target Completion]))&lt;&gt;0,INDEX(HostBuild[],MATCH(E152,HostBuild[Alias],0),COLUMN(HostBuild[CTI Target Completion])),""),""),"")</f>
        <v/>
      </c>
      <c r="D152" s="262" t="str">
        <f>IF(AND(NOT(ISBLANK(E152)),E152&lt;&gt;"(blank)"),IFERROR(IF(INDEX(HostBuild[],MATCH(E152,HostBuild[Alias],0),COLUMN(HostBuild[Description]))&lt;&gt;0,INDEX(HostBuild[],MATCH(E152,HostBuild[Alias],0),COLUMN(HostBuild[Description])),""),""),"")</f>
        <v/>
      </c>
      <c r="E152" s="281" t="s">
        <v>102</v>
      </c>
      <c r="F152" s="270"/>
      <c r="G152" s="386">
        <v>161</v>
      </c>
      <c r="H152" s="270">
        <v>1136</v>
      </c>
      <c r="I152" s="270">
        <v>14976</v>
      </c>
      <c r="J152" s="270">
        <v>65175.800000000039</v>
      </c>
      <c r="K152" s="270">
        <v>65175.800000000039</v>
      </c>
      <c r="L152" s="270">
        <v>0</v>
      </c>
      <c r="M152" s="270"/>
      <c r="N152" s="266">
        <v>153529.37237500001</v>
      </c>
    </row>
    <row r="153" spans="1:14">
      <c r="A153" s="3" t="str">
        <f>IF(AND(NOT(ISBLANK(E153)),E153&lt;&gt;"(blank)"),IFERROR(IF(INDEX(HostBuild[],MATCH(E153,HostBuild[Alias],0),COLUMN(HostBuild[Hostname]))&lt;&gt;0,INDEX(HostBuild[],MATCH(E153,HostBuild[Alias],0),COLUMN(HostBuild[Hostname])),""),""),"")</f>
        <v/>
      </c>
      <c r="B153" s="424" t="str">
        <f>IF(AND(NOT(ISBLANK(E153)),E153&lt;&gt;"(blank)"),IFERROR(IF(INDEX(HostBuild[],MATCH(E153,HostBuild[Alias],0),COLUMN(HostBuild[Status]))&lt;&gt;0,INDEX(HostBuild[],MATCH(E153,HostBuild[Alias],0),COLUMN(HostBuild[Status])),""),""),"")</f>
        <v/>
      </c>
      <c r="C153" s="425" t="str">
        <f>IF(AND(NOT(ISBLANK(E153)),E153&lt;&gt;"(blank)"),IFERROR(IF(INDEX(HostBuild[],MATCH(E153,HostBuild[Alias],0),COLUMN(HostBuild[CTI Target Completion]))&lt;&gt;0,INDEX(HostBuild[],MATCH(E153,HostBuild[Alias],0),COLUMN(HostBuild[CTI Target Completion])),""),""),"")</f>
        <v/>
      </c>
      <c r="D153" s="262" t="str">
        <f>IF(AND(NOT(ISBLANK(E153)),E153&lt;&gt;"(blank)"),IFERROR(IF(INDEX(HostBuild[],MATCH(E153,HostBuild[Alias],0),COLUMN(HostBuild[Description]))&lt;&gt;0,INDEX(HostBuild[],MATCH(E153,HostBuild[Alias],0),COLUMN(HostBuild[Description])),""),""),"")</f>
        <v/>
      </c>
      <c r="L153"/>
    </row>
    <row r="154" spans="1:14">
      <c r="A154" s="3" t="str">
        <f>IF(AND(NOT(ISBLANK(E154)),E154&lt;&gt;"(blank)"),IFERROR(IF(INDEX(HostBuild[],MATCH(E154,HostBuild[Alias],0),COLUMN(HostBuild[Hostname]))&lt;&gt;0,INDEX(HostBuild[],MATCH(E154,HostBuild[Alias],0),COLUMN(HostBuild[Hostname])),""),""),"")</f>
        <v/>
      </c>
      <c r="B154" s="424" t="str">
        <f>IF(AND(NOT(ISBLANK(E154)),E154&lt;&gt;"(blank)"),IFERROR(IF(INDEX(HostBuild[],MATCH(E154,HostBuild[Alias],0),COLUMN(HostBuild[Status]))&lt;&gt;0,INDEX(HostBuild[],MATCH(E154,HostBuild[Alias],0),COLUMN(HostBuild[Status])),""),""),"")</f>
        <v/>
      </c>
      <c r="C154" s="425" t="str">
        <f>IF(AND(NOT(ISBLANK(E154)),E154&lt;&gt;"(blank)"),IFERROR(IF(INDEX(HostBuild[],MATCH(E154,HostBuild[Alias],0),COLUMN(HostBuild[CTI Target Completion]))&lt;&gt;0,INDEX(HostBuild[],MATCH(E154,HostBuild[Alias],0),COLUMN(HostBuild[CTI Target Completion])),""),""),"")</f>
        <v/>
      </c>
      <c r="D154" s="262" t="str">
        <f>IF(AND(NOT(ISBLANK(E154)),E154&lt;&gt;"(blank)"),IFERROR(IF(INDEX(HostBuild[],MATCH(E154,HostBuild[Alias],0),COLUMN(HostBuild[Description]))&lt;&gt;0,INDEX(HostBuild[],MATCH(E154,HostBuild[Alias],0),COLUMN(HostBuild[Description])),""),""),"")</f>
        <v/>
      </c>
      <c r="L154"/>
    </row>
    <row r="155" spans="1:14">
      <c r="A155" s="3" t="str">
        <f>IF(AND(NOT(ISBLANK(E155)),E155&lt;&gt;"(blank)"),IFERROR(IF(INDEX(HostBuild[],MATCH(E155,HostBuild[Alias],0),COLUMN(HostBuild[Hostname]))&lt;&gt;0,INDEX(HostBuild[],MATCH(E155,HostBuild[Alias],0),COLUMN(HostBuild[Hostname])),""),""),"")</f>
        <v/>
      </c>
      <c r="B155" s="424" t="str">
        <f>IF(AND(NOT(ISBLANK(E155)),E155&lt;&gt;"(blank)"),IFERROR(IF(INDEX(HostBuild[],MATCH(E155,HostBuild[Alias],0),COLUMN(HostBuild[Status]))&lt;&gt;0,INDEX(HostBuild[],MATCH(E155,HostBuild[Alias],0),COLUMN(HostBuild[Status])),""),""),"")</f>
        <v/>
      </c>
      <c r="C155" s="425" t="str">
        <f>IF(AND(NOT(ISBLANK(E155)),E155&lt;&gt;"(blank)"),IFERROR(IF(INDEX(HostBuild[],MATCH(E155,HostBuild[Alias],0),COLUMN(HostBuild[CTI Target Completion]))&lt;&gt;0,INDEX(HostBuild[],MATCH(E155,HostBuild[Alias],0),COLUMN(HostBuild[CTI Target Completion])),""),""),"")</f>
        <v/>
      </c>
      <c r="D155" s="262" t="str">
        <f>IF(AND(NOT(ISBLANK(E155)),E155&lt;&gt;"(blank)"),IFERROR(IF(INDEX(HostBuild[],MATCH(E155,HostBuild[Alias],0),COLUMN(HostBuild[Description]))&lt;&gt;0,INDEX(HostBuild[],MATCH(E155,HostBuild[Alias],0),COLUMN(HostBuild[Description])),""),""),"")</f>
        <v/>
      </c>
      <c r="L155"/>
    </row>
    <row r="156" spans="1:14">
      <c r="A156" s="3" t="str">
        <f>IF(AND(NOT(ISBLANK(E156)),E156&lt;&gt;"(blank)"),IFERROR(IF(INDEX(HostBuild[],MATCH(E156,HostBuild[Alias],0),COLUMN(HostBuild[Hostname]))&lt;&gt;0,INDEX(HostBuild[],MATCH(E156,HostBuild[Alias],0),COLUMN(HostBuild[Hostname])),""),""),"")</f>
        <v/>
      </c>
      <c r="B156" s="424" t="str">
        <f>IF(AND(NOT(ISBLANK(E156)),E156&lt;&gt;"(blank)"),IFERROR(IF(INDEX(HostBuild[],MATCH(E156,HostBuild[Alias],0),COLUMN(HostBuild[Status]))&lt;&gt;0,INDEX(HostBuild[],MATCH(E156,HostBuild[Alias],0),COLUMN(HostBuild[Status])),""),""),"")</f>
        <v/>
      </c>
      <c r="C156" s="425" t="str">
        <f>IF(AND(NOT(ISBLANK(E156)),E156&lt;&gt;"(blank)"),IFERROR(IF(INDEX(HostBuild[],MATCH(E156,HostBuild[Alias],0),COLUMN(HostBuild[CTI Target Completion]))&lt;&gt;0,INDEX(HostBuild[],MATCH(E156,HostBuild[Alias],0),COLUMN(HostBuild[CTI Target Completion])),""),""),"")</f>
        <v/>
      </c>
      <c r="D156" s="262" t="str">
        <f>IF(AND(NOT(ISBLANK(E156)),E156&lt;&gt;"(blank)"),IFERROR(IF(INDEX(HostBuild[],MATCH(E156,HostBuild[Alias],0),COLUMN(HostBuild[Description]))&lt;&gt;0,INDEX(HostBuild[],MATCH(E156,HostBuild[Alias],0),COLUMN(HostBuild[Description])),""),""),"")</f>
        <v/>
      </c>
      <c r="L156"/>
    </row>
    <row r="157" spans="1:14">
      <c r="A157" s="3" t="str">
        <f>IF(AND(NOT(ISBLANK(E157)),E157&lt;&gt;"(blank)"),IFERROR(IF(INDEX(HostBuild[],MATCH(E157,HostBuild[Alias],0),COLUMN(HostBuild[Hostname]))&lt;&gt;0,INDEX(HostBuild[],MATCH(E157,HostBuild[Alias],0),COLUMN(HostBuild[Hostname])),""),""),"")</f>
        <v/>
      </c>
      <c r="B157" s="424" t="str">
        <f>IF(AND(NOT(ISBLANK(E157)),E157&lt;&gt;"(blank)"),IFERROR(IF(INDEX(HostBuild[],MATCH(E157,HostBuild[Alias],0),COLUMN(HostBuild[Status]))&lt;&gt;0,INDEX(HostBuild[],MATCH(E157,HostBuild[Alias],0),COLUMN(HostBuild[Status])),""),""),"")</f>
        <v/>
      </c>
      <c r="C157" s="425" t="str">
        <f>IF(AND(NOT(ISBLANK(E157)),E157&lt;&gt;"(blank)"),IFERROR(IF(INDEX(HostBuild[],MATCH(E157,HostBuild[Alias],0),COLUMN(HostBuild[CTI Target Completion]))&lt;&gt;0,INDEX(HostBuild[],MATCH(E157,HostBuild[Alias],0),COLUMN(HostBuild[CTI Target Completion])),""),""),"")</f>
        <v/>
      </c>
      <c r="D157" s="262" t="str">
        <f>IF(AND(NOT(ISBLANK(E157)),E157&lt;&gt;"(blank)"),IFERROR(IF(INDEX(HostBuild[],MATCH(E157,HostBuild[Alias],0),COLUMN(HostBuild[Description]))&lt;&gt;0,INDEX(HostBuild[],MATCH(E157,HostBuild[Alias],0),COLUMN(HostBuild[Description])),""),""),"")</f>
        <v/>
      </c>
      <c r="L157"/>
    </row>
    <row r="158" spans="1:14">
      <c r="A158" s="3" t="str">
        <f>IF(AND(NOT(ISBLANK(E158)),E158&lt;&gt;"(blank)"),IFERROR(IF(INDEX(HostBuild[],MATCH(E158,HostBuild[Alias],0),COLUMN(HostBuild[Hostname]))&lt;&gt;0,INDEX(HostBuild[],MATCH(E158,HostBuild[Alias],0),COLUMN(HostBuild[Hostname])),""),""),"")</f>
        <v/>
      </c>
      <c r="B158" s="424" t="str">
        <f>IF(AND(NOT(ISBLANK(E158)),E158&lt;&gt;"(blank)"),IFERROR(IF(INDEX(HostBuild[],MATCH(E158,HostBuild[Alias],0),COLUMN(HostBuild[Status]))&lt;&gt;0,INDEX(HostBuild[],MATCH(E158,HostBuild[Alias],0),COLUMN(HostBuild[Status])),""),""),"")</f>
        <v/>
      </c>
      <c r="C158" s="425" t="str">
        <f>IF(AND(NOT(ISBLANK(E158)),E158&lt;&gt;"(blank)"),IFERROR(IF(INDEX(HostBuild[],MATCH(E158,HostBuild[Alias],0),COLUMN(HostBuild[CTI Target Completion]))&lt;&gt;0,INDEX(HostBuild[],MATCH(E158,HostBuild[Alias],0),COLUMN(HostBuild[CTI Target Completion])),""),""),"")</f>
        <v/>
      </c>
      <c r="D158" s="262" t="str">
        <f>IF(AND(NOT(ISBLANK(E158)),E158&lt;&gt;"(blank)"),IFERROR(IF(INDEX(HostBuild[],MATCH(E158,HostBuild[Alias],0),COLUMN(HostBuild[Description]))&lt;&gt;0,INDEX(HostBuild[],MATCH(E158,HostBuild[Alias],0),COLUMN(HostBuild[Description])),""),""),"")</f>
        <v/>
      </c>
      <c r="L158"/>
    </row>
    <row r="159" spans="1:14">
      <c r="A159" s="3" t="str">
        <f>IF(AND(NOT(ISBLANK(E159)),E159&lt;&gt;"(blank)"),IFERROR(IF(INDEX(HostBuild[],MATCH(E159,HostBuild[Alias],0),COLUMN(HostBuild[Hostname]))&lt;&gt;0,INDEX(HostBuild[],MATCH(E159,HostBuild[Alias],0),COLUMN(HostBuild[Hostname])),""),""),"")</f>
        <v/>
      </c>
      <c r="B159" s="424" t="str">
        <f>IF(AND(NOT(ISBLANK(E159)),E159&lt;&gt;"(blank)"),IFERROR(IF(INDEX(HostBuild[],MATCH(E159,HostBuild[Alias],0),COLUMN(HostBuild[Status]))&lt;&gt;0,INDEX(HostBuild[],MATCH(E159,HostBuild[Alias],0),COLUMN(HostBuild[Status])),""),""),"")</f>
        <v/>
      </c>
      <c r="C159" s="425" t="str">
        <f>IF(AND(NOT(ISBLANK(E159)),E159&lt;&gt;"(blank)"),IFERROR(IF(INDEX(HostBuild[],MATCH(E159,HostBuild[Alias],0),COLUMN(HostBuild[CTI Target Completion]))&lt;&gt;0,INDEX(HostBuild[],MATCH(E159,HostBuild[Alias],0),COLUMN(HostBuild[CTI Target Completion])),""),""),"")</f>
        <v/>
      </c>
      <c r="D159" s="262" t="str">
        <f>IF(AND(NOT(ISBLANK(E159)),E159&lt;&gt;"(blank)"),IFERROR(IF(INDEX(HostBuild[],MATCH(E159,HostBuild[Alias],0),COLUMN(HostBuild[Description]))&lt;&gt;0,INDEX(HostBuild[],MATCH(E159,HostBuild[Alias],0),COLUMN(HostBuild[Description])),""),""),"")</f>
        <v/>
      </c>
      <c r="L159"/>
    </row>
    <row r="160" spans="1:14">
      <c r="A160" s="3" t="str">
        <f>IF(AND(NOT(ISBLANK(E160)),E160&lt;&gt;"(blank)"),IFERROR(IF(INDEX(HostBuild[],MATCH(E160,HostBuild[Alias],0),COLUMN(HostBuild[Hostname]))&lt;&gt;0,INDEX(HostBuild[],MATCH(E160,HostBuild[Alias],0),COLUMN(HostBuild[Hostname])),""),""),"")</f>
        <v/>
      </c>
      <c r="B160" s="424" t="str">
        <f>IF(AND(NOT(ISBLANK(E160)),E160&lt;&gt;"(blank)"),IFERROR(IF(INDEX(HostBuild[],MATCH(E160,HostBuild[Alias],0),COLUMN(HostBuild[Status]))&lt;&gt;0,INDEX(HostBuild[],MATCH(E160,HostBuild[Alias],0),COLUMN(HostBuild[Status])),""),""),"")</f>
        <v/>
      </c>
      <c r="C160" s="425" t="str">
        <f>IF(AND(NOT(ISBLANK(E160)),E160&lt;&gt;"(blank)"),IFERROR(IF(INDEX(HostBuild[],MATCH(E160,HostBuild[Alias],0),COLUMN(HostBuild[CTI Target Completion]))&lt;&gt;0,INDEX(HostBuild[],MATCH(E160,HostBuild[Alias],0),COLUMN(HostBuild[CTI Target Completion])),""),""),"")</f>
        <v/>
      </c>
      <c r="D160" s="262" t="str">
        <f>IF(AND(NOT(ISBLANK(E160)),E160&lt;&gt;"(blank)"),IFERROR(IF(INDEX(HostBuild[],MATCH(E160,HostBuild[Alias],0),COLUMN(HostBuild[Description]))&lt;&gt;0,INDEX(HostBuild[],MATCH(E160,HostBuild[Alias],0),COLUMN(HostBuild[Description])),""),""),"")</f>
        <v/>
      </c>
      <c r="L160"/>
    </row>
    <row r="161" spans="1:12">
      <c r="A161" s="3" t="str">
        <f>IF(AND(NOT(ISBLANK(E161)),E161&lt;&gt;"(blank)"),IFERROR(IF(INDEX(HostBuild[],MATCH(E161,HostBuild[Alias],0),COLUMN(HostBuild[Hostname]))&lt;&gt;0,INDEX(HostBuild[],MATCH(E161,HostBuild[Alias],0),COLUMN(HostBuild[Hostname])),""),""),"")</f>
        <v/>
      </c>
      <c r="B161" s="424" t="str">
        <f>IF(AND(NOT(ISBLANK(E161)),E161&lt;&gt;"(blank)"),IFERROR(IF(INDEX(HostBuild[],MATCH(E161,HostBuild[Alias],0),COLUMN(HostBuild[Status]))&lt;&gt;0,INDEX(HostBuild[],MATCH(E161,HostBuild[Alias],0),COLUMN(HostBuild[Status])),""),""),"")</f>
        <v/>
      </c>
      <c r="C161" s="425" t="str">
        <f>IF(AND(NOT(ISBLANK(E161)),E161&lt;&gt;"(blank)"),IFERROR(IF(INDEX(HostBuild[],MATCH(E161,HostBuild[Alias],0),COLUMN(HostBuild[CTI Target Completion]))&lt;&gt;0,INDEX(HostBuild[],MATCH(E161,HostBuild[Alias],0),COLUMN(HostBuild[CTI Target Completion])),""),""),"")</f>
        <v/>
      </c>
      <c r="D161" s="262" t="str">
        <f>IF(AND(NOT(ISBLANK(E161)),E161&lt;&gt;"(blank)"),IFERROR(IF(INDEX(HostBuild[],MATCH(E161,HostBuild[Alias],0),COLUMN(HostBuild[Description]))&lt;&gt;0,INDEX(HostBuild[],MATCH(E161,HostBuild[Alias],0),COLUMN(HostBuild[Description])),""),""),"")</f>
        <v/>
      </c>
      <c r="L161"/>
    </row>
    <row r="162" spans="1:12">
      <c r="A162" s="3" t="str">
        <f>IF(AND(NOT(ISBLANK(E162)),E162&lt;&gt;"(blank)"),IFERROR(IF(INDEX(HostBuild[],MATCH(E162,HostBuild[Alias],0),COLUMN(HostBuild[Hostname]))&lt;&gt;0,INDEX(HostBuild[],MATCH(E162,HostBuild[Alias],0),COLUMN(HostBuild[Hostname])),""),""),"")</f>
        <v/>
      </c>
      <c r="B162" s="424" t="str">
        <f>IF(AND(NOT(ISBLANK(E162)),E162&lt;&gt;"(blank)"),IFERROR(IF(INDEX(HostBuild[],MATCH(E162,HostBuild[Alias],0),COLUMN(HostBuild[Status]))&lt;&gt;0,INDEX(HostBuild[],MATCH(E162,HostBuild[Alias],0),COLUMN(HostBuild[Status])),""),""),"")</f>
        <v/>
      </c>
      <c r="C162" s="425" t="str">
        <f>IF(AND(NOT(ISBLANK(E162)),E162&lt;&gt;"(blank)"),IFERROR(IF(INDEX(HostBuild[],MATCH(E162,HostBuild[Alias],0),COLUMN(HostBuild[CTI Target Completion]))&lt;&gt;0,INDEX(HostBuild[],MATCH(E162,HostBuild[Alias],0),COLUMN(HostBuild[CTI Target Completion])),""),""),"")</f>
        <v/>
      </c>
      <c r="D162" s="262" t="str">
        <f>IF(AND(NOT(ISBLANK(E162)),E162&lt;&gt;"(blank)"),IFERROR(IF(INDEX(HostBuild[],MATCH(E162,HostBuild[Alias],0),COLUMN(HostBuild[Description]))&lt;&gt;0,INDEX(HostBuild[],MATCH(E162,HostBuild[Alias],0),COLUMN(HostBuild[Description])),""),""),"")</f>
        <v/>
      </c>
      <c r="L162"/>
    </row>
    <row r="163" spans="1:12">
      <c r="A163" s="3" t="str">
        <f>IF(AND(NOT(ISBLANK(E163)),E163&lt;&gt;"(blank)"),IFERROR(IF(INDEX(HostBuild[],MATCH(E163,HostBuild[Alias],0),COLUMN(HostBuild[Hostname]))&lt;&gt;0,INDEX(HostBuild[],MATCH(E163,HostBuild[Alias],0),COLUMN(HostBuild[Hostname])),""),""),"")</f>
        <v/>
      </c>
      <c r="B163" s="424" t="str">
        <f>IF(AND(NOT(ISBLANK(E163)),E163&lt;&gt;"(blank)"),IFERROR(IF(INDEX(HostBuild[],MATCH(E163,HostBuild[Alias],0),COLUMN(HostBuild[Status]))&lt;&gt;0,INDEX(HostBuild[],MATCH(E163,HostBuild[Alias],0),COLUMN(HostBuild[Status])),""),""),"")</f>
        <v/>
      </c>
      <c r="C163" s="425" t="str">
        <f>IF(AND(NOT(ISBLANK(E163)),E163&lt;&gt;"(blank)"),IFERROR(IF(INDEX(HostBuild[],MATCH(E163,HostBuild[Alias],0),COLUMN(HostBuild[CTI Target Completion]))&lt;&gt;0,INDEX(HostBuild[],MATCH(E163,HostBuild[Alias],0),COLUMN(HostBuild[CTI Target Completion])),""),""),"")</f>
        <v/>
      </c>
      <c r="D163" s="262" t="str">
        <f>IF(AND(NOT(ISBLANK(E163)),E163&lt;&gt;"(blank)"),IFERROR(IF(INDEX(HostBuild[],MATCH(E163,HostBuild[Alias],0),COLUMN(HostBuild[Description]))&lt;&gt;0,INDEX(HostBuild[],MATCH(E163,HostBuild[Alias],0),COLUMN(HostBuild[Description])),""),""),"")</f>
        <v/>
      </c>
      <c r="L163"/>
    </row>
    <row r="164" spans="1:12">
      <c r="A164" s="3" t="str">
        <f>IF(AND(NOT(ISBLANK(E164)),E164&lt;&gt;"(blank)"),IFERROR(IF(INDEX(HostBuild[],MATCH(E164,HostBuild[Alias],0),COLUMN(HostBuild[Hostname]))&lt;&gt;0,INDEX(HostBuild[],MATCH(E164,HostBuild[Alias],0),COLUMN(HostBuild[Hostname])),""),""),"")</f>
        <v/>
      </c>
      <c r="B164" s="424" t="str">
        <f>IF(AND(NOT(ISBLANK(E164)),E164&lt;&gt;"(blank)"),IFERROR(IF(INDEX(HostBuild[],MATCH(E164,HostBuild[Alias],0),COLUMN(HostBuild[Status]))&lt;&gt;0,INDEX(HostBuild[],MATCH(E164,HostBuild[Alias],0),COLUMN(HostBuild[Status])),""),""),"")</f>
        <v/>
      </c>
      <c r="C164" s="425" t="str">
        <f>IF(AND(NOT(ISBLANK(E164)),E164&lt;&gt;"(blank)"),IFERROR(IF(INDEX(HostBuild[],MATCH(E164,HostBuild[Alias],0),COLUMN(HostBuild[CTI Target Completion]))&lt;&gt;0,INDEX(HostBuild[],MATCH(E164,HostBuild[Alias],0),COLUMN(HostBuild[CTI Target Completion])),""),""),"")</f>
        <v/>
      </c>
      <c r="D164" s="262" t="str">
        <f>IF(AND(NOT(ISBLANK(E164)),E164&lt;&gt;"(blank)"),IFERROR(IF(INDEX(HostBuild[],MATCH(E164,HostBuild[Alias],0),COLUMN(HostBuild[Description]))&lt;&gt;0,INDEX(HostBuild[],MATCH(E164,HostBuild[Alias],0),COLUMN(HostBuild[Description])),""),""),"")</f>
        <v/>
      </c>
      <c r="L164"/>
    </row>
    <row r="165" spans="1:12">
      <c r="A165" s="3" t="str">
        <f>IF(AND(NOT(ISBLANK(E165)),E165&lt;&gt;"(blank)"),IFERROR(IF(INDEX(HostBuild[],MATCH(E165,HostBuild[Alias],0),COLUMN(HostBuild[Hostname]))&lt;&gt;0,INDEX(HostBuild[],MATCH(E165,HostBuild[Alias],0),COLUMN(HostBuild[Hostname])),""),""),"")</f>
        <v/>
      </c>
      <c r="B165" s="424" t="str">
        <f>IF(AND(NOT(ISBLANK(E165)),E165&lt;&gt;"(blank)"),IFERROR(IF(INDEX(HostBuild[],MATCH(E165,HostBuild[Alias],0),COLUMN(HostBuild[Status]))&lt;&gt;0,INDEX(HostBuild[],MATCH(E165,HostBuild[Alias],0),COLUMN(HostBuild[Status])),""),""),"")</f>
        <v/>
      </c>
      <c r="C165" s="425" t="str">
        <f>IF(AND(NOT(ISBLANK(E165)),E165&lt;&gt;"(blank)"),IFERROR(IF(INDEX(HostBuild[],MATCH(E165,HostBuild[Alias],0),COLUMN(HostBuild[CTI Target Completion]))&lt;&gt;0,INDEX(HostBuild[],MATCH(E165,HostBuild[Alias],0),COLUMN(HostBuild[CTI Target Completion])),""),""),"")</f>
        <v/>
      </c>
      <c r="D165" s="262" t="str">
        <f>IF(AND(NOT(ISBLANK(E165)),E165&lt;&gt;"(blank)"),IFERROR(IF(INDEX(HostBuild[],MATCH(E165,HostBuild[Alias],0),COLUMN(HostBuild[Description]))&lt;&gt;0,INDEX(HostBuild[],MATCH(E165,HostBuild[Alias],0),COLUMN(HostBuild[Description])),""),""),"")</f>
        <v/>
      </c>
      <c r="L165"/>
    </row>
    <row r="166" spans="1:12">
      <c r="A166" s="3" t="str">
        <f>IF(AND(NOT(ISBLANK(E166)),E166&lt;&gt;"(blank)"),IFERROR(IF(INDEX(HostBuild[],MATCH(E166,HostBuild[Alias],0),COLUMN(HostBuild[Hostname]))&lt;&gt;0,INDEX(HostBuild[],MATCH(E166,HostBuild[Alias],0),COLUMN(HostBuild[Hostname])),""),""),"")</f>
        <v/>
      </c>
      <c r="B166" s="424" t="str">
        <f>IF(AND(NOT(ISBLANK(E166)),E166&lt;&gt;"(blank)"),IFERROR(IF(INDEX(HostBuild[],MATCH(E166,HostBuild[Alias],0),COLUMN(HostBuild[Status]))&lt;&gt;0,INDEX(HostBuild[],MATCH(E166,HostBuild[Alias],0),COLUMN(HostBuild[Status])),""),""),"")</f>
        <v/>
      </c>
      <c r="C166" s="425" t="str">
        <f>IF(AND(NOT(ISBLANK(E166)),E166&lt;&gt;"(blank)"),IFERROR(IF(INDEX(HostBuild[],MATCH(E166,HostBuild[Alias],0),COLUMN(HostBuild[CTI Target Completion]))&lt;&gt;0,INDEX(HostBuild[],MATCH(E166,HostBuild[Alias],0),COLUMN(HostBuild[CTI Target Completion])),""),""),"")</f>
        <v/>
      </c>
      <c r="D166" s="262" t="str">
        <f>IF(AND(NOT(ISBLANK(E166)),E166&lt;&gt;"(blank)"),IFERROR(IF(INDEX(HostBuild[],MATCH(E166,HostBuild[Alias],0),COLUMN(HostBuild[Description]))&lt;&gt;0,INDEX(HostBuild[],MATCH(E166,HostBuild[Alias],0),COLUMN(HostBuild[Description])),""),""),"")</f>
        <v/>
      </c>
      <c r="L166"/>
    </row>
    <row r="167" spans="1:12">
      <c r="A167" s="3" t="str">
        <f>IF(AND(NOT(ISBLANK(E167)),E167&lt;&gt;"(blank)"),IFERROR(IF(INDEX(HostBuild[],MATCH(E167,HostBuild[Alias],0),COLUMN(HostBuild[Hostname]))&lt;&gt;0,INDEX(HostBuild[],MATCH(E167,HostBuild[Alias],0),COLUMN(HostBuild[Hostname])),""),""),"")</f>
        <v/>
      </c>
      <c r="B167" s="424" t="str">
        <f>IF(AND(NOT(ISBLANK(E167)),E167&lt;&gt;"(blank)"),IFERROR(IF(INDEX(HostBuild[],MATCH(E167,HostBuild[Alias],0),COLUMN(HostBuild[Status]))&lt;&gt;0,INDEX(HostBuild[],MATCH(E167,HostBuild[Alias],0),COLUMN(HostBuild[Status])),""),""),"")</f>
        <v/>
      </c>
      <c r="C167" s="425" t="str">
        <f>IF(AND(NOT(ISBLANK(E167)),E167&lt;&gt;"(blank)"),IFERROR(IF(INDEX(HostBuild[],MATCH(E167,HostBuild[Alias],0),COLUMN(HostBuild[CTI Target Completion]))&lt;&gt;0,INDEX(HostBuild[],MATCH(E167,HostBuild[Alias],0),COLUMN(HostBuild[CTI Target Completion])),""),""),"")</f>
        <v/>
      </c>
      <c r="D167" s="262" t="str">
        <f>IF(AND(NOT(ISBLANK(E167)),E167&lt;&gt;"(blank)"),IFERROR(IF(INDEX(HostBuild[],MATCH(E167,HostBuild[Alias],0),COLUMN(HostBuild[Description]))&lt;&gt;0,INDEX(HostBuild[],MATCH(E167,HostBuild[Alias],0),COLUMN(HostBuild[Description])),""),""),"")</f>
        <v/>
      </c>
      <c r="L167"/>
    </row>
    <row r="168" spans="1:12">
      <c r="A168" s="3" t="str">
        <f>IF(AND(NOT(ISBLANK(E168)),E168&lt;&gt;"(blank)"),IFERROR(IF(INDEX(HostBuild[],MATCH(E168,HostBuild[Alias],0),COLUMN(HostBuild[Hostname]))&lt;&gt;0,INDEX(HostBuild[],MATCH(E168,HostBuild[Alias],0),COLUMN(HostBuild[Hostname])),""),""),"")</f>
        <v/>
      </c>
      <c r="B168" s="424" t="str">
        <f>IF(AND(NOT(ISBLANK(E168)),E168&lt;&gt;"(blank)"),IFERROR(IF(INDEX(HostBuild[],MATCH(E168,HostBuild[Alias],0),COLUMN(HostBuild[Status]))&lt;&gt;0,INDEX(HostBuild[],MATCH(E168,HostBuild[Alias],0),COLUMN(HostBuild[Status])),""),""),"")</f>
        <v/>
      </c>
      <c r="C168" s="425" t="str">
        <f>IF(AND(NOT(ISBLANK(E168)),E168&lt;&gt;"(blank)"),IFERROR(IF(INDEX(HostBuild[],MATCH(E168,HostBuild[Alias],0),COLUMN(HostBuild[CTI Target Completion]))&lt;&gt;0,INDEX(HostBuild[],MATCH(E168,HostBuild[Alias],0),COLUMN(HostBuild[CTI Target Completion])),""),""),"")</f>
        <v/>
      </c>
      <c r="D168" s="262" t="str">
        <f>IF(AND(NOT(ISBLANK(E168)),E168&lt;&gt;"(blank)"),IFERROR(IF(INDEX(HostBuild[],MATCH(E168,HostBuild[Alias],0),COLUMN(HostBuild[Description]))&lt;&gt;0,INDEX(HostBuild[],MATCH(E168,HostBuild[Alias],0),COLUMN(HostBuild[Description])),""),""),"")</f>
        <v/>
      </c>
      <c r="L168"/>
    </row>
    <row r="169" spans="1:12">
      <c r="A169" s="3" t="str">
        <f>IF(AND(NOT(ISBLANK(E169)),E169&lt;&gt;"(blank)"),IFERROR(IF(INDEX(HostBuild[],MATCH(E169,HostBuild[Alias],0),COLUMN(HostBuild[Hostname]))&lt;&gt;0,INDEX(HostBuild[],MATCH(E169,HostBuild[Alias],0),COLUMN(HostBuild[Hostname])),""),""),"")</f>
        <v/>
      </c>
      <c r="B169" s="424" t="str">
        <f>IF(AND(NOT(ISBLANK(E169)),E169&lt;&gt;"(blank)"),IFERROR(IF(INDEX(HostBuild[],MATCH(E169,HostBuild[Alias],0),COLUMN(HostBuild[Status]))&lt;&gt;0,INDEX(HostBuild[],MATCH(E169,HostBuild[Alias],0),COLUMN(HostBuild[Status])),""),""),"")</f>
        <v/>
      </c>
      <c r="C169" s="425" t="str">
        <f>IF(AND(NOT(ISBLANK(E169)),E169&lt;&gt;"(blank)"),IFERROR(IF(INDEX(HostBuild[],MATCH(E169,HostBuild[Alias],0),COLUMN(HostBuild[CTI Target Completion]))&lt;&gt;0,INDEX(HostBuild[],MATCH(E169,HostBuild[Alias],0),COLUMN(HostBuild[CTI Target Completion])),""),""),"")</f>
        <v/>
      </c>
      <c r="D169" s="262" t="str">
        <f>IF(AND(NOT(ISBLANK(E169)),E169&lt;&gt;"(blank)"),IFERROR(IF(INDEX(HostBuild[],MATCH(E169,HostBuild[Alias],0),COLUMN(HostBuild[Description]))&lt;&gt;0,INDEX(HostBuild[],MATCH(E169,HostBuild[Alias],0),COLUMN(HostBuild[Description])),""),""),"")</f>
        <v/>
      </c>
      <c r="L169"/>
    </row>
    <row r="170" spans="1:12">
      <c r="A170" s="3" t="str">
        <f>IF(AND(NOT(ISBLANK(E170)),E170&lt;&gt;"(blank)"),IFERROR(IF(INDEX(HostBuild[],MATCH(E170,HostBuild[Alias],0),COLUMN(HostBuild[Hostname]))&lt;&gt;0,INDEX(HostBuild[],MATCH(E170,HostBuild[Alias],0),COLUMN(HostBuild[Hostname])),""),""),"")</f>
        <v/>
      </c>
      <c r="B170" s="424" t="str">
        <f>IF(AND(NOT(ISBLANK(E170)),E170&lt;&gt;"(blank)"),IFERROR(IF(INDEX(HostBuild[],MATCH(E170,HostBuild[Alias],0),COLUMN(HostBuild[Status]))&lt;&gt;0,INDEX(HostBuild[],MATCH(E170,HostBuild[Alias],0),COLUMN(HostBuild[Status])),""),""),"")</f>
        <v/>
      </c>
      <c r="C170" s="425" t="str">
        <f>IF(AND(NOT(ISBLANK(E170)),E170&lt;&gt;"(blank)"),IFERROR(IF(INDEX(HostBuild[],MATCH(E170,HostBuild[Alias],0),COLUMN(HostBuild[CTI Target Completion]))&lt;&gt;0,INDEX(HostBuild[],MATCH(E170,HostBuild[Alias],0),COLUMN(HostBuild[CTI Target Completion])),""),""),"")</f>
        <v/>
      </c>
      <c r="D170" s="262" t="str">
        <f>IF(AND(NOT(ISBLANK(E170)),E170&lt;&gt;"(blank)"),IFERROR(IF(INDEX(HostBuild[],MATCH(E170,HostBuild[Alias],0),COLUMN(HostBuild[Description]))&lt;&gt;0,INDEX(HostBuild[],MATCH(E170,HostBuild[Alias],0),COLUMN(HostBuild[Description])),""),""),"")</f>
        <v/>
      </c>
      <c r="L170"/>
    </row>
    <row r="171" spans="1:12">
      <c r="A171" s="3" t="str">
        <f>IF(AND(NOT(ISBLANK(E171)),E171&lt;&gt;"(blank)"),IFERROR(IF(INDEX(HostBuild[],MATCH(E171,HostBuild[Alias],0),COLUMN(HostBuild[Hostname]))&lt;&gt;0,INDEX(HostBuild[],MATCH(E171,HostBuild[Alias],0),COLUMN(HostBuild[Hostname])),""),""),"")</f>
        <v/>
      </c>
      <c r="B171" s="424" t="str">
        <f>IF(AND(NOT(ISBLANK(E171)),E171&lt;&gt;"(blank)"),IFERROR(IF(INDEX(HostBuild[],MATCH(E171,HostBuild[Alias],0),COLUMN(HostBuild[Status]))&lt;&gt;0,INDEX(HostBuild[],MATCH(E171,HostBuild[Alias],0),COLUMN(HostBuild[Status])),""),""),"")</f>
        <v/>
      </c>
      <c r="C171" s="425" t="str">
        <f>IF(AND(NOT(ISBLANK(E171)),E171&lt;&gt;"(blank)"),IFERROR(IF(INDEX(HostBuild[],MATCH(E171,HostBuild[Alias],0),COLUMN(HostBuild[CTI Target Completion]))&lt;&gt;0,INDEX(HostBuild[],MATCH(E171,HostBuild[Alias],0),COLUMN(HostBuild[CTI Target Completion])),""),""),"")</f>
        <v/>
      </c>
      <c r="D171" s="262" t="str">
        <f>IF(AND(NOT(ISBLANK(E171)),E171&lt;&gt;"(blank)"),IFERROR(IF(INDEX(HostBuild[],MATCH(E171,HostBuild[Alias],0),COLUMN(HostBuild[Description]))&lt;&gt;0,INDEX(HostBuild[],MATCH(E171,HostBuild[Alias],0),COLUMN(HostBuild[Description])),""),""),"")</f>
        <v/>
      </c>
      <c r="L171"/>
    </row>
    <row r="172" spans="1:12">
      <c r="A172" s="3" t="str">
        <f>IF(AND(NOT(ISBLANK(E172)),E172&lt;&gt;"(blank)"),IFERROR(IF(INDEX(HostBuild[],MATCH(E172,HostBuild[Alias],0),COLUMN(HostBuild[Hostname]))&lt;&gt;0,INDEX(HostBuild[],MATCH(E172,HostBuild[Alias],0),COLUMN(HostBuild[Hostname])),""),""),"")</f>
        <v/>
      </c>
      <c r="B172" s="424" t="str">
        <f>IF(AND(NOT(ISBLANK(E172)),E172&lt;&gt;"(blank)"),IFERROR(IF(INDEX(HostBuild[],MATCH(E172,HostBuild[Alias],0),COLUMN(HostBuild[Status]))&lt;&gt;0,INDEX(HostBuild[],MATCH(E172,HostBuild[Alias],0),COLUMN(HostBuild[Status])),""),""),"")</f>
        <v/>
      </c>
      <c r="C172" s="425" t="str">
        <f>IF(AND(NOT(ISBLANK(E172)),E172&lt;&gt;"(blank)"),IFERROR(IF(INDEX(HostBuild[],MATCH(E172,HostBuild[Alias],0),COLUMN(HostBuild[CTI Target Completion]))&lt;&gt;0,INDEX(HostBuild[],MATCH(E172,HostBuild[Alias],0),COLUMN(HostBuild[CTI Target Completion])),""),""),"")</f>
        <v/>
      </c>
      <c r="D172" s="262" t="str">
        <f>IF(AND(NOT(ISBLANK(E172)),E172&lt;&gt;"(blank)"),IFERROR(IF(INDEX(HostBuild[],MATCH(E172,HostBuild[Alias],0),COLUMN(HostBuild[Description]))&lt;&gt;0,INDEX(HostBuild[],MATCH(E172,HostBuild[Alias],0),COLUMN(HostBuild[Description])),""),""),"")</f>
        <v/>
      </c>
      <c r="L172"/>
    </row>
    <row r="173" spans="1:12">
      <c r="A173" s="3" t="str">
        <f>IF(AND(NOT(ISBLANK(E173)),E173&lt;&gt;"(blank)"),IFERROR(IF(INDEX(HostBuild[],MATCH(E173,HostBuild[Alias],0),COLUMN(HostBuild[Hostname]))&lt;&gt;0,INDEX(HostBuild[],MATCH(E173,HostBuild[Alias],0),COLUMN(HostBuild[Hostname])),""),""),"")</f>
        <v/>
      </c>
      <c r="B173" s="424" t="str">
        <f>IF(AND(NOT(ISBLANK(E173)),E173&lt;&gt;"(blank)"),IFERROR(IF(INDEX(HostBuild[],MATCH(E173,HostBuild[Alias],0),COLUMN(HostBuild[Status]))&lt;&gt;0,INDEX(HostBuild[],MATCH(E173,HostBuild[Alias],0),COLUMN(HostBuild[Status])),""),""),"")</f>
        <v/>
      </c>
      <c r="C173" s="425" t="str">
        <f>IF(AND(NOT(ISBLANK(E173)),E173&lt;&gt;"(blank)"),IFERROR(IF(INDEX(HostBuild[],MATCH(E173,HostBuild[Alias],0),COLUMN(HostBuild[CTI Target Completion]))&lt;&gt;0,INDEX(HostBuild[],MATCH(E173,HostBuild[Alias],0),COLUMN(HostBuild[CTI Target Completion])),""),""),"")</f>
        <v/>
      </c>
      <c r="D173" s="262" t="str">
        <f>IF(AND(NOT(ISBLANK(E173)),E173&lt;&gt;"(blank)"),IFERROR(IF(INDEX(HostBuild[],MATCH(E173,HostBuild[Alias],0),COLUMN(HostBuild[Description]))&lt;&gt;0,INDEX(HostBuild[],MATCH(E173,HostBuild[Alias],0),COLUMN(HostBuild[Description])),""),""),"")</f>
        <v/>
      </c>
      <c r="L173"/>
    </row>
    <row r="174" spans="1:12">
      <c r="A174" s="3" t="str">
        <f>IF(AND(NOT(ISBLANK(E174)),E174&lt;&gt;"(blank)"),IFERROR(IF(INDEX(HostBuild[],MATCH(E174,HostBuild[Alias],0),COLUMN(HostBuild[Hostname]))&lt;&gt;0,INDEX(HostBuild[],MATCH(E174,HostBuild[Alias],0),COLUMN(HostBuild[Hostname])),""),""),"")</f>
        <v/>
      </c>
      <c r="B174" s="424" t="str">
        <f>IF(AND(NOT(ISBLANK(E174)),E174&lt;&gt;"(blank)"),IFERROR(IF(INDEX(HostBuild[],MATCH(E174,HostBuild[Alias],0),COLUMN(HostBuild[Status]))&lt;&gt;0,INDEX(HostBuild[],MATCH(E174,HostBuild[Alias],0),COLUMN(HostBuild[Status])),""),""),"")</f>
        <v/>
      </c>
      <c r="C174" s="425" t="str">
        <f>IF(AND(NOT(ISBLANK(E174)),E174&lt;&gt;"(blank)"),IFERROR(IF(INDEX(HostBuild[],MATCH(E174,HostBuild[Alias],0),COLUMN(HostBuild[CTI Target Completion]))&lt;&gt;0,INDEX(HostBuild[],MATCH(E174,HostBuild[Alias],0),COLUMN(HostBuild[CTI Target Completion])),""),""),"")</f>
        <v/>
      </c>
      <c r="D174" s="262" t="str">
        <f>IF(AND(NOT(ISBLANK(E174)),E174&lt;&gt;"(blank)"),IFERROR(IF(INDEX(HostBuild[],MATCH(E174,HostBuild[Alias],0),COLUMN(HostBuild[Description]))&lt;&gt;0,INDEX(HostBuild[],MATCH(E174,HostBuild[Alias],0),COLUMN(HostBuild[Description])),""),""),"")</f>
        <v/>
      </c>
      <c r="L174"/>
    </row>
    <row r="175" spans="1:12">
      <c r="A175" s="3" t="str">
        <f>IF(AND(NOT(ISBLANK(E175)),E175&lt;&gt;"(blank)"),IFERROR(IF(INDEX(HostBuild[],MATCH(E175,HostBuild[Alias],0),COLUMN(HostBuild[Hostname]))&lt;&gt;0,INDEX(HostBuild[],MATCH(E175,HostBuild[Alias],0),COLUMN(HostBuild[Hostname])),""),""),"")</f>
        <v/>
      </c>
      <c r="B175" s="424" t="str">
        <f>IF(AND(NOT(ISBLANK(E175)),E175&lt;&gt;"(blank)"),IFERROR(IF(INDEX(HostBuild[],MATCH(E175,HostBuild[Alias],0),COLUMN(HostBuild[Status]))&lt;&gt;0,INDEX(HostBuild[],MATCH(E175,HostBuild[Alias],0),COLUMN(HostBuild[Status])),""),""),"")</f>
        <v/>
      </c>
      <c r="C175" s="425" t="str">
        <f>IF(AND(NOT(ISBLANK(E175)),E175&lt;&gt;"(blank)"),IFERROR(IF(INDEX(HostBuild[],MATCH(E175,HostBuild[Alias],0),COLUMN(HostBuild[CTI Target Completion]))&lt;&gt;0,INDEX(HostBuild[],MATCH(E175,HostBuild[Alias],0),COLUMN(HostBuild[CTI Target Completion])),""),""),"")</f>
        <v/>
      </c>
      <c r="D175" s="262" t="str">
        <f>IF(AND(NOT(ISBLANK(E175)),E175&lt;&gt;"(blank)"),IFERROR(IF(INDEX(HostBuild[],MATCH(E175,HostBuild[Alias],0),COLUMN(HostBuild[Description]))&lt;&gt;0,INDEX(HostBuild[],MATCH(E175,HostBuild[Alias],0),COLUMN(HostBuild[Description])),""),""),"")</f>
        <v/>
      </c>
      <c r="L175"/>
    </row>
    <row r="176" spans="1:12">
      <c r="A176" s="3" t="str">
        <f>IF(AND(NOT(ISBLANK(E176)),E176&lt;&gt;"(blank)"),IFERROR(IF(INDEX(HostBuild[],MATCH(E176,HostBuild[Alias],0),COLUMN(HostBuild[Hostname]))&lt;&gt;0,INDEX(HostBuild[],MATCH(E176,HostBuild[Alias],0),COLUMN(HostBuild[Hostname])),""),""),"")</f>
        <v/>
      </c>
      <c r="B176" s="424" t="str">
        <f>IF(AND(NOT(ISBLANK(E176)),E176&lt;&gt;"(blank)"),IFERROR(IF(INDEX(HostBuild[],MATCH(E176,HostBuild[Alias],0),COLUMN(HostBuild[Status]))&lt;&gt;0,INDEX(HostBuild[],MATCH(E176,HostBuild[Alias],0),COLUMN(HostBuild[Status])),""),""),"")</f>
        <v/>
      </c>
      <c r="C176" s="425" t="str">
        <f>IF(AND(NOT(ISBLANK(E176)),E176&lt;&gt;"(blank)"),IFERROR(IF(INDEX(HostBuild[],MATCH(E176,HostBuild[Alias],0),COLUMN(HostBuild[CTI Target Completion]))&lt;&gt;0,INDEX(HostBuild[],MATCH(E176,HostBuild[Alias],0),COLUMN(HostBuild[CTI Target Completion])),""),""),"")</f>
        <v/>
      </c>
      <c r="D176" s="262" t="str">
        <f>IF(AND(NOT(ISBLANK(E176)),E176&lt;&gt;"(blank)"),IFERROR(IF(INDEX(HostBuild[],MATCH(E176,HostBuild[Alias],0),COLUMN(HostBuild[Description]))&lt;&gt;0,INDEX(HostBuild[],MATCH(E176,HostBuild[Alias],0),COLUMN(HostBuild[Description])),""),""),"")</f>
        <v/>
      </c>
      <c r="L176"/>
    </row>
    <row r="177" spans="1:12">
      <c r="A177" s="3" t="str">
        <f>IF(AND(NOT(ISBLANK(E177)),E177&lt;&gt;"(blank)"),IFERROR(IF(INDEX(HostBuild[],MATCH(E177,HostBuild[Alias],0),COLUMN(HostBuild[Hostname]))&lt;&gt;0,INDEX(HostBuild[],MATCH(E177,HostBuild[Alias],0),COLUMN(HostBuild[Hostname])),""),""),"")</f>
        <v/>
      </c>
      <c r="B177" s="424" t="str">
        <f>IF(AND(NOT(ISBLANK(E177)),E177&lt;&gt;"(blank)"),IFERROR(IF(INDEX(HostBuild[],MATCH(E177,HostBuild[Alias],0),COLUMN(HostBuild[Status]))&lt;&gt;0,INDEX(HostBuild[],MATCH(E177,HostBuild[Alias],0),COLUMN(HostBuild[Status])),""),""),"")</f>
        <v/>
      </c>
      <c r="C177" s="425" t="str">
        <f>IF(AND(NOT(ISBLANK(E177)),E177&lt;&gt;"(blank)"),IFERROR(IF(INDEX(HostBuild[],MATCH(E177,HostBuild[Alias],0),COLUMN(HostBuild[CTI Target Completion]))&lt;&gt;0,INDEX(HostBuild[],MATCH(E177,HostBuild[Alias],0),COLUMN(HostBuild[CTI Target Completion])),""),""),"")</f>
        <v/>
      </c>
      <c r="D177" s="262" t="str">
        <f>IF(AND(NOT(ISBLANK(E177)),E177&lt;&gt;"(blank)"),IFERROR(IF(INDEX(HostBuild[],MATCH(E177,HostBuild[Alias],0),COLUMN(HostBuild[Description]))&lt;&gt;0,INDEX(HostBuild[],MATCH(E177,HostBuild[Alias],0),COLUMN(HostBuild[Description])),""),""),"")</f>
        <v/>
      </c>
      <c r="L177"/>
    </row>
    <row r="178" spans="1:12">
      <c r="A178" s="3" t="str">
        <f>IF(AND(NOT(ISBLANK(E178)),E178&lt;&gt;"(blank)"),IFERROR(IF(INDEX(HostBuild[],MATCH(E178,HostBuild[Alias],0),COLUMN(HostBuild[Hostname]))&lt;&gt;0,INDEX(HostBuild[],MATCH(E178,HostBuild[Alias],0),COLUMN(HostBuild[Hostname])),""),""),"")</f>
        <v/>
      </c>
      <c r="B178" s="424" t="str">
        <f>IF(AND(NOT(ISBLANK(E178)),E178&lt;&gt;"(blank)"),IFERROR(IF(INDEX(HostBuild[],MATCH(E178,HostBuild[Alias],0),COLUMN(HostBuild[Status]))&lt;&gt;0,INDEX(HostBuild[],MATCH(E178,HostBuild[Alias],0),COLUMN(HostBuild[Status])),""),""),"")</f>
        <v/>
      </c>
      <c r="C178" s="425" t="str">
        <f>IF(AND(NOT(ISBLANK(E178)),E178&lt;&gt;"(blank)"),IFERROR(IF(INDEX(HostBuild[],MATCH(E178,HostBuild[Alias],0),COLUMN(HostBuild[CTI Target Completion]))&lt;&gt;0,INDEX(HostBuild[],MATCH(E178,HostBuild[Alias],0),COLUMN(HostBuild[CTI Target Completion])),""),""),"")</f>
        <v/>
      </c>
      <c r="D178" s="262" t="str">
        <f>IF(AND(NOT(ISBLANK(E178)),E178&lt;&gt;"(blank)"),IFERROR(IF(INDEX(HostBuild[],MATCH(E178,HostBuild[Alias],0),COLUMN(HostBuild[Description]))&lt;&gt;0,INDEX(HostBuild[],MATCH(E178,HostBuild[Alias],0),COLUMN(HostBuild[Description])),""),""),"")</f>
        <v/>
      </c>
      <c r="L178"/>
    </row>
    <row r="179" spans="1:12">
      <c r="A179" s="3" t="str">
        <f>IF(AND(NOT(ISBLANK(E179)),E179&lt;&gt;"(blank)"),IFERROR(IF(INDEX(HostBuild[],MATCH(E179,HostBuild[Alias],0),COLUMN(HostBuild[Hostname]))&lt;&gt;0,INDEX(HostBuild[],MATCH(E179,HostBuild[Alias],0),COLUMN(HostBuild[Hostname])),""),""),"")</f>
        <v/>
      </c>
      <c r="B179" s="424" t="str">
        <f>IF(AND(NOT(ISBLANK(E179)),E179&lt;&gt;"(blank)"),IFERROR(IF(INDEX(HostBuild[],MATCH(E179,HostBuild[Alias],0),COLUMN(HostBuild[Status]))&lt;&gt;0,INDEX(HostBuild[],MATCH(E179,HostBuild[Alias],0),COLUMN(HostBuild[Status])),""),""),"")</f>
        <v/>
      </c>
      <c r="C179" s="425" t="str">
        <f>IF(AND(NOT(ISBLANK(E179)),E179&lt;&gt;"(blank)"),IFERROR(IF(INDEX(HostBuild[],MATCH(E179,HostBuild[Alias],0),COLUMN(HostBuild[CTI Target Completion]))&lt;&gt;0,INDEX(HostBuild[],MATCH(E179,HostBuild[Alias],0),COLUMN(HostBuild[CTI Target Completion])),""),""),"")</f>
        <v/>
      </c>
      <c r="D179" s="262" t="str">
        <f>IF(AND(NOT(ISBLANK(E179)),E179&lt;&gt;"(blank)"),IFERROR(IF(INDEX(HostBuild[],MATCH(E179,HostBuild[Alias],0),COLUMN(HostBuild[Description]))&lt;&gt;0,INDEX(HostBuild[],MATCH(E179,HostBuild[Alias],0),COLUMN(HostBuild[Description])),""),""),"")</f>
        <v/>
      </c>
      <c r="L179"/>
    </row>
    <row r="180" spans="1:12">
      <c r="A180" s="3" t="str">
        <f>IF(AND(NOT(ISBLANK(E180)),E180&lt;&gt;"(blank)"),IFERROR(IF(INDEX(HostBuild[],MATCH(E180,HostBuild[Alias],0),COLUMN(HostBuild[Hostname]))&lt;&gt;0,INDEX(HostBuild[],MATCH(E180,HostBuild[Alias],0),COLUMN(HostBuild[Hostname])),""),""),"")</f>
        <v/>
      </c>
      <c r="B180" s="424" t="str">
        <f>IF(AND(NOT(ISBLANK(E180)),E180&lt;&gt;"(blank)"),IFERROR(IF(INDEX(HostBuild[],MATCH(E180,HostBuild[Alias],0),COLUMN(HostBuild[Status]))&lt;&gt;0,INDEX(HostBuild[],MATCH(E180,HostBuild[Alias],0),COLUMN(HostBuild[Status])),""),""),"")</f>
        <v/>
      </c>
      <c r="C180" s="425" t="str">
        <f>IF(AND(NOT(ISBLANK(E180)),E180&lt;&gt;"(blank)"),IFERROR(IF(INDEX(HostBuild[],MATCH(E180,HostBuild[Alias],0),COLUMN(HostBuild[CTI Target Completion]))&lt;&gt;0,INDEX(HostBuild[],MATCH(E180,HostBuild[Alias],0),COLUMN(HostBuild[CTI Target Completion])),""),""),"")</f>
        <v/>
      </c>
      <c r="D180" s="262" t="str">
        <f>IF(AND(NOT(ISBLANK(E180)),E180&lt;&gt;"(blank)"),IFERROR(IF(INDEX(HostBuild[],MATCH(E180,HostBuild[Alias],0),COLUMN(HostBuild[Description]))&lt;&gt;0,INDEX(HostBuild[],MATCH(E180,HostBuild[Alias],0),COLUMN(HostBuild[Description])),""),""),"")</f>
        <v/>
      </c>
      <c r="L180"/>
    </row>
    <row r="181" spans="1:12">
      <c r="A181" s="3" t="str">
        <f>IF(AND(NOT(ISBLANK(E181)),E181&lt;&gt;"(blank)"),IFERROR(IF(INDEX(HostBuild[],MATCH(E181,HostBuild[Alias],0),COLUMN(HostBuild[Hostname]))&lt;&gt;0,INDEX(HostBuild[],MATCH(E181,HostBuild[Alias],0),COLUMN(HostBuild[Hostname])),""),""),"")</f>
        <v/>
      </c>
      <c r="B181" s="424" t="str">
        <f>IF(AND(NOT(ISBLANK(E181)),E181&lt;&gt;"(blank)"),IFERROR(IF(INDEX(HostBuild[],MATCH(E181,HostBuild[Alias],0),COLUMN(HostBuild[Status]))&lt;&gt;0,INDEX(HostBuild[],MATCH(E181,HostBuild[Alias],0),COLUMN(HostBuild[Status])),""),""),"")</f>
        <v/>
      </c>
      <c r="C181" s="425" t="str">
        <f>IF(AND(NOT(ISBLANK(E181)),E181&lt;&gt;"(blank)"),IFERROR(IF(INDEX(HostBuild[],MATCH(E181,HostBuild[Alias],0),COLUMN(HostBuild[CTI Target Completion]))&lt;&gt;0,INDEX(HostBuild[],MATCH(E181,HostBuild[Alias],0),COLUMN(HostBuild[CTI Target Completion])),""),""),"")</f>
        <v/>
      </c>
      <c r="D181" s="262" t="str">
        <f>IF(AND(NOT(ISBLANK(E181)),E181&lt;&gt;"(blank)"),IFERROR(IF(INDEX(HostBuild[],MATCH(E181,HostBuild[Alias],0),COLUMN(HostBuild[Description]))&lt;&gt;0,INDEX(HostBuild[],MATCH(E181,HostBuild[Alias],0),COLUMN(HostBuild[Description])),""),""),"")</f>
        <v/>
      </c>
      <c r="L181"/>
    </row>
    <row r="182" spans="1:12">
      <c r="A182" s="3" t="str">
        <f>IF(AND(NOT(ISBLANK(E182)),E182&lt;&gt;"(blank)"),IFERROR(IF(INDEX(HostBuild[],MATCH(E182,HostBuild[Alias],0),COLUMN(HostBuild[Hostname]))&lt;&gt;0,INDEX(HostBuild[],MATCH(E182,HostBuild[Alias],0),COLUMN(HostBuild[Hostname])),""),""),"")</f>
        <v/>
      </c>
      <c r="B182" s="424" t="str">
        <f>IF(AND(NOT(ISBLANK(E182)),E182&lt;&gt;"(blank)"),IFERROR(IF(INDEX(HostBuild[],MATCH(E182,HostBuild[Alias],0),COLUMN(HostBuild[Status]))&lt;&gt;0,INDEX(HostBuild[],MATCH(E182,HostBuild[Alias],0),COLUMN(HostBuild[Status])),""),""),"")</f>
        <v/>
      </c>
      <c r="C182" s="425" t="str">
        <f>IF(AND(NOT(ISBLANK(E182)),E182&lt;&gt;"(blank)"),IFERROR(IF(INDEX(HostBuild[],MATCH(E182,HostBuild[Alias],0),COLUMN(HostBuild[CTI Target Completion]))&lt;&gt;0,INDEX(HostBuild[],MATCH(E182,HostBuild[Alias],0),COLUMN(HostBuild[CTI Target Completion])),""),""),"")</f>
        <v/>
      </c>
      <c r="D182" s="262" t="str">
        <f>IF(AND(NOT(ISBLANK(E182)),E182&lt;&gt;"(blank)"),IFERROR(IF(INDEX(HostBuild[],MATCH(E182,HostBuild[Alias],0),COLUMN(HostBuild[Description]))&lt;&gt;0,INDEX(HostBuild[],MATCH(E182,HostBuild[Alias],0),COLUMN(HostBuild[Description])),""),""),"")</f>
        <v/>
      </c>
      <c r="L182"/>
    </row>
    <row r="183" spans="1:12">
      <c r="A183" s="3" t="str">
        <f>IF(AND(NOT(ISBLANK(E183)),E183&lt;&gt;"(blank)"),IFERROR(IF(INDEX(HostBuild[],MATCH(E183,HostBuild[Alias],0),COLUMN(HostBuild[Hostname]))&lt;&gt;0,INDEX(HostBuild[],MATCH(E183,HostBuild[Alias],0),COLUMN(HostBuild[Hostname])),""),""),"")</f>
        <v/>
      </c>
      <c r="B183" s="424" t="str">
        <f>IF(AND(NOT(ISBLANK(E183)),E183&lt;&gt;"(blank)"),IFERROR(IF(INDEX(HostBuild[],MATCH(E183,HostBuild[Alias],0),COLUMN(HostBuild[Status]))&lt;&gt;0,INDEX(HostBuild[],MATCH(E183,HostBuild[Alias],0),COLUMN(HostBuild[Status])),""),""),"")</f>
        <v/>
      </c>
      <c r="C183" s="425" t="str">
        <f>IF(AND(NOT(ISBLANK(E183)),E183&lt;&gt;"(blank)"),IFERROR(IF(INDEX(HostBuild[],MATCH(E183,HostBuild[Alias],0),COLUMN(HostBuild[CTI Target Completion]))&lt;&gt;0,INDEX(HostBuild[],MATCH(E183,HostBuild[Alias],0),COLUMN(HostBuild[CTI Target Completion])),""),""),"")</f>
        <v/>
      </c>
      <c r="D183" s="262" t="str">
        <f>IF(AND(NOT(ISBLANK(E183)),E183&lt;&gt;"(blank)"),IFERROR(IF(INDEX(HostBuild[],MATCH(E183,HostBuild[Alias],0),COLUMN(HostBuild[Description]))&lt;&gt;0,INDEX(HostBuild[],MATCH(E183,HostBuild[Alias],0),COLUMN(HostBuild[Description])),""),""),"")</f>
        <v/>
      </c>
      <c r="L183"/>
    </row>
    <row r="184" spans="1:12">
      <c r="A184" s="3" t="str">
        <f>IF(AND(NOT(ISBLANK(E184)),E184&lt;&gt;"(blank)"),IFERROR(IF(INDEX(HostBuild[],MATCH(E184,HostBuild[Alias],0),COLUMN(HostBuild[Hostname]))&lt;&gt;0,INDEX(HostBuild[],MATCH(E184,HostBuild[Alias],0),COLUMN(HostBuild[Hostname])),""),""),"")</f>
        <v/>
      </c>
      <c r="B184" s="424" t="str">
        <f>IF(AND(NOT(ISBLANK(E184)),E184&lt;&gt;"(blank)"),IFERROR(IF(INDEX(HostBuild[],MATCH(E184,HostBuild[Alias],0),COLUMN(HostBuild[Status]))&lt;&gt;0,INDEX(HostBuild[],MATCH(E184,HostBuild[Alias],0),COLUMN(HostBuild[Status])),""),""),"")</f>
        <v/>
      </c>
      <c r="C184" s="425" t="str">
        <f>IF(AND(NOT(ISBLANK(E184)),E184&lt;&gt;"(blank)"),IFERROR(IF(INDEX(HostBuild[],MATCH(E184,HostBuild[Alias],0),COLUMN(HostBuild[CTI Target Completion]))&lt;&gt;0,INDEX(HostBuild[],MATCH(E184,HostBuild[Alias],0),COLUMN(HostBuild[CTI Target Completion])),""),""),"")</f>
        <v/>
      </c>
      <c r="D184" s="262" t="str">
        <f>IF(AND(NOT(ISBLANK(E184)),E184&lt;&gt;"(blank)"),IFERROR(IF(INDEX(HostBuild[],MATCH(E184,HostBuild[Alias],0),COLUMN(HostBuild[Description]))&lt;&gt;0,INDEX(HostBuild[],MATCH(E184,HostBuild[Alias],0),COLUMN(HostBuild[Description])),""),""),"")</f>
        <v/>
      </c>
      <c r="L184"/>
    </row>
    <row r="185" spans="1:12">
      <c r="A185" s="3" t="str">
        <f>IF(AND(NOT(ISBLANK(E185)),E185&lt;&gt;"(blank)"),IFERROR(IF(INDEX(HostBuild[],MATCH(E185,HostBuild[Alias],0),COLUMN(HostBuild[Hostname]))&lt;&gt;0,INDEX(HostBuild[],MATCH(E185,HostBuild[Alias],0),COLUMN(HostBuild[Hostname])),""),""),"")</f>
        <v/>
      </c>
      <c r="B185" s="424" t="str">
        <f>IF(AND(NOT(ISBLANK(E185)),E185&lt;&gt;"(blank)"),IFERROR(IF(INDEX(HostBuild[],MATCH(E185,HostBuild[Alias],0),COLUMN(HostBuild[Status]))&lt;&gt;0,INDEX(HostBuild[],MATCH(E185,HostBuild[Alias],0),COLUMN(HostBuild[Status])),""),""),"")</f>
        <v/>
      </c>
      <c r="C185" s="425" t="str">
        <f>IF(AND(NOT(ISBLANK(E185)),E185&lt;&gt;"(blank)"),IFERROR(IF(INDEX(HostBuild[],MATCH(E185,HostBuild[Alias],0),COLUMN(HostBuild[CTI Target Completion]))&lt;&gt;0,INDEX(HostBuild[],MATCH(E185,HostBuild[Alias],0),COLUMN(HostBuild[CTI Target Completion])),""),""),"")</f>
        <v/>
      </c>
      <c r="D185" s="262" t="str">
        <f>IF(AND(NOT(ISBLANK(E185)),E185&lt;&gt;"(blank)"),IFERROR(IF(INDEX(HostBuild[],MATCH(E185,HostBuild[Alias],0),COLUMN(HostBuild[Description]))&lt;&gt;0,INDEX(HostBuild[],MATCH(E185,HostBuild[Alias],0),COLUMN(HostBuild[Description])),""),""),"")</f>
        <v/>
      </c>
      <c r="L185"/>
    </row>
    <row r="186" spans="1:12">
      <c r="A186" s="3" t="str">
        <f>IF(AND(NOT(ISBLANK(E186)),E186&lt;&gt;"(blank)"),IFERROR(IF(INDEX(HostBuild[],MATCH(E186,HostBuild[Alias],0),COLUMN(HostBuild[Hostname]))&lt;&gt;0,INDEX(HostBuild[],MATCH(E186,HostBuild[Alias],0),COLUMN(HostBuild[Hostname])),""),""),"")</f>
        <v/>
      </c>
      <c r="B186" s="424" t="str">
        <f>IF(AND(NOT(ISBLANK(E186)),E186&lt;&gt;"(blank)"),IFERROR(IF(INDEX(HostBuild[],MATCH(E186,HostBuild[Alias],0),COLUMN(HostBuild[Status]))&lt;&gt;0,INDEX(HostBuild[],MATCH(E186,HostBuild[Alias],0),COLUMN(HostBuild[Status])),""),""),"")</f>
        <v/>
      </c>
      <c r="C186" s="425" t="str">
        <f>IF(AND(NOT(ISBLANK(E186)),E186&lt;&gt;"(blank)"),IFERROR(IF(INDEX(HostBuild[],MATCH(E186,HostBuild[Alias],0),COLUMN(HostBuild[CTI Target Completion]))&lt;&gt;0,INDEX(HostBuild[],MATCH(E186,HostBuild[Alias],0),COLUMN(HostBuild[CTI Target Completion])),""),""),"")</f>
        <v/>
      </c>
      <c r="D186" s="262" t="str">
        <f>IF(AND(NOT(ISBLANK(E186)),E186&lt;&gt;"(blank)"),IFERROR(IF(INDEX(HostBuild[],MATCH(E186,HostBuild[Alias],0),COLUMN(HostBuild[Description]))&lt;&gt;0,INDEX(HostBuild[],MATCH(E186,HostBuild[Alias],0),COLUMN(HostBuild[Description])),""),""),"")</f>
        <v/>
      </c>
      <c r="L186"/>
    </row>
    <row r="187" spans="1:12">
      <c r="A187" s="3" t="str">
        <f>IF(AND(NOT(ISBLANK(E187)),E187&lt;&gt;"(blank)"),IFERROR(IF(INDEX(HostBuild[],MATCH(E187,HostBuild[Alias],0),COLUMN(HostBuild[Hostname]))&lt;&gt;0,INDEX(HostBuild[],MATCH(E187,HostBuild[Alias],0),COLUMN(HostBuild[Hostname])),""),""),"")</f>
        <v/>
      </c>
      <c r="B187" s="424" t="str">
        <f>IF(AND(NOT(ISBLANK(E187)),E187&lt;&gt;"(blank)"),IFERROR(IF(INDEX(HostBuild[],MATCH(E187,HostBuild[Alias],0),COLUMN(HostBuild[Status]))&lt;&gt;0,INDEX(HostBuild[],MATCH(E187,HostBuild[Alias],0),COLUMN(HostBuild[Status])),""),""),"")</f>
        <v/>
      </c>
      <c r="C187" s="425" t="str">
        <f>IF(AND(NOT(ISBLANK(E187)),E187&lt;&gt;"(blank)"),IFERROR(IF(INDEX(HostBuild[],MATCH(E187,HostBuild[Alias],0),COLUMN(HostBuild[CTI Target Completion]))&lt;&gt;0,INDEX(HostBuild[],MATCH(E187,HostBuild[Alias],0),COLUMN(HostBuild[CTI Target Completion])),""),""),"")</f>
        <v/>
      </c>
      <c r="D187" s="262" t="str">
        <f>IF(AND(NOT(ISBLANK(E187)),E187&lt;&gt;"(blank)"),IFERROR(IF(INDEX(HostBuild[],MATCH(E187,HostBuild[Alias],0),COLUMN(HostBuild[Description]))&lt;&gt;0,INDEX(HostBuild[],MATCH(E187,HostBuild[Alias],0),COLUMN(HostBuild[Description])),""),""),"")</f>
        <v/>
      </c>
      <c r="L187"/>
    </row>
    <row r="188" spans="1:12">
      <c r="A188" s="3" t="str">
        <f>IF(AND(NOT(ISBLANK(E188)),E188&lt;&gt;"(blank)"),IFERROR(IF(INDEX(HostBuild[],MATCH(E188,HostBuild[Alias],0),COLUMN(HostBuild[Hostname]))&lt;&gt;0,INDEX(HostBuild[],MATCH(E188,HostBuild[Alias],0),COLUMN(HostBuild[Hostname])),""),""),"")</f>
        <v/>
      </c>
      <c r="B188" s="424" t="str">
        <f>IF(AND(NOT(ISBLANK(E188)),E188&lt;&gt;"(blank)"),IFERROR(IF(INDEX(HostBuild[],MATCH(E188,HostBuild[Alias],0),COLUMN(HostBuild[Status]))&lt;&gt;0,INDEX(HostBuild[],MATCH(E188,HostBuild[Alias],0),COLUMN(HostBuild[Status])),""),""),"")</f>
        <v/>
      </c>
      <c r="C188" s="425" t="str">
        <f>IF(AND(NOT(ISBLANK(E188)),E188&lt;&gt;"(blank)"),IFERROR(IF(INDEX(HostBuild[],MATCH(E188,HostBuild[Alias],0),COLUMN(HostBuild[CTI Target Completion]))&lt;&gt;0,INDEX(HostBuild[],MATCH(E188,HostBuild[Alias],0),COLUMN(HostBuild[CTI Target Completion])),""),""),"")</f>
        <v/>
      </c>
      <c r="D188" s="262" t="str">
        <f>IF(AND(NOT(ISBLANK(E188)),E188&lt;&gt;"(blank)"),IFERROR(IF(INDEX(HostBuild[],MATCH(E188,HostBuild[Alias],0),COLUMN(HostBuild[Description]))&lt;&gt;0,INDEX(HostBuild[],MATCH(E188,HostBuild[Alias],0),COLUMN(HostBuild[Description])),""),""),"")</f>
        <v/>
      </c>
      <c r="L188"/>
    </row>
    <row r="189" spans="1:12">
      <c r="A189" s="3" t="str">
        <f>IF(AND(NOT(ISBLANK(E189)),E189&lt;&gt;"(blank)"),IFERROR(IF(INDEX(HostBuild[],MATCH(E189,HostBuild[Alias],0),COLUMN(HostBuild[Hostname]))&lt;&gt;0,INDEX(HostBuild[],MATCH(E189,HostBuild[Alias],0),COLUMN(HostBuild[Hostname])),""),""),"")</f>
        <v/>
      </c>
      <c r="B189" s="424" t="str">
        <f>IF(AND(NOT(ISBLANK(E189)),E189&lt;&gt;"(blank)"),IFERROR(IF(INDEX(HostBuild[],MATCH(E189,HostBuild[Alias],0),COLUMN(HostBuild[Status]))&lt;&gt;0,INDEX(HostBuild[],MATCH(E189,HostBuild[Alias],0),COLUMN(HostBuild[Status])),""),""),"")</f>
        <v/>
      </c>
      <c r="C189" s="425" t="str">
        <f>IF(AND(NOT(ISBLANK(E189)),E189&lt;&gt;"(blank)"),IFERROR(IF(INDEX(HostBuild[],MATCH(E189,HostBuild[Alias],0),COLUMN(HostBuild[CTI Target Completion]))&lt;&gt;0,INDEX(HostBuild[],MATCH(E189,HostBuild[Alias],0),COLUMN(HostBuild[CTI Target Completion])),""),""),"")</f>
        <v/>
      </c>
      <c r="D189" s="262" t="str">
        <f>IF(AND(NOT(ISBLANK(E189)),E189&lt;&gt;"(blank)"),IFERROR(IF(INDEX(HostBuild[],MATCH(E189,HostBuild[Alias],0),COLUMN(HostBuild[Description]))&lt;&gt;0,INDEX(HostBuild[],MATCH(E189,HostBuild[Alias],0),COLUMN(HostBuild[Description])),""),""),"")</f>
        <v/>
      </c>
      <c r="L189"/>
    </row>
    <row r="190" spans="1:12">
      <c r="A190" s="3" t="str">
        <f>IF(AND(NOT(ISBLANK(E190)),E190&lt;&gt;"(blank)"),IFERROR(IF(INDEX(HostBuild[],MATCH(E190,HostBuild[Alias],0),COLUMN(HostBuild[Hostname]))&lt;&gt;0,INDEX(HostBuild[],MATCH(E190,HostBuild[Alias],0),COLUMN(HostBuild[Hostname])),""),""),"")</f>
        <v/>
      </c>
      <c r="B190" s="424" t="str">
        <f>IF(AND(NOT(ISBLANK(E190)),E190&lt;&gt;"(blank)"),IFERROR(IF(INDEX(HostBuild[],MATCH(E190,HostBuild[Alias],0),COLUMN(HostBuild[Status]))&lt;&gt;0,INDEX(HostBuild[],MATCH(E190,HostBuild[Alias],0),COLUMN(HostBuild[Status])),""),""),"")</f>
        <v/>
      </c>
      <c r="C190" s="425" t="str">
        <f>IF(AND(NOT(ISBLANK(E190)),E190&lt;&gt;"(blank)"),IFERROR(IF(INDEX(HostBuild[],MATCH(E190,HostBuild[Alias],0),COLUMN(HostBuild[CTI Target Completion]))&lt;&gt;0,INDEX(HostBuild[],MATCH(E190,HostBuild[Alias],0),COLUMN(HostBuild[CTI Target Completion])),""),""),"")</f>
        <v/>
      </c>
      <c r="D190" s="262" t="str">
        <f>IF(AND(NOT(ISBLANK(E190)),E190&lt;&gt;"(blank)"),IFERROR(IF(INDEX(HostBuild[],MATCH(E190,HostBuild[Alias],0),COLUMN(HostBuild[Description]))&lt;&gt;0,INDEX(HostBuild[],MATCH(E190,HostBuild[Alias],0),COLUMN(HostBuild[Description])),""),""),"")</f>
        <v/>
      </c>
      <c r="L190"/>
    </row>
    <row r="191" spans="1:12">
      <c r="A191" s="3" t="str">
        <f>IF(AND(NOT(ISBLANK(E191)),E191&lt;&gt;"(blank)"),IFERROR(IF(INDEX(HostBuild[],MATCH(E191,HostBuild[Alias],0),COLUMN(HostBuild[Hostname]))&lt;&gt;0,INDEX(HostBuild[],MATCH(E191,HostBuild[Alias],0),COLUMN(HostBuild[Hostname])),""),""),"")</f>
        <v/>
      </c>
      <c r="B191" s="424" t="str">
        <f>IF(AND(NOT(ISBLANK(E191)),E191&lt;&gt;"(blank)"),IFERROR(IF(INDEX(HostBuild[],MATCH(E191,HostBuild[Alias],0),COLUMN(HostBuild[Status]))&lt;&gt;0,INDEX(HostBuild[],MATCH(E191,HostBuild[Alias],0),COLUMN(HostBuild[Status])),""),""),"")</f>
        <v/>
      </c>
      <c r="C191" s="425" t="str">
        <f>IF(AND(NOT(ISBLANK(E191)),E191&lt;&gt;"(blank)"),IFERROR(IF(INDEX(HostBuild[],MATCH(E191,HostBuild[Alias],0),COLUMN(HostBuild[CTI Target Completion]))&lt;&gt;0,INDEX(HostBuild[],MATCH(E191,HostBuild[Alias],0),COLUMN(HostBuild[CTI Target Completion])),""),""),"")</f>
        <v/>
      </c>
      <c r="D191" s="262" t="str">
        <f>IF(AND(NOT(ISBLANK(E191)),E191&lt;&gt;"(blank)"),IFERROR(IF(INDEX(HostBuild[],MATCH(E191,HostBuild[Alias],0),COLUMN(HostBuild[Description]))&lt;&gt;0,INDEX(HostBuild[],MATCH(E191,HostBuild[Alias],0),COLUMN(HostBuild[Description])),""),""),"")</f>
        <v/>
      </c>
      <c r="L191"/>
    </row>
    <row r="192" spans="1:12">
      <c r="A192" s="3" t="str">
        <f>IF(AND(NOT(ISBLANK(E192)),E192&lt;&gt;"(blank)"),IFERROR(IF(INDEX(HostBuild[],MATCH(E192,HostBuild[Alias],0),COLUMN(HostBuild[Hostname]))&lt;&gt;0,INDEX(HostBuild[],MATCH(E192,HostBuild[Alias],0),COLUMN(HostBuild[Hostname])),""),""),"")</f>
        <v/>
      </c>
      <c r="B192" s="424" t="str">
        <f>IF(AND(NOT(ISBLANK(E192)),E192&lt;&gt;"(blank)"),IFERROR(IF(INDEX(HostBuild[],MATCH(E192,HostBuild[Alias],0),COLUMN(HostBuild[Status]))&lt;&gt;0,INDEX(HostBuild[],MATCH(E192,HostBuild[Alias],0),COLUMN(HostBuild[Status])),""),""),"")</f>
        <v/>
      </c>
      <c r="C192" s="425" t="str">
        <f>IF(AND(NOT(ISBLANK(E192)),E192&lt;&gt;"(blank)"),IFERROR(IF(INDEX(HostBuild[],MATCH(E192,HostBuild[Alias],0),COLUMN(HostBuild[CTI Target Completion]))&lt;&gt;0,INDEX(HostBuild[],MATCH(E192,HostBuild[Alias],0),COLUMN(HostBuild[CTI Target Completion])),""),""),"")</f>
        <v/>
      </c>
      <c r="D192" s="262" t="str">
        <f>IF(AND(NOT(ISBLANK(E192)),E192&lt;&gt;"(blank)"),IFERROR(IF(INDEX(HostBuild[],MATCH(E192,HostBuild[Alias],0),COLUMN(HostBuild[Description]))&lt;&gt;0,INDEX(HostBuild[],MATCH(E192,HostBuild[Alias],0),COLUMN(HostBuild[Description])),""),""),"")</f>
        <v/>
      </c>
      <c r="L192"/>
    </row>
    <row r="193" spans="1:12">
      <c r="A193" s="3" t="str">
        <f>IF(AND(NOT(ISBLANK(E193)),E193&lt;&gt;"(blank)"),IFERROR(IF(INDEX(HostBuild[],MATCH(E193,HostBuild[Alias],0),COLUMN(HostBuild[Hostname]))&lt;&gt;0,INDEX(HostBuild[],MATCH(E193,HostBuild[Alias],0),COLUMN(HostBuild[Hostname])),""),""),"")</f>
        <v/>
      </c>
      <c r="B193" s="424" t="str">
        <f>IF(AND(NOT(ISBLANK(E193)),E193&lt;&gt;"(blank)"),IFERROR(IF(INDEX(HostBuild[],MATCH(E193,HostBuild[Alias],0),COLUMN(HostBuild[Status]))&lt;&gt;0,INDEX(HostBuild[],MATCH(E193,HostBuild[Alias],0),COLUMN(HostBuild[Status])),""),""),"")</f>
        <v/>
      </c>
      <c r="C193" s="425" t="str">
        <f>IF(AND(NOT(ISBLANK(E193)),E193&lt;&gt;"(blank)"),IFERROR(IF(INDEX(HostBuild[],MATCH(E193,HostBuild[Alias],0),COLUMN(HostBuild[CTI Target Completion]))&lt;&gt;0,INDEX(HostBuild[],MATCH(E193,HostBuild[Alias],0),COLUMN(HostBuild[CTI Target Completion])),""),""),"")</f>
        <v/>
      </c>
      <c r="D193" s="262" t="str">
        <f>IF(AND(NOT(ISBLANK(E193)),E193&lt;&gt;"(blank)"),IFERROR(IF(INDEX(HostBuild[],MATCH(E193,HostBuild[Alias],0),COLUMN(HostBuild[Description]))&lt;&gt;0,INDEX(HostBuild[],MATCH(E193,HostBuild[Alias],0),COLUMN(HostBuild[Description])),""),""),"")</f>
        <v/>
      </c>
      <c r="L193"/>
    </row>
    <row r="194" spans="1:12">
      <c r="A194" s="3" t="str">
        <f>IF(AND(NOT(ISBLANK(E194)),E194&lt;&gt;"(blank)"),IFERROR(IF(INDEX(HostBuild[],MATCH(E194,HostBuild[Alias],0),COLUMN(HostBuild[Hostname]))&lt;&gt;0,INDEX(HostBuild[],MATCH(E194,HostBuild[Alias],0),COLUMN(HostBuild[Hostname])),""),""),"")</f>
        <v/>
      </c>
      <c r="B194" s="424" t="str">
        <f>IF(AND(NOT(ISBLANK(E194)),E194&lt;&gt;"(blank)"),IFERROR(IF(INDEX(HostBuild[],MATCH(E194,HostBuild[Alias],0),COLUMN(HostBuild[Status]))&lt;&gt;0,INDEX(HostBuild[],MATCH(E194,HostBuild[Alias],0),COLUMN(HostBuild[Status])),""),""),"")</f>
        <v/>
      </c>
      <c r="C194" s="425" t="str">
        <f>IF(AND(NOT(ISBLANK(E194)),E194&lt;&gt;"(blank)"),IFERROR(IF(INDEX(HostBuild[],MATCH(E194,HostBuild[Alias],0),COLUMN(HostBuild[CTI Target Completion]))&lt;&gt;0,INDEX(HostBuild[],MATCH(E194,HostBuild[Alias],0),COLUMN(HostBuild[CTI Target Completion])),""),""),"")</f>
        <v/>
      </c>
      <c r="D194" s="262" t="str">
        <f>IF(AND(NOT(ISBLANK(E194)),E194&lt;&gt;"(blank)"),IFERROR(IF(INDEX(HostBuild[],MATCH(E194,HostBuild[Alias],0),COLUMN(HostBuild[Description]))&lt;&gt;0,INDEX(HostBuild[],MATCH(E194,HostBuild[Alias],0),COLUMN(HostBuild[Description])),""),""),"")</f>
        <v/>
      </c>
      <c r="L194"/>
    </row>
    <row r="195" spans="1:12">
      <c r="A195" s="3" t="str">
        <f>IF(AND(NOT(ISBLANK(E195)),E195&lt;&gt;"(blank)"),IFERROR(IF(INDEX(HostBuild[],MATCH(E195,HostBuild[Alias],0),COLUMN(HostBuild[Hostname]))&lt;&gt;0,INDEX(HostBuild[],MATCH(E195,HostBuild[Alias],0),COLUMN(HostBuild[Hostname])),""),""),"")</f>
        <v/>
      </c>
      <c r="B195" s="424" t="str">
        <f>IF(AND(NOT(ISBLANK(E195)),E195&lt;&gt;"(blank)"),IFERROR(IF(INDEX(HostBuild[],MATCH(E195,HostBuild[Alias],0),COLUMN(HostBuild[Status]))&lt;&gt;0,INDEX(HostBuild[],MATCH(E195,HostBuild[Alias],0),COLUMN(HostBuild[Status])),""),""),"")</f>
        <v/>
      </c>
      <c r="C195" s="425" t="str">
        <f>IF(AND(NOT(ISBLANK(E195)),E195&lt;&gt;"(blank)"),IFERROR(IF(INDEX(HostBuild[],MATCH(E195,HostBuild[Alias],0),COLUMN(HostBuild[CTI Target Completion]))&lt;&gt;0,INDEX(HostBuild[],MATCH(E195,HostBuild[Alias],0),COLUMN(HostBuild[CTI Target Completion])),""),""),"")</f>
        <v/>
      </c>
      <c r="D195" s="262" t="str">
        <f>IF(AND(NOT(ISBLANK(E195)),E195&lt;&gt;"(blank)"),IFERROR(IF(INDEX(HostBuild[],MATCH(E195,HostBuild[Alias],0),COLUMN(HostBuild[Description]))&lt;&gt;0,INDEX(HostBuild[],MATCH(E195,HostBuild[Alias],0),COLUMN(HostBuild[Description])),""),""),"")</f>
        <v/>
      </c>
      <c r="L195"/>
    </row>
    <row r="196" spans="1:12">
      <c r="A196" s="3" t="str">
        <f>IF(AND(NOT(ISBLANK(E196)),E196&lt;&gt;"(blank)"),IFERROR(IF(INDEX(HostBuild[],MATCH(E196,HostBuild[Alias],0),COLUMN(HostBuild[Hostname]))&lt;&gt;0,INDEX(HostBuild[],MATCH(E196,HostBuild[Alias],0),COLUMN(HostBuild[Hostname])),""),""),"")</f>
        <v/>
      </c>
      <c r="B196" s="424" t="str">
        <f>IF(AND(NOT(ISBLANK(E196)),E196&lt;&gt;"(blank)"),IFERROR(IF(INDEX(HostBuild[],MATCH(E196,HostBuild[Alias],0),COLUMN(HostBuild[Status]))&lt;&gt;0,INDEX(HostBuild[],MATCH(E196,HostBuild[Alias],0),COLUMN(HostBuild[Status])),""),""),"")</f>
        <v/>
      </c>
      <c r="C196" s="425" t="str">
        <f>IF(AND(NOT(ISBLANK(E196)),E196&lt;&gt;"(blank)"),IFERROR(IF(INDEX(HostBuild[],MATCH(E196,HostBuild[Alias],0),COLUMN(HostBuild[CTI Target Completion]))&lt;&gt;0,INDEX(HostBuild[],MATCH(E196,HostBuild[Alias],0),COLUMN(HostBuild[CTI Target Completion])),""),""),"")</f>
        <v/>
      </c>
      <c r="D196" s="262" t="str">
        <f>IF(AND(NOT(ISBLANK(E196)),E196&lt;&gt;"(blank)"),IFERROR(IF(INDEX(HostBuild[],MATCH(E196,HostBuild[Alias],0),COLUMN(HostBuild[Description]))&lt;&gt;0,INDEX(HostBuild[],MATCH(E196,HostBuild[Alias],0),COLUMN(HostBuild[Description])),""),""),"")</f>
        <v/>
      </c>
      <c r="L196"/>
    </row>
    <row r="197" spans="1:12">
      <c r="A197" s="3" t="str">
        <f>IF(AND(NOT(ISBLANK(E197)),E197&lt;&gt;"(blank)"),IFERROR(IF(INDEX(HostBuild[],MATCH(E197,HostBuild[Alias],0),COLUMN(HostBuild[Hostname]))&lt;&gt;0,INDEX(HostBuild[],MATCH(E197,HostBuild[Alias],0),COLUMN(HostBuild[Hostname])),""),""),"")</f>
        <v/>
      </c>
      <c r="B197" s="424" t="str">
        <f>IF(AND(NOT(ISBLANK(E197)),E197&lt;&gt;"(blank)"),IFERROR(IF(INDEX(HostBuild[],MATCH(E197,HostBuild[Alias],0),COLUMN(HostBuild[Status]))&lt;&gt;0,INDEX(HostBuild[],MATCH(E197,HostBuild[Alias],0),COLUMN(HostBuild[Status])),""),""),"")</f>
        <v/>
      </c>
      <c r="C197" s="425" t="str">
        <f>IF(AND(NOT(ISBLANK(E197)),E197&lt;&gt;"(blank)"),IFERROR(IF(INDEX(HostBuild[],MATCH(E197,HostBuild[Alias],0),COLUMN(HostBuild[CTI Target Completion]))&lt;&gt;0,INDEX(HostBuild[],MATCH(E197,HostBuild[Alias],0),COLUMN(HostBuild[CTI Target Completion])),""),""),"")</f>
        <v/>
      </c>
      <c r="D197" s="262" t="str">
        <f>IF(AND(NOT(ISBLANK(E197)),E197&lt;&gt;"(blank)"),IFERROR(IF(INDEX(HostBuild[],MATCH(E197,HostBuild[Alias],0),COLUMN(HostBuild[Description]))&lt;&gt;0,INDEX(HostBuild[],MATCH(E197,HostBuild[Alias],0),COLUMN(HostBuild[Description])),""),""),"")</f>
        <v/>
      </c>
      <c r="L197"/>
    </row>
    <row r="198" spans="1:12">
      <c r="A198" s="3" t="str">
        <f>IF(AND(NOT(ISBLANK(E198)),E198&lt;&gt;"(blank)"),IFERROR(IF(INDEX(HostBuild[],MATCH(E198,HostBuild[Alias],0),COLUMN(HostBuild[Hostname]))&lt;&gt;0,INDEX(HostBuild[],MATCH(E198,HostBuild[Alias],0),COLUMN(HostBuild[Hostname])),""),""),"")</f>
        <v/>
      </c>
      <c r="B198" s="424" t="str">
        <f>IF(AND(NOT(ISBLANK(E198)),E198&lt;&gt;"(blank)"),IFERROR(IF(INDEX(HostBuild[],MATCH(E198,HostBuild[Alias],0),COLUMN(HostBuild[Status]))&lt;&gt;0,INDEX(HostBuild[],MATCH(E198,HostBuild[Alias],0),COLUMN(HostBuild[Status])),""),""),"")</f>
        <v/>
      </c>
      <c r="C198" s="425" t="str">
        <f>IF(AND(NOT(ISBLANK(E198)),E198&lt;&gt;"(blank)"),IFERROR(IF(INDEX(HostBuild[],MATCH(E198,HostBuild[Alias],0),COLUMN(HostBuild[CTI Target Completion]))&lt;&gt;0,INDEX(HostBuild[],MATCH(E198,HostBuild[Alias],0),COLUMN(HostBuild[CTI Target Completion])),""),""),"")</f>
        <v/>
      </c>
      <c r="D198" s="262" t="str">
        <f>IF(AND(NOT(ISBLANK(E198)),E198&lt;&gt;"(blank)"),IFERROR(IF(INDEX(HostBuild[],MATCH(E198,HostBuild[Alias],0),COLUMN(HostBuild[Description]))&lt;&gt;0,INDEX(HostBuild[],MATCH(E198,HostBuild[Alias],0),COLUMN(HostBuild[Description])),""),""),"")</f>
        <v/>
      </c>
      <c r="L198"/>
    </row>
    <row r="199" spans="1:12">
      <c r="A199" s="3" t="str">
        <f>IF(AND(NOT(ISBLANK(E199)),E199&lt;&gt;"(blank)"),IFERROR(IF(INDEX(HostBuild[],MATCH(E199,HostBuild[Alias],0),COLUMN(HostBuild[Hostname]))&lt;&gt;0,INDEX(HostBuild[],MATCH(E199,HostBuild[Alias],0),COLUMN(HostBuild[Hostname])),""),""),"")</f>
        <v/>
      </c>
      <c r="B199" s="424" t="str">
        <f>IF(AND(NOT(ISBLANK(E199)),E199&lt;&gt;"(blank)"),IFERROR(IF(INDEX(HostBuild[],MATCH(E199,HostBuild[Alias],0),COLUMN(HostBuild[Status]))&lt;&gt;0,INDEX(HostBuild[],MATCH(E199,HostBuild[Alias],0),COLUMN(HostBuild[Status])),""),""),"")</f>
        <v/>
      </c>
      <c r="C199" s="425" t="str">
        <f>IF(AND(NOT(ISBLANK(E199)),E199&lt;&gt;"(blank)"),IFERROR(IF(INDEX(HostBuild[],MATCH(E199,HostBuild[Alias],0),COLUMN(HostBuild[CTI Target Completion]))&lt;&gt;0,INDEX(HostBuild[],MATCH(E199,HostBuild[Alias],0),COLUMN(HostBuild[CTI Target Completion])),""),""),"")</f>
        <v/>
      </c>
      <c r="D199" s="262" t="str">
        <f>IF(AND(NOT(ISBLANK(E199)),E199&lt;&gt;"(blank)"),IFERROR(IF(INDEX(HostBuild[],MATCH(E199,HostBuild[Alias],0),COLUMN(HostBuild[Description]))&lt;&gt;0,INDEX(HostBuild[],MATCH(E199,HostBuild[Alias],0),COLUMN(HostBuild[Description])),""),""),"")</f>
        <v/>
      </c>
      <c r="L199"/>
    </row>
    <row r="200" spans="1:12">
      <c r="A200" s="3" t="str">
        <f>IF(AND(NOT(ISBLANK(E200)),E200&lt;&gt;"(blank)"),IFERROR(IF(INDEX(HostBuild[],MATCH(E200,HostBuild[Alias],0),COLUMN(HostBuild[Hostname]))&lt;&gt;0,INDEX(HostBuild[],MATCH(E200,HostBuild[Alias],0),COLUMN(HostBuild[Hostname])),""),""),"")</f>
        <v/>
      </c>
      <c r="B200" s="424" t="str">
        <f>IF(AND(NOT(ISBLANK(E200)),E200&lt;&gt;"(blank)"),IFERROR(IF(INDEX(HostBuild[],MATCH(E200,HostBuild[Alias],0),COLUMN(HostBuild[Status]))&lt;&gt;0,INDEX(HostBuild[],MATCH(E200,HostBuild[Alias],0),COLUMN(HostBuild[Status])),""),""),"")</f>
        <v/>
      </c>
      <c r="C200" s="425" t="str">
        <f>IF(AND(NOT(ISBLANK(E200)),E200&lt;&gt;"(blank)"),IFERROR(IF(INDEX(HostBuild[],MATCH(E200,HostBuild[Alias],0),COLUMN(HostBuild[CTI Target Completion]))&lt;&gt;0,INDEX(HostBuild[],MATCH(E200,HostBuild[Alias],0),COLUMN(HostBuild[CTI Target Completion])),""),""),"")</f>
        <v/>
      </c>
      <c r="D200" s="262" t="str">
        <f>IF(AND(NOT(ISBLANK(E200)),E200&lt;&gt;"(blank)"),IFERROR(IF(INDEX(HostBuild[],MATCH(E200,HostBuild[Alias],0),COLUMN(HostBuild[Description]))&lt;&gt;0,INDEX(HostBuild[],MATCH(E200,HostBuild[Alias],0),COLUMN(HostBuild[Description])),""),""),"")</f>
        <v/>
      </c>
      <c r="L200"/>
    </row>
    <row r="201" spans="1:12">
      <c r="A201" s="3" t="str">
        <f>IF(AND(NOT(ISBLANK(E201)),E201&lt;&gt;"(blank)"),IFERROR(IF(INDEX(HostBuild[],MATCH(E201,HostBuild[Alias],0),COLUMN(HostBuild[Hostname]))&lt;&gt;0,INDEX(HostBuild[],MATCH(E201,HostBuild[Alias],0),COLUMN(HostBuild[Hostname])),""),""),"")</f>
        <v/>
      </c>
      <c r="B201" s="424" t="str">
        <f>IF(AND(NOT(ISBLANK(E201)),E201&lt;&gt;"(blank)"),IFERROR(IF(INDEX(HostBuild[],MATCH(E201,HostBuild[Alias],0),COLUMN(HostBuild[Status]))&lt;&gt;0,INDEX(HostBuild[],MATCH(E201,HostBuild[Alias],0),COLUMN(HostBuild[Status])),""),""),"")</f>
        <v/>
      </c>
      <c r="C201" s="425" t="str">
        <f>IF(AND(NOT(ISBLANK(E201)),E201&lt;&gt;"(blank)"),IFERROR(IF(INDEX(HostBuild[],MATCH(E201,HostBuild[Alias],0),COLUMN(HostBuild[CTI Target Completion]))&lt;&gt;0,INDEX(HostBuild[],MATCH(E201,HostBuild[Alias],0),COLUMN(HostBuild[CTI Target Completion])),""),""),"")</f>
        <v/>
      </c>
      <c r="D201" s="262" t="str">
        <f>IF(AND(NOT(ISBLANK(E201)),E201&lt;&gt;"(blank)"),IFERROR(IF(INDEX(HostBuild[],MATCH(E201,HostBuild[Alias],0),COLUMN(HostBuild[Description]))&lt;&gt;0,INDEX(HostBuild[],MATCH(E201,HostBuild[Alias],0),COLUMN(HostBuild[Description])),""),""),"")</f>
        <v/>
      </c>
      <c r="L201"/>
    </row>
    <row r="202" spans="1:12">
      <c r="A202" s="3" t="str">
        <f>IF(AND(NOT(ISBLANK(E202)),E202&lt;&gt;"(blank)"),IFERROR(IF(INDEX(HostBuild[],MATCH(E202,HostBuild[Alias],0),COLUMN(HostBuild[Hostname]))&lt;&gt;0,INDEX(HostBuild[],MATCH(E202,HostBuild[Alias],0),COLUMN(HostBuild[Hostname])),""),""),"")</f>
        <v/>
      </c>
      <c r="B202" s="424" t="str">
        <f>IF(AND(NOT(ISBLANK(E202)),E202&lt;&gt;"(blank)"),IFERROR(IF(INDEX(HostBuild[],MATCH(E202,HostBuild[Alias],0),COLUMN(HostBuild[Status]))&lt;&gt;0,INDEX(HostBuild[],MATCH(E202,HostBuild[Alias],0),COLUMN(HostBuild[Status])),""),""),"")</f>
        <v/>
      </c>
      <c r="C202" s="425" t="str">
        <f>IF(AND(NOT(ISBLANK(E202)),E202&lt;&gt;"(blank)"),IFERROR(IF(INDEX(HostBuild[],MATCH(E202,HostBuild[Alias],0),COLUMN(HostBuild[CTI Target Completion]))&lt;&gt;0,INDEX(HostBuild[],MATCH(E202,HostBuild[Alias],0),COLUMN(HostBuild[CTI Target Completion])),""),""),"")</f>
        <v/>
      </c>
      <c r="D202" s="262" t="str">
        <f>IF(AND(NOT(ISBLANK(E202)),E202&lt;&gt;"(blank)"),IFERROR(IF(INDEX(HostBuild[],MATCH(E202,HostBuild[Alias],0),COLUMN(HostBuild[Description]))&lt;&gt;0,INDEX(HostBuild[],MATCH(E202,HostBuild[Alias],0),COLUMN(HostBuild[Description])),""),""),"")</f>
        <v/>
      </c>
      <c r="L202"/>
    </row>
    <row r="203" spans="1:12">
      <c r="A203" s="3" t="str">
        <f>IF(AND(NOT(ISBLANK(E203)),E203&lt;&gt;"(blank)"),IFERROR(IF(INDEX(HostBuild[],MATCH(E203,HostBuild[Alias],0),COLUMN(HostBuild[Hostname]))&lt;&gt;0,INDEX(HostBuild[],MATCH(E203,HostBuild[Alias],0),COLUMN(HostBuild[Hostname])),""),""),"")</f>
        <v/>
      </c>
      <c r="B203" s="424" t="str">
        <f>IF(AND(NOT(ISBLANK(E203)),E203&lt;&gt;"(blank)"),IFERROR(IF(INDEX(HostBuild[],MATCH(E203,HostBuild[Alias],0),COLUMN(HostBuild[Status]))&lt;&gt;0,INDEX(HostBuild[],MATCH(E203,HostBuild[Alias],0),COLUMN(HostBuild[Status])),""),""),"")</f>
        <v/>
      </c>
      <c r="C203" s="425" t="str">
        <f>IF(AND(NOT(ISBLANK(E203)),E203&lt;&gt;"(blank)"),IFERROR(IF(INDEX(HostBuild[],MATCH(E203,HostBuild[Alias],0),COLUMN(HostBuild[CTI Target Completion]))&lt;&gt;0,INDEX(HostBuild[],MATCH(E203,HostBuild[Alias],0),COLUMN(HostBuild[CTI Target Completion])),""),""),"")</f>
        <v/>
      </c>
      <c r="D203" s="262" t="str">
        <f>IF(AND(NOT(ISBLANK(E203)),E203&lt;&gt;"(blank)"),IFERROR(IF(INDEX(HostBuild[],MATCH(E203,HostBuild[Alias],0),COLUMN(HostBuild[Description]))&lt;&gt;0,INDEX(HostBuild[],MATCH(E203,HostBuild[Alias],0),COLUMN(HostBuild[Description])),""),""),"")</f>
        <v/>
      </c>
      <c r="L203"/>
    </row>
    <row r="204" spans="1:12">
      <c r="A204" s="3" t="str">
        <f>IF(AND(NOT(ISBLANK(E204)),E204&lt;&gt;"(blank)"),IFERROR(IF(INDEX(HostBuild[],MATCH(E204,HostBuild[Alias],0),COLUMN(HostBuild[Hostname]))&lt;&gt;0,INDEX(HostBuild[],MATCH(E204,HostBuild[Alias],0),COLUMN(HostBuild[Hostname])),""),""),"")</f>
        <v/>
      </c>
      <c r="B204" s="424" t="str">
        <f>IF(AND(NOT(ISBLANK(E204)),E204&lt;&gt;"(blank)"),IFERROR(IF(INDEX(HostBuild[],MATCH(E204,HostBuild[Alias],0),COLUMN(HostBuild[Status]))&lt;&gt;0,INDEX(HostBuild[],MATCH(E204,HostBuild[Alias],0),COLUMN(HostBuild[Status])),""),""),"")</f>
        <v/>
      </c>
      <c r="C204" s="425" t="str">
        <f>IF(AND(NOT(ISBLANK(E204)),E204&lt;&gt;"(blank)"),IFERROR(IF(INDEX(HostBuild[],MATCH(E204,HostBuild[Alias],0),COLUMN(HostBuild[CTI Target Completion]))&lt;&gt;0,INDEX(HostBuild[],MATCH(E204,HostBuild[Alias],0),COLUMN(HostBuild[CTI Target Completion])),""),""),"")</f>
        <v/>
      </c>
      <c r="D204" s="262" t="str">
        <f>IF(AND(NOT(ISBLANK(E204)),E204&lt;&gt;"(blank)"),IFERROR(IF(INDEX(HostBuild[],MATCH(E204,HostBuild[Alias],0),COLUMN(HostBuild[Description]))&lt;&gt;0,INDEX(HostBuild[],MATCH(E204,HostBuild[Alias],0),COLUMN(HostBuild[Description])),""),""),"")</f>
        <v/>
      </c>
      <c r="L204"/>
    </row>
    <row r="205" spans="1:12">
      <c r="A205" s="3" t="str">
        <f>IF(AND(NOT(ISBLANK(E205)),E205&lt;&gt;"(blank)"),IFERROR(IF(INDEX(HostBuild[],MATCH(E205,HostBuild[Alias],0),COLUMN(HostBuild[Hostname]))&lt;&gt;0,INDEX(HostBuild[],MATCH(E205,HostBuild[Alias],0),COLUMN(HostBuild[Hostname])),""),""),"")</f>
        <v/>
      </c>
      <c r="B205" s="424" t="str">
        <f>IF(AND(NOT(ISBLANK(E205)),E205&lt;&gt;"(blank)"),IFERROR(IF(INDEX(HostBuild[],MATCH(E205,HostBuild[Alias],0),COLUMN(HostBuild[Status]))&lt;&gt;0,INDEX(HostBuild[],MATCH(E205,HostBuild[Alias],0),COLUMN(HostBuild[Status])),""),""),"")</f>
        <v/>
      </c>
      <c r="C205" s="425" t="str">
        <f>IF(AND(NOT(ISBLANK(E205)),E205&lt;&gt;"(blank)"),IFERROR(IF(INDEX(HostBuild[],MATCH(E205,HostBuild[Alias],0),COLUMN(HostBuild[CTI Target Completion]))&lt;&gt;0,INDEX(HostBuild[],MATCH(E205,HostBuild[Alias],0),COLUMN(HostBuild[CTI Target Completion])),""),""),"")</f>
        <v/>
      </c>
      <c r="D205" s="262" t="str">
        <f>IF(AND(NOT(ISBLANK(E205)),E205&lt;&gt;"(blank)"),IFERROR(IF(INDEX(HostBuild[],MATCH(E205,HostBuild[Alias],0),COLUMN(HostBuild[Description]))&lt;&gt;0,INDEX(HostBuild[],MATCH(E205,HostBuild[Alias],0),COLUMN(HostBuild[Description])),""),""),"")</f>
        <v/>
      </c>
      <c r="L205"/>
    </row>
    <row r="206" spans="1:12">
      <c r="A206" s="3" t="str">
        <f>IF(AND(NOT(ISBLANK(E206)),E206&lt;&gt;"(blank)"),IFERROR(IF(INDEX(HostBuild[],MATCH(E206,HostBuild[Alias],0),COLUMN(HostBuild[Hostname]))&lt;&gt;0,INDEX(HostBuild[],MATCH(E206,HostBuild[Alias],0),COLUMN(HostBuild[Hostname])),""),""),"")</f>
        <v/>
      </c>
      <c r="B206" s="424" t="str">
        <f>IF(AND(NOT(ISBLANK(E206)),E206&lt;&gt;"(blank)"),IFERROR(IF(INDEX(HostBuild[],MATCH(E206,HostBuild[Alias],0),COLUMN(HostBuild[Status]))&lt;&gt;0,INDEX(HostBuild[],MATCH(E206,HostBuild[Alias],0),COLUMN(HostBuild[Status])),""),""),"")</f>
        <v/>
      </c>
      <c r="C206" s="425" t="str">
        <f>IF(AND(NOT(ISBLANK(E206)),E206&lt;&gt;"(blank)"),IFERROR(IF(INDEX(HostBuild[],MATCH(E206,HostBuild[Alias],0),COLUMN(HostBuild[CTI Target Completion]))&lt;&gt;0,INDEX(HostBuild[],MATCH(E206,HostBuild[Alias],0),COLUMN(HostBuild[CTI Target Completion])),""),""),"")</f>
        <v/>
      </c>
      <c r="D206" s="262" t="str">
        <f>IF(AND(NOT(ISBLANK(E206)),E206&lt;&gt;"(blank)"),IFERROR(IF(INDEX(HostBuild[],MATCH(E206,HostBuild[Alias],0),COLUMN(HostBuild[Description]))&lt;&gt;0,INDEX(HostBuild[],MATCH(E206,HostBuild[Alias],0),COLUMN(HostBuild[Description])),""),""),"")</f>
        <v/>
      </c>
      <c r="L206"/>
    </row>
    <row r="207" spans="1:12">
      <c r="A207" s="3" t="str">
        <f>IF(AND(NOT(ISBLANK(E207)),E207&lt;&gt;"(blank)"),IFERROR(IF(INDEX(HostBuild[],MATCH(E207,HostBuild[Alias],0),COLUMN(HostBuild[Hostname]))&lt;&gt;0,INDEX(HostBuild[],MATCH(E207,HostBuild[Alias],0),COLUMN(HostBuild[Hostname])),""),""),"")</f>
        <v/>
      </c>
      <c r="B207" s="424" t="str">
        <f>IF(AND(NOT(ISBLANK(E207)),E207&lt;&gt;"(blank)"),IFERROR(IF(INDEX(HostBuild[],MATCH(E207,HostBuild[Alias],0),COLUMN(HostBuild[Status]))&lt;&gt;0,INDEX(HostBuild[],MATCH(E207,HostBuild[Alias],0),COLUMN(HostBuild[Status])),""),""),"")</f>
        <v/>
      </c>
      <c r="C207" s="425" t="str">
        <f>IF(AND(NOT(ISBLANK(E207)),E207&lt;&gt;"(blank)"),IFERROR(IF(INDEX(HostBuild[],MATCH(E207,HostBuild[Alias],0),COLUMN(HostBuild[CTI Target Completion]))&lt;&gt;0,INDEX(HostBuild[],MATCH(E207,HostBuild[Alias],0),COLUMN(HostBuild[CTI Target Completion])),""),""),"")</f>
        <v/>
      </c>
      <c r="D207" s="262" t="str">
        <f>IF(AND(NOT(ISBLANK(E207)),E207&lt;&gt;"(blank)"),IFERROR(IF(INDEX(HostBuild[],MATCH(E207,HostBuild[Alias],0),COLUMN(HostBuild[Description]))&lt;&gt;0,INDEX(HostBuild[],MATCH(E207,HostBuild[Alias],0),COLUMN(HostBuild[Description])),""),""),"")</f>
        <v/>
      </c>
      <c r="L207"/>
    </row>
    <row r="208" spans="1:12">
      <c r="A208" s="3" t="str">
        <f>IF(AND(NOT(ISBLANK(E208)),E208&lt;&gt;"(blank)"),IFERROR(IF(INDEX(HostBuild[],MATCH(E208,HostBuild[Alias],0),COLUMN(HostBuild[Hostname]))&lt;&gt;0,INDEX(HostBuild[],MATCH(E208,HostBuild[Alias],0),COLUMN(HostBuild[Hostname])),""),""),"")</f>
        <v/>
      </c>
      <c r="B208" s="424" t="str">
        <f>IF(AND(NOT(ISBLANK(E208)),E208&lt;&gt;"(blank)"),IFERROR(IF(INDEX(HostBuild[],MATCH(E208,HostBuild[Alias],0),COLUMN(HostBuild[Status]))&lt;&gt;0,INDEX(HostBuild[],MATCH(E208,HostBuild[Alias],0),COLUMN(HostBuild[Status])),""),""),"")</f>
        <v/>
      </c>
      <c r="C208" s="425" t="str">
        <f>IF(AND(NOT(ISBLANK(E208)),E208&lt;&gt;"(blank)"),IFERROR(IF(INDEX(HostBuild[],MATCH(E208,HostBuild[Alias],0),COLUMN(HostBuild[CTI Target Completion]))&lt;&gt;0,INDEX(HostBuild[],MATCH(E208,HostBuild[Alias],0),COLUMN(HostBuild[CTI Target Completion])),""),""),"")</f>
        <v/>
      </c>
      <c r="D208" s="262" t="str">
        <f>IF(AND(NOT(ISBLANK(E208)),E208&lt;&gt;"(blank)"),IFERROR(IF(INDEX(HostBuild[],MATCH(E208,HostBuild[Alias],0),COLUMN(HostBuild[Description]))&lt;&gt;0,INDEX(HostBuild[],MATCH(E208,HostBuild[Alias],0),COLUMN(HostBuild[Description])),""),""),"")</f>
        <v/>
      </c>
      <c r="L208"/>
    </row>
    <row r="209" spans="1:12">
      <c r="A209" s="3" t="str">
        <f>IF(AND(NOT(ISBLANK(E209)),E209&lt;&gt;"(blank)"),IFERROR(IF(INDEX(HostBuild[],MATCH(E209,HostBuild[Alias],0),COLUMN(HostBuild[Hostname]))&lt;&gt;0,INDEX(HostBuild[],MATCH(E209,HostBuild[Alias],0),COLUMN(HostBuild[Hostname])),""),""),"")</f>
        <v/>
      </c>
      <c r="B209" s="424" t="str">
        <f>IF(AND(NOT(ISBLANK(E209)),E209&lt;&gt;"(blank)"),IFERROR(IF(INDEX(HostBuild[],MATCH(E209,HostBuild[Alias],0),COLUMN(HostBuild[Status]))&lt;&gt;0,INDEX(HostBuild[],MATCH(E209,HostBuild[Alias],0),COLUMN(HostBuild[Status])),""),""),"")</f>
        <v/>
      </c>
      <c r="C209" s="425" t="str">
        <f>IF(AND(NOT(ISBLANK(E209)),E209&lt;&gt;"(blank)"),IFERROR(IF(INDEX(HostBuild[],MATCH(E209,HostBuild[Alias],0),COLUMN(HostBuild[CTI Target Completion]))&lt;&gt;0,INDEX(HostBuild[],MATCH(E209,HostBuild[Alias],0),COLUMN(HostBuild[CTI Target Completion])),""),""),"")</f>
        <v/>
      </c>
      <c r="D209" s="262" t="str">
        <f>IF(AND(NOT(ISBLANK(E209)),E209&lt;&gt;"(blank)"),IFERROR(IF(INDEX(HostBuild[],MATCH(E209,HostBuild[Alias],0),COLUMN(HostBuild[Description]))&lt;&gt;0,INDEX(HostBuild[],MATCH(E209,HostBuild[Alias],0),COLUMN(HostBuild[Description])),""),""),"")</f>
        <v/>
      </c>
      <c r="L209"/>
    </row>
    <row r="210" spans="1:12">
      <c r="A210" s="3" t="str">
        <f>IF(AND(NOT(ISBLANK(E210)),E210&lt;&gt;"(blank)"),IFERROR(IF(INDEX(HostBuild[],MATCH(E210,HostBuild[Alias],0),COLUMN(HostBuild[Hostname]))&lt;&gt;0,INDEX(HostBuild[],MATCH(E210,HostBuild[Alias],0),COLUMN(HostBuild[Hostname])),""),""),"")</f>
        <v/>
      </c>
      <c r="B210" s="424" t="str">
        <f>IF(AND(NOT(ISBLANK(E210)),E210&lt;&gt;"(blank)"),IFERROR(IF(INDEX(HostBuild[],MATCH(E210,HostBuild[Alias],0),COLUMN(HostBuild[Status]))&lt;&gt;0,INDEX(HostBuild[],MATCH(E210,HostBuild[Alias],0),COLUMN(HostBuild[Status])),""),""),"")</f>
        <v/>
      </c>
      <c r="C210" s="425" t="str">
        <f>IF(AND(NOT(ISBLANK(E210)),E210&lt;&gt;"(blank)"),IFERROR(IF(INDEX(HostBuild[],MATCH(E210,HostBuild[Alias],0),COLUMN(HostBuild[CTI Target Completion]))&lt;&gt;0,INDEX(HostBuild[],MATCH(E210,HostBuild[Alias],0),COLUMN(HostBuild[CTI Target Completion])),""),""),"")</f>
        <v/>
      </c>
      <c r="D210" s="262" t="str">
        <f>IF(AND(NOT(ISBLANK(E210)),E210&lt;&gt;"(blank)"),IFERROR(IF(INDEX(HostBuild[],MATCH(E210,HostBuild[Alias],0),COLUMN(HostBuild[Description]))&lt;&gt;0,INDEX(HostBuild[],MATCH(E210,HostBuild[Alias],0),COLUMN(HostBuild[Description])),""),""),"")</f>
        <v/>
      </c>
      <c r="L210"/>
    </row>
    <row r="211" spans="1:12">
      <c r="A211" s="3" t="str">
        <f>IF(AND(NOT(ISBLANK(E211)),E211&lt;&gt;"(blank)"),IFERROR(IF(INDEX(HostBuild[],MATCH(E211,HostBuild[Alias],0),COLUMN(HostBuild[Hostname]))&lt;&gt;0,INDEX(HostBuild[],MATCH(E211,HostBuild[Alias],0),COLUMN(HostBuild[Hostname])),""),""),"")</f>
        <v/>
      </c>
      <c r="B211" s="424" t="str">
        <f>IF(AND(NOT(ISBLANK(E211)),E211&lt;&gt;"(blank)"),IFERROR(IF(INDEX(HostBuild[],MATCH(E211,HostBuild[Alias],0),COLUMN(HostBuild[Status]))&lt;&gt;0,INDEX(HostBuild[],MATCH(E211,HostBuild[Alias],0),COLUMN(HostBuild[Status])),""),""),"")</f>
        <v/>
      </c>
      <c r="C211" s="425" t="str">
        <f>IF(AND(NOT(ISBLANK(E211)),E211&lt;&gt;"(blank)"),IFERROR(IF(INDEX(HostBuild[],MATCH(E211,HostBuild[Alias],0),COLUMN(HostBuild[CTI Target Completion]))&lt;&gt;0,INDEX(HostBuild[],MATCH(E211,HostBuild[Alias],0),COLUMN(HostBuild[CTI Target Completion])),""),""),"")</f>
        <v/>
      </c>
      <c r="D211" s="262" t="str">
        <f>IF(AND(NOT(ISBLANK(E211)),E211&lt;&gt;"(blank)"),IFERROR(IF(INDEX(HostBuild[],MATCH(E211,HostBuild[Alias],0),COLUMN(HostBuild[Description]))&lt;&gt;0,INDEX(HostBuild[],MATCH(E211,HostBuild[Alias],0),COLUMN(HostBuild[Description])),""),""),"")</f>
        <v/>
      </c>
      <c r="L211"/>
    </row>
    <row r="212" spans="1:12">
      <c r="A212" s="3" t="str">
        <f>IF(AND(NOT(ISBLANK(E212)),E212&lt;&gt;"(blank)"),IFERROR(IF(INDEX(HostBuild[],MATCH(E212,HostBuild[Alias],0),COLUMN(HostBuild[Hostname]))&lt;&gt;0,INDEX(HostBuild[],MATCH(E212,HostBuild[Alias],0),COLUMN(HostBuild[Hostname])),""),""),"")</f>
        <v/>
      </c>
      <c r="B212" s="424" t="str">
        <f>IF(AND(NOT(ISBLANK(E212)),E212&lt;&gt;"(blank)"),IFERROR(IF(INDEX(HostBuild[],MATCH(E212,HostBuild[Alias],0),COLUMN(HostBuild[Status]))&lt;&gt;0,INDEX(HostBuild[],MATCH(E212,HostBuild[Alias],0),COLUMN(HostBuild[Status])),""),""),"")</f>
        <v/>
      </c>
      <c r="C212" s="425" t="str">
        <f>IF(AND(NOT(ISBLANK(E212)),E212&lt;&gt;"(blank)"),IFERROR(IF(INDEX(HostBuild[],MATCH(E212,HostBuild[Alias],0),COLUMN(HostBuild[CTI Target Completion]))&lt;&gt;0,INDEX(HostBuild[],MATCH(E212,HostBuild[Alias],0),COLUMN(HostBuild[CTI Target Completion])),""),""),"")</f>
        <v/>
      </c>
      <c r="D212" s="262" t="str">
        <f>IF(AND(NOT(ISBLANK(E212)),E212&lt;&gt;"(blank)"),IFERROR(IF(INDEX(HostBuild[],MATCH(E212,HostBuild[Alias],0),COLUMN(HostBuild[Description]))&lt;&gt;0,INDEX(HostBuild[],MATCH(E212,HostBuild[Alias],0),COLUMN(HostBuild[Description])),""),""),"")</f>
        <v/>
      </c>
      <c r="L212"/>
    </row>
    <row r="213" spans="1:12">
      <c r="A213" s="3" t="str">
        <f>IF(AND(NOT(ISBLANK(E213)),E213&lt;&gt;"(blank)"),IFERROR(IF(INDEX(HostBuild[],MATCH(E213,HostBuild[Alias],0),COLUMN(HostBuild[Hostname]))&lt;&gt;0,INDEX(HostBuild[],MATCH(E213,HostBuild[Alias],0),COLUMN(HostBuild[Hostname])),""),""),"")</f>
        <v/>
      </c>
      <c r="B213" s="424" t="str">
        <f>IF(AND(NOT(ISBLANK(E213)),E213&lt;&gt;"(blank)"),IFERROR(IF(INDEX(HostBuild[],MATCH(E213,HostBuild[Alias],0),COLUMN(HostBuild[Status]))&lt;&gt;0,INDEX(HostBuild[],MATCH(E213,HostBuild[Alias],0),COLUMN(HostBuild[Status])),""),""),"")</f>
        <v/>
      </c>
      <c r="C213" s="425" t="str">
        <f>IF(AND(NOT(ISBLANK(E213)),E213&lt;&gt;"(blank)"),IFERROR(IF(INDEX(HostBuild[],MATCH(E213,HostBuild[Alias],0),COLUMN(HostBuild[CTI Target Completion]))&lt;&gt;0,INDEX(HostBuild[],MATCH(E213,HostBuild[Alias],0),COLUMN(HostBuild[CTI Target Completion])),""),""),"")</f>
        <v/>
      </c>
      <c r="D213" s="262" t="str">
        <f>IF(AND(NOT(ISBLANK(E213)),E213&lt;&gt;"(blank)"),IFERROR(IF(INDEX(HostBuild[],MATCH(E213,HostBuild[Alias],0),COLUMN(HostBuild[Description]))&lt;&gt;0,INDEX(HostBuild[],MATCH(E213,HostBuild[Alias],0),COLUMN(HostBuild[Description])),""),""),"")</f>
        <v/>
      </c>
      <c r="L213"/>
    </row>
    <row r="214" spans="1:12">
      <c r="A214" s="3" t="str">
        <f>IF(AND(NOT(ISBLANK(E214)),E214&lt;&gt;"(blank)"),IFERROR(IF(INDEX(HostBuild[],MATCH(E214,HostBuild[Alias],0),COLUMN(HostBuild[Hostname]))&lt;&gt;0,INDEX(HostBuild[],MATCH(E214,HostBuild[Alias],0),COLUMN(HostBuild[Hostname])),""),""),"")</f>
        <v/>
      </c>
      <c r="B214" s="424" t="str">
        <f>IF(AND(NOT(ISBLANK(E214)),E214&lt;&gt;"(blank)"),IFERROR(IF(INDEX(HostBuild[],MATCH(E214,HostBuild[Alias],0),COLUMN(HostBuild[Status]))&lt;&gt;0,INDEX(HostBuild[],MATCH(E214,HostBuild[Alias],0),COLUMN(HostBuild[Status])),""),""),"")</f>
        <v/>
      </c>
      <c r="C214" s="425" t="str">
        <f>IF(AND(NOT(ISBLANK(E214)),E214&lt;&gt;"(blank)"),IFERROR(IF(INDEX(HostBuild[],MATCH(E214,HostBuild[Alias],0),COLUMN(HostBuild[CTI Target Completion]))&lt;&gt;0,INDEX(HostBuild[],MATCH(E214,HostBuild[Alias],0),COLUMN(HostBuild[CTI Target Completion])),""),""),"")</f>
        <v/>
      </c>
      <c r="D214" s="262" t="str">
        <f>IF(AND(NOT(ISBLANK(E214)),E214&lt;&gt;"(blank)"),IFERROR(IF(INDEX(HostBuild[],MATCH(E214,HostBuild[Alias],0),COLUMN(HostBuild[Description]))&lt;&gt;0,INDEX(HostBuild[],MATCH(E214,HostBuild[Alias],0),COLUMN(HostBuild[Description])),""),""),"")</f>
        <v/>
      </c>
      <c r="L214"/>
    </row>
    <row r="215" spans="1:12">
      <c r="A215" s="3" t="str">
        <f>IF(AND(NOT(ISBLANK(E215)),E215&lt;&gt;"(blank)"),IFERROR(IF(INDEX(HostBuild[],MATCH(E215,HostBuild[Alias],0),COLUMN(HostBuild[Hostname]))&lt;&gt;0,INDEX(HostBuild[],MATCH(E215,HostBuild[Alias],0),COLUMN(HostBuild[Hostname])),""),""),"")</f>
        <v/>
      </c>
      <c r="B215" s="424" t="str">
        <f>IF(AND(NOT(ISBLANK(E215)),E215&lt;&gt;"(blank)"),IFERROR(IF(INDEX(HostBuild[],MATCH(E215,HostBuild[Alias],0),COLUMN(HostBuild[Status]))&lt;&gt;0,INDEX(HostBuild[],MATCH(E215,HostBuild[Alias],0),COLUMN(HostBuild[Status])),""),""),"")</f>
        <v/>
      </c>
      <c r="C215" s="425" t="str">
        <f>IF(AND(NOT(ISBLANK(E215)),E215&lt;&gt;"(blank)"),IFERROR(IF(INDEX(HostBuild[],MATCH(E215,HostBuild[Alias],0),COLUMN(HostBuild[CTI Target Completion]))&lt;&gt;0,INDEX(HostBuild[],MATCH(E215,HostBuild[Alias],0),COLUMN(HostBuild[CTI Target Completion])),""),""),"")</f>
        <v/>
      </c>
      <c r="D215" s="262" t="str">
        <f>IF(AND(NOT(ISBLANK(E215)),E215&lt;&gt;"(blank)"),IFERROR(IF(INDEX(HostBuild[],MATCH(E215,HostBuild[Alias],0),COLUMN(HostBuild[Description]))&lt;&gt;0,INDEX(HostBuild[],MATCH(E215,HostBuild[Alias],0),COLUMN(HostBuild[Description])),""),""),"")</f>
        <v/>
      </c>
      <c r="L215"/>
    </row>
    <row r="216" spans="1:12">
      <c r="A216" s="3" t="str">
        <f>IF(AND(NOT(ISBLANK(E216)),E216&lt;&gt;"(blank)"),IFERROR(IF(INDEX(HostBuild[],MATCH(E216,HostBuild[Alias],0),COLUMN(HostBuild[Hostname]))&lt;&gt;0,INDEX(HostBuild[],MATCH(E216,HostBuild[Alias],0),COLUMN(HostBuild[Hostname])),""),""),"")</f>
        <v/>
      </c>
      <c r="B216" s="424" t="str">
        <f>IF(AND(NOT(ISBLANK(E216)),E216&lt;&gt;"(blank)"),IFERROR(IF(INDEX(HostBuild[],MATCH(E216,HostBuild[Alias],0),COLUMN(HostBuild[Status]))&lt;&gt;0,INDEX(HostBuild[],MATCH(E216,HostBuild[Alias],0),COLUMN(HostBuild[Status])),""),""),"")</f>
        <v/>
      </c>
      <c r="C216" s="425" t="str">
        <f>IF(AND(NOT(ISBLANK(E216)),E216&lt;&gt;"(blank)"),IFERROR(IF(INDEX(HostBuild[],MATCH(E216,HostBuild[Alias],0),COLUMN(HostBuild[CTI Target Completion]))&lt;&gt;0,INDEX(HostBuild[],MATCH(E216,HostBuild[Alias],0),COLUMN(HostBuild[CTI Target Completion])),""),""),"")</f>
        <v/>
      </c>
      <c r="D216" s="262" t="str">
        <f>IF(AND(NOT(ISBLANK(E216)),E216&lt;&gt;"(blank)"),IFERROR(IF(INDEX(HostBuild[],MATCH(E216,HostBuild[Alias],0),COLUMN(HostBuild[Description]))&lt;&gt;0,INDEX(HostBuild[],MATCH(E216,HostBuild[Alias],0),COLUMN(HostBuild[Description])),""),""),"")</f>
        <v/>
      </c>
      <c r="L216"/>
    </row>
    <row r="217" spans="1:12">
      <c r="A217" s="3" t="str">
        <f>IF(AND(NOT(ISBLANK(E217)),E217&lt;&gt;"(blank)"),IFERROR(IF(INDEX(HostBuild[],MATCH(E217,HostBuild[Alias],0),COLUMN(HostBuild[Hostname]))&lt;&gt;0,INDEX(HostBuild[],MATCH(E217,HostBuild[Alias],0),COLUMN(HostBuild[Hostname])),""),""),"")</f>
        <v/>
      </c>
      <c r="B217" s="424" t="str">
        <f>IF(AND(NOT(ISBLANK(E217)),E217&lt;&gt;"(blank)"),IFERROR(IF(INDEX(HostBuild[],MATCH(E217,HostBuild[Alias],0),COLUMN(HostBuild[Status]))&lt;&gt;0,INDEX(HostBuild[],MATCH(E217,HostBuild[Alias],0),COLUMN(HostBuild[Status])),""),""),"")</f>
        <v/>
      </c>
      <c r="C217" s="425" t="str">
        <f>IF(AND(NOT(ISBLANK(E217)),E217&lt;&gt;"(blank)"),IFERROR(IF(INDEX(HostBuild[],MATCH(E217,HostBuild[Alias],0),COLUMN(HostBuild[CTI Target Completion]))&lt;&gt;0,INDEX(HostBuild[],MATCH(E217,HostBuild[Alias],0),COLUMN(HostBuild[CTI Target Completion])),""),""),"")</f>
        <v/>
      </c>
      <c r="D217" s="262" t="str">
        <f>IF(AND(NOT(ISBLANK(E217)),E217&lt;&gt;"(blank)"),IFERROR(IF(INDEX(HostBuild[],MATCH(E217,HostBuild[Alias],0),COLUMN(HostBuild[Description]))&lt;&gt;0,INDEX(HostBuild[],MATCH(E217,HostBuild[Alias],0),COLUMN(HostBuild[Description])),""),""),"")</f>
        <v/>
      </c>
      <c r="L217"/>
    </row>
    <row r="218" spans="1:12">
      <c r="A218" s="3" t="str">
        <f>IF(AND(NOT(ISBLANK(E218)),E218&lt;&gt;"(blank)"),IFERROR(IF(INDEX(HostBuild[],MATCH(E218,HostBuild[Alias],0),COLUMN(HostBuild[Hostname]))&lt;&gt;0,INDEX(HostBuild[],MATCH(E218,HostBuild[Alias],0),COLUMN(HostBuild[Hostname])),""),""),"")</f>
        <v/>
      </c>
      <c r="B218" s="424" t="str">
        <f>IF(AND(NOT(ISBLANK(E218)),E218&lt;&gt;"(blank)"),IFERROR(IF(INDEX(HostBuild[],MATCH(E218,HostBuild[Alias],0),COLUMN(HostBuild[Status]))&lt;&gt;0,INDEX(HostBuild[],MATCH(E218,HostBuild[Alias],0),COLUMN(HostBuild[Status])),""),""),"")</f>
        <v/>
      </c>
      <c r="C218" s="425" t="str">
        <f>IF(AND(NOT(ISBLANK(E218)),E218&lt;&gt;"(blank)"),IFERROR(IF(INDEX(HostBuild[],MATCH(E218,HostBuild[Alias],0),COLUMN(HostBuild[CTI Target Completion]))&lt;&gt;0,INDEX(HostBuild[],MATCH(E218,HostBuild[Alias],0),COLUMN(HostBuild[CTI Target Completion])),""),""),"")</f>
        <v/>
      </c>
      <c r="D218" s="262" t="str">
        <f>IF(AND(NOT(ISBLANK(E218)),E218&lt;&gt;"(blank)"),IFERROR(IF(INDEX(HostBuild[],MATCH(E218,HostBuild[Alias],0),COLUMN(HostBuild[Description]))&lt;&gt;0,INDEX(HostBuild[],MATCH(E218,HostBuild[Alias],0),COLUMN(HostBuild[Description])),""),""),"")</f>
        <v/>
      </c>
      <c r="L218"/>
    </row>
    <row r="219" spans="1:12">
      <c r="A219" s="3" t="str">
        <f>IF(AND(NOT(ISBLANK(E219)),E219&lt;&gt;"(blank)"),IFERROR(IF(INDEX(HostBuild[],MATCH(E219,HostBuild[Alias],0),COLUMN(HostBuild[Hostname]))&lt;&gt;0,INDEX(HostBuild[],MATCH(E219,HostBuild[Alias],0),COLUMN(HostBuild[Hostname])),""),""),"")</f>
        <v/>
      </c>
      <c r="B219" s="424" t="str">
        <f>IF(AND(NOT(ISBLANK(E219)),E219&lt;&gt;"(blank)"),IFERROR(IF(INDEX(HostBuild[],MATCH(E219,HostBuild[Alias],0),COLUMN(HostBuild[Status]))&lt;&gt;0,INDEX(HostBuild[],MATCH(E219,HostBuild[Alias],0),COLUMN(HostBuild[Status])),""),""),"")</f>
        <v/>
      </c>
      <c r="C219" s="425" t="str">
        <f>IF(AND(NOT(ISBLANK(E219)),E219&lt;&gt;"(blank)"),IFERROR(IF(INDEX(HostBuild[],MATCH(E219,HostBuild[Alias],0),COLUMN(HostBuild[CTI Target Completion]))&lt;&gt;0,INDEX(HostBuild[],MATCH(E219,HostBuild[Alias],0),COLUMN(HostBuild[CTI Target Completion])),""),""),"")</f>
        <v/>
      </c>
      <c r="D219" s="262" t="str">
        <f>IF(AND(NOT(ISBLANK(E219)),E219&lt;&gt;"(blank)"),IFERROR(IF(INDEX(HostBuild[],MATCH(E219,HostBuild[Alias],0),COLUMN(HostBuild[Description]))&lt;&gt;0,INDEX(HostBuild[],MATCH(E219,HostBuild[Alias],0),COLUMN(HostBuild[Description])),""),""),"")</f>
        <v/>
      </c>
      <c r="L219"/>
    </row>
    <row r="220" spans="1:12">
      <c r="A220" s="3" t="str">
        <f>IF(AND(NOT(ISBLANK(E220)),E220&lt;&gt;"(blank)"),IFERROR(IF(INDEX(HostBuild[],MATCH(E220,HostBuild[Alias],0),COLUMN(HostBuild[Hostname]))&lt;&gt;0,INDEX(HostBuild[],MATCH(E220,HostBuild[Alias],0),COLUMN(HostBuild[Hostname])),""),""),"")</f>
        <v/>
      </c>
      <c r="B220" s="424" t="str">
        <f>IF(AND(NOT(ISBLANK(E220)),E220&lt;&gt;"(blank)"),IFERROR(IF(INDEX(HostBuild[],MATCH(E220,HostBuild[Alias],0),COLUMN(HostBuild[Status]))&lt;&gt;0,INDEX(HostBuild[],MATCH(E220,HostBuild[Alias],0),COLUMN(HostBuild[Status])),""),""),"")</f>
        <v/>
      </c>
      <c r="C220" s="425" t="str">
        <f>IF(AND(NOT(ISBLANK(E220)),E220&lt;&gt;"(blank)"),IFERROR(IF(INDEX(HostBuild[],MATCH(E220,HostBuild[Alias],0),COLUMN(HostBuild[CTI Target Completion]))&lt;&gt;0,INDEX(HostBuild[],MATCH(E220,HostBuild[Alias],0),COLUMN(HostBuild[CTI Target Completion])),""),""),"")</f>
        <v/>
      </c>
      <c r="D220" s="262" t="str">
        <f>IF(AND(NOT(ISBLANK(E220)),E220&lt;&gt;"(blank)"),IFERROR(IF(INDEX(HostBuild[],MATCH(E220,HostBuild[Alias],0),COLUMN(HostBuild[Description]))&lt;&gt;0,INDEX(HostBuild[],MATCH(E220,HostBuild[Alias],0),COLUMN(HostBuild[Description])),""),""),"")</f>
        <v/>
      </c>
      <c r="L220"/>
    </row>
    <row r="221" spans="1:12">
      <c r="A221" s="3" t="str">
        <f>IF(AND(NOT(ISBLANK(E221)),E221&lt;&gt;"(blank)"),IFERROR(IF(INDEX(HostBuild[],MATCH(E221,HostBuild[Alias],0),COLUMN(HostBuild[Hostname]))&lt;&gt;0,INDEX(HostBuild[],MATCH(E221,HostBuild[Alias],0),COLUMN(HostBuild[Hostname])),""),""),"")</f>
        <v/>
      </c>
      <c r="B221" s="424" t="str">
        <f>IF(AND(NOT(ISBLANK(E221)),E221&lt;&gt;"(blank)"),IFERROR(IF(INDEX(HostBuild[],MATCH(E221,HostBuild[Alias],0),COLUMN(HostBuild[Status]))&lt;&gt;0,INDEX(HostBuild[],MATCH(E221,HostBuild[Alias],0),COLUMN(HostBuild[Status])),""),""),"")</f>
        <v/>
      </c>
      <c r="C221" s="425" t="str">
        <f>IF(AND(NOT(ISBLANK(E221)),E221&lt;&gt;"(blank)"),IFERROR(IF(INDEX(HostBuild[],MATCH(E221,HostBuild[Alias],0),COLUMN(HostBuild[CTI Target Completion]))&lt;&gt;0,INDEX(HostBuild[],MATCH(E221,HostBuild[Alias],0),COLUMN(HostBuild[CTI Target Completion])),""),""),"")</f>
        <v/>
      </c>
      <c r="D221" s="262" t="str">
        <f>IF(AND(NOT(ISBLANK(E221)),E221&lt;&gt;"(blank)"),IFERROR(IF(INDEX(HostBuild[],MATCH(E221,HostBuild[Alias],0),COLUMN(HostBuild[Description]))&lt;&gt;0,INDEX(HostBuild[],MATCH(E221,HostBuild[Alias],0),COLUMN(HostBuild[Description])),""),""),"")</f>
        <v/>
      </c>
      <c r="L221"/>
    </row>
    <row r="222" spans="1:12">
      <c r="A222" s="3" t="str">
        <f>IF(AND(NOT(ISBLANK(E222)),E222&lt;&gt;"(blank)"),IFERROR(IF(INDEX(HostBuild[],MATCH(E222,HostBuild[Alias],0),COLUMN(HostBuild[Hostname]))&lt;&gt;0,INDEX(HostBuild[],MATCH(E222,HostBuild[Alias],0),COLUMN(HostBuild[Hostname])),""),""),"")</f>
        <v/>
      </c>
      <c r="B222" s="424" t="str">
        <f>IF(AND(NOT(ISBLANK(E222)),E222&lt;&gt;"(blank)"),IFERROR(IF(INDEX(HostBuild[],MATCH(E222,HostBuild[Alias],0),COLUMN(HostBuild[Status]))&lt;&gt;0,INDEX(HostBuild[],MATCH(E222,HostBuild[Alias],0),COLUMN(HostBuild[Status])),""),""),"")</f>
        <v/>
      </c>
      <c r="C222" s="425" t="str">
        <f>IF(AND(NOT(ISBLANK(E222)),E222&lt;&gt;"(blank)"),IFERROR(IF(INDEX(HostBuild[],MATCH(E222,HostBuild[Alias],0),COLUMN(HostBuild[CTI Target Completion]))&lt;&gt;0,INDEX(HostBuild[],MATCH(E222,HostBuild[Alias],0),COLUMN(HostBuild[CTI Target Completion])),""),""),"")</f>
        <v/>
      </c>
      <c r="D222" s="262" t="str">
        <f>IF(AND(NOT(ISBLANK(E222)),E222&lt;&gt;"(blank)"),IFERROR(IF(INDEX(HostBuild[],MATCH(E222,HostBuild[Alias],0),COLUMN(HostBuild[Description]))&lt;&gt;0,INDEX(HostBuild[],MATCH(E222,HostBuild[Alias],0),COLUMN(HostBuild[Description])),""),""),"")</f>
        <v/>
      </c>
      <c r="L222"/>
    </row>
    <row r="223" spans="1:12">
      <c r="A223" s="3" t="str">
        <f>IF(AND(NOT(ISBLANK(E223)),E223&lt;&gt;"(blank)"),IFERROR(IF(INDEX(HostBuild[],MATCH(E223,HostBuild[Alias],0),COLUMN(HostBuild[Hostname]))&lt;&gt;0,INDEX(HostBuild[],MATCH(E223,HostBuild[Alias],0),COLUMN(HostBuild[Hostname])),""),""),"")</f>
        <v/>
      </c>
      <c r="B223" s="424" t="str">
        <f>IF(AND(NOT(ISBLANK(E223)),E223&lt;&gt;"(blank)"),IFERROR(IF(INDEX(HostBuild[],MATCH(E223,HostBuild[Alias],0),COLUMN(HostBuild[Status]))&lt;&gt;0,INDEX(HostBuild[],MATCH(E223,HostBuild[Alias],0),COLUMN(HostBuild[Status])),""),""),"")</f>
        <v/>
      </c>
      <c r="C223" s="425" t="str">
        <f>IF(AND(NOT(ISBLANK(E223)),E223&lt;&gt;"(blank)"),IFERROR(IF(INDEX(HostBuild[],MATCH(E223,HostBuild[Alias],0),COLUMN(HostBuild[CTI Target Completion]))&lt;&gt;0,INDEX(HostBuild[],MATCH(E223,HostBuild[Alias],0),COLUMN(HostBuild[CTI Target Completion])),""),""),"")</f>
        <v/>
      </c>
      <c r="D223" s="262" t="str">
        <f>IF(AND(NOT(ISBLANK(E223)),E223&lt;&gt;"(blank)"),IFERROR(IF(INDEX(HostBuild[],MATCH(E223,HostBuild[Alias],0),COLUMN(HostBuild[Description]))&lt;&gt;0,INDEX(HostBuild[],MATCH(E223,HostBuild[Alias],0),COLUMN(HostBuild[Description])),""),""),"")</f>
        <v/>
      </c>
      <c r="L223"/>
    </row>
    <row r="224" spans="1:12">
      <c r="A224" s="3" t="str">
        <f>IF(AND(NOT(ISBLANK(E224)),E224&lt;&gt;"(blank)"),IFERROR(IF(INDEX(HostBuild[],MATCH(E224,HostBuild[Alias],0),COLUMN(HostBuild[Hostname]))&lt;&gt;0,INDEX(HostBuild[],MATCH(E224,HostBuild[Alias],0),COLUMN(HostBuild[Hostname])),""),""),"")</f>
        <v/>
      </c>
      <c r="B224" s="424" t="str">
        <f>IF(AND(NOT(ISBLANK(E224)),E224&lt;&gt;"(blank)"),IFERROR(IF(INDEX(HostBuild[],MATCH(E224,HostBuild[Alias],0),COLUMN(HostBuild[Status]))&lt;&gt;0,INDEX(HostBuild[],MATCH(E224,HostBuild[Alias],0),COLUMN(HostBuild[Status])),""),""),"")</f>
        <v/>
      </c>
      <c r="C224" s="425" t="str">
        <f>IF(AND(NOT(ISBLANK(E224)),E224&lt;&gt;"(blank)"),IFERROR(IF(INDEX(HostBuild[],MATCH(E224,HostBuild[Alias],0),COLUMN(HostBuild[CTI Target Completion]))&lt;&gt;0,INDEX(HostBuild[],MATCH(E224,HostBuild[Alias],0),COLUMN(HostBuild[CTI Target Completion])),""),""),"")</f>
        <v/>
      </c>
      <c r="D224" s="262" t="str">
        <f>IF(AND(NOT(ISBLANK(E224)),E224&lt;&gt;"(blank)"),IFERROR(IF(INDEX(HostBuild[],MATCH(E224,HostBuild[Alias],0),COLUMN(HostBuild[Description]))&lt;&gt;0,INDEX(HostBuild[],MATCH(E224,HostBuild[Alias],0),COLUMN(HostBuild[Description])),""),""),"")</f>
        <v/>
      </c>
      <c r="L224"/>
    </row>
    <row r="225" spans="1:12">
      <c r="A225" s="3" t="str">
        <f>IF(AND(NOT(ISBLANK(E225)),E225&lt;&gt;"(blank)"),IFERROR(IF(INDEX(HostBuild[],MATCH(E225,HostBuild[Alias],0),COLUMN(HostBuild[Hostname]))&lt;&gt;0,INDEX(HostBuild[],MATCH(E225,HostBuild[Alias],0),COLUMN(HostBuild[Hostname])),""),""),"")</f>
        <v/>
      </c>
      <c r="B225" s="424" t="str">
        <f>IF(AND(NOT(ISBLANK(E225)),E225&lt;&gt;"(blank)"),IFERROR(IF(INDEX(HostBuild[],MATCH(E225,HostBuild[Alias],0),COLUMN(HostBuild[Status]))&lt;&gt;0,INDEX(HostBuild[],MATCH(E225,HostBuild[Alias],0),COLUMN(HostBuild[Status])),""),""),"")</f>
        <v/>
      </c>
      <c r="C225" s="425" t="str">
        <f>IF(AND(NOT(ISBLANK(E225)),E225&lt;&gt;"(blank)"),IFERROR(IF(INDEX(HostBuild[],MATCH(E225,HostBuild[Alias],0),COLUMN(HostBuild[CTI Target Completion]))&lt;&gt;0,INDEX(HostBuild[],MATCH(E225,HostBuild[Alias],0),COLUMN(HostBuild[CTI Target Completion])),""),""),"")</f>
        <v/>
      </c>
      <c r="D225" s="262" t="str">
        <f>IF(AND(NOT(ISBLANK(E225)),E225&lt;&gt;"(blank)"),IFERROR(IF(INDEX(HostBuild[],MATCH(E225,HostBuild[Alias],0),COLUMN(HostBuild[Description]))&lt;&gt;0,INDEX(HostBuild[],MATCH(E225,HostBuild[Alias],0),COLUMN(HostBuild[Description])),""),""),"")</f>
        <v/>
      </c>
      <c r="L225"/>
    </row>
    <row r="226" spans="1:12">
      <c r="A226" s="3" t="str">
        <f>IF(AND(NOT(ISBLANK(E226)),E226&lt;&gt;"(blank)"),IFERROR(IF(INDEX(HostBuild[],MATCH(E226,HostBuild[Alias],0),COLUMN(HostBuild[Hostname]))&lt;&gt;0,INDEX(HostBuild[],MATCH(E226,HostBuild[Alias],0),COLUMN(HostBuild[Hostname])),""),""),"")</f>
        <v/>
      </c>
      <c r="B226" s="424" t="str">
        <f>IF(AND(NOT(ISBLANK(E226)),E226&lt;&gt;"(blank)"),IFERROR(IF(INDEX(HostBuild[],MATCH(E226,HostBuild[Alias],0),COLUMN(HostBuild[Status]))&lt;&gt;0,INDEX(HostBuild[],MATCH(E226,HostBuild[Alias],0),COLUMN(HostBuild[Status])),""),""),"")</f>
        <v/>
      </c>
      <c r="C226" s="425" t="str">
        <f>IF(AND(NOT(ISBLANK(E226)),E226&lt;&gt;"(blank)"),IFERROR(IF(INDEX(HostBuild[],MATCH(E226,HostBuild[Alias],0),COLUMN(HostBuild[CTI Target Completion]))&lt;&gt;0,INDEX(HostBuild[],MATCH(E226,HostBuild[Alias],0),COLUMN(HostBuild[CTI Target Completion])),""),""),"")</f>
        <v/>
      </c>
      <c r="D226" s="262" t="str">
        <f>IF(AND(NOT(ISBLANK(E226)),E226&lt;&gt;"(blank)"),IFERROR(IF(INDEX(HostBuild[],MATCH(E226,HostBuild[Alias],0),COLUMN(HostBuild[Description]))&lt;&gt;0,INDEX(HostBuild[],MATCH(E226,HostBuild[Alias],0),COLUMN(HostBuild[Description])),""),""),"")</f>
        <v/>
      </c>
      <c r="L226"/>
    </row>
    <row r="227" spans="1:12">
      <c r="A227" s="3" t="str">
        <f>IF(AND(NOT(ISBLANK(E227)),E227&lt;&gt;"(blank)"),IFERROR(IF(INDEX(HostBuild[],MATCH(E227,HostBuild[Alias],0),COLUMN(HostBuild[Hostname]))&lt;&gt;0,INDEX(HostBuild[],MATCH(E227,HostBuild[Alias],0),COLUMN(HostBuild[Hostname])),""),""),"")</f>
        <v/>
      </c>
      <c r="B227" s="424" t="str">
        <f>IF(AND(NOT(ISBLANK(E227)),E227&lt;&gt;"(blank)"),IFERROR(IF(INDEX(HostBuild[],MATCH(E227,HostBuild[Alias],0),COLUMN(HostBuild[Status]))&lt;&gt;0,INDEX(HostBuild[],MATCH(E227,HostBuild[Alias],0),COLUMN(HostBuild[Status])),""),""),"")</f>
        <v/>
      </c>
      <c r="C227" s="425" t="str">
        <f>IF(AND(NOT(ISBLANK(E227)),E227&lt;&gt;"(blank)"),IFERROR(IF(INDEX(HostBuild[],MATCH(E227,HostBuild[Alias],0),COLUMN(HostBuild[CTI Target Completion]))&lt;&gt;0,INDEX(HostBuild[],MATCH(E227,HostBuild[Alias],0),COLUMN(HostBuild[CTI Target Completion])),""),""),"")</f>
        <v/>
      </c>
      <c r="D227" s="262" t="str">
        <f>IF(AND(NOT(ISBLANK(E227)),E227&lt;&gt;"(blank)"),IFERROR(IF(INDEX(HostBuild[],MATCH(E227,HostBuild[Alias],0),COLUMN(HostBuild[Description]))&lt;&gt;0,INDEX(HostBuild[],MATCH(E227,HostBuild[Alias],0),COLUMN(HostBuild[Description])),""),""),"")</f>
        <v/>
      </c>
      <c r="L227"/>
    </row>
    <row r="228" spans="1:12">
      <c r="A228" s="3" t="str">
        <f>IF(AND(NOT(ISBLANK(E228)),E228&lt;&gt;"(blank)"),IFERROR(IF(INDEX(HostBuild[],MATCH(E228,HostBuild[Alias],0),COLUMN(HostBuild[Hostname]))&lt;&gt;0,INDEX(HostBuild[],MATCH(E228,HostBuild[Alias],0),COLUMN(HostBuild[Hostname])),""),""),"")</f>
        <v/>
      </c>
      <c r="B228" s="424" t="str">
        <f>IF(AND(NOT(ISBLANK(E228)),E228&lt;&gt;"(blank)"),IFERROR(IF(INDEX(HostBuild[],MATCH(E228,HostBuild[Alias],0),COLUMN(HostBuild[Status]))&lt;&gt;0,INDEX(HostBuild[],MATCH(E228,HostBuild[Alias],0),COLUMN(HostBuild[Status])),""),""),"")</f>
        <v/>
      </c>
      <c r="C228" s="425" t="str">
        <f>IF(AND(NOT(ISBLANK(E228)),E228&lt;&gt;"(blank)"),IFERROR(IF(INDEX(HostBuild[],MATCH(E228,HostBuild[Alias],0),COLUMN(HostBuild[CTI Target Completion]))&lt;&gt;0,INDEX(HostBuild[],MATCH(E228,HostBuild[Alias],0),COLUMN(HostBuild[CTI Target Completion])),""),""),"")</f>
        <v/>
      </c>
      <c r="D228" s="262" t="str">
        <f>IF(AND(NOT(ISBLANK(E228)),E228&lt;&gt;"(blank)"),IFERROR(IF(INDEX(HostBuild[],MATCH(E228,HostBuild[Alias],0),COLUMN(HostBuild[Description]))&lt;&gt;0,INDEX(HostBuild[],MATCH(E228,HostBuild[Alias],0),COLUMN(HostBuild[Description])),""),""),"")</f>
        <v/>
      </c>
      <c r="L228"/>
    </row>
    <row r="229" spans="1:12">
      <c r="A229" s="3" t="str">
        <f>IF(AND(NOT(ISBLANK(E229)),E229&lt;&gt;"(blank)"),IFERROR(IF(INDEX(HostBuild[],MATCH(E229,HostBuild[Alias],0),COLUMN(HostBuild[Hostname]))&lt;&gt;0,INDEX(HostBuild[],MATCH(E229,HostBuild[Alias],0),COLUMN(HostBuild[Hostname])),""),""),"")</f>
        <v/>
      </c>
      <c r="B229" s="424" t="str">
        <f>IF(AND(NOT(ISBLANK(E229)),E229&lt;&gt;"(blank)"),IFERROR(IF(INDEX(HostBuild[],MATCH(E229,HostBuild[Alias],0),COLUMN(HostBuild[Status]))&lt;&gt;0,INDEX(HostBuild[],MATCH(E229,HostBuild[Alias],0),COLUMN(HostBuild[Status])),""),""),"")</f>
        <v/>
      </c>
      <c r="C229" s="425" t="str">
        <f>IF(AND(NOT(ISBLANK(E229)),E229&lt;&gt;"(blank)"),IFERROR(IF(INDEX(HostBuild[],MATCH(E229,HostBuild[Alias],0),COLUMN(HostBuild[CTI Target Completion]))&lt;&gt;0,INDEX(HostBuild[],MATCH(E229,HostBuild[Alias],0),COLUMN(HostBuild[CTI Target Completion])),""),""),"")</f>
        <v/>
      </c>
      <c r="D229" s="262" t="str">
        <f>IF(AND(NOT(ISBLANK(E229)),E229&lt;&gt;"(blank)"),IFERROR(IF(INDEX(HostBuild[],MATCH(E229,HostBuild[Alias],0),COLUMN(HostBuild[Description]))&lt;&gt;0,INDEX(HostBuild[],MATCH(E229,HostBuild[Alias],0),COLUMN(HostBuild[Description])),""),""),"")</f>
        <v/>
      </c>
      <c r="L229"/>
    </row>
    <row r="230" spans="1:12">
      <c r="A230" s="3" t="str">
        <f>IF(AND(NOT(ISBLANK(E230)),E230&lt;&gt;"(blank)"),IFERROR(IF(INDEX(HostBuild[],MATCH(E230,HostBuild[Alias],0),COLUMN(HostBuild[Hostname]))&lt;&gt;0,INDEX(HostBuild[],MATCH(E230,HostBuild[Alias],0),COLUMN(HostBuild[Hostname])),""),""),"")</f>
        <v/>
      </c>
      <c r="B230" s="424" t="str">
        <f>IF(AND(NOT(ISBLANK(E230)),E230&lt;&gt;"(blank)"),IFERROR(IF(INDEX(HostBuild[],MATCH(E230,HostBuild[Alias],0),COLUMN(HostBuild[Status]))&lt;&gt;0,INDEX(HostBuild[],MATCH(E230,HostBuild[Alias],0),COLUMN(HostBuild[Status])),""),""),"")</f>
        <v/>
      </c>
      <c r="C230" s="425" t="str">
        <f>IF(AND(NOT(ISBLANK(E230)),E230&lt;&gt;"(blank)"),IFERROR(IF(INDEX(HostBuild[],MATCH(E230,HostBuild[Alias],0),COLUMN(HostBuild[CTI Target Completion]))&lt;&gt;0,INDEX(HostBuild[],MATCH(E230,HostBuild[Alias],0),COLUMN(HostBuild[CTI Target Completion])),""),""),"")</f>
        <v/>
      </c>
      <c r="D230" s="262" t="str">
        <f>IF(AND(NOT(ISBLANK(E230)),E230&lt;&gt;"(blank)"),IFERROR(IF(INDEX(HostBuild[],MATCH(E230,HostBuild[Alias],0),COLUMN(HostBuild[Description]))&lt;&gt;0,INDEX(HostBuild[],MATCH(E230,HostBuild[Alias],0),COLUMN(HostBuild[Description])),""),""),"")</f>
        <v/>
      </c>
      <c r="L230"/>
    </row>
    <row r="231" spans="1:12">
      <c r="A231" s="3" t="str">
        <f>IF(AND(NOT(ISBLANK(E231)),E231&lt;&gt;"(blank)"),IFERROR(IF(INDEX(HostBuild[],MATCH(E231,HostBuild[Alias],0),COLUMN(HostBuild[Hostname]))&lt;&gt;0,INDEX(HostBuild[],MATCH(E231,HostBuild[Alias],0),COLUMN(HostBuild[Hostname])),""),""),"")</f>
        <v/>
      </c>
      <c r="B231" s="424" t="str">
        <f>IF(AND(NOT(ISBLANK(E231)),E231&lt;&gt;"(blank)"),IFERROR(IF(INDEX(HostBuild[],MATCH(E231,HostBuild[Alias],0),COLUMN(HostBuild[Status]))&lt;&gt;0,INDEX(HostBuild[],MATCH(E231,HostBuild[Alias],0),COLUMN(HostBuild[Status])),""),""),"")</f>
        <v/>
      </c>
      <c r="C231" s="425" t="str">
        <f>IF(AND(NOT(ISBLANK(E231)),E231&lt;&gt;"(blank)"),IFERROR(IF(INDEX(HostBuild[],MATCH(E231,HostBuild[Alias],0),COLUMN(HostBuild[CTI Target Completion]))&lt;&gt;0,INDEX(HostBuild[],MATCH(E231,HostBuild[Alias],0),COLUMN(HostBuild[CTI Target Completion])),""),""),"")</f>
        <v/>
      </c>
      <c r="D231" s="262" t="str">
        <f>IF(AND(NOT(ISBLANK(E231)),E231&lt;&gt;"(blank)"),IFERROR(IF(INDEX(HostBuild[],MATCH(E231,HostBuild[Alias],0),COLUMN(HostBuild[Description]))&lt;&gt;0,INDEX(HostBuild[],MATCH(E231,HostBuild[Alias],0),COLUMN(HostBuild[Description])),""),""),"")</f>
        <v/>
      </c>
      <c r="L231"/>
    </row>
    <row r="232" spans="1:12">
      <c r="A232" s="3" t="str">
        <f>IF(AND(NOT(ISBLANK(E232)),E232&lt;&gt;"(blank)"),IFERROR(IF(INDEX(HostBuild[],MATCH(E232,HostBuild[Alias],0),COLUMN(HostBuild[Hostname]))&lt;&gt;0,INDEX(HostBuild[],MATCH(E232,HostBuild[Alias],0),COLUMN(HostBuild[Hostname])),""),""),"")</f>
        <v/>
      </c>
      <c r="B232" s="424" t="str">
        <f>IF(AND(NOT(ISBLANK(E232)),E232&lt;&gt;"(blank)"),IFERROR(IF(INDEX(HostBuild[],MATCH(E232,HostBuild[Alias],0),COLUMN(HostBuild[Status]))&lt;&gt;0,INDEX(HostBuild[],MATCH(E232,HostBuild[Alias],0),COLUMN(HostBuild[Status])),""),""),"")</f>
        <v/>
      </c>
      <c r="C232" s="425" t="str">
        <f>IF(AND(NOT(ISBLANK(E232)),E232&lt;&gt;"(blank)"),IFERROR(IF(INDEX(HostBuild[],MATCH(E232,HostBuild[Alias],0),COLUMN(HostBuild[CTI Target Completion]))&lt;&gt;0,INDEX(HostBuild[],MATCH(E232,HostBuild[Alias],0),COLUMN(HostBuild[CTI Target Completion])),""),""),"")</f>
        <v/>
      </c>
      <c r="D232" s="262" t="str">
        <f>IF(AND(NOT(ISBLANK(E232)),E232&lt;&gt;"(blank)"),IFERROR(IF(INDEX(HostBuild[],MATCH(E232,HostBuild[Alias],0),COLUMN(HostBuild[Description]))&lt;&gt;0,INDEX(HostBuild[],MATCH(E232,HostBuild[Alias],0),COLUMN(HostBuild[Description])),""),""),"")</f>
        <v/>
      </c>
      <c r="L232"/>
    </row>
    <row r="233" spans="1:12">
      <c r="A233" s="3" t="str">
        <f>IF(AND(NOT(ISBLANK(E233)),E233&lt;&gt;"(blank)"),IFERROR(IF(INDEX(HostBuild[],MATCH(E233,HostBuild[Alias],0),COLUMN(HostBuild[Hostname]))&lt;&gt;0,INDEX(HostBuild[],MATCH(E233,HostBuild[Alias],0),COLUMN(HostBuild[Hostname])),""),""),"")</f>
        <v/>
      </c>
      <c r="B233" s="424" t="str">
        <f>IF(AND(NOT(ISBLANK(E233)),E233&lt;&gt;"(blank)"),IFERROR(IF(INDEX(HostBuild[],MATCH(E233,HostBuild[Alias],0),COLUMN(HostBuild[Status]))&lt;&gt;0,INDEX(HostBuild[],MATCH(E233,HostBuild[Alias],0),COLUMN(HostBuild[Status])),""),""),"")</f>
        <v/>
      </c>
      <c r="C233" s="425" t="str">
        <f>IF(AND(NOT(ISBLANK(E233)),E233&lt;&gt;"(blank)"),IFERROR(IF(INDEX(HostBuild[],MATCH(E233,HostBuild[Alias],0),COLUMN(HostBuild[CTI Target Completion]))&lt;&gt;0,INDEX(HostBuild[],MATCH(E233,HostBuild[Alias],0),COLUMN(HostBuild[CTI Target Completion])),""),""),"")</f>
        <v/>
      </c>
      <c r="D233" s="262" t="str">
        <f>IF(AND(NOT(ISBLANK(E233)),E233&lt;&gt;"(blank)"),IFERROR(IF(INDEX(HostBuild[],MATCH(E233,HostBuild[Alias],0),COLUMN(HostBuild[Description]))&lt;&gt;0,INDEX(HostBuild[],MATCH(E233,HostBuild[Alias],0),COLUMN(HostBuild[Description])),""),""),"")</f>
        <v/>
      </c>
      <c r="L233"/>
    </row>
    <row r="234" spans="1:12">
      <c r="A234" s="3" t="str">
        <f>IF(AND(NOT(ISBLANK(E234)),E234&lt;&gt;"(blank)"),IFERROR(IF(INDEX(HostBuild[],MATCH(E234,HostBuild[Alias],0),COLUMN(HostBuild[Hostname]))&lt;&gt;0,INDEX(HostBuild[],MATCH(E234,HostBuild[Alias],0),COLUMN(HostBuild[Hostname])),""),""),"")</f>
        <v/>
      </c>
      <c r="B234" s="424" t="str">
        <f>IF(AND(NOT(ISBLANK(E234)),E234&lt;&gt;"(blank)"),IFERROR(IF(INDEX(HostBuild[],MATCH(E234,HostBuild[Alias],0),COLUMN(HostBuild[Status]))&lt;&gt;0,INDEX(HostBuild[],MATCH(E234,HostBuild[Alias],0),COLUMN(HostBuild[Status])),""),""),"")</f>
        <v/>
      </c>
      <c r="C234" s="425" t="str">
        <f>IF(AND(NOT(ISBLANK(E234)),E234&lt;&gt;"(blank)"),IFERROR(IF(INDEX(HostBuild[],MATCH(E234,HostBuild[Alias],0),COLUMN(HostBuild[CTI Target Completion]))&lt;&gt;0,INDEX(HostBuild[],MATCH(E234,HostBuild[Alias],0),COLUMN(HostBuild[CTI Target Completion])),""),""),"")</f>
        <v/>
      </c>
      <c r="D234" s="262" t="str">
        <f>IF(AND(NOT(ISBLANK(E234)),E234&lt;&gt;"(blank)"),IFERROR(IF(INDEX(HostBuild[],MATCH(E234,HostBuild[Alias],0),COLUMN(HostBuild[Description]))&lt;&gt;0,INDEX(HostBuild[],MATCH(E234,HostBuild[Alias],0),COLUMN(HostBuild[Description])),""),""),"")</f>
        <v/>
      </c>
      <c r="L234"/>
    </row>
    <row r="235" spans="1:12">
      <c r="A235" s="3" t="str">
        <f>IF(AND(NOT(ISBLANK(E235)),E235&lt;&gt;"(blank)"),IFERROR(IF(INDEX(HostBuild[],MATCH(E235,HostBuild[Alias],0),COLUMN(HostBuild[Hostname]))&lt;&gt;0,INDEX(HostBuild[],MATCH(E235,HostBuild[Alias],0),COLUMN(HostBuild[Hostname])),""),""),"")</f>
        <v/>
      </c>
      <c r="B235" s="424" t="str">
        <f>IF(AND(NOT(ISBLANK(E235)),E235&lt;&gt;"(blank)"),IFERROR(IF(INDEX(HostBuild[],MATCH(E235,HostBuild[Alias],0),COLUMN(HostBuild[Status]))&lt;&gt;0,INDEX(HostBuild[],MATCH(E235,HostBuild[Alias],0),COLUMN(HostBuild[Status])),""),""),"")</f>
        <v/>
      </c>
      <c r="C235" s="425" t="str">
        <f>IF(AND(NOT(ISBLANK(E235)),E235&lt;&gt;"(blank)"),IFERROR(IF(INDEX(HostBuild[],MATCH(E235,HostBuild[Alias],0),COLUMN(HostBuild[CTI Target Completion]))&lt;&gt;0,INDEX(HostBuild[],MATCH(E235,HostBuild[Alias],0),COLUMN(HostBuild[CTI Target Completion])),""),""),"")</f>
        <v/>
      </c>
      <c r="D235" s="262" t="str">
        <f>IF(AND(NOT(ISBLANK(E235)),E235&lt;&gt;"(blank)"),IFERROR(IF(INDEX(HostBuild[],MATCH(E235,HostBuild[Alias],0),COLUMN(HostBuild[Description]))&lt;&gt;0,INDEX(HostBuild[],MATCH(E235,HostBuild[Alias],0),COLUMN(HostBuild[Description])),""),""),"")</f>
        <v/>
      </c>
      <c r="L235"/>
    </row>
    <row r="236" spans="1:12">
      <c r="A236" s="3" t="str">
        <f>IF(AND(NOT(ISBLANK(E236)),E236&lt;&gt;"(blank)"),IFERROR(IF(INDEX(HostBuild[],MATCH(E236,HostBuild[Alias],0),COLUMN(HostBuild[Hostname]))&lt;&gt;0,INDEX(HostBuild[],MATCH(E236,HostBuild[Alias],0),COLUMN(HostBuild[Hostname])),""),""),"")</f>
        <v/>
      </c>
      <c r="B236" s="424" t="str">
        <f>IF(AND(NOT(ISBLANK(E236)),E236&lt;&gt;"(blank)"),IFERROR(IF(INDEX(HostBuild[],MATCH(E236,HostBuild[Alias],0),COLUMN(HostBuild[Status]))&lt;&gt;0,INDEX(HostBuild[],MATCH(E236,HostBuild[Alias],0),COLUMN(HostBuild[Status])),""),""),"")</f>
        <v/>
      </c>
      <c r="C236" s="425" t="str">
        <f>IF(AND(NOT(ISBLANK(E236)),E236&lt;&gt;"(blank)"),IFERROR(IF(INDEX(HostBuild[],MATCH(E236,HostBuild[Alias],0),COLUMN(HostBuild[CTI Target Completion]))&lt;&gt;0,INDEX(HostBuild[],MATCH(E236,HostBuild[Alias],0),COLUMN(HostBuild[CTI Target Completion])),""),""),"")</f>
        <v/>
      </c>
      <c r="D236" s="262" t="str">
        <f>IF(AND(NOT(ISBLANK(E236)),E236&lt;&gt;"(blank)"),IFERROR(IF(INDEX(HostBuild[],MATCH(E236,HostBuild[Alias],0),COLUMN(HostBuild[Description]))&lt;&gt;0,INDEX(HostBuild[],MATCH(E236,HostBuild[Alias],0),COLUMN(HostBuild[Description])),""),""),"")</f>
        <v/>
      </c>
      <c r="L236"/>
    </row>
    <row r="237" spans="1:12">
      <c r="A237" s="3" t="str">
        <f>IF(AND(NOT(ISBLANK(E237)),E237&lt;&gt;"(blank)"),IFERROR(IF(INDEX(HostBuild[],MATCH(E237,HostBuild[Alias],0),COLUMN(HostBuild[Hostname]))&lt;&gt;0,INDEX(HostBuild[],MATCH(E237,HostBuild[Alias],0),COLUMN(HostBuild[Hostname])),""),""),"")</f>
        <v/>
      </c>
      <c r="B237" s="424" t="str">
        <f>IF(AND(NOT(ISBLANK(E237)),E237&lt;&gt;"(blank)"),IFERROR(IF(INDEX(HostBuild[],MATCH(E237,HostBuild[Alias],0),COLUMN(HostBuild[Status]))&lt;&gt;0,INDEX(HostBuild[],MATCH(E237,HostBuild[Alias],0),COLUMN(HostBuild[Status])),""),""),"")</f>
        <v/>
      </c>
      <c r="C237" s="425" t="str">
        <f>IF(AND(NOT(ISBLANK(E237)),E237&lt;&gt;"(blank)"),IFERROR(IF(INDEX(HostBuild[],MATCH(E237,HostBuild[Alias],0),COLUMN(HostBuild[CTI Target Completion]))&lt;&gt;0,INDEX(HostBuild[],MATCH(E237,HostBuild[Alias],0),COLUMN(HostBuild[CTI Target Completion])),""),""),"")</f>
        <v/>
      </c>
      <c r="D237" s="262" t="str">
        <f>IF(AND(NOT(ISBLANK(E237)),E237&lt;&gt;"(blank)"),IFERROR(IF(INDEX(HostBuild[],MATCH(E237,HostBuild[Alias],0),COLUMN(HostBuild[Description]))&lt;&gt;0,INDEX(HostBuild[],MATCH(E237,HostBuild[Alias],0),COLUMN(HostBuild[Description])),""),""),"")</f>
        <v/>
      </c>
      <c r="L237"/>
    </row>
    <row r="238" spans="1:12">
      <c r="A238" s="3" t="str">
        <f>IF(AND(NOT(ISBLANK(E238)),E238&lt;&gt;"(blank)"),IFERROR(IF(INDEX(HostBuild[],MATCH(E238,HostBuild[Alias],0),COLUMN(HostBuild[Hostname]))&lt;&gt;0,INDEX(HostBuild[],MATCH(E238,HostBuild[Alias],0),COLUMN(HostBuild[Hostname])),""),""),"")</f>
        <v/>
      </c>
      <c r="B238" s="424" t="str">
        <f>IF(AND(NOT(ISBLANK(E238)),E238&lt;&gt;"(blank)"),IFERROR(IF(INDEX(HostBuild[],MATCH(E238,HostBuild[Alias],0),COLUMN(HostBuild[Status]))&lt;&gt;0,INDEX(HostBuild[],MATCH(E238,HostBuild[Alias],0),COLUMN(HostBuild[Status])),""),""),"")</f>
        <v/>
      </c>
      <c r="C238" s="425" t="str">
        <f>IF(AND(NOT(ISBLANK(E238)),E238&lt;&gt;"(blank)"),IFERROR(IF(INDEX(HostBuild[],MATCH(E238,HostBuild[Alias],0),COLUMN(HostBuild[CTI Target Completion]))&lt;&gt;0,INDEX(HostBuild[],MATCH(E238,HostBuild[Alias],0),COLUMN(HostBuild[CTI Target Completion])),""),""),"")</f>
        <v/>
      </c>
      <c r="D238" s="262" t="str">
        <f>IF(AND(NOT(ISBLANK(E238)),E238&lt;&gt;"(blank)"),IFERROR(IF(INDEX(HostBuild[],MATCH(E238,HostBuild[Alias],0),COLUMN(HostBuild[Description]))&lt;&gt;0,INDEX(HostBuild[],MATCH(E238,HostBuild[Alias],0),COLUMN(HostBuild[Description])),""),""),"")</f>
        <v/>
      </c>
      <c r="L238"/>
    </row>
    <row r="239" spans="1:12">
      <c r="A239" s="3" t="str">
        <f>IF(AND(NOT(ISBLANK(E239)),E239&lt;&gt;"(blank)"),IFERROR(IF(INDEX(HostBuild[],MATCH(E239,HostBuild[Alias],0),COLUMN(HostBuild[Hostname]))&lt;&gt;0,INDEX(HostBuild[],MATCH(E239,HostBuild[Alias],0),COLUMN(HostBuild[Hostname])),""),""),"")</f>
        <v/>
      </c>
      <c r="B239" s="424" t="str">
        <f>IF(AND(NOT(ISBLANK(E239)),E239&lt;&gt;"(blank)"),IFERROR(IF(INDEX(HostBuild[],MATCH(E239,HostBuild[Alias],0),COLUMN(HostBuild[Status]))&lt;&gt;0,INDEX(HostBuild[],MATCH(E239,HostBuild[Alias],0),COLUMN(HostBuild[Status])),""),""),"")</f>
        <v/>
      </c>
      <c r="C239" s="425" t="str">
        <f>IF(AND(NOT(ISBLANK(E239)),E239&lt;&gt;"(blank)"),IFERROR(IF(INDEX(HostBuild[],MATCH(E239,HostBuild[Alias],0),COLUMN(HostBuild[CTI Target Completion]))&lt;&gt;0,INDEX(HostBuild[],MATCH(E239,HostBuild[Alias],0),COLUMN(HostBuild[CTI Target Completion])),""),""),"")</f>
        <v/>
      </c>
      <c r="D239" s="262" t="str">
        <f>IF(AND(NOT(ISBLANK(E239)),E239&lt;&gt;"(blank)"),IFERROR(IF(INDEX(HostBuild[],MATCH(E239,HostBuild[Alias],0),COLUMN(HostBuild[Description]))&lt;&gt;0,INDEX(HostBuild[],MATCH(E239,HostBuild[Alias],0),COLUMN(HostBuild[Description])),""),""),"")</f>
        <v/>
      </c>
      <c r="L239"/>
    </row>
    <row r="240" spans="1:12">
      <c r="A240" s="3" t="str">
        <f>IF(AND(NOT(ISBLANK(E240)),E240&lt;&gt;"(blank)"),IFERROR(IF(INDEX(HostBuild[],MATCH(E240,HostBuild[Alias],0),COLUMN(HostBuild[Hostname]))&lt;&gt;0,INDEX(HostBuild[],MATCH(E240,HostBuild[Alias],0),COLUMN(HostBuild[Hostname])),""),""),"")</f>
        <v/>
      </c>
      <c r="B240" s="424" t="str">
        <f>IF(AND(NOT(ISBLANK(E240)),E240&lt;&gt;"(blank)"),IFERROR(IF(INDEX(HostBuild[],MATCH(E240,HostBuild[Alias],0),COLUMN(HostBuild[Status]))&lt;&gt;0,INDEX(HostBuild[],MATCH(E240,HostBuild[Alias],0),COLUMN(HostBuild[Status])),""),""),"")</f>
        <v/>
      </c>
      <c r="C240" s="425" t="str">
        <f>IF(AND(NOT(ISBLANK(E240)),E240&lt;&gt;"(blank)"),IFERROR(IF(INDEX(HostBuild[],MATCH(E240,HostBuild[Alias],0),COLUMN(HostBuild[CTI Target Completion]))&lt;&gt;0,INDEX(HostBuild[],MATCH(E240,HostBuild[Alias],0),COLUMN(HostBuild[CTI Target Completion])),""),""),"")</f>
        <v/>
      </c>
      <c r="D240" s="262" t="str">
        <f>IF(AND(NOT(ISBLANK(E240)),E240&lt;&gt;"(blank)"),IFERROR(IF(INDEX(HostBuild[],MATCH(E240,HostBuild[Alias],0),COLUMN(HostBuild[Description]))&lt;&gt;0,INDEX(HostBuild[],MATCH(E240,HostBuild[Alias],0),COLUMN(HostBuild[Description])),""),""),"")</f>
        <v/>
      </c>
      <c r="L240"/>
    </row>
    <row r="241" spans="1:12">
      <c r="A241" s="3" t="str">
        <f>IF(AND(NOT(ISBLANK(E241)),E241&lt;&gt;"(blank)"),IFERROR(IF(INDEX(HostBuild[],MATCH(E241,HostBuild[Alias],0),COLUMN(HostBuild[Hostname]))&lt;&gt;0,INDEX(HostBuild[],MATCH(E241,HostBuild[Alias],0),COLUMN(HostBuild[Hostname])),""),""),"")</f>
        <v/>
      </c>
      <c r="B241" s="424" t="str">
        <f>IF(AND(NOT(ISBLANK(E241)),E241&lt;&gt;"(blank)"),IFERROR(IF(INDEX(HostBuild[],MATCH(E241,HostBuild[Alias],0),COLUMN(HostBuild[Status]))&lt;&gt;0,INDEX(HostBuild[],MATCH(E241,HostBuild[Alias],0),COLUMN(HostBuild[Status])),""),""),"")</f>
        <v/>
      </c>
      <c r="C241" s="425" t="str">
        <f>IF(AND(NOT(ISBLANK(E241)),E241&lt;&gt;"(blank)"),IFERROR(IF(INDEX(HostBuild[],MATCH(E241,HostBuild[Alias],0),COLUMN(HostBuild[CTI Target Completion]))&lt;&gt;0,INDEX(HostBuild[],MATCH(E241,HostBuild[Alias],0),COLUMN(HostBuild[CTI Target Completion])),""),""),"")</f>
        <v/>
      </c>
      <c r="D241" s="262" t="str">
        <f>IF(AND(NOT(ISBLANK(E241)),E241&lt;&gt;"(blank)"),IFERROR(IF(INDEX(HostBuild[],MATCH(E241,HostBuild[Alias],0),COLUMN(HostBuild[Description]))&lt;&gt;0,INDEX(HostBuild[],MATCH(E241,HostBuild[Alias],0),COLUMN(HostBuild[Description])),""),""),"")</f>
        <v/>
      </c>
      <c r="L241"/>
    </row>
    <row r="242" spans="1:12">
      <c r="A242" s="3" t="str">
        <f>IF(AND(NOT(ISBLANK(E242)),E242&lt;&gt;"(blank)"),IFERROR(IF(INDEX(HostBuild[],MATCH(E242,HostBuild[Alias],0),COLUMN(HostBuild[Hostname]))&lt;&gt;0,INDEX(HostBuild[],MATCH(E242,HostBuild[Alias],0),COLUMN(HostBuild[Hostname])),""),""),"")</f>
        <v/>
      </c>
      <c r="B242" s="424" t="str">
        <f>IF(AND(NOT(ISBLANK(E242)),E242&lt;&gt;"(blank)"),IFERROR(IF(INDEX(HostBuild[],MATCH(E242,HostBuild[Alias],0),COLUMN(HostBuild[Status]))&lt;&gt;0,INDEX(HostBuild[],MATCH(E242,HostBuild[Alias],0),COLUMN(HostBuild[Status])),""),""),"")</f>
        <v/>
      </c>
      <c r="C242" s="425" t="str">
        <f>IF(AND(NOT(ISBLANK(E242)),E242&lt;&gt;"(blank)"),IFERROR(IF(INDEX(HostBuild[],MATCH(E242,HostBuild[Alias],0),COLUMN(HostBuild[CTI Target Completion]))&lt;&gt;0,INDEX(HostBuild[],MATCH(E242,HostBuild[Alias],0),COLUMN(HostBuild[CTI Target Completion])),""),""),"")</f>
        <v/>
      </c>
      <c r="D242" s="262" t="str">
        <f>IF(AND(NOT(ISBLANK(E242)),E242&lt;&gt;"(blank)"),IFERROR(IF(INDEX(HostBuild[],MATCH(E242,HostBuild[Alias],0),COLUMN(HostBuild[Description]))&lt;&gt;0,INDEX(HostBuild[],MATCH(E242,HostBuild[Alias],0),COLUMN(HostBuild[Description])),""),""),"")</f>
        <v/>
      </c>
      <c r="L242"/>
    </row>
    <row r="243" spans="1:12">
      <c r="A243" s="3" t="str">
        <f>IF(AND(NOT(ISBLANK(E243)),E243&lt;&gt;"(blank)"),IFERROR(IF(INDEX(HostBuild[],MATCH(E243,HostBuild[Alias],0),COLUMN(HostBuild[Hostname]))&lt;&gt;0,INDEX(HostBuild[],MATCH(E243,HostBuild[Alias],0),COLUMN(HostBuild[Hostname])),""),""),"")</f>
        <v/>
      </c>
      <c r="B243" s="424" t="str">
        <f>IF(AND(NOT(ISBLANK(E243)),E243&lt;&gt;"(blank)"),IFERROR(IF(INDEX(HostBuild[],MATCH(E243,HostBuild[Alias],0),COLUMN(HostBuild[Status]))&lt;&gt;0,INDEX(HostBuild[],MATCH(E243,HostBuild[Alias],0),COLUMN(HostBuild[Status])),""),""),"")</f>
        <v/>
      </c>
      <c r="C243" s="425" t="str">
        <f>IF(AND(NOT(ISBLANK(E243)),E243&lt;&gt;"(blank)"),IFERROR(IF(INDEX(HostBuild[],MATCH(E243,HostBuild[Alias],0),COLUMN(HostBuild[CTI Target Completion]))&lt;&gt;0,INDEX(HostBuild[],MATCH(E243,HostBuild[Alias],0),COLUMN(HostBuild[CTI Target Completion])),""),""),"")</f>
        <v/>
      </c>
      <c r="D243" s="262" t="str">
        <f>IF(AND(NOT(ISBLANK(E243)),E243&lt;&gt;"(blank)"),IFERROR(IF(INDEX(HostBuild[],MATCH(E243,HostBuild[Alias],0),COLUMN(HostBuild[Description]))&lt;&gt;0,INDEX(HostBuild[],MATCH(E243,HostBuild[Alias],0),COLUMN(HostBuild[Description])),""),""),"")</f>
        <v/>
      </c>
      <c r="L243"/>
    </row>
    <row r="244" spans="1:12">
      <c r="A244" s="3" t="str">
        <f>IF(AND(NOT(ISBLANK(E244)),E244&lt;&gt;"(blank)"),IFERROR(IF(INDEX(HostBuild[],MATCH(E244,HostBuild[Alias],0),COLUMN(HostBuild[Hostname]))&lt;&gt;0,INDEX(HostBuild[],MATCH(E244,HostBuild[Alias],0),COLUMN(HostBuild[Hostname])),""),""),"")</f>
        <v/>
      </c>
      <c r="B244" s="424" t="str">
        <f>IF(AND(NOT(ISBLANK(E244)),E244&lt;&gt;"(blank)"),IFERROR(IF(INDEX(HostBuild[],MATCH(E244,HostBuild[Alias],0),COLUMN(HostBuild[Status]))&lt;&gt;0,INDEX(HostBuild[],MATCH(E244,HostBuild[Alias],0),COLUMN(HostBuild[Status])),""),""),"")</f>
        <v/>
      </c>
      <c r="C244" s="425" t="str">
        <f>IF(AND(NOT(ISBLANK(E244)),E244&lt;&gt;"(blank)"),IFERROR(IF(INDEX(HostBuild[],MATCH(E244,HostBuild[Alias],0),COLUMN(HostBuild[CTI Target Completion]))&lt;&gt;0,INDEX(HostBuild[],MATCH(E244,HostBuild[Alias],0),COLUMN(HostBuild[CTI Target Completion])),""),""),"")</f>
        <v/>
      </c>
      <c r="D244" s="262" t="str">
        <f>IF(AND(NOT(ISBLANK(E244)),E244&lt;&gt;"(blank)"),IFERROR(IF(INDEX(HostBuild[],MATCH(E244,HostBuild[Alias],0),COLUMN(HostBuild[Description]))&lt;&gt;0,INDEX(HostBuild[],MATCH(E244,HostBuild[Alias],0),COLUMN(HostBuild[Description])),""),""),"")</f>
        <v/>
      </c>
      <c r="L244"/>
    </row>
    <row r="245" spans="1:12">
      <c r="A245" s="3" t="str">
        <f>IF(AND(NOT(ISBLANK(E245)),E245&lt;&gt;"(blank)"),IFERROR(IF(INDEX(HostBuild[],MATCH(E245,HostBuild[Alias],0),COLUMN(HostBuild[Hostname]))&lt;&gt;0,INDEX(HostBuild[],MATCH(E245,HostBuild[Alias],0),COLUMN(HostBuild[Hostname])),""),""),"")</f>
        <v/>
      </c>
      <c r="B245" s="424" t="str">
        <f>IF(AND(NOT(ISBLANK(E245)),E245&lt;&gt;"(blank)"),IFERROR(IF(INDEX(HostBuild[],MATCH(E245,HostBuild[Alias],0),COLUMN(HostBuild[Status]))&lt;&gt;0,INDEX(HostBuild[],MATCH(E245,HostBuild[Alias],0),COLUMN(HostBuild[Status])),""),""),"")</f>
        <v/>
      </c>
      <c r="C245" s="425" t="str">
        <f>IF(AND(NOT(ISBLANK(E245)),E245&lt;&gt;"(blank)"),IFERROR(IF(INDEX(HostBuild[],MATCH(E245,HostBuild[Alias],0),COLUMN(HostBuild[CTI Target Completion]))&lt;&gt;0,INDEX(HostBuild[],MATCH(E245,HostBuild[Alias],0),COLUMN(HostBuild[CTI Target Completion])),""),""),"")</f>
        <v/>
      </c>
      <c r="D245" s="262" t="str">
        <f>IF(AND(NOT(ISBLANK(E245)),E245&lt;&gt;"(blank)"),IFERROR(IF(INDEX(HostBuild[],MATCH(E245,HostBuild[Alias],0),COLUMN(HostBuild[Description]))&lt;&gt;0,INDEX(HostBuild[],MATCH(E245,HostBuild[Alias],0),COLUMN(HostBuild[Description])),""),""),"")</f>
        <v/>
      </c>
      <c r="L245"/>
    </row>
    <row r="246" spans="1:12">
      <c r="A246" s="3" t="str">
        <f>IF(AND(NOT(ISBLANK(E246)),E246&lt;&gt;"(blank)"),IFERROR(IF(INDEX(HostBuild[],MATCH(E246,HostBuild[Alias],0),COLUMN(HostBuild[Hostname]))&lt;&gt;0,INDEX(HostBuild[],MATCH(E246,HostBuild[Alias],0),COLUMN(HostBuild[Hostname])),""),""),"")</f>
        <v/>
      </c>
      <c r="B246" s="424" t="str">
        <f>IF(AND(NOT(ISBLANK(E246)),E246&lt;&gt;"(blank)"),IFERROR(IF(INDEX(HostBuild[],MATCH(E246,HostBuild[Alias],0),COLUMN(HostBuild[Status]))&lt;&gt;0,INDEX(HostBuild[],MATCH(E246,HostBuild[Alias],0),COLUMN(HostBuild[Status])),""),""),"")</f>
        <v/>
      </c>
      <c r="C246" s="425" t="str">
        <f>IF(AND(NOT(ISBLANK(E246)),E246&lt;&gt;"(blank)"),IFERROR(IF(INDEX(HostBuild[],MATCH(E246,HostBuild[Alias],0),COLUMN(HostBuild[CTI Target Completion]))&lt;&gt;0,INDEX(HostBuild[],MATCH(E246,HostBuild[Alias],0),COLUMN(HostBuild[CTI Target Completion])),""),""),"")</f>
        <v/>
      </c>
      <c r="D246" s="262" t="str">
        <f>IF(AND(NOT(ISBLANK(E246)),E246&lt;&gt;"(blank)"),IFERROR(IF(INDEX(HostBuild[],MATCH(E246,HostBuild[Alias],0),COLUMN(HostBuild[Description]))&lt;&gt;0,INDEX(HostBuild[],MATCH(E246,HostBuild[Alias],0),COLUMN(HostBuild[Description])),""),""),"")</f>
        <v/>
      </c>
      <c r="L246"/>
    </row>
    <row r="247" spans="1:12">
      <c r="A247" s="3" t="str">
        <f>IF(AND(NOT(ISBLANK(E247)),E247&lt;&gt;"(blank)"),IFERROR(IF(INDEX(HostBuild[],MATCH(E247,HostBuild[Alias],0),COLUMN(HostBuild[Hostname]))&lt;&gt;0,INDEX(HostBuild[],MATCH(E247,HostBuild[Alias],0),COLUMN(HostBuild[Hostname])),""),""),"")</f>
        <v/>
      </c>
      <c r="B247" s="424" t="str">
        <f>IF(AND(NOT(ISBLANK(E247)),E247&lt;&gt;"(blank)"),IFERROR(IF(INDEX(HostBuild[],MATCH(E247,HostBuild[Alias],0),COLUMN(HostBuild[Status]))&lt;&gt;0,INDEX(HostBuild[],MATCH(E247,HostBuild[Alias],0),COLUMN(HostBuild[Status])),""),""),"")</f>
        <v/>
      </c>
      <c r="C247" s="425" t="str">
        <f>IF(AND(NOT(ISBLANK(E247)),E247&lt;&gt;"(blank)"),IFERROR(IF(INDEX(HostBuild[],MATCH(E247,HostBuild[Alias],0),COLUMN(HostBuild[CTI Target Completion]))&lt;&gt;0,INDEX(HostBuild[],MATCH(E247,HostBuild[Alias],0),COLUMN(HostBuild[CTI Target Completion])),""),""),"")</f>
        <v/>
      </c>
      <c r="D247" s="262" t="str">
        <f>IF(AND(NOT(ISBLANK(E247)),E247&lt;&gt;"(blank)"),IFERROR(IF(INDEX(HostBuild[],MATCH(E247,HostBuild[Alias],0),COLUMN(HostBuild[Description]))&lt;&gt;0,INDEX(HostBuild[],MATCH(E247,HostBuild[Alias],0),COLUMN(HostBuild[Description])),""),""),"")</f>
        <v/>
      </c>
      <c r="L247"/>
    </row>
    <row r="248" spans="1:12">
      <c r="A248" s="3" t="str">
        <f>IF(AND(NOT(ISBLANK(E248)),E248&lt;&gt;"(blank)"),IFERROR(IF(INDEX(HostBuild[],MATCH(E248,HostBuild[Alias],0),COLUMN(HostBuild[Hostname]))&lt;&gt;0,INDEX(HostBuild[],MATCH(E248,HostBuild[Alias],0),COLUMN(HostBuild[Hostname])),""),""),"")</f>
        <v/>
      </c>
      <c r="B248" s="424" t="str">
        <f>IF(AND(NOT(ISBLANK(E248)),E248&lt;&gt;"(blank)"),IFERROR(IF(INDEX(HostBuild[],MATCH(E248,HostBuild[Alias],0),COLUMN(HostBuild[Status]))&lt;&gt;0,INDEX(HostBuild[],MATCH(E248,HostBuild[Alias],0),COLUMN(HostBuild[Status])),""),""),"")</f>
        <v/>
      </c>
      <c r="C248" s="425" t="str">
        <f>IF(AND(NOT(ISBLANK(E248)),E248&lt;&gt;"(blank)"),IFERROR(IF(INDEX(HostBuild[],MATCH(E248,HostBuild[Alias],0),COLUMN(HostBuild[CTI Target Completion]))&lt;&gt;0,INDEX(HostBuild[],MATCH(E248,HostBuild[Alias],0),COLUMN(HostBuild[CTI Target Completion])),""),""),"")</f>
        <v/>
      </c>
      <c r="D248" s="262" t="str">
        <f>IF(AND(NOT(ISBLANK(E248)),E248&lt;&gt;"(blank)"),IFERROR(IF(INDEX(HostBuild[],MATCH(E248,HostBuild[Alias],0),COLUMN(HostBuild[Description]))&lt;&gt;0,INDEX(HostBuild[],MATCH(E248,HostBuild[Alias],0),COLUMN(HostBuild[Description])),""),""),"")</f>
        <v/>
      </c>
      <c r="L248"/>
    </row>
    <row r="249" spans="1:12">
      <c r="A249" s="3" t="str">
        <f>IF(AND(NOT(ISBLANK(E249)),E249&lt;&gt;"(blank)"),IFERROR(IF(INDEX(HostBuild[],MATCH(E249,HostBuild[Alias],0),COLUMN(HostBuild[Hostname]))&lt;&gt;0,INDEX(HostBuild[],MATCH(E249,HostBuild[Alias],0),COLUMN(HostBuild[Hostname])),""),""),"")</f>
        <v/>
      </c>
      <c r="B249" s="424" t="str">
        <f>IF(AND(NOT(ISBLANK(E249)),E249&lt;&gt;"(blank)"),IFERROR(IF(INDEX(HostBuild[],MATCH(E249,HostBuild[Alias],0),COLUMN(HostBuild[Status]))&lt;&gt;0,INDEX(HostBuild[],MATCH(E249,HostBuild[Alias],0),COLUMN(HostBuild[Status])),""),""),"")</f>
        <v/>
      </c>
      <c r="C249" s="425" t="str">
        <f>IF(AND(NOT(ISBLANK(E249)),E249&lt;&gt;"(blank)"),IFERROR(IF(INDEX(HostBuild[],MATCH(E249,HostBuild[Alias],0),COLUMN(HostBuild[CTI Target Completion]))&lt;&gt;0,INDEX(HostBuild[],MATCH(E249,HostBuild[Alias],0),COLUMN(HostBuild[CTI Target Completion])),""),""),"")</f>
        <v/>
      </c>
      <c r="D249" s="262" t="str">
        <f>IF(AND(NOT(ISBLANK(E249)),E249&lt;&gt;"(blank)"),IFERROR(IF(INDEX(HostBuild[],MATCH(E249,HostBuild[Alias],0),COLUMN(HostBuild[Description]))&lt;&gt;0,INDEX(HostBuild[],MATCH(E249,HostBuild[Alias],0),COLUMN(HostBuild[Description])),""),""),"")</f>
        <v/>
      </c>
      <c r="L249"/>
    </row>
    <row r="250" spans="1:12">
      <c r="A250" s="3" t="str">
        <f>IF(AND(NOT(ISBLANK(E250)),E250&lt;&gt;"(blank)"),IFERROR(IF(INDEX(HostBuild[],MATCH(E250,HostBuild[Alias],0),COLUMN(HostBuild[Hostname]))&lt;&gt;0,INDEX(HostBuild[],MATCH(E250,HostBuild[Alias],0),COLUMN(HostBuild[Hostname])),""),""),"")</f>
        <v/>
      </c>
      <c r="B250" s="424" t="str">
        <f>IF(AND(NOT(ISBLANK(E250)),E250&lt;&gt;"(blank)"),IFERROR(IF(INDEX(HostBuild[],MATCH(E250,HostBuild[Alias],0),COLUMN(HostBuild[Status]))&lt;&gt;0,INDEX(HostBuild[],MATCH(E250,HostBuild[Alias],0),COLUMN(HostBuild[Status])),""),""),"")</f>
        <v/>
      </c>
      <c r="C250" s="425" t="str">
        <f>IF(AND(NOT(ISBLANK(E250)),E250&lt;&gt;"(blank)"),IFERROR(IF(INDEX(HostBuild[],MATCH(E250,HostBuild[Alias],0),COLUMN(HostBuild[CTI Target Completion]))&lt;&gt;0,INDEX(HostBuild[],MATCH(E250,HostBuild[Alias],0),COLUMN(HostBuild[CTI Target Completion])),""),""),"")</f>
        <v/>
      </c>
      <c r="D250" s="262" t="str">
        <f>IF(AND(NOT(ISBLANK(E250)),E250&lt;&gt;"(blank)"),IFERROR(IF(INDEX(HostBuild[],MATCH(E250,HostBuild[Alias],0),COLUMN(HostBuild[Description]))&lt;&gt;0,INDEX(HostBuild[],MATCH(E250,HostBuild[Alias],0),COLUMN(HostBuild[Description])),""),""),"")</f>
        <v/>
      </c>
      <c r="L250"/>
    </row>
    <row r="251" spans="1:12">
      <c r="A251" s="3" t="str">
        <f>IF(AND(NOT(ISBLANK(E251)),E251&lt;&gt;"(blank)"),IFERROR(IF(INDEX(HostBuild[],MATCH(E251,HostBuild[Alias],0),COLUMN(HostBuild[Hostname]))&lt;&gt;0,INDEX(HostBuild[],MATCH(E251,HostBuild[Alias],0),COLUMN(HostBuild[Hostname])),""),""),"")</f>
        <v/>
      </c>
      <c r="B251" s="424" t="str">
        <f>IF(AND(NOT(ISBLANK(E251)),E251&lt;&gt;"(blank)"),IFERROR(IF(INDEX(HostBuild[],MATCH(E251,HostBuild[Alias],0),COLUMN(HostBuild[Status]))&lt;&gt;0,INDEX(HostBuild[],MATCH(E251,HostBuild[Alias],0),COLUMN(HostBuild[Status])),""),""),"")</f>
        <v/>
      </c>
      <c r="C251" s="425" t="str">
        <f>IF(AND(NOT(ISBLANK(E251)),E251&lt;&gt;"(blank)"),IFERROR(IF(INDEX(HostBuild[],MATCH(E251,HostBuild[Alias],0),COLUMN(HostBuild[CTI Target Completion]))&lt;&gt;0,INDEX(HostBuild[],MATCH(E251,HostBuild[Alias],0),COLUMN(HostBuild[CTI Target Completion])),""),""),"")</f>
        <v/>
      </c>
      <c r="D251" s="262" t="str">
        <f>IF(AND(NOT(ISBLANK(E251)),E251&lt;&gt;"(blank)"),IFERROR(IF(INDEX(HostBuild[],MATCH(E251,HostBuild[Alias],0),COLUMN(HostBuild[Description]))&lt;&gt;0,INDEX(HostBuild[],MATCH(E251,HostBuild[Alias],0),COLUMN(HostBuild[Description])),""),""),"")</f>
        <v/>
      </c>
      <c r="L251"/>
    </row>
    <row r="252" spans="1:12">
      <c r="A252" s="3" t="str">
        <f>IF(AND(NOT(ISBLANK(E252)),E252&lt;&gt;"(blank)"),IFERROR(IF(INDEX(HostBuild[],MATCH(E252,HostBuild[Alias],0),COLUMN(HostBuild[Hostname]))&lt;&gt;0,INDEX(HostBuild[],MATCH(E252,HostBuild[Alias],0),COLUMN(HostBuild[Hostname])),""),""),"")</f>
        <v/>
      </c>
      <c r="B252" s="424" t="str">
        <f>IF(AND(NOT(ISBLANK(E252)),E252&lt;&gt;"(blank)"),IFERROR(IF(INDEX(HostBuild[],MATCH(E252,HostBuild[Alias],0),COLUMN(HostBuild[Status]))&lt;&gt;0,INDEX(HostBuild[],MATCH(E252,HostBuild[Alias],0),COLUMN(HostBuild[Status])),""),""),"")</f>
        <v/>
      </c>
      <c r="C252" s="425" t="str">
        <f>IF(AND(NOT(ISBLANK(E252)),E252&lt;&gt;"(blank)"),IFERROR(IF(INDEX(HostBuild[],MATCH(E252,HostBuild[Alias],0),COLUMN(HostBuild[CTI Target Completion]))&lt;&gt;0,INDEX(HostBuild[],MATCH(E252,HostBuild[Alias],0),COLUMN(HostBuild[CTI Target Completion])),""),""),"")</f>
        <v/>
      </c>
      <c r="D252" s="262" t="str">
        <f>IF(AND(NOT(ISBLANK(E252)),E252&lt;&gt;"(blank)"),IFERROR(IF(INDEX(HostBuild[],MATCH(E252,HostBuild[Alias],0),COLUMN(HostBuild[Description]))&lt;&gt;0,INDEX(HostBuild[],MATCH(E252,HostBuild[Alias],0),COLUMN(HostBuild[Description])),""),""),"")</f>
        <v/>
      </c>
      <c r="L252"/>
    </row>
    <row r="253" spans="1:12">
      <c r="A253" s="3" t="str">
        <f>IF(AND(NOT(ISBLANK(E253)),E253&lt;&gt;"(blank)"),IFERROR(IF(INDEX(HostBuild[],MATCH(E253,HostBuild[Alias],0),COLUMN(HostBuild[Hostname]))&lt;&gt;0,INDEX(HostBuild[],MATCH(E253,HostBuild[Alias],0),COLUMN(HostBuild[Hostname])),""),""),"")</f>
        <v/>
      </c>
      <c r="B253" s="424" t="str">
        <f>IF(AND(NOT(ISBLANK(E253)),E253&lt;&gt;"(blank)"),IFERROR(IF(INDEX(HostBuild[],MATCH(E253,HostBuild[Alias],0),COLUMN(HostBuild[Status]))&lt;&gt;0,INDEX(HostBuild[],MATCH(E253,HostBuild[Alias],0),COLUMN(HostBuild[Status])),""),""),"")</f>
        <v/>
      </c>
      <c r="C253" s="425" t="str">
        <f>IF(AND(NOT(ISBLANK(E253)),E253&lt;&gt;"(blank)"),IFERROR(IF(INDEX(HostBuild[],MATCH(E253,HostBuild[Alias],0),COLUMN(HostBuild[CTI Target Completion]))&lt;&gt;0,INDEX(HostBuild[],MATCH(E253,HostBuild[Alias],0),COLUMN(HostBuild[CTI Target Completion])),""),""),"")</f>
        <v/>
      </c>
      <c r="D253" s="262" t="str">
        <f>IF(AND(NOT(ISBLANK(E253)),E253&lt;&gt;"(blank)"),IFERROR(IF(INDEX(HostBuild[],MATCH(E253,HostBuild[Alias],0),COLUMN(HostBuild[Description]))&lt;&gt;0,INDEX(HostBuild[],MATCH(E253,HostBuild[Alias],0),COLUMN(HostBuild[Description])),""),""),"")</f>
        <v/>
      </c>
    </row>
    <row r="254" spans="1:12">
      <c r="A254" s="3" t="str">
        <f>IF(AND(NOT(ISBLANK(E254)),E254&lt;&gt;"(blank)"),IFERROR(IF(INDEX(HostBuild[],MATCH(E254,HostBuild[Alias],0),COLUMN(HostBuild[Hostname]))&lt;&gt;0,INDEX(HostBuild[],MATCH(E254,HostBuild[Alias],0),COLUMN(HostBuild[Hostname])),""),""),"")</f>
        <v/>
      </c>
      <c r="B254" s="424" t="str">
        <f>IF(AND(NOT(ISBLANK(E254)),E254&lt;&gt;"(blank)"),IFERROR(IF(INDEX(HostBuild[],MATCH(E254,HostBuild[Alias],0),COLUMN(HostBuild[Status]))&lt;&gt;0,INDEX(HostBuild[],MATCH(E254,HostBuild[Alias],0),COLUMN(HostBuild[Status])),""),""),"")</f>
        <v/>
      </c>
      <c r="C254" s="425" t="str">
        <f>IF(AND(NOT(ISBLANK(E254)),E254&lt;&gt;"(blank)"),IFERROR(IF(INDEX(HostBuild[],MATCH(E254,HostBuild[Alias],0),COLUMN(HostBuild[CTI Target Completion]))&lt;&gt;0,INDEX(HostBuild[],MATCH(E254,HostBuild[Alias],0),COLUMN(HostBuild[CTI Target Completion])),""),""),"")</f>
        <v/>
      </c>
      <c r="D254" s="262" t="str">
        <f>IF(AND(NOT(ISBLANK(E254)),E254&lt;&gt;"(blank)"),IFERROR(IF(INDEX(HostBuild[],MATCH(E254,HostBuild[Alias],0),COLUMN(HostBuild[Description]))&lt;&gt;0,INDEX(HostBuild[],MATCH(E254,HostBuild[Alias],0),COLUMN(HostBuild[Description])),""),""),"")</f>
        <v/>
      </c>
    </row>
    <row r="255" spans="1:12">
      <c r="A255" s="3" t="str">
        <f>IF(AND(NOT(ISBLANK(E255)),E255&lt;&gt;"(blank)"),IFERROR(IF(INDEX(HostBuild[],MATCH(E255,HostBuild[Alias],0),COLUMN(HostBuild[Hostname]))&lt;&gt;0,INDEX(HostBuild[],MATCH(E255,HostBuild[Alias],0),COLUMN(HostBuild[Hostname])),""),""),"")</f>
        <v/>
      </c>
      <c r="B255" s="424" t="str">
        <f>IF(AND(NOT(ISBLANK(E255)),E255&lt;&gt;"(blank)"),IFERROR(IF(INDEX(HostBuild[],MATCH(E255,HostBuild[Alias],0),COLUMN(HostBuild[Status]))&lt;&gt;0,INDEX(HostBuild[],MATCH(E255,HostBuild[Alias],0),COLUMN(HostBuild[Status])),""),""),"")</f>
        <v/>
      </c>
      <c r="C255" s="425" t="str">
        <f>IF(AND(NOT(ISBLANK(E255)),E255&lt;&gt;"(blank)"),IFERROR(IF(INDEX(HostBuild[],MATCH(E255,HostBuild[Alias],0),COLUMN(HostBuild[CTI Target Completion]))&lt;&gt;0,INDEX(HostBuild[],MATCH(E255,HostBuild[Alias],0),COLUMN(HostBuild[CTI Target Completion])),""),""),"")</f>
        <v/>
      </c>
      <c r="D255" s="262" t="str">
        <f>IF(AND(NOT(ISBLANK(E255)),E255&lt;&gt;"(blank)"),IFERROR(IF(INDEX(HostBuild[],MATCH(E255,HostBuild[Alias],0),COLUMN(HostBuild[Description]))&lt;&gt;0,INDEX(HostBuild[],MATCH(E255,HostBuild[Alias],0),COLUMN(HostBuild[Description])),""),""),"")</f>
        <v/>
      </c>
    </row>
    <row r="256" spans="1:12">
      <c r="A256" s="3" t="str">
        <f>IF(AND(NOT(ISBLANK(E256)),E256&lt;&gt;"(blank)"),IFERROR(IF(INDEX(HostBuild[],MATCH(E256,HostBuild[Alias],0),COLUMN(HostBuild[Hostname]))&lt;&gt;0,INDEX(HostBuild[],MATCH(E256,HostBuild[Alias],0),COLUMN(HostBuild[Hostname])),""),""),"")</f>
        <v/>
      </c>
      <c r="B256" s="424" t="str">
        <f>IF(AND(NOT(ISBLANK(E256)),E256&lt;&gt;"(blank)"),IFERROR(IF(INDEX(HostBuild[],MATCH(E256,HostBuild[Alias],0),COLUMN(HostBuild[Status]))&lt;&gt;0,INDEX(HostBuild[],MATCH(E256,HostBuild[Alias],0),COLUMN(HostBuild[Status])),""),""),"")</f>
        <v/>
      </c>
      <c r="C256" s="425" t="str">
        <f>IF(AND(NOT(ISBLANK(E256)),E256&lt;&gt;"(blank)"),IFERROR(IF(INDEX(HostBuild[],MATCH(E256,HostBuild[Alias],0),COLUMN(HostBuild[CTI Target Completion]))&lt;&gt;0,INDEX(HostBuild[],MATCH(E256,HostBuild[Alias],0),COLUMN(HostBuild[CTI Target Completion])),""),""),"")</f>
        <v/>
      </c>
      <c r="D256" s="262" t="str">
        <f>IF(AND(NOT(ISBLANK(E256)),E256&lt;&gt;"(blank)"),IFERROR(IF(INDEX(HostBuild[],MATCH(E256,HostBuild[Alias],0),COLUMN(HostBuild[Description]))&lt;&gt;0,INDEX(HostBuild[],MATCH(E256,HostBuild[Alias],0),COLUMN(HostBuild[Description])),""),""),"")</f>
        <v/>
      </c>
    </row>
    <row r="257" spans="1:4">
      <c r="A257" s="3" t="str">
        <f>IF(AND(NOT(ISBLANK(E257)),E257&lt;&gt;"(blank)"),IFERROR(IF(INDEX(HostBuild[],MATCH(E257,HostBuild[Alias],0),COLUMN(HostBuild[Hostname]))&lt;&gt;0,INDEX(HostBuild[],MATCH(E257,HostBuild[Alias],0),COLUMN(HostBuild[Hostname])),""),""),"")</f>
        <v/>
      </c>
      <c r="B257" s="424" t="str">
        <f>IF(AND(NOT(ISBLANK(E257)),E257&lt;&gt;"(blank)"),IFERROR(IF(INDEX(HostBuild[],MATCH(E257,HostBuild[Alias],0),COLUMN(HostBuild[Status]))&lt;&gt;0,INDEX(HostBuild[],MATCH(E257,HostBuild[Alias],0),COLUMN(HostBuild[Status])),""),""),"")</f>
        <v/>
      </c>
      <c r="C257" s="425" t="str">
        <f>IF(AND(NOT(ISBLANK(E257)),E257&lt;&gt;"(blank)"),IFERROR(IF(INDEX(HostBuild[],MATCH(E257,HostBuild[Alias],0),COLUMN(HostBuild[CTI Target Completion]))&lt;&gt;0,INDEX(HostBuild[],MATCH(E257,HostBuild[Alias],0),COLUMN(HostBuild[CTI Target Completion])),""),""),"")</f>
        <v/>
      </c>
      <c r="D257" s="262" t="str">
        <f>IF(AND(NOT(ISBLANK(E257)),E257&lt;&gt;"(blank)"),IFERROR(IF(INDEX(HostBuild[],MATCH(E257,HostBuild[Alias],0),COLUMN(HostBuild[Description]))&lt;&gt;0,INDEX(HostBuild[],MATCH(E257,HostBuild[Alias],0),COLUMN(HostBuild[Description])),""),""),"")</f>
        <v/>
      </c>
    </row>
    <row r="258" spans="1:4">
      <c r="A258" s="3" t="str">
        <f>IF(AND(NOT(ISBLANK(E258)),E258&lt;&gt;"(blank)"),IFERROR(IF(INDEX(HostBuild[],MATCH(E258,HostBuild[Alias],0),COLUMN(HostBuild[Hostname]))&lt;&gt;0,INDEX(HostBuild[],MATCH(E258,HostBuild[Alias],0),COLUMN(HostBuild[Hostname])),""),""),"")</f>
        <v/>
      </c>
      <c r="B258" s="424" t="str">
        <f>IF(AND(NOT(ISBLANK(E258)),E258&lt;&gt;"(blank)"),IFERROR(IF(INDEX(HostBuild[],MATCH(E258,HostBuild[Alias],0),COLUMN(HostBuild[Status]))&lt;&gt;0,INDEX(HostBuild[],MATCH(E258,HostBuild[Alias],0),COLUMN(HostBuild[Status])),""),""),"")</f>
        <v/>
      </c>
      <c r="C258" s="425" t="str">
        <f>IF(AND(NOT(ISBLANK(E258)),E258&lt;&gt;"(blank)"),IFERROR(IF(INDEX(HostBuild[],MATCH(E258,HostBuild[Alias],0),COLUMN(HostBuild[CTI Target Completion]))&lt;&gt;0,INDEX(HostBuild[],MATCH(E258,HostBuild[Alias],0),COLUMN(HostBuild[CTI Target Completion])),""),""),"")</f>
        <v/>
      </c>
      <c r="D258" s="262" t="str">
        <f>IF(AND(NOT(ISBLANK(E258)),E258&lt;&gt;"(blank)"),IFERROR(IF(INDEX(HostBuild[],MATCH(E258,HostBuild[Alias],0),COLUMN(HostBuild[Description]))&lt;&gt;0,INDEX(HostBuild[],MATCH(E258,HostBuild[Alias],0),COLUMN(HostBuild[Description])),""),""),"")</f>
        <v/>
      </c>
    </row>
    <row r="259" spans="1:4">
      <c r="A259" s="3" t="str">
        <f>IF(AND(NOT(ISBLANK(E259)),E259&lt;&gt;"(blank)"),IFERROR(IF(INDEX(HostBuild[],MATCH(E259,HostBuild[Alias],0),COLUMN(HostBuild[Hostname]))&lt;&gt;0,INDEX(HostBuild[],MATCH(E259,HostBuild[Alias],0),COLUMN(HostBuild[Hostname])),""),""),"")</f>
        <v/>
      </c>
      <c r="B259" s="424" t="str">
        <f>IF(AND(NOT(ISBLANK(E259)),E259&lt;&gt;"(blank)"),IFERROR(IF(INDEX(HostBuild[],MATCH(E259,HostBuild[Alias],0),COLUMN(HostBuild[Status]))&lt;&gt;0,INDEX(HostBuild[],MATCH(E259,HostBuild[Alias],0),COLUMN(HostBuild[Status])),""),""),"")</f>
        <v/>
      </c>
      <c r="C259" s="425" t="str">
        <f>IF(AND(NOT(ISBLANK(E259)),E259&lt;&gt;"(blank)"),IFERROR(IF(INDEX(HostBuild[],MATCH(E259,HostBuild[Alias],0),COLUMN(HostBuild[CTI Target Completion]))&lt;&gt;0,INDEX(HostBuild[],MATCH(E259,HostBuild[Alias],0),COLUMN(HostBuild[CTI Target Completion])),""),""),"")</f>
        <v/>
      </c>
      <c r="D259" s="262" t="str">
        <f>IF(AND(NOT(ISBLANK(E259)),E259&lt;&gt;"(blank)"),IFERROR(IF(INDEX(HostBuild[],MATCH(E259,HostBuild[Alias],0),COLUMN(HostBuild[Description]))&lt;&gt;0,INDEX(HostBuild[],MATCH(E259,HostBuild[Alias],0),COLUMN(HostBuild[Description])),""),""),"")</f>
        <v/>
      </c>
    </row>
    <row r="260" spans="1:4">
      <c r="A260" s="3" t="str">
        <f>IF(AND(NOT(ISBLANK(E260)),E260&lt;&gt;"(blank)"),IFERROR(IF(INDEX(HostBuild[],MATCH(E260,HostBuild[Alias],0),COLUMN(HostBuild[Hostname]))&lt;&gt;0,INDEX(HostBuild[],MATCH(E260,HostBuild[Alias],0),COLUMN(HostBuild[Hostname])),""),""),"")</f>
        <v/>
      </c>
      <c r="B260" s="424" t="str">
        <f>IF(AND(NOT(ISBLANK(E260)),E260&lt;&gt;"(blank)"),IFERROR(IF(INDEX(HostBuild[],MATCH(E260,HostBuild[Alias],0),COLUMN(HostBuild[Status]))&lt;&gt;0,INDEX(HostBuild[],MATCH(E260,HostBuild[Alias],0),COLUMN(HostBuild[Status])),""),""),"")</f>
        <v/>
      </c>
      <c r="C260" s="425" t="str">
        <f>IF(AND(NOT(ISBLANK(E260)),E260&lt;&gt;"(blank)"),IFERROR(IF(INDEX(HostBuild[],MATCH(E260,HostBuild[Alias],0),COLUMN(HostBuild[CTI Target Completion]))&lt;&gt;0,INDEX(HostBuild[],MATCH(E260,HostBuild[Alias],0),COLUMN(HostBuild[CTI Target Completion])),""),""),"")</f>
        <v/>
      </c>
      <c r="D260" s="262" t="str">
        <f>IF(AND(NOT(ISBLANK(E260)),E260&lt;&gt;"(blank)"),IFERROR(IF(INDEX(HostBuild[],MATCH(E260,HostBuild[Alias],0),COLUMN(HostBuild[Description]))&lt;&gt;0,INDEX(HostBuild[],MATCH(E260,HostBuild[Alias],0),COLUMN(HostBuild[Description])),""),""),"")</f>
        <v/>
      </c>
    </row>
    <row r="261" spans="1:4">
      <c r="A261" s="3" t="str">
        <f>IF(AND(NOT(ISBLANK(E261)),E261&lt;&gt;"(blank)"),IFERROR(IF(INDEX(HostBuild[],MATCH(E261,HostBuild[Alias],0),COLUMN(HostBuild[Hostname]))&lt;&gt;0,INDEX(HostBuild[],MATCH(E261,HostBuild[Alias],0),COLUMN(HostBuild[Hostname])),""),""),"")</f>
        <v/>
      </c>
      <c r="B261" s="424" t="str">
        <f>IF(AND(NOT(ISBLANK(E261)),E261&lt;&gt;"(blank)"),IFERROR(IF(INDEX(HostBuild[],MATCH(E261,HostBuild[Alias],0),COLUMN(HostBuild[Status]))&lt;&gt;0,INDEX(HostBuild[],MATCH(E261,HostBuild[Alias],0),COLUMN(HostBuild[Status])),""),""),"")</f>
        <v/>
      </c>
      <c r="C261" s="425" t="str">
        <f>IF(AND(NOT(ISBLANK(E261)),E261&lt;&gt;"(blank)"),IFERROR(IF(INDEX(HostBuild[],MATCH(E261,HostBuild[Alias],0),COLUMN(HostBuild[CTI Target Completion]))&lt;&gt;0,INDEX(HostBuild[],MATCH(E261,HostBuild[Alias],0),COLUMN(HostBuild[CTI Target Completion])),""),""),"")</f>
        <v/>
      </c>
      <c r="D261" s="262" t="str">
        <f>IF(AND(NOT(ISBLANK(E261)),E261&lt;&gt;"(blank)"),IFERROR(IF(INDEX(HostBuild[],MATCH(E261,HostBuild[Alias],0),COLUMN(HostBuild[Description]))&lt;&gt;0,INDEX(HostBuild[],MATCH(E261,HostBuild[Alias],0),COLUMN(HostBuild[Description])),""),""),"")</f>
        <v/>
      </c>
    </row>
    <row r="262" spans="1:4">
      <c r="A262" s="3" t="str">
        <f>IF(AND(NOT(ISBLANK(E262)),E262&lt;&gt;"(blank)"),IFERROR(IF(INDEX(HostBuild[],MATCH(E262,HostBuild[Alias],0),COLUMN(HostBuild[Hostname]))&lt;&gt;0,INDEX(HostBuild[],MATCH(E262,HostBuild[Alias],0),COLUMN(HostBuild[Hostname])),""),""),"")</f>
        <v/>
      </c>
      <c r="B262" s="424" t="str">
        <f>IF(AND(NOT(ISBLANK(E262)),E262&lt;&gt;"(blank)"),IFERROR(IF(INDEX(HostBuild[],MATCH(E262,HostBuild[Alias],0),COLUMN(HostBuild[Status]))&lt;&gt;0,INDEX(HostBuild[],MATCH(E262,HostBuild[Alias],0),COLUMN(HostBuild[Status])),""),""),"")</f>
        <v/>
      </c>
      <c r="C262" s="425" t="str">
        <f>IF(AND(NOT(ISBLANK(E262)),E262&lt;&gt;"(blank)"),IFERROR(IF(INDEX(HostBuild[],MATCH(E262,HostBuild[Alias],0),COLUMN(HostBuild[CTI Target Completion]))&lt;&gt;0,INDEX(HostBuild[],MATCH(E262,HostBuild[Alias],0),COLUMN(HostBuild[CTI Target Completion])),""),""),"")</f>
        <v/>
      </c>
      <c r="D262" s="262" t="str">
        <f>IF(AND(NOT(ISBLANK(E262)),E262&lt;&gt;"(blank)"),IFERROR(IF(INDEX(HostBuild[],MATCH(E262,HostBuild[Alias],0),COLUMN(HostBuild[Description]))&lt;&gt;0,INDEX(HostBuild[],MATCH(E262,HostBuild[Alias],0),COLUMN(HostBuild[Description])),""),""),"")</f>
        <v/>
      </c>
    </row>
    <row r="263" spans="1:4">
      <c r="A263" s="3" t="str">
        <f>IF(AND(NOT(ISBLANK(E263)),E263&lt;&gt;"(blank)"),IFERROR(IF(INDEX(HostBuild[],MATCH(E263,HostBuild[Alias],0),COLUMN(HostBuild[Hostname]))&lt;&gt;0,INDEX(HostBuild[],MATCH(E263,HostBuild[Alias],0),COLUMN(HostBuild[Hostname])),""),""),"")</f>
        <v/>
      </c>
      <c r="B263" s="424" t="str">
        <f>IF(AND(NOT(ISBLANK(E263)),E263&lt;&gt;"(blank)"),IFERROR(IF(INDEX(HostBuild[],MATCH(E263,HostBuild[Alias],0),COLUMN(HostBuild[Status]))&lt;&gt;0,INDEX(HostBuild[],MATCH(E263,HostBuild[Alias],0),COLUMN(HostBuild[Status])),""),""),"")</f>
        <v/>
      </c>
      <c r="C263" s="425" t="str">
        <f>IF(AND(NOT(ISBLANK(E263)),E263&lt;&gt;"(blank)"),IFERROR(IF(INDEX(HostBuild[],MATCH(E263,HostBuild[Alias],0),COLUMN(HostBuild[CTI Target Completion]))&lt;&gt;0,INDEX(HostBuild[],MATCH(E263,HostBuild[Alias],0),COLUMN(HostBuild[CTI Target Completion])),""),""),"")</f>
        <v/>
      </c>
      <c r="D263" s="262" t="str">
        <f>IF(AND(NOT(ISBLANK(E263)),E263&lt;&gt;"(blank)"),IFERROR(IF(INDEX(HostBuild[],MATCH(E263,HostBuild[Alias],0),COLUMN(HostBuild[Description]))&lt;&gt;0,INDEX(HostBuild[],MATCH(E263,HostBuild[Alias],0),COLUMN(HostBuild[Description])),""),""),"")</f>
        <v/>
      </c>
    </row>
    <row r="264" spans="1:4">
      <c r="A264" s="3" t="str">
        <f>IF(AND(NOT(ISBLANK(E264)),E264&lt;&gt;"(blank)"),IFERROR(IF(INDEX(HostBuild[],MATCH(E264,HostBuild[Alias],0),COLUMN(HostBuild[Hostname]))&lt;&gt;0,INDEX(HostBuild[],MATCH(E264,HostBuild[Alias],0),COLUMN(HostBuild[Hostname])),""),""),"")</f>
        <v/>
      </c>
      <c r="B264" s="424" t="str">
        <f>IF(AND(NOT(ISBLANK(E264)),E264&lt;&gt;"(blank)"),IFERROR(IF(INDEX(HostBuild[],MATCH(E264,HostBuild[Alias],0),COLUMN(HostBuild[Status]))&lt;&gt;0,INDEX(HostBuild[],MATCH(E264,HostBuild[Alias],0),COLUMN(HostBuild[Status])),""),""),"")</f>
        <v/>
      </c>
      <c r="C264" s="425" t="str">
        <f>IF(AND(NOT(ISBLANK(E264)),E264&lt;&gt;"(blank)"),IFERROR(IF(INDEX(HostBuild[],MATCH(E264,HostBuild[Alias],0),COLUMN(HostBuild[CTI Target Completion]))&lt;&gt;0,INDEX(HostBuild[],MATCH(E264,HostBuild[Alias],0),COLUMN(HostBuild[CTI Target Completion])),""),""),"")</f>
        <v/>
      </c>
      <c r="D264" s="262" t="str">
        <f>IF(AND(NOT(ISBLANK(E264)),E264&lt;&gt;"(blank)"),IFERROR(IF(INDEX(HostBuild[],MATCH(E264,HostBuild[Alias],0),COLUMN(HostBuild[Description]))&lt;&gt;0,INDEX(HostBuild[],MATCH(E264,HostBuild[Alias],0),COLUMN(HostBuild[Description])),""),""),"")</f>
        <v/>
      </c>
    </row>
    <row r="265" spans="1:4">
      <c r="A265" s="3" t="str">
        <f>IF(AND(NOT(ISBLANK(E265)),E265&lt;&gt;"(blank)"),IFERROR(IF(INDEX(HostBuild[],MATCH(E265,HostBuild[Alias],0),COLUMN(HostBuild[Hostname]))&lt;&gt;0,INDEX(HostBuild[],MATCH(E265,HostBuild[Alias],0),COLUMN(HostBuild[Hostname])),""),""),"")</f>
        <v/>
      </c>
      <c r="B265" s="424" t="str">
        <f>IF(AND(NOT(ISBLANK(E265)),E265&lt;&gt;"(blank)"),IFERROR(IF(INDEX(HostBuild[],MATCH(E265,HostBuild[Alias],0),COLUMN(HostBuild[Status]))&lt;&gt;0,INDEX(HostBuild[],MATCH(E265,HostBuild[Alias],0),COLUMN(HostBuild[Status])),""),""),"")</f>
        <v/>
      </c>
      <c r="C265" s="425" t="str">
        <f>IF(AND(NOT(ISBLANK(E265)),E265&lt;&gt;"(blank)"),IFERROR(IF(INDEX(HostBuild[],MATCH(E265,HostBuild[Alias],0),COLUMN(HostBuild[CTI Target Completion]))&lt;&gt;0,INDEX(HostBuild[],MATCH(E265,HostBuild[Alias],0),COLUMN(HostBuild[CTI Target Completion])),""),""),"")</f>
        <v/>
      </c>
      <c r="D265" s="262" t="str">
        <f>IF(AND(NOT(ISBLANK(E265)),E265&lt;&gt;"(blank)"),IFERROR(IF(INDEX(HostBuild[],MATCH(E265,HostBuild[Alias],0),COLUMN(HostBuild[Description]))&lt;&gt;0,INDEX(HostBuild[],MATCH(E265,HostBuild[Alias],0),COLUMN(HostBuild[Description])),""),""),"")</f>
        <v/>
      </c>
    </row>
    <row r="266" spans="1:4">
      <c r="A266" s="3" t="str">
        <f>IF(AND(NOT(ISBLANK(E266)),E266&lt;&gt;"(blank)"),IFERROR(IF(INDEX(HostBuild[],MATCH(E266,HostBuild[Alias],0),COLUMN(HostBuild[Hostname]))&lt;&gt;0,INDEX(HostBuild[],MATCH(E266,HostBuild[Alias],0),COLUMN(HostBuild[Hostname])),""),""),"")</f>
        <v/>
      </c>
      <c r="B266" s="424" t="str">
        <f>IF(AND(NOT(ISBLANK(E266)),E266&lt;&gt;"(blank)"),IFERROR(IF(INDEX(HostBuild[],MATCH(E266,HostBuild[Alias],0),COLUMN(HostBuild[Status]))&lt;&gt;0,INDEX(HostBuild[],MATCH(E266,HostBuild[Alias],0),COLUMN(HostBuild[Status])),""),""),"")</f>
        <v/>
      </c>
      <c r="C266" s="425" t="str">
        <f>IF(AND(NOT(ISBLANK(E266)),E266&lt;&gt;"(blank)"),IFERROR(IF(INDEX(HostBuild[],MATCH(E266,HostBuild[Alias],0),COLUMN(HostBuild[CTI Target Completion]))&lt;&gt;0,INDEX(HostBuild[],MATCH(E266,HostBuild[Alias],0),COLUMN(HostBuild[CTI Target Completion])),""),""),"")</f>
        <v/>
      </c>
      <c r="D266" s="262" t="str">
        <f>IF(AND(NOT(ISBLANK(E266)),E266&lt;&gt;"(blank)"),IFERROR(IF(INDEX(HostBuild[],MATCH(E266,HostBuild[Alias],0),COLUMN(HostBuild[Description]))&lt;&gt;0,INDEX(HostBuild[],MATCH(E266,HostBuild[Alias],0),COLUMN(HostBuild[Description])),""),""),"")</f>
        <v/>
      </c>
    </row>
    <row r="267" spans="1:4">
      <c r="A267" s="3" t="str">
        <f>IF(AND(NOT(ISBLANK(E267)),E267&lt;&gt;"(blank)"),IFERROR(IF(INDEX(HostBuild[],MATCH(E267,HostBuild[Alias],0),COLUMN(HostBuild[Hostname]))&lt;&gt;0,INDEX(HostBuild[],MATCH(E267,HostBuild[Alias],0),COLUMN(HostBuild[Hostname])),""),""),"")</f>
        <v/>
      </c>
      <c r="B267" s="424" t="str">
        <f>IF(AND(NOT(ISBLANK(E267)),E267&lt;&gt;"(blank)"),IFERROR(IF(INDEX(HostBuild[],MATCH(E267,HostBuild[Alias],0),COLUMN(HostBuild[Status]))&lt;&gt;0,INDEX(HostBuild[],MATCH(E267,HostBuild[Alias],0),COLUMN(HostBuild[Status])),""),""),"")</f>
        <v/>
      </c>
      <c r="C267" s="425" t="str">
        <f>IF(AND(NOT(ISBLANK(E267)),E267&lt;&gt;"(blank)"),IFERROR(IF(INDEX(HostBuild[],MATCH(E267,HostBuild[Alias],0),COLUMN(HostBuild[CTI Target Completion]))&lt;&gt;0,INDEX(HostBuild[],MATCH(E267,HostBuild[Alias],0),COLUMN(HostBuild[CTI Target Completion])),""),""),"")</f>
        <v/>
      </c>
      <c r="D267" s="262" t="str">
        <f>IF(AND(NOT(ISBLANK(E267)),E267&lt;&gt;"(blank)"),IFERROR(IF(INDEX(HostBuild[],MATCH(E267,HostBuild[Alias],0),COLUMN(HostBuild[Description]))&lt;&gt;0,INDEX(HostBuild[],MATCH(E267,HostBuild[Alias],0),COLUMN(HostBuild[Description])),""),""),"")</f>
        <v/>
      </c>
    </row>
    <row r="268" spans="1:4">
      <c r="A268" s="3" t="str">
        <f>IF(AND(NOT(ISBLANK(E268)),E268&lt;&gt;"(blank)"),IFERROR(IF(INDEX(HostBuild[],MATCH(E268,HostBuild[Alias],0),COLUMN(HostBuild[Hostname]))&lt;&gt;0,INDEX(HostBuild[],MATCH(E268,HostBuild[Alias],0),COLUMN(HostBuild[Hostname])),""),""),"")</f>
        <v/>
      </c>
      <c r="B268" s="424" t="str">
        <f>IF(AND(NOT(ISBLANK(E268)),E268&lt;&gt;"(blank)"),IFERROR(IF(INDEX(HostBuild[],MATCH(E268,HostBuild[Alias],0),COLUMN(HostBuild[Status]))&lt;&gt;0,INDEX(HostBuild[],MATCH(E268,HostBuild[Alias],0),COLUMN(HostBuild[Status])),""),""),"")</f>
        <v/>
      </c>
      <c r="C268" s="425" t="str">
        <f>IF(AND(NOT(ISBLANK(E268)),E268&lt;&gt;"(blank)"),IFERROR(IF(INDEX(HostBuild[],MATCH(E268,HostBuild[Alias],0),COLUMN(HostBuild[CTI Target Completion]))&lt;&gt;0,INDEX(HostBuild[],MATCH(E268,HostBuild[Alias],0),COLUMN(HostBuild[CTI Target Completion])),""),""),"")</f>
        <v/>
      </c>
      <c r="D268" s="262" t="str">
        <f>IF(AND(NOT(ISBLANK(E268)),E268&lt;&gt;"(blank)"),IFERROR(IF(INDEX(HostBuild[],MATCH(E268,HostBuild[Alias],0),COLUMN(HostBuild[Description]))&lt;&gt;0,INDEX(HostBuild[],MATCH(E268,HostBuild[Alias],0),COLUMN(HostBuild[Description])),""),""),"")</f>
        <v/>
      </c>
    </row>
    <row r="269" spans="1:4">
      <c r="A269" s="3" t="str">
        <f>IF(AND(NOT(ISBLANK(E269)),E269&lt;&gt;"(blank)"),IFERROR(IF(INDEX(HostBuild[],MATCH(E269,HostBuild[Alias],0),COLUMN(HostBuild[Hostname]))&lt;&gt;0,INDEX(HostBuild[],MATCH(E269,HostBuild[Alias],0),COLUMN(HostBuild[Hostname])),""),""),"")</f>
        <v/>
      </c>
      <c r="B269" s="424" t="str">
        <f>IF(AND(NOT(ISBLANK(E269)),E269&lt;&gt;"(blank)"),IFERROR(IF(INDEX(HostBuild[],MATCH(E269,HostBuild[Alias],0),COLUMN(HostBuild[Status]))&lt;&gt;0,INDEX(HostBuild[],MATCH(E269,HostBuild[Alias],0),COLUMN(HostBuild[Status])),""),""),"")</f>
        <v/>
      </c>
      <c r="C269" s="425" t="str">
        <f>IF(AND(NOT(ISBLANK(E269)),E269&lt;&gt;"(blank)"),IFERROR(IF(INDEX(HostBuild[],MATCH(E269,HostBuild[Alias],0),COLUMN(HostBuild[CTI Target Completion]))&lt;&gt;0,INDEX(HostBuild[],MATCH(E269,HostBuild[Alias],0),COLUMN(HostBuild[CTI Target Completion])),""),""),"")</f>
        <v/>
      </c>
      <c r="D269" s="262" t="str">
        <f>IF(AND(NOT(ISBLANK(E269)),E269&lt;&gt;"(blank)"),IFERROR(IF(INDEX(HostBuild[],MATCH(E269,HostBuild[Alias],0),COLUMN(HostBuild[Description]))&lt;&gt;0,INDEX(HostBuild[],MATCH(E269,HostBuild[Alias],0),COLUMN(HostBuild[Description])),""),""),"")</f>
        <v/>
      </c>
    </row>
    <row r="270" spans="1:4">
      <c r="A270" s="3" t="str">
        <f>IF(AND(NOT(ISBLANK(E270)),E270&lt;&gt;"(blank)"),IFERROR(IF(INDEX(HostBuild[],MATCH(E270,HostBuild[Alias],0),COLUMN(HostBuild[Hostname]))&lt;&gt;0,INDEX(HostBuild[],MATCH(E270,HostBuild[Alias],0),COLUMN(HostBuild[Hostname])),""),""),"")</f>
        <v/>
      </c>
      <c r="B270" s="424" t="str">
        <f>IF(AND(NOT(ISBLANK(E270)),E270&lt;&gt;"(blank)"),IFERROR(IF(INDEX(HostBuild[],MATCH(E270,HostBuild[Alias],0),COLUMN(HostBuild[Status]))&lt;&gt;0,INDEX(HostBuild[],MATCH(E270,HostBuild[Alias],0),COLUMN(HostBuild[Status])),""),""),"")</f>
        <v/>
      </c>
      <c r="C270" s="425" t="str">
        <f>IF(AND(NOT(ISBLANK(E270)),E270&lt;&gt;"(blank)"),IFERROR(IF(INDEX(HostBuild[],MATCH(E270,HostBuild[Alias],0),COLUMN(HostBuild[CTI Target Completion]))&lt;&gt;0,INDEX(HostBuild[],MATCH(E270,HostBuild[Alias],0),COLUMN(HostBuild[CTI Target Completion])),""),""),"")</f>
        <v/>
      </c>
      <c r="D270" s="262" t="str">
        <f>IF(AND(NOT(ISBLANK(E270)),E270&lt;&gt;"(blank)"),IFERROR(IF(INDEX(HostBuild[],MATCH(E270,HostBuild[Alias],0),COLUMN(HostBuild[Description]))&lt;&gt;0,INDEX(HostBuild[],MATCH(E270,HostBuild[Alias],0),COLUMN(HostBuild[Description])),""),""),"")</f>
        <v/>
      </c>
    </row>
    <row r="271" spans="1:4">
      <c r="A271" s="3" t="str">
        <f>IF(AND(NOT(ISBLANK(E271)),E271&lt;&gt;"(blank)"),IFERROR(IF(INDEX(HostBuild[],MATCH(E271,HostBuild[Alias],0),COLUMN(HostBuild[Hostname]))&lt;&gt;0,INDEX(HostBuild[],MATCH(E271,HostBuild[Alias],0),COLUMN(HostBuild[Hostname])),""),""),"")</f>
        <v/>
      </c>
      <c r="B271" s="424" t="str">
        <f>IF(AND(NOT(ISBLANK(E271)),E271&lt;&gt;"(blank)"),IFERROR(IF(INDEX(HostBuild[],MATCH(E271,HostBuild[Alias],0),COLUMN(HostBuild[Status]))&lt;&gt;0,INDEX(HostBuild[],MATCH(E271,HostBuild[Alias],0),COLUMN(HostBuild[Status])),""),""),"")</f>
        <v/>
      </c>
      <c r="C271" s="425" t="str">
        <f>IF(AND(NOT(ISBLANK(E271)),E271&lt;&gt;"(blank)"),IFERROR(IF(INDEX(HostBuild[],MATCH(E271,HostBuild[Alias],0),COLUMN(HostBuild[CTI Target Completion]))&lt;&gt;0,INDEX(HostBuild[],MATCH(E271,HostBuild[Alias],0),COLUMN(HostBuild[CTI Target Completion])),""),""),"")</f>
        <v/>
      </c>
      <c r="D271" s="262" t="str">
        <f>IF(AND(NOT(ISBLANK(E271)),E271&lt;&gt;"(blank)"),IFERROR(IF(INDEX(HostBuild[],MATCH(E271,HostBuild[Alias],0),COLUMN(HostBuild[Description]))&lt;&gt;0,INDEX(HostBuild[],MATCH(E271,HostBuild[Alias],0),COLUMN(HostBuild[Description])),""),""),"")</f>
        <v/>
      </c>
    </row>
    <row r="272" spans="1:4">
      <c r="A272" s="3" t="str">
        <f>IF(AND(NOT(ISBLANK(E272)),E272&lt;&gt;"(blank)"),IFERROR(IF(INDEX(HostBuild[],MATCH(E272,HostBuild[Alias],0),COLUMN(HostBuild[Hostname]))&lt;&gt;0,INDEX(HostBuild[],MATCH(E272,HostBuild[Alias],0),COLUMN(HostBuild[Hostname])),""),""),"")</f>
        <v/>
      </c>
      <c r="B272" s="424" t="str">
        <f>IF(AND(NOT(ISBLANK(E272)),E272&lt;&gt;"(blank)"),IFERROR(IF(INDEX(HostBuild[],MATCH(E272,HostBuild[Alias],0),COLUMN(HostBuild[Status]))&lt;&gt;0,INDEX(HostBuild[],MATCH(E272,HostBuild[Alias],0),COLUMN(HostBuild[Status])),""),""),"")</f>
        <v/>
      </c>
      <c r="C272" s="425" t="str">
        <f>IF(AND(NOT(ISBLANK(E272)),E272&lt;&gt;"(blank)"),IFERROR(IF(INDEX(HostBuild[],MATCH(E272,HostBuild[Alias],0),COLUMN(HostBuild[CTI Target Completion]))&lt;&gt;0,INDEX(HostBuild[],MATCH(E272,HostBuild[Alias],0),COLUMN(HostBuild[CTI Target Completion])),""),""),"")</f>
        <v/>
      </c>
      <c r="D272" s="262" t="str">
        <f>IF(AND(NOT(ISBLANK(E272)),E272&lt;&gt;"(blank)"),IFERROR(IF(INDEX(HostBuild[],MATCH(E272,HostBuild[Alias],0),COLUMN(HostBuild[Description]))&lt;&gt;0,INDEX(HostBuild[],MATCH(E272,HostBuild[Alias],0),COLUMN(HostBuild[Description])),""),""),"")</f>
        <v/>
      </c>
    </row>
    <row r="273" spans="1:4">
      <c r="A273" s="3" t="str">
        <f>IF(AND(NOT(ISBLANK(E273)),E273&lt;&gt;"(blank)"),IFERROR(IF(INDEX(HostBuild[],MATCH(E273,HostBuild[Alias],0),COLUMN(HostBuild[Hostname]))&lt;&gt;0,INDEX(HostBuild[],MATCH(E273,HostBuild[Alias],0),COLUMN(HostBuild[Hostname])),""),""),"")</f>
        <v/>
      </c>
      <c r="B273" s="424" t="str">
        <f>IF(AND(NOT(ISBLANK(E273)),E273&lt;&gt;"(blank)"),IFERROR(IF(INDEX(HostBuild[],MATCH(E273,HostBuild[Alias],0),COLUMN(HostBuild[Status]))&lt;&gt;0,INDEX(HostBuild[],MATCH(E273,HostBuild[Alias],0),COLUMN(HostBuild[Status])),""),""),"")</f>
        <v/>
      </c>
      <c r="C273" s="425" t="str">
        <f>IF(AND(NOT(ISBLANK(E273)),E273&lt;&gt;"(blank)"),IFERROR(IF(INDEX(HostBuild[],MATCH(E273,HostBuild[Alias],0),COLUMN(HostBuild[CTI Target Completion]))&lt;&gt;0,INDEX(HostBuild[],MATCH(E273,HostBuild[Alias],0),COLUMN(HostBuild[CTI Target Completion])),""),""),"")</f>
        <v/>
      </c>
      <c r="D273" s="262" t="str">
        <f>IF(AND(NOT(ISBLANK(E273)),E273&lt;&gt;"(blank)"),IFERROR(IF(INDEX(HostBuild[],MATCH(E273,HostBuild[Alias],0),COLUMN(HostBuild[Description]))&lt;&gt;0,INDEX(HostBuild[],MATCH(E273,HostBuild[Alias],0),COLUMN(HostBuild[Description])),""),""),"")</f>
        <v/>
      </c>
    </row>
    <row r="274" spans="1:4">
      <c r="A274" s="3" t="str">
        <f>IF(AND(NOT(ISBLANK(E274)),E274&lt;&gt;"(blank)"),IFERROR(IF(INDEX(HostBuild[],MATCH(E274,HostBuild[Alias],0),COLUMN(HostBuild[Hostname]))&lt;&gt;0,INDEX(HostBuild[],MATCH(E274,HostBuild[Alias],0),COLUMN(HostBuild[Hostname])),""),""),"")</f>
        <v/>
      </c>
      <c r="B274" s="424" t="str">
        <f>IF(AND(NOT(ISBLANK(E274)),E274&lt;&gt;"(blank)"),IFERROR(IF(INDEX(HostBuild[],MATCH(E274,HostBuild[Alias],0),COLUMN(HostBuild[Status]))&lt;&gt;0,INDEX(HostBuild[],MATCH(E274,HostBuild[Alias],0),COLUMN(HostBuild[Status])),""),""),"")</f>
        <v/>
      </c>
      <c r="C274" s="425" t="str">
        <f>IF(AND(NOT(ISBLANK(E274)),E274&lt;&gt;"(blank)"),IFERROR(IF(INDEX(HostBuild[],MATCH(E274,HostBuild[Alias],0),COLUMN(HostBuild[CTI Target Completion]))&lt;&gt;0,INDEX(HostBuild[],MATCH(E274,HostBuild[Alias],0),COLUMN(HostBuild[CTI Target Completion])),""),""),"")</f>
        <v/>
      </c>
      <c r="D274" s="262" t="str">
        <f>IF(AND(NOT(ISBLANK(E274)),E274&lt;&gt;"(blank)"),IFERROR(IF(INDEX(HostBuild[],MATCH(E274,HostBuild[Alias],0),COLUMN(HostBuild[Description]))&lt;&gt;0,INDEX(HostBuild[],MATCH(E274,HostBuild[Alias],0),COLUMN(HostBuild[Description])),""),""),"")</f>
        <v/>
      </c>
    </row>
    <row r="275" spans="1:4">
      <c r="A275" s="3" t="str">
        <f>IF(AND(NOT(ISBLANK(E275)),E275&lt;&gt;"(blank)"),IFERROR(IF(INDEX(HostBuild[],MATCH(E275,HostBuild[Alias],0),COLUMN(HostBuild[Hostname]))&lt;&gt;0,INDEX(HostBuild[],MATCH(E275,HostBuild[Alias],0),COLUMN(HostBuild[Hostname])),""),""),"")</f>
        <v/>
      </c>
      <c r="B275" s="424" t="str">
        <f>IF(AND(NOT(ISBLANK(E275)),E275&lt;&gt;"(blank)"),IFERROR(IF(INDEX(HostBuild[],MATCH(E275,HostBuild[Alias],0),COLUMN(HostBuild[Status]))&lt;&gt;0,INDEX(HostBuild[],MATCH(E275,HostBuild[Alias],0),COLUMN(HostBuild[Status])),""),""),"")</f>
        <v/>
      </c>
      <c r="C275" s="425" t="str">
        <f>IF(AND(NOT(ISBLANK(E275)),E275&lt;&gt;"(blank)"),IFERROR(IF(INDEX(HostBuild[],MATCH(E275,HostBuild[Alias],0),COLUMN(HostBuild[CTI Target Completion]))&lt;&gt;0,INDEX(HostBuild[],MATCH(E275,HostBuild[Alias],0),COLUMN(HostBuild[CTI Target Completion])),""),""),"")</f>
        <v/>
      </c>
      <c r="D275" s="262" t="str">
        <f>IF(AND(NOT(ISBLANK(E275)),E275&lt;&gt;"(blank)"),IFERROR(IF(INDEX(HostBuild[],MATCH(E275,HostBuild[Alias],0),COLUMN(HostBuild[Description]))&lt;&gt;0,INDEX(HostBuild[],MATCH(E275,HostBuild[Alias],0),COLUMN(HostBuild[Description])),""),""),"")</f>
        <v/>
      </c>
    </row>
    <row r="276" spans="1:4">
      <c r="A276" s="3" t="str">
        <f>IF(AND(NOT(ISBLANK(E276)),E276&lt;&gt;"(blank)"),IFERROR(IF(INDEX(HostBuild[],MATCH(E276,HostBuild[Alias],0),COLUMN(HostBuild[Hostname]))&lt;&gt;0,INDEX(HostBuild[],MATCH(E276,HostBuild[Alias],0),COLUMN(HostBuild[Hostname])),""),""),"")</f>
        <v/>
      </c>
      <c r="B276" s="424" t="str">
        <f>IF(AND(NOT(ISBLANK(E276)),E276&lt;&gt;"(blank)"),IFERROR(IF(INDEX(HostBuild[],MATCH(E276,HostBuild[Alias],0),COLUMN(HostBuild[Status]))&lt;&gt;0,INDEX(HostBuild[],MATCH(E276,HostBuild[Alias],0),COLUMN(HostBuild[Status])),""),""),"")</f>
        <v/>
      </c>
      <c r="C276" s="425" t="str">
        <f>IF(AND(NOT(ISBLANK(E276)),E276&lt;&gt;"(blank)"),IFERROR(IF(INDEX(HostBuild[],MATCH(E276,HostBuild[Alias],0),COLUMN(HostBuild[CTI Target Completion]))&lt;&gt;0,INDEX(HostBuild[],MATCH(E276,HostBuild[Alias],0),COLUMN(HostBuild[CTI Target Completion])),""),""),"")</f>
        <v/>
      </c>
      <c r="D276" s="262" t="str">
        <f>IF(AND(NOT(ISBLANK(E276)),E276&lt;&gt;"(blank)"),IFERROR(IF(INDEX(HostBuild[],MATCH(E276,HostBuild[Alias],0),COLUMN(HostBuild[Description]))&lt;&gt;0,INDEX(HostBuild[],MATCH(E276,HostBuild[Alias],0),COLUMN(HostBuild[Description])),""),""),"")</f>
        <v/>
      </c>
    </row>
    <row r="277" spans="1:4">
      <c r="A277" s="3" t="str">
        <f>IF(AND(NOT(ISBLANK(E277)),E277&lt;&gt;"(blank)"),IFERROR(IF(INDEX(HostBuild[],MATCH(E277,HostBuild[Alias],0),COLUMN(HostBuild[Hostname]))&lt;&gt;0,INDEX(HostBuild[],MATCH(E277,HostBuild[Alias],0),COLUMN(HostBuild[Hostname])),""),""),"")</f>
        <v/>
      </c>
      <c r="B277" s="424" t="str">
        <f>IF(AND(NOT(ISBLANK(E277)),E277&lt;&gt;"(blank)"),IFERROR(IF(INDEX(HostBuild[],MATCH(E277,HostBuild[Alias],0),COLUMN(HostBuild[Status]))&lt;&gt;0,INDEX(HostBuild[],MATCH(E277,HostBuild[Alias],0),COLUMN(HostBuild[Status])),""),""),"")</f>
        <v/>
      </c>
      <c r="C277" s="425" t="str">
        <f>IF(AND(NOT(ISBLANK(E277)),E277&lt;&gt;"(blank)"),IFERROR(IF(INDEX(HostBuild[],MATCH(E277,HostBuild[Alias],0),COLUMN(HostBuild[CTI Target Completion]))&lt;&gt;0,INDEX(HostBuild[],MATCH(E277,HostBuild[Alias],0),COLUMN(HostBuild[CTI Target Completion])),""),""),"")</f>
        <v/>
      </c>
      <c r="D277" s="262" t="str">
        <f>IF(AND(NOT(ISBLANK(E277)),E277&lt;&gt;"(blank)"),IFERROR(IF(INDEX(HostBuild[],MATCH(E277,HostBuild[Alias],0),COLUMN(HostBuild[Description]))&lt;&gt;0,INDEX(HostBuild[],MATCH(E277,HostBuild[Alias],0),COLUMN(HostBuild[Description])),""),""),"")</f>
        <v/>
      </c>
    </row>
    <row r="278" spans="1:4">
      <c r="A278" s="3" t="str">
        <f>IF(AND(NOT(ISBLANK(E278)),E278&lt;&gt;"(blank)"),IFERROR(IF(INDEX(HostBuild[],MATCH(E278,HostBuild[Alias],0),COLUMN(HostBuild[Hostname]))&lt;&gt;0,INDEX(HostBuild[],MATCH(E278,HostBuild[Alias],0),COLUMN(HostBuild[Hostname])),""),""),"")</f>
        <v/>
      </c>
      <c r="B278" s="424" t="str">
        <f>IF(AND(NOT(ISBLANK(E278)),E278&lt;&gt;"(blank)"),IFERROR(IF(INDEX(HostBuild[],MATCH(E278,HostBuild[Alias],0),COLUMN(HostBuild[Status]))&lt;&gt;0,INDEX(HostBuild[],MATCH(E278,HostBuild[Alias],0),COLUMN(HostBuild[Status])),""),""),"")</f>
        <v/>
      </c>
      <c r="C278" s="425" t="str">
        <f>IF(AND(NOT(ISBLANK(E278)),E278&lt;&gt;"(blank)"),IFERROR(IF(INDEX(HostBuild[],MATCH(E278,HostBuild[Alias],0),COLUMN(HostBuild[CTI Target Completion]))&lt;&gt;0,INDEX(HostBuild[],MATCH(E278,HostBuild[Alias],0),COLUMN(HostBuild[CTI Target Completion])),""),""),"")</f>
        <v/>
      </c>
      <c r="D278" s="262" t="str">
        <f>IF(AND(NOT(ISBLANK(E278)),E278&lt;&gt;"(blank)"),IFERROR(IF(INDEX(HostBuild[],MATCH(E278,HostBuild[Alias],0),COLUMN(HostBuild[Description]))&lt;&gt;0,INDEX(HostBuild[],MATCH(E278,HostBuild[Alias],0),COLUMN(HostBuild[Description])),""),""),"")</f>
        <v/>
      </c>
    </row>
    <row r="279" spans="1:4">
      <c r="A279" s="3" t="str">
        <f>IF(AND(NOT(ISBLANK(E279)),E279&lt;&gt;"(blank)"),IFERROR(IF(INDEX(HostBuild[],MATCH(E279,HostBuild[Alias],0),COLUMN(HostBuild[Hostname]))&lt;&gt;0,INDEX(HostBuild[],MATCH(E279,HostBuild[Alias],0),COLUMN(HostBuild[Hostname])),""),""),"")</f>
        <v/>
      </c>
      <c r="B279" s="424" t="str">
        <f>IF(AND(NOT(ISBLANK(E279)),E279&lt;&gt;"(blank)"),IFERROR(IF(INDEX(HostBuild[],MATCH(E279,HostBuild[Alias],0),COLUMN(HostBuild[Status]))&lt;&gt;0,INDEX(HostBuild[],MATCH(E279,HostBuild[Alias],0),COLUMN(HostBuild[Status])),""),""),"")</f>
        <v/>
      </c>
      <c r="C279" s="425" t="str">
        <f>IF(AND(NOT(ISBLANK(E279)),E279&lt;&gt;"(blank)"),IFERROR(IF(INDEX(HostBuild[],MATCH(E279,HostBuild[Alias],0),COLUMN(HostBuild[CTI Target Completion]))&lt;&gt;0,INDEX(HostBuild[],MATCH(E279,HostBuild[Alias],0),COLUMN(HostBuild[CTI Target Completion])),""),""),"")</f>
        <v/>
      </c>
      <c r="D279" s="262" t="str">
        <f>IF(AND(NOT(ISBLANK(E279)),E279&lt;&gt;"(blank)"),IFERROR(IF(INDEX(HostBuild[],MATCH(E279,HostBuild[Alias],0),COLUMN(HostBuild[Description]))&lt;&gt;0,INDEX(HostBuild[],MATCH(E279,HostBuild[Alias],0),COLUMN(HostBuild[Description])),""),""),"")</f>
        <v/>
      </c>
    </row>
    <row r="280" spans="1:4">
      <c r="A280" s="3" t="str">
        <f>IF(AND(NOT(ISBLANK(E280)),E280&lt;&gt;"(blank)"),IFERROR(IF(INDEX(HostBuild[],MATCH(E280,HostBuild[Alias],0),COLUMN(HostBuild[Hostname]))&lt;&gt;0,INDEX(HostBuild[],MATCH(E280,HostBuild[Alias],0),COLUMN(HostBuild[Hostname])),""),""),"")</f>
        <v/>
      </c>
      <c r="B280" s="424" t="str">
        <f>IF(AND(NOT(ISBLANK(E280)),E280&lt;&gt;"(blank)"),IFERROR(IF(INDEX(HostBuild[],MATCH(E280,HostBuild[Alias],0),COLUMN(HostBuild[Status]))&lt;&gt;0,INDEX(HostBuild[],MATCH(E280,HostBuild[Alias],0),COLUMN(HostBuild[Status])),""),""),"")</f>
        <v/>
      </c>
      <c r="C280" s="425" t="str">
        <f>IF(AND(NOT(ISBLANK(E280)),E280&lt;&gt;"(blank)"),IFERROR(IF(INDEX(HostBuild[],MATCH(E280,HostBuild[Alias],0),COLUMN(HostBuild[CTI Target Completion]))&lt;&gt;0,INDEX(HostBuild[],MATCH(E280,HostBuild[Alias],0),COLUMN(HostBuild[CTI Target Completion])),""),""),"")</f>
        <v/>
      </c>
      <c r="D280" s="262" t="str">
        <f>IF(AND(NOT(ISBLANK(E280)),E280&lt;&gt;"(blank)"),IFERROR(IF(INDEX(HostBuild[],MATCH(E280,HostBuild[Alias],0),COLUMN(HostBuild[Description]))&lt;&gt;0,INDEX(HostBuild[],MATCH(E280,HostBuild[Alias],0),COLUMN(HostBuild[Description])),""),""),"")</f>
        <v/>
      </c>
    </row>
    <row r="281" spans="1:4">
      <c r="A281" s="3" t="str">
        <f>IF(AND(NOT(ISBLANK(E281)),E281&lt;&gt;"(blank)"),IFERROR(IF(INDEX(HostBuild[],MATCH(E281,HostBuild[Alias],0),COLUMN(HostBuild[Hostname]))&lt;&gt;0,INDEX(HostBuild[],MATCH(E281,HostBuild[Alias],0),COLUMN(HostBuild[Hostname])),""),""),"")</f>
        <v/>
      </c>
      <c r="B281" s="424" t="str">
        <f>IF(AND(NOT(ISBLANK(E281)),E281&lt;&gt;"(blank)"),IFERROR(IF(INDEX(HostBuild[],MATCH(E281,HostBuild[Alias],0),COLUMN(HostBuild[Status]))&lt;&gt;0,INDEX(HostBuild[],MATCH(E281,HostBuild[Alias],0),COLUMN(HostBuild[Status])),""),""),"")</f>
        <v/>
      </c>
      <c r="C281" s="425" t="str">
        <f>IF(AND(NOT(ISBLANK(E281)),E281&lt;&gt;"(blank)"),IFERROR(IF(INDEX(HostBuild[],MATCH(E281,HostBuild[Alias],0),COLUMN(HostBuild[CTI Target Completion]))&lt;&gt;0,INDEX(HostBuild[],MATCH(E281,HostBuild[Alias],0),COLUMN(HostBuild[CTI Target Completion])),""),""),"")</f>
        <v/>
      </c>
      <c r="D281" s="262" t="str">
        <f>IF(AND(NOT(ISBLANK(E281)),E281&lt;&gt;"(blank)"),IFERROR(IF(INDEX(HostBuild[],MATCH(E281,HostBuild[Alias],0),COLUMN(HostBuild[Description]))&lt;&gt;0,INDEX(HostBuild[],MATCH(E281,HostBuild[Alias],0),COLUMN(HostBuild[Description])),""),""),"")</f>
        <v/>
      </c>
    </row>
    <row r="282" spans="1:4">
      <c r="A282" s="3" t="str">
        <f>IF(AND(NOT(ISBLANK(E282)),E282&lt;&gt;"(blank)"),IFERROR(IF(INDEX(HostBuild[],MATCH(E282,HostBuild[Alias],0),COLUMN(HostBuild[Hostname]))&lt;&gt;0,INDEX(HostBuild[],MATCH(E282,HostBuild[Alias],0),COLUMN(HostBuild[Hostname])),""),""),"")</f>
        <v/>
      </c>
      <c r="B282" s="424" t="str">
        <f>IF(AND(NOT(ISBLANK(E282)),E282&lt;&gt;"(blank)"),IFERROR(IF(INDEX(HostBuild[],MATCH(E282,HostBuild[Alias],0),COLUMN(HostBuild[Status]))&lt;&gt;0,INDEX(HostBuild[],MATCH(E282,HostBuild[Alias],0),COLUMN(HostBuild[Status])),""),""),"")</f>
        <v/>
      </c>
      <c r="C282" s="425" t="str">
        <f>IF(AND(NOT(ISBLANK(E282)),E282&lt;&gt;"(blank)"),IFERROR(IF(INDEX(HostBuild[],MATCH(E282,HostBuild[Alias],0),COLUMN(HostBuild[CTI Target Completion]))&lt;&gt;0,INDEX(HostBuild[],MATCH(E282,HostBuild[Alias],0),COLUMN(HostBuild[CTI Target Completion])),""),""),"")</f>
        <v/>
      </c>
      <c r="D282" s="262" t="str">
        <f>IF(AND(NOT(ISBLANK(E282)),E282&lt;&gt;"(blank)"),IFERROR(IF(INDEX(HostBuild[],MATCH(E282,HostBuild[Alias],0),COLUMN(HostBuild[Description]))&lt;&gt;0,INDEX(HostBuild[],MATCH(E282,HostBuild[Alias],0),COLUMN(HostBuild[Description])),""),""),"")</f>
        <v/>
      </c>
    </row>
    <row r="283" spans="1:4">
      <c r="A283" s="3" t="str">
        <f>IF(AND(NOT(ISBLANK(E283)),E283&lt;&gt;"(blank)"),IFERROR(IF(INDEX(HostBuild[],MATCH(E283,HostBuild[Alias],0),COLUMN(HostBuild[Hostname]))&lt;&gt;0,INDEX(HostBuild[],MATCH(E283,HostBuild[Alias],0),COLUMN(HostBuild[Hostname])),""),""),"")</f>
        <v/>
      </c>
      <c r="B283" s="424" t="str">
        <f>IF(AND(NOT(ISBLANK(E283)),E283&lt;&gt;"(blank)"),IFERROR(IF(INDEX(HostBuild[],MATCH(E283,HostBuild[Alias],0),COLUMN(HostBuild[Status]))&lt;&gt;0,INDEX(HostBuild[],MATCH(E283,HostBuild[Alias],0),COLUMN(HostBuild[Status])),""),""),"")</f>
        <v/>
      </c>
      <c r="C283" s="425" t="str">
        <f>IF(AND(NOT(ISBLANK(E283)),E283&lt;&gt;"(blank)"),IFERROR(IF(INDEX(HostBuild[],MATCH(E283,HostBuild[Alias],0),COLUMN(HostBuild[CTI Target Completion]))&lt;&gt;0,INDEX(HostBuild[],MATCH(E283,HostBuild[Alias],0),COLUMN(HostBuild[CTI Target Completion])),""),""),"")</f>
        <v/>
      </c>
      <c r="D283" s="262" t="str">
        <f>IF(AND(NOT(ISBLANK(E283)),E283&lt;&gt;"(blank)"),IFERROR(IF(INDEX(HostBuild[],MATCH(E283,HostBuild[Alias],0),COLUMN(HostBuild[Description]))&lt;&gt;0,INDEX(HostBuild[],MATCH(E283,HostBuild[Alias],0),COLUMN(HostBuild[Description])),""),""),"")</f>
        <v/>
      </c>
    </row>
    <row r="284" spans="1:4">
      <c r="A284" s="3" t="str">
        <f>IF(AND(NOT(ISBLANK(E284)),E284&lt;&gt;"(blank)"),IFERROR(IF(INDEX(HostBuild[],MATCH(E284,HostBuild[Alias],0),COLUMN(HostBuild[Hostname]))&lt;&gt;0,INDEX(HostBuild[],MATCH(E284,HostBuild[Alias],0),COLUMN(HostBuild[Hostname])),""),""),"")</f>
        <v/>
      </c>
      <c r="B284" s="424" t="str">
        <f>IF(AND(NOT(ISBLANK(E284)),E284&lt;&gt;"(blank)"),IFERROR(IF(INDEX(HostBuild[],MATCH(E284,HostBuild[Alias],0),COLUMN(HostBuild[Status]))&lt;&gt;0,INDEX(HostBuild[],MATCH(E284,HostBuild[Alias],0),COLUMN(HostBuild[Status])),""),""),"")</f>
        <v/>
      </c>
      <c r="C284" s="425" t="str">
        <f>IF(AND(NOT(ISBLANK(E284)),E284&lt;&gt;"(blank)"),IFERROR(IF(INDEX(HostBuild[],MATCH(E284,HostBuild[Alias],0),COLUMN(HostBuild[CTI Target Completion]))&lt;&gt;0,INDEX(HostBuild[],MATCH(E284,HostBuild[Alias],0),COLUMN(HostBuild[CTI Target Completion])),""),""),"")</f>
        <v/>
      </c>
      <c r="D284" s="262" t="str">
        <f>IF(AND(NOT(ISBLANK(E284)),E284&lt;&gt;"(blank)"),IFERROR(IF(INDEX(HostBuild[],MATCH(E284,HostBuild[Alias],0),COLUMN(HostBuild[Description]))&lt;&gt;0,INDEX(HostBuild[],MATCH(E284,HostBuild[Alias],0),COLUMN(HostBuild[Description])),""),""),"")</f>
        <v/>
      </c>
    </row>
    <row r="285" spans="1:4">
      <c r="A285" s="3" t="str">
        <f>IF(AND(NOT(ISBLANK(E285)),E285&lt;&gt;"(blank)"),IFERROR(IF(INDEX(HostBuild[],MATCH(E285,HostBuild[Alias],0),COLUMN(HostBuild[Hostname]))&lt;&gt;0,INDEX(HostBuild[],MATCH(E285,HostBuild[Alias],0),COLUMN(HostBuild[Hostname])),""),""),"")</f>
        <v/>
      </c>
      <c r="B285" s="424" t="str">
        <f>IF(AND(NOT(ISBLANK(E285)),E285&lt;&gt;"(blank)"),IFERROR(IF(INDEX(HostBuild[],MATCH(E285,HostBuild[Alias],0),COLUMN(HostBuild[Status]))&lt;&gt;0,INDEX(HostBuild[],MATCH(E285,HostBuild[Alias],0),COLUMN(HostBuild[Status])),""),""),"")</f>
        <v/>
      </c>
      <c r="C285" s="425" t="str">
        <f>IF(AND(NOT(ISBLANK(E285)),E285&lt;&gt;"(blank)"),IFERROR(IF(INDEX(HostBuild[],MATCH(E285,HostBuild[Alias],0),COLUMN(HostBuild[CTI Target Completion]))&lt;&gt;0,INDEX(HostBuild[],MATCH(E285,HostBuild[Alias],0),COLUMN(HostBuild[CTI Target Completion])),""),""),"")</f>
        <v/>
      </c>
      <c r="D285" s="262" t="str">
        <f>IF(AND(NOT(ISBLANK(E285)),E285&lt;&gt;"(blank)"),IFERROR(IF(INDEX(HostBuild[],MATCH(E285,HostBuild[Alias],0),COLUMN(HostBuild[Description]))&lt;&gt;0,INDEX(HostBuild[],MATCH(E285,HostBuild[Alias],0),COLUMN(HostBuild[Description])),""),""),"")</f>
        <v/>
      </c>
    </row>
    <row r="286" spans="1:4">
      <c r="A286" s="3" t="str">
        <f>IF(AND(NOT(ISBLANK(E286)),E286&lt;&gt;"(blank)"),IFERROR(IF(INDEX(HostBuild[],MATCH(E286,HostBuild[Alias],0),COLUMN(HostBuild[Hostname]))&lt;&gt;0,INDEX(HostBuild[],MATCH(E286,HostBuild[Alias],0),COLUMN(HostBuild[Hostname])),""),""),"")</f>
        <v/>
      </c>
      <c r="B286" s="424" t="str">
        <f>IF(AND(NOT(ISBLANK(E286)),E286&lt;&gt;"(blank)"),IFERROR(IF(INDEX(HostBuild[],MATCH(E286,HostBuild[Alias],0),COLUMN(HostBuild[Status]))&lt;&gt;0,INDEX(HostBuild[],MATCH(E286,HostBuild[Alias],0),COLUMN(HostBuild[Status])),""),""),"")</f>
        <v/>
      </c>
      <c r="C286" s="425" t="str">
        <f>IF(AND(NOT(ISBLANK(E286)),E286&lt;&gt;"(blank)"),IFERROR(IF(INDEX(HostBuild[],MATCH(E286,HostBuild[Alias],0),COLUMN(HostBuild[CTI Target Completion]))&lt;&gt;0,INDEX(HostBuild[],MATCH(E286,HostBuild[Alias],0),COLUMN(HostBuild[CTI Target Completion])),""),""),"")</f>
        <v/>
      </c>
      <c r="D286" s="262" t="str">
        <f>IF(AND(NOT(ISBLANK(E286)),E286&lt;&gt;"(blank)"),IFERROR(IF(INDEX(HostBuild[],MATCH(E286,HostBuild[Alias],0),COLUMN(HostBuild[Description]))&lt;&gt;0,INDEX(HostBuild[],MATCH(E286,HostBuild[Alias],0),COLUMN(HostBuild[Description])),""),""),"")</f>
        <v/>
      </c>
    </row>
    <row r="287" spans="1:4">
      <c r="A287" s="3" t="str">
        <f>IF(AND(NOT(ISBLANK(E287)),E287&lt;&gt;"(blank)"),IFERROR(IF(INDEX(HostBuild[],MATCH(E287,HostBuild[Alias],0),COLUMN(HostBuild[Hostname]))&lt;&gt;0,INDEX(HostBuild[],MATCH(E287,HostBuild[Alias],0),COLUMN(HostBuild[Hostname])),""),""),"")</f>
        <v/>
      </c>
      <c r="B287" s="424" t="str">
        <f>IF(AND(NOT(ISBLANK(E287)),E287&lt;&gt;"(blank)"),IFERROR(IF(INDEX(HostBuild[],MATCH(E287,HostBuild[Alias],0),COLUMN(HostBuild[Status]))&lt;&gt;0,INDEX(HostBuild[],MATCH(E287,HostBuild[Alias],0),COLUMN(HostBuild[Status])),""),""),"")</f>
        <v/>
      </c>
      <c r="C287" s="425" t="str">
        <f>IF(AND(NOT(ISBLANK(E287)),E287&lt;&gt;"(blank)"),IFERROR(IF(INDEX(HostBuild[],MATCH(E287,HostBuild[Alias],0),COLUMN(HostBuild[CTI Target Completion]))&lt;&gt;0,INDEX(HostBuild[],MATCH(E287,HostBuild[Alias],0),COLUMN(HostBuild[CTI Target Completion])),""),""),"")</f>
        <v/>
      </c>
      <c r="D287" s="262" t="str">
        <f>IF(AND(NOT(ISBLANK(E287)),E287&lt;&gt;"(blank)"),IFERROR(IF(INDEX(HostBuild[],MATCH(E287,HostBuild[Alias],0),COLUMN(HostBuild[Description]))&lt;&gt;0,INDEX(HostBuild[],MATCH(E287,HostBuild[Alias],0),COLUMN(HostBuild[Description])),""),""),"")</f>
        <v/>
      </c>
    </row>
    <row r="288" spans="1:4">
      <c r="A288" s="3" t="str">
        <f>IF(AND(NOT(ISBLANK(E288)),E288&lt;&gt;"(blank)"),IFERROR(IF(INDEX(HostBuild[],MATCH(E288,HostBuild[Alias],0),COLUMN(HostBuild[Hostname]))&lt;&gt;0,INDEX(HostBuild[],MATCH(E288,HostBuild[Alias],0),COLUMN(HostBuild[Hostname])),""),""),"")</f>
        <v/>
      </c>
      <c r="B288" s="424" t="str">
        <f>IF(AND(NOT(ISBLANK(E288)),E288&lt;&gt;"(blank)"),IFERROR(IF(INDEX(HostBuild[],MATCH(E288,HostBuild[Alias],0),COLUMN(HostBuild[Status]))&lt;&gt;0,INDEX(HostBuild[],MATCH(E288,HostBuild[Alias],0),COLUMN(HostBuild[Status])),""),""),"")</f>
        <v/>
      </c>
      <c r="C288" s="425" t="str">
        <f>IF(AND(NOT(ISBLANK(E288)),E288&lt;&gt;"(blank)"),IFERROR(IF(INDEX(HostBuild[],MATCH(E288,HostBuild[Alias],0),COLUMN(HostBuild[CTI Target Completion]))&lt;&gt;0,INDEX(HostBuild[],MATCH(E288,HostBuild[Alias],0),COLUMN(HostBuild[CTI Target Completion])),""),""),"")</f>
        <v/>
      </c>
      <c r="D288" s="262" t="str">
        <f>IF(AND(NOT(ISBLANK(E288)),E288&lt;&gt;"(blank)"),IFERROR(IF(INDEX(HostBuild[],MATCH(E288,HostBuild[Alias],0),COLUMN(HostBuild[Description]))&lt;&gt;0,INDEX(HostBuild[],MATCH(E288,HostBuild[Alias],0),COLUMN(HostBuild[Description])),""),""),"")</f>
        <v/>
      </c>
    </row>
    <row r="289" spans="1:4">
      <c r="A289" s="3" t="str">
        <f>IF(AND(NOT(ISBLANK(E289)),E289&lt;&gt;"(blank)"),IFERROR(IF(INDEX(HostBuild[],MATCH(E289,HostBuild[Alias],0),COLUMN(HostBuild[Hostname]))&lt;&gt;0,INDEX(HostBuild[],MATCH(E289,HostBuild[Alias],0),COLUMN(HostBuild[Hostname])),""),""),"")</f>
        <v/>
      </c>
      <c r="B289" s="424" t="str">
        <f>IF(AND(NOT(ISBLANK(E289)),E289&lt;&gt;"(blank)"),IFERROR(IF(INDEX(HostBuild[],MATCH(E289,HostBuild[Alias],0),COLUMN(HostBuild[Status]))&lt;&gt;0,INDEX(HostBuild[],MATCH(E289,HostBuild[Alias],0),COLUMN(HostBuild[Status])),""),""),"")</f>
        <v/>
      </c>
      <c r="C289" s="425" t="str">
        <f>IF(AND(NOT(ISBLANK(E289)),E289&lt;&gt;"(blank)"),IFERROR(IF(INDEX(HostBuild[],MATCH(E289,HostBuild[Alias],0),COLUMN(HostBuild[CTI Target Completion]))&lt;&gt;0,INDEX(HostBuild[],MATCH(E289,HostBuild[Alias],0),COLUMN(HostBuild[CTI Target Completion])),""),""),"")</f>
        <v/>
      </c>
      <c r="D289" s="262" t="str">
        <f>IF(AND(NOT(ISBLANK(E289)),E289&lt;&gt;"(blank)"),IFERROR(IF(INDEX(HostBuild[],MATCH(E289,HostBuild[Alias],0),COLUMN(HostBuild[Description]))&lt;&gt;0,INDEX(HostBuild[],MATCH(E289,HostBuild[Alias],0),COLUMN(HostBuild[Description])),""),""),"")</f>
        <v/>
      </c>
    </row>
    <row r="290" spans="1:4">
      <c r="A290" s="3" t="str">
        <f>IF(AND(NOT(ISBLANK(E290)),E290&lt;&gt;"(blank)"),IFERROR(IF(INDEX(HostBuild[],MATCH(E290,HostBuild[Alias],0),COLUMN(HostBuild[Hostname]))&lt;&gt;0,INDEX(HostBuild[],MATCH(E290,HostBuild[Alias],0),COLUMN(HostBuild[Hostname])),""),""),"")</f>
        <v/>
      </c>
      <c r="B290" s="424" t="str">
        <f>IF(AND(NOT(ISBLANK(E290)),E290&lt;&gt;"(blank)"),IFERROR(IF(INDEX(HostBuild[],MATCH(E290,HostBuild[Alias],0),COLUMN(HostBuild[Status]))&lt;&gt;0,INDEX(HostBuild[],MATCH(E290,HostBuild[Alias],0),COLUMN(HostBuild[Status])),""),""),"")</f>
        <v/>
      </c>
      <c r="C290" s="425" t="str">
        <f>IF(AND(NOT(ISBLANK(E290)),E290&lt;&gt;"(blank)"),IFERROR(IF(INDEX(HostBuild[],MATCH(E290,HostBuild[Alias],0),COLUMN(HostBuild[CTI Target Completion]))&lt;&gt;0,INDEX(HostBuild[],MATCH(E290,HostBuild[Alias],0),COLUMN(HostBuild[CTI Target Completion])),""),""),"")</f>
        <v/>
      </c>
      <c r="D290" s="262" t="str">
        <f>IF(AND(NOT(ISBLANK(E290)),E290&lt;&gt;"(blank)"),IFERROR(IF(INDEX(HostBuild[],MATCH(E290,HostBuild[Alias],0),COLUMN(HostBuild[Description]))&lt;&gt;0,INDEX(HostBuild[],MATCH(E290,HostBuild[Alias],0),COLUMN(HostBuild[Description])),""),""),"")</f>
        <v/>
      </c>
    </row>
    <row r="291" spans="1:4">
      <c r="A291" s="3" t="str">
        <f>IF(AND(NOT(ISBLANK(E291)),E291&lt;&gt;"(blank)"),IFERROR(IF(INDEX(HostBuild[],MATCH(E291,HostBuild[Alias],0),COLUMN(HostBuild[Hostname]))&lt;&gt;0,INDEX(HostBuild[],MATCH(E291,HostBuild[Alias],0),COLUMN(HostBuild[Hostname])),""),""),"")</f>
        <v/>
      </c>
      <c r="B291" s="424" t="str">
        <f>IF(AND(NOT(ISBLANK(E291)),E291&lt;&gt;"(blank)"),IFERROR(IF(INDEX(HostBuild[],MATCH(E291,HostBuild[Alias],0),COLUMN(HostBuild[Status]))&lt;&gt;0,INDEX(HostBuild[],MATCH(E291,HostBuild[Alias],0),COLUMN(HostBuild[Status])),""),""),"")</f>
        <v/>
      </c>
      <c r="C291" s="425" t="str">
        <f>IF(AND(NOT(ISBLANK(E291)),E291&lt;&gt;"(blank)"),IFERROR(IF(INDEX(HostBuild[],MATCH(E291,HostBuild[Alias],0),COLUMN(HostBuild[CTI Target Completion]))&lt;&gt;0,INDEX(HostBuild[],MATCH(E291,HostBuild[Alias],0),COLUMN(HostBuild[CTI Target Completion])),""),""),"")</f>
        <v/>
      </c>
      <c r="D291" s="262" t="str">
        <f>IF(AND(NOT(ISBLANK(E291)),E291&lt;&gt;"(blank)"),IFERROR(IF(INDEX(HostBuild[],MATCH(E291,HostBuild[Alias],0),COLUMN(HostBuild[Description]))&lt;&gt;0,INDEX(HostBuild[],MATCH(E291,HostBuild[Alias],0),COLUMN(HostBuild[Description])),""),""),"")</f>
        <v/>
      </c>
    </row>
    <row r="292" spans="1:4">
      <c r="A292" s="3" t="str">
        <f>IF(AND(NOT(ISBLANK(E292)),E292&lt;&gt;"(blank)"),IFERROR(IF(INDEX(HostBuild[],MATCH(E292,HostBuild[Alias],0),COLUMN(HostBuild[Hostname]))&lt;&gt;0,INDEX(HostBuild[],MATCH(E292,HostBuild[Alias],0),COLUMN(HostBuild[Hostname])),""),""),"")</f>
        <v/>
      </c>
      <c r="B292" s="424" t="str">
        <f>IF(AND(NOT(ISBLANK(E292)),E292&lt;&gt;"(blank)"),IFERROR(IF(INDEX(HostBuild[],MATCH(E292,HostBuild[Alias],0),COLUMN(HostBuild[Status]))&lt;&gt;0,INDEX(HostBuild[],MATCH(E292,HostBuild[Alias],0),COLUMN(HostBuild[Status])),""),""),"")</f>
        <v/>
      </c>
      <c r="C292" s="425" t="str">
        <f>IF(AND(NOT(ISBLANK(E292)),E292&lt;&gt;"(blank)"),IFERROR(IF(INDEX(HostBuild[],MATCH(E292,HostBuild[Alias],0),COLUMN(HostBuild[CTI Target Completion]))&lt;&gt;0,INDEX(HostBuild[],MATCH(E292,HostBuild[Alias],0),COLUMN(HostBuild[CTI Target Completion])),""),""),"")</f>
        <v/>
      </c>
      <c r="D292" s="262" t="str">
        <f>IF(AND(NOT(ISBLANK(E292)),E292&lt;&gt;"(blank)"),IFERROR(IF(INDEX(HostBuild[],MATCH(E292,HostBuild[Alias],0),COLUMN(HostBuild[Description]))&lt;&gt;0,INDEX(HostBuild[],MATCH(E292,HostBuild[Alias],0),COLUMN(HostBuild[Description])),""),""),"")</f>
        <v/>
      </c>
    </row>
    <row r="293" spans="1:4">
      <c r="A293" s="3" t="str">
        <f>IF(AND(NOT(ISBLANK(E293)),E293&lt;&gt;"(blank)"),IFERROR(IF(INDEX(HostBuild[],MATCH(E293,HostBuild[Alias],0),COLUMN(HostBuild[Hostname]))&lt;&gt;0,INDEX(HostBuild[],MATCH(E293,HostBuild[Alias],0),COLUMN(HostBuild[Hostname])),""),""),"")</f>
        <v/>
      </c>
      <c r="B293" s="424" t="str">
        <f>IF(AND(NOT(ISBLANK(E293)),E293&lt;&gt;"(blank)"),IFERROR(IF(INDEX(HostBuild[],MATCH(E293,HostBuild[Alias],0),COLUMN(HostBuild[Status]))&lt;&gt;0,INDEX(HostBuild[],MATCH(E293,HostBuild[Alias],0),COLUMN(HostBuild[Status])),""),""),"")</f>
        <v/>
      </c>
      <c r="C293" s="425" t="str">
        <f>IF(AND(NOT(ISBLANK(E293)),E293&lt;&gt;"(blank)"),IFERROR(IF(INDEX(HostBuild[],MATCH(E293,HostBuild[Alias],0),COLUMN(HostBuild[CTI Target Completion]))&lt;&gt;0,INDEX(HostBuild[],MATCH(E293,HostBuild[Alias],0),COLUMN(HostBuild[CTI Target Completion])),""),""),"")</f>
        <v/>
      </c>
      <c r="D293" s="262" t="str">
        <f>IF(AND(NOT(ISBLANK(E293)),E293&lt;&gt;"(blank)"),IFERROR(IF(INDEX(HostBuild[],MATCH(E293,HostBuild[Alias],0),COLUMN(HostBuild[Description]))&lt;&gt;0,INDEX(HostBuild[],MATCH(E293,HostBuild[Alias],0),COLUMN(HostBuild[Description])),""),""),"")</f>
        <v/>
      </c>
    </row>
    <row r="294" spans="1:4">
      <c r="A294" s="3" t="str">
        <f>IF(AND(NOT(ISBLANK(E294)),E294&lt;&gt;"(blank)"),IFERROR(IF(INDEX(HostBuild[],MATCH(E294,HostBuild[Alias],0),COLUMN(HostBuild[Hostname]))&lt;&gt;0,INDEX(HostBuild[],MATCH(E294,HostBuild[Alias],0),COLUMN(HostBuild[Hostname])),""),""),"")</f>
        <v/>
      </c>
      <c r="B294" s="424" t="str">
        <f>IF(AND(NOT(ISBLANK(E294)),E294&lt;&gt;"(blank)"),IFERROR(IF(INDEX(HostBuild[],MATCH(E294,HostBuild[Alias],0),COLUMN(HostBuild[Status]))&lt;&gt;0,INDEX(HostBuild[],MATCH(E294,HostBuild[Alias],0),COLUMN(HostBuild[Status])),""),""),"")</f>
        <v/>
      </c>
      <c r="C294" s="425" t="str">
        <f>IF(AND(NOT(ISBLANK(E294)),E294&lt;&gt;"(blank)"),IFERROR(IF(INDEX(HostBuild[],MATCH(E294,HostBuild[Alias],0),COLUMN(HostBuild[CTI Target Completion]))&lt;&gt;0,INDEX(HostBuild[],MATCH(E294,HostBuild[Alias],0),COLUMN(HostBuild[CTI Target Completion])),""),""),"")</f>
        <v/>
      </c>
      <c r="D294" s="262" t="str">
        <f>IF(AND(NOT(ISBLANK(E294)),E294&lt;&gt;"(blank)"),IFERROR(IF(INDEX(HostBuild[],MATCH(E294,HostBuild[Alias],0),COLUMN(HostBuild[Description]))&lt;&gt;0,INDEX(HostBuild[],MATCH(E294,HostBuild[Alias],0),COLUMN(HostBuild[Description])),""),""),"")</f>
        <v/>
      </c>
    </row>
    <row r="295" spans="1:4">
      <c r="A295" s="3" t="str">
        <f>IF(AND(NOT(ISBLANK(E295)),E295&lt;&gt;"(blank)"),IFERROR(IF(INDEX(HostBuild[],MATCH(E295,HostBuild[Alias],0),COLUMN(HostBuild[Hostname]))&lt;&gt;0,INDEX(HostBuild[],MATCH(E295,HostBuild[Alias],0),COLUMN(HostBuild[Hostname])),""),""),"")</f>
        <v/>
      </c>
      <c r="B295" s="424" t="str">
        <f>IF(AND(NOT(ISBLANK(E295)),E295&lt;&gt;"(blank)"),IFERROR(IF(INDEX(HostBuild[],MATCH(E295,HostBuild[Alias],0),COLUMN(HostBuild[Status]))&lt;&gt;0,INDEX(HostBuild[],MATCH(E295,HostBuild[Alias],0),COLUMN(HostBuild[Status])),""),""),"")</f>
        <v/>
      </c>
      <c r="C295" s="425" t="str">
        <f>IF(AND(NOT(ISBLANK(E295)),E295&lt;&gt;"(blank)"),IFERROR(IF(INDEX(HostBuild[],MATCH(E295,HostBuild[Alias],0),COLUMN(HostBuild[CTI Target Completion]))&lt;&gt;0,INDEX(HostBuild[],MATCH(E295,HostBuild[Alias],0),COLUMN(HostBuild[CTI Target Completion])),""),""),"")</f>
        <v/>
      </c>
      <c r="D295" s="262" t="str">
        <f>IF(AND(NOT(ISBLANK(E295)),E295&lt;&gt;"(blank)"),IFERROR(IF(INDEX(HostBuild[],MATCH(E295,HostBuild[Alias],0),COLUMN(HostBuild[Description]))&lt;&gt;0,INDEX(HostBuild[],MATCH(E295,HostBuild[Alias],0),COLUMN(HostBuild[Description])),""),""),"")</f>
        <v/>
      </c>
    </row>
    <row r="296" spans="1:4">
      <c r="A296" s="3" t="str">
        <f>IF(AND(NOT(ISBLANK(E296)),E296&lt;&gt;"(blank)"),IFERROR(IF(INDEX(HostBuild[],MATCH(E296,HostBuild[Alias],0),COLUMN(HostBuild[Hostname]))&lt;&gt;0,INDEX(HostBuild[],MATCH(E296,HostBuild[Alias],0),COLUMN(HostBuild[Hostname])),""),""),"")</f>
        <v/>
      </c>
      <c r="B296" s="424" t="str">
        <f>IF(AND(NOT(ISBLANK(E296)),E296&lt;&gt;"(blank)"),IFERROR(IF(INDEX(HostBuild[],MATCH(E296,HostBuild[Alias],0),COLUMN(HostBuild[Status]))&lt;&gt;0,INDEX(HostBuild[],MATCH(E296,HostBuild[Alias],0),COLUMN(HostBuild[Status])),""),""),"")</f>
        <v/>
      </c>
      <c r="C296" s="425" t="str">
        <f>IF(AND(NOT(ISBLANK(E296)),E296&lt;&gt;"(blank)"),IFERROR(IF(INDEX(HostBuild[],MATCH(E296,HostBuild[Alias],0),COLUMN(HostBuild[CTI Target Completion]))&lt;&gt;0,INDEX(HostBuild[],MATCH(E296,HostBuild[Alias],0),COLUMN(HostBuild[CTI Target Completion])),""),""),"")</f>
        <v/>
      </c>
      <c r="D296" s="262" t="str">
        <f>IF(AND(NOT(ISBLANK(E296)),E296&lt;&gt;"(blank)"),IFERROR(IF(INDEX(HostBuild[],MATCH(E296,HostBuild[Alias],0),COLUMN(HostBuild[Description]))&lt;&gt;0,INDEX(HostBuild[],MATCH(E296,HostBuild[Alias],0),COLUMN(HostBuild[Description])),""),""),"")</f>
        <v/>
      </c>
    </row>
    <row r="297" spans="1:4">
      <c r="A297" s="3" t="str">
        <f>IF(AND(NOT(ISBLANK(E297)),E297&lt;&gt;"(blank)"),IFERROR(IF(INDEX(HostBuild[],MATCH(E297,HostBuild[Alias],0),COLUMN(HostBuild[Hostname]))&lt;&gt;0,INDEX(HostBuild[],MATCH(E297,HostBuild[Alias],0),COLUMN(HostBuild[Hostname])),""),""),"")</f>
        <v/>
      </c>
      <c r="B297" s="424" t="str">
        <f>IF(AND(NOT(ISBLANK(E297)),E297&lt;&gt;"(blank)"),IFERROR(IF(INDEX(HostBuild[],MATCH(E297,HostBuild[Alias],0),COLUMN(HostBuild[Status]))&lt;&gt;0,INDEX(HostBuild[],MATCH(E297,HostBuild[Alias],0),COLUMN(HostBuild[Status])),""),""),"")</f>
        <v/>
      </c>
      <c r="C297" s="425" t="str">
        <f>IF(AND(NOT(ISBLANK(E297)),E297&lt;&gt;"(blank)"),IFERROR(IF(INDEX(HostBuild[],MATCH(E297,HostBuild[Alias],0),COLUMN(HostBuild[CTI Target Completion]))&lt;&gt;0,INDEX(HostBuild[],MATCH(E297,HostBuild[Alias],0),COLUMN(HostBuild[CTI Target Completion])),""),""),"")</f>
        <v/>
      </c>
      <c r="D297" s="262" t="str">
        <f>IF(AND(NOT(ISBLANK(E297)),E297&lt;&gt;"(blank)"),IFERROR(IF(INDEX(HostBuild[],MATCH(E297,HostBuild[Alias],0),COLUMN(HostBuild[Description]))&lt;&gt;0,INDEX(HostBuild[],MATCH(E297,HostBuild[Alias],0),COLUMN(HostBuild[Description])),""),""),"")</f>
        <v/>
      </c>
    </row>
    <row r="298" spans="1:4">
      <c r="A298" s="3" t="str">
        <f>IF(AND(NOT(ISBLANK(E298)),E298&lt;&gt;"(blank)"),IFERROR(IF(INDEX(HostBuild[],MATCH(E298,HostBuild[Alias],0),COLUMN(HostBuild[Hostname]))&lt;&gt;0,INDEX(HostBuild[],MATCH(E298,HostBuild[Alias],0),COLUMN(HostBuild[Hostname])),""),""),"")</f>
        <v/>
      </c>
      <c r="B298" s="424" t="str">
        <f>IF(AND(NOT(ISBLANK(E298)),E298&lt;&gt;"(blank)"),IFERROR(IF(INDEX(HostBuild[],MATCH(E298,HostBuild[Alias],0),COLUMN(HostBuild[Status]))&lt;&gt;0,INDEX(HostBuild[],MATCH(E298,HostBuild[Alias],0),COLUMN(HostBuild[Status])),""),""),"")</f>
        <v/>
      </c>
      <c r="C298" s="425" t="str">
        <f>IF(AND(NOT(ISBLANK(E298)),E298&lt;&gt;"(blank)"),IFERROR(IF(INDEX(HostBuild[],MATCH(E298,HostBuild[Alias],0),COLUMN(HostBuild[CTI Target Completion]))&lt;&gt;0,INDEX(HostBuild[],MATCH(E298,HostBuild[Alias],0),COLUMN(HostBuild[CTI Target Completion])),""),""),"")</f>
        <v/>
      </c>
      <c r="D298" s="262" t="str">
        <f>IF(AND(NOT(ISBLANK(E298)),E298&lt;&gt;"(blank)"),IFERROR(IF(INDEX(HostBuild[],MATCH(E298,HostBuild[Alias],0),COLUMN(HostBuild[Description]))&lt;&gt;0,INDEX(HostBuild[],MATCH(E298,HostBuild[Alias],0),COLUMN(HostBuild[Description])),""),""),"")</f>
        <v/>
      </c>
    </row>
    <row r="299" spans="1:4">
      <c r="A299" s="3" t="str">
        <f>IF(AND(NOT(ISBLANK(E299)),E299&lt;&gt;"(blank)"),IFERROR(IF(INDEX(HostBuild[],MATCH(E299,HostBuild[Alias],0),COLUMN(HostBuild[Hostname]))&lt;&gt;0,INDEX(HostBuild[],MATCH(E299,HostBuild[Alias],0),COLUMN(HostBuild[Hostname])),""),""),"")</f>
        <v/>
      </c>
      <c r="B299" s="424" t="str">
        <f>IF(AND(NOT(ISBLANK(E299)),E299&lt;&gt;"(blank)"),IFERROR(IF(INDEX(HostBuild[],MATCH(E299,HostBuild[Alias],0),COLUMN(HostBuild[Status]))&lt;&gt;0,INDEX(HostBuild[],MATCH(E299,HostBuild[Alias],0),COLUMN(HostBuild[Status])),""),""),"")</f>
        <v/>
      </c>
      <c r="C299" s="425" t="str">
        <f>IF(AND(NOT(ISBLANK(E299)),E299&lt;&gt;"(blank)"),IFERROR(IF(INDEX(HostBuild[],MATCH(E299,HostBuild[Alias],0),COLUMN(HostBuild[CTI Target Completion]))&lt;&gt;0,INDEX(HostBuild[],MATCH(E299,HostBuild[Alias],0),COLUMN(HostBuild[CTI Target Completion])),""),""),"")</f>
        <v/>
      </c>
      <c r="D299" s="262" t="str">
        <f>IF(AND(NOT(ISBLANK(E299)),E299&lt;&gt;"(blank)"),IFERROR(IF(INDEX(HostBuild[],MATCH(E299,HostBuild[Alias],0),COLUMN(HostBuild[Description]))&lt;&gt;0,INDEX(HostBuild[],MATCH(E299,HostBuild[Alias],0),COLUMN(HostBuild[Description])),""),""),"")</f>
        <v/>
      </c>
    </row>
    <row r="300" spans="1:4">
      <c r="A300" s="3" t="str">
        <f>IF(AND(NOT(ISBLANK(E300)),E300&lt;&gt;"(blank)"),IFERROR(IF(INDEX(HostBuild[],MATCH(E300,HostBuild[Alias],0),COLUMN(HostBuild[Hostname]))&lt;&gt;0,INDEX(HostBuild[],MATCH(E300,HostBuild[Alias],0),COLUMN(HostBuild[Hostname])),""),""),"")</f>
        <v/>
      </c>
      <c r="B300" s="424" t="str">
        <f>IF(AND(NOT(ISBLANK(E300)),E300&lt;&gt;"(blank)"),IFERROR(IF(INDEX(HostBuild[],MATCH(E300,HostBuild[Alias],0),COLUMN(HostBuild[Status]))&lt;&gt;0,INDEX(HostBuild[],MATCH(E300,HostBuild[Alias],0),COLUMN(HostBuild[Status])),""),""),"")</f>
        <v/>
      </c>
      <c r="C300" s="425" t="str">
        <f>IF(AND(NOT(ISBLANK(E300)),E300&lt;&gt;"(blank)"),IFERROR(IF(INDEX(HostBuild[],MATCH(E300,HostBuild[Alias],0),COLUMN(HostBuild[CTI Target Completion]))&lt;&gt;0,INDEX(HostBuild[],MATCH(E300,HostBuild[Alias],0),COLUMN(HostBuild[CTI Target Completion])),""),""),"")</f>
        <v/>
      </c>
      <c r="D300" s="262" t="str">
        <f>IF(AND(NOT(ISBLANK(E300)),E300&lt;&gt;"(blank)"),IFERROR(IF(INDEX(HostBuild[],MATCH(E300,HostBuild[Alias],0),COLUMN(HostBuild[Description]))&lt;&gt;0,INDEX(HostBuild[],MATCH(E300,HostBuild[Alias],0),COLUMN(HostBuild[Description])),""),""),"")</f>
        <v/>
      </c>
    </row>
    <row r="301" spans="1:4">
      <c r="A301" s="3" t="str">
        <f>IF(AND(NOT(ISBLANK(E301)),E301&lt;&gt;"(blank)"),IFERROR(IF(INDEX(HostBuild[],MATCH(E301,HostBuild[Alias],0),COLUMN(HostBuild[Hostname]))&lt;&gt;0,INDEX(HostBuild[],MATCH(E301,HostBuild[Alias],0),COLUMN(HostBuild[Hostname])),""),""),"")</f>
        <v/>
      </c>
      <c r="B301" s="424" t="str">
        <f>IF(AND(NOT(ISBLANK(E301)),E301&lt;&gt;"(blank)"),IFERROR(IF(INDEX(HostBuild[],MATCH(E301,HostBuild[Alias],0),COLUMN(HostBuild[Status]))&lt;&gt;0,INDEX(HostBuild[],MATCH(E301,HostBuild[Alias],0),COLUMN(HostBuild[Status])),""),""),"")</f>
        <v/>
      </c>
      <c r="C301" s="425" t="str">
        <f>IF(AND(NOT(ISBLANK(E301)),E301&lt;&gt;"(blank)"),IFERROR(IF(INDEX(HostBuild[],MATCH(E301,HostBuild[Alias],0),COLUMN(HostBuild[CTI Target Completion]))&lt;&gt;0,INDEX(HostBuild[],MATCH(E301,HostBuild[Alias],0),COLUMN(HostBuild[CTI Target Completion])),""),""),"")</f>
        <v/>
      </c>
      <c r="D301" s="262" t="str">
        <f>IF(AND(NOT(ISBLANK(E301)),E301&lt;&gt;"(blank)"),IFERROR(IF(INDEX(HostBuild[],MATCH(E301,HostBuild[Alias],0),COLUMN(HostBuild[Description]))&lt;&gt;0,INDEX(HostBuild[],MATCH(E301,HostBuild[Alias],0),COLUMN(HostBuild[Description])),""),""),"")</f>
        <v/>
      </c>
    </row>
    <row r="302" spans="1:4">
      <c r="A302" s="3" t="str">
        <f>IF(AND(NOT(ISBLANK(E302)),E302&lt;&gt;"(blank)"),IFERROR(IF(INDEX(HostBuild[],MATCH(E302,HostBuild[Alias],0),COLUMN(HostBuild[Hostname]))&lt;&gt;0,INDEX(HostBuild[],MATCH(E302,HostBuild[Alias],0),COLUMN(HostBuild[Hostname])),""),""),"")</f>
        <v/>
      </c>
      <c r="B302" s="424" t="str">
        <f>IF(AND(NOT(ISBLANK(E302)),E302&lt;&gt;"(blank)"),IFERROR(IF(INDEX(HostBuild[],MATCH(E302,HostBuild[Alias],0),COLUMN(HostBuild[Status]))&lt;&gt;0,INDEX(HostBuild[],MATCH(E302,HostBuild[Alias],0),COLUMN(HostBuild[Status])),""),""),"")</f>
        <v/>
      </c>
      <c r="C302" s="425" t="str">
        <f>IF(AND(NOT(ISBLANK(E302)),E302&lt;&gt;"(blank)"),IFERROR(IF(INDEX(HostBuild[],MATCH(E302,HostBuild[Alias],0),COLUMN(HostBuild[CTI Target Completion]))&lt;&gt;0,INDEX(HostBuild[],MATCH(E302,HostBuild[Alias],0),COLUMN(HostBuild[CTI Target Completion])),""),""),"")</f>
        <v/>
      </c>
      <c r="D302" s="262" t="str">
        <f>IF(AND(NOT(ISBLANK(E302)),E302&lt;&gt;"(blank)"),IFERROR(IF(INDEX(HostBuild[],MATCH(E302,HostBuild[Alias],0),COLUMN(HostBuild[Description]))&lt;&gt;0,INDEX(HostBuild[],MATCH(E302,HostBuild[Alias],0),COLUMN(HostBuild[Description])),""),""),"")</f>
        <v/>
      </c>
    </row>
    <row r="303" spans="1:4">
      <c r="A303" s="3" t="str">
        <f>IF(AND(NOT(ISBLANK(E303)),E303&lt;&gt;"(blank)"),IFERROR(IF(INDEX(HostBuild[],MATCH(E303,HostBuild[Alias],0),COLUMN(HostBuild[Hostname]))&lt;&gt;0,INDEX(HostBuild[],MATCH(E303,HostBuild[Alias],0),COLUMN(HostBuild[Hostname])),""),""),"")</f>
        <v/>
      </c>
      <c r="B303" s="424" t="str">
        <f>IF(AND(NOT(ISBLANK(E303)),E303&lt;&gt;"(blank)"),IFERROR(IF(INDEX(HostBuild[],MATCH(E303,HostBuild[Alias],0),COLUMN(HostBuild[Status]))&lt;&gt;0,INDEX(HostBuild[],MATCH(E303,HostBuild[Alias],0),COLUMN(HostBuild[Status])),""),""),"")</f>
        <v/>
      </c>
      <c r="C303" s="425" t="str">
        <f>IF(AND(NOT(ISBLANK(E303)),E303&lt;&gt;"(blank)"),IFERROR(IF(INDEX(HostBuild[],MATCH(E303,HostBuild[Alias],0),COLUMN(HostBuild[CTI Target Completion]))&lt;&gt;0,INDEX(HostBuild[],MATCH(E303,HostBuild[Alias],0),COLUMN(HostBuild[CTI Target Completion])),""),""),"")</f>
        <v/>
      </c>
      <c r="D303" s="262" t="str">
        <f>IF(AND(NOT(ISBLANK(E303)),E303&lt;&gt;"(blank)"),IFERROR(IF(INDEX(HostBuild[],MATCH(E303,HostBuild[Alias],0),COLUMN(HostBuild[Description]))&lt;&gt;0,INDEX(HostBuild[],MATCH(E303,HostBuild[Alias],0),COLUMN(HostBuild[Description])),""),""),"")</f>
        <v/>
      </c>
    </row>
    <row r="304" spans="1:4">
      <c r="A304" s="3" t="str">
        <f>IF(AND(NOT(ISBLANK(E304)),E304&lt;&gt;"(blank)"),IFERROR(IF(INDEX(HostBuild[],MATCH(E304,HostBuild[Alias],0),COLUMN(HostBuild[Hostname]))&lt;&gt;0,INDEX(HostBuild[],MATCH(E304,HostBuild[Alias],0),COLUMN(HostBuild[Hostname])),""),""),"")</f>
        <v/>
      </c>
      <c r="B304" s="424" t="str">
        <f>IF(AND(NOT(ISBLANK(E304)),E304&lt;&gt;"(blank)"),IFERROR(IF(INDEX(HostBuild[],MATCH(E304,HostBuild[Alias],0),COLUMN(HostBuild[Status]))&lt;&gt;0,INDEX(HostBuild[],MATCH(E304,HostBuild[Alias],0),COLUMN(HostBuild[Status])),""),""),"")</f>
        <v/>
      </c>
      <c r="C304" s="425" t="str">
        <f>IF(AND(NOT(ISBLANK(E304)),E304&lt;&gt;"(blank)"),IFERROR(IF(INDEX(HostBuild[],MATCH(E304,HostBuild[Alias],0),COLUMN(HostBuild[CTI Target Completion]))&lt;&gt;0,INDEX(HostBuild[],MATCH(E304,HostBuild[Alias],0),COLUMN(HostBuild[CTI Target Completion])),""),""),"")</f>
        <v/>
      </c>
      <c r="D304" s="262" t="str">
        <f>IF(AND(NOT(ISBLANK(E304)),E304&lt;&gt;"(blank)"),IFERROR(IF(INDEX(HostBuild[],MATCH(E304,HostBuild[Alias],0),COLUMN(HostBuild[Description]))&lt;&gt;0,INDEX(HostBuild[],MATCH(E304,HostBuild[Alias],0),COLUMN(HostBuild[Description])),""),""),"")</f>
        <v/>
      </c>
    </row>
    <row r="305" spans="1:4">
      <c r="A305" s="3" t="str">
        <f>IF(AND(NOT(ISBLANK(E305)),E305&lt;&gt;"(blank)"),IFERROR(IF(INDEX(HostBuild[],MATCH(E305,HostBuild[Alias],0),COLUMN(HostBuild[Hostname]))&lt;&gt;0,INDEX(HostBuild[],MATCH(E305,HostBuild[Alias],0),COLUMN(HostBuild[Hostname])),""),""),"")</f>
        <v/>
      </c>
      <c r="B305" s="424" t="str">
        <f>IF(AND(NOT(ISBLANK(E305)),E305&lt;&gt;"(blank)"),IFERROR(IF(INDEX(HostBuild[],MATCH(E305,HostBuild[Alias],0),COLUMN(HostBuild[Status]))&lt;&gt;0,INDEX(HostBuild[],MATCH(E305,HostBuild[Alias],0),COLUMN(HostBuild[Status])),""),""),"")</f>
        <v/>
      </c>
      <c r="C305" s="425" t="str">
        <f>IF(AND(NOT(ISBLANK(E305)),E305&lt;&gt;"(blank)"),IFERROR(IF(INDEX(HostBuild[],MATCH(E305,HostBuild[Alias],0),COLUMN(HostBuild[CTI Target Completion]))&lt;&gt;0,INDEX(HostBuild[],MATCH(E305,HostBuild[Alias],0),COLUMN(HostBuild[CTI Target Completion])),""),""),"")</f>
        <v/>
      </c>
      <c r="D305" s="262" t="str">
        <f>IF(AND(NOT(ISBLANK(E305)),E305&lt;&gt;"(blank)"),IFERROR(IF(INDEX(HostBuild[],MATCH(E305,HostBuild[Alias],0),COLUMN(HostBuild[Description]))&lt;&gt;0,INDEX(HostBuild[],MATCH(E305,HostBuild[Alias],0),COLUMN(HostBuild[Description])),""),""),"")</f>
        <v/>
      </c>
    </row>
    <row r="306" spans="1:4">
      <c r="A306" s="3" t="str">
        <f>IF(AND(NOT(ISBLANK(E306)),E306&lt;&gt;"(blank)"),IFERROR(IF(INDEX(HostBuild[],MATCH(E306,HostBuild[Alias],0),COLUMN(HostBuild[Hostname]))&lt;&gt;0,INDEX(HostBuild[],MATCH(E306,HostBuild[Alias],0),COLUMN(HostBuild[Hostname])),""),""),"")</f>
        <v/>
      </c>
      <c r="B306" s="424" t="str">
        <f>IF(AND(NOT(ISBLANK(E306)),E306&lt;&gt;"(blank)"),IFERROR(IF(INDEX(HostBuild[],MATCH(E306,HostBuild[Alias],0),COLUMN(HostBuild[Status]))&lt;&gt;0,INDEX(HostBuild[],MATCH(E306,HostBuild[Alias],0),COLUMN(HostBuild[Status])),""),""),"")</f>
        <v/>
      </c>
      <c r="C306" s="425" t="str">
        <f>IF(AND(NOT(ISBLANK(E306)),E306&lt;&gt;"(blank)"),IFERROR(IF(INDEX(HostBuild[],MATCH(E306,HostBuild[Alias],0),COLUMN(HostBuild[CTI Target Completion]))&lt;&gt;0,INDEX(HostBuild[],MATCH(E306,HostBuild[Alias],0),COLUMN(HostBuild[CTI Target Completion])),""),""),"")</f>
        <v/>
      </c>
      <c r="D306" s="262" t="str">
        <f>IF(AND(NOT(ISBLANK(E306)),E306&lt;&gt;"(blank)"),IFERROR(IF(INDEX(HostBuild[],MATCH(E306,HostBuild[Alias],0),COLUMN(HostBuild[Description]))&lt;&gt;0,INDEX(HostBuild[],MATCH(E306,HostBuild[Alias],0),COLUMN(HostBuild[Description])),""),""),"")</f>
        <v/>
      </c>
    </row>
    <row r="307" spans="1:4">
      <c r="A307" s="3" t="str">
        <f>IF(AND(NOT(ISBLANK(E307)),E307&lt;&gt;"(blank)"),IFERROR(IF(INDEX(HostBuild[],MATCH(E307,HostBuild[Alias],0),COLUMN(HostBuild[Hostname]))&lt;&gt;0,INDEX(HostBuild[],MATCH(E307,HostBuild[Alias],0),COLUMN(HostBuild[Hostname])),""),""),"")</f>
        <v/>
      </c>
      <c r="B307" s="424" t="str">
        <f>IF(AND(NOT(ISBLANK(E307)),E307&lt;&gt;"(blank)"),IFERROR(IF(INDEX(HostBuild[],MATCH(E307,HostBuild[Alias],0),COLUMN(HostBuild[Status]))&lt;&gt;0,INDEX(HostBuild[],MATCH(E307,HostBuild[Alias],0),COLUMN(HostBuild[Status])),""),""),"")</f>
        <v/>
      </c>
      <c r="C307" s="425" t="str">
        <f>IF(AND(NOT(ISBLANK(E307)),E307&lt;&gt;"(blank)"),IFERROR(IF(INDEX(HostBuild[],MATCH(E307,HostBuild[Alias],0),COLUMN(HostBuild[CTI Target Completion]))&lt;&gt;0,INDEX(HostBuild[],MATCH(E307,HostBuild[Alias],0),COLUMN(HostBuild[CTI Target Completion])),""),""),"")</f>
        <v/>
      </c>
      <c r="D307" s="262" t="str">
        <f>IF(AND(NOT(ISBLANK(E307)),E307&lt;&gt;"(blank)"),IFERROR(IF(INDEX(HostBuild[],MATCH(E307,HostBuild[Alias],0),COLUMN(HostBuild[Description]))&lt;&gt;0,INDEX(HostBuild[],MATCH(E307,HostBuild[Alias],0),COLUMN(HostBuild[Description])),""),""),"")</f>
        <v/>
      </c>
    </row>
    <row r="308" spans="1:4">
      <c r="A308" s="3" t="str">
        <f>IF(AND(NOT(ISBLANK(E308)),E308&lt;&gt;"(blank)"),IFERROR(IF(INDEX(HostBuild[],MATCH(E308,HostBuild[Alias],0),COLUMN(HostBuild[Hostname]))&lt;&gt;0,INDEX(HostBuild[],MATCH(E308,HostBuild[Alias],0),COLUMN(HostBuild[Hostname])),""),""),"")</f>
        <v/>
      </c>
      <c r="B308" s="424" t="str">
        <f>IF(AND(NOT(ISBLANK(E308)),E308&lt;&gt;"(blank)"),IFERROR(IF(INDEX(HostBuild[],MATCH(E308,HostBuild[Alias],0),COLUMN(HostBuild[Status]))&lt;&gt;0,INDEX(HostBuild[],MATCH(E308,HostBuild[Alias],0),COLUMN(HostBuild[Status])),""),""),"")</f>
        <v/>
      </c>
      <c r="C308" s="425" t="str">
        <f>IF(AND(NOT(ISBLANK(E308)),E308&lt;&gt;"(blank)"),IFERROR(IF(INDEX(HostBuild[],MATCH(E308,HostBuild[Alias],0),COLUMN(HostBuild[CTI Target Completion]))&lt;&gt;0,INDEX(HostBuild[],MATCH(E308,HostBuild[Alias],0),COLUMN(HostBuild[CTI Target Completion])),""),""),"")</f>
        <v/>
      </c>
      <c r="D308" s="262" t="str">
        <f>IF(AND(NOT(ISBLANK(E308)),E308&lt;&gt;"(blank)"),IFERROR(IF(INDEX(HostBuild[],MATCH(E308,HostBuild[Alias],0),COLUMN(HostBuild[Description]))&lt;&gt;0,INDEX(HostBuild[],MATCH(E308,HostBuild[Alias],0),COLUMN(HostBuild[Description])),""),""),"")</f>
        <v/>
      </c>
    </row>
    <row r="309" spans="1:4">
      <c r="A309" s="3" t="str">
        <f>IF(AND(NOT(ISBLANK(E309)),E309&lt;&gt;"(blank)"),IFERROR(IF(INDEX(HostBuild[],MATCH(E309,HostBuild[Alias],0),COLUMN(HostBuild[Hostname]))&lt;&gt;0,INDEX(HostBuild[],MATCH(E309,HostBuild[Alias],0),COLUMN(HostBuild[Hostname])),""),""),"")</f>
        <v/>
      </c>
      <c r="B309" s="424" t="str">
        <f>IF(AND(NOT(ISBLANK(E309)),E309&lt;&gt;"(blank)"),IFERROR(IF(INDEX(HostBuild[],MATCH(E309,HostBuild[Alias],0),COLUMN(HostBuild[Status]))&lt;&gt;0,INDEX(HostBuild[],MATCH(E309,HostBuild[Alias],0),COLUMN(HostBuild[Status])),""),""),"")</f>
        <v/>
      </c>
      <c r="C309" s="425" t="str">
        <f>IF(AND(NOT(ISBLANK(E309)),E309&lt;&gt;"(blank)"),IFERROR(IF(INDEX(HostBuild[],MATCH(E309,HostBuild[Alias],0),COLUMN(HostBuild[CTI Target Completion]))&lt;&gt;0,INDEX(HostBuild[],MATCH(E309,HostBuild[Alias],0),COLUMN(HostBuild[CTI Target Completion])),""),""),"")</f>
        <v/>
      </c>
      <c r="D309" s="262" t="str">
        <f>IF(AND(NOT(ISBLANK(E309)),E309&lt;&gt;"(blank)"),IFERROR(IF(INDEX(HostBuild[],MATCH(E309,HostBuild[Alias],0),COLUMN(HostBuild[Description]))&lt;&gt;0,INDEX(HostBuild[],MATCH(E309,HostBuild[Alias],0),COLUMN(HostBuild[Description])),""),""),"")</f>
        <v/>
      </c>
    </row>
    <row r="310" spans="1:4">
      <c r="A310" s="3" t="str">
        <f>IF(AND(NOT(ISBLANK(E310)),E310&lt;&gt;"(blank)"),IFERROR(IF(INDEX(HostBuild[],MATCH(E310,HostBuild[Alias],0),COLUMN(HostBuild[Hostname]))&lt;&gt;0,INDEX(HostBuild[],MATCH(E310,HostBuild[Alias],0),COLUMN(HostBuild[Hostname])),""),""),"")</f>
        <v/>
      </c>
      <c r="B310" s="424" t="str">
        <f>IF(AND(NOT(ISBLANK(E310)),E310&lt;&gt;"(blank)"),IFERROR(IF(INDEX(HostBuild[],MATCH(E310,HostBuild[Alias],0),COLUMN(HostBuild[Status]))&lt;&gt;0,INDEX(HostBuild[],MATCH(E310,HostBuild[Alias],0),COLUMN(HostBuild[Status])),""),""),"")</f>
        <v/>
      </c>
      <c r="C310" s="425" t="str">
        <f>IF(AND(NOT(ISBLANK(E310)),E310&lt;&gt;"(blank)"),IFERROR(IF(INDEX(HostBuild[],MATCH(E310,HostBuild[Alias],0),COLUMN(HostBuild[CTI Target Completion]))&lt;&gt;0,INDEX(HostBuild[],MATCH(E310,HostBuild[Alias],0),COLUMN(HostBuild[CTI Target Completion])),""),""),"")</f>
        <v/>
      </c>
      <c r="D310" s="262" t="str">
        <f>IF(AND(NOT(ISBLANK(E310)),E310&lt;&gt;"(blank)"),IFERROR(IF(INDEX(HostBuild[],MATCH(E310,HostBuild[Alias],0),COLUMN(HostBuild[Description]))&lt;&gt;0,INDEX(HostBuild[],MATCH(E310,HostBuild[Alias],0),COLUMN(HostBuild[Description])),""),""),"")</f>
        <v/>
      </c>
    </row>
    <row r="311" spans="1:4">
      <c r="A311" s="3" t="str">
        <f>IF(AND(NOT(ISBLANK(E311)),E311&lt;&gt;"(blank)"),IFERROR(IF(INDEX(HostBuild[],MATCH(E311,HostBuild[Alias],0),COLUMN(HostBuild[Hostname]))&lt;&gt;0,INDEX(HostBuild[],MATCH(E311,HostBuild[Alias],0),COLUMN(HostBuild[Hostname])),""),""),"")</f>
        <v/>
      </c>
      <c r="B311" s="424" t="str">
        <f>IF(AND(NOT(ISBLANK(E311)),E311&lt;&gt;"(blank)"),IFERROR(IF(INDEX(HostBuild[],MATCH(E311,HostBuild[Alias],0),COLUMN(HostBuild[Status]))&lt;&gt;0,INDEX(HostBuild[],MATCH(E311,HostBuild[Alias],0),COLUMN(HostBuild[Status])),""),""),"")</f>
        <v/>
      </c>
      <c r="C311" s="425" t="str">
        <f>IF(AND(NOT(ISBLANK(E311)),E311&lt;&gt;"(blank)"),IFERROR(IF(INDEX(HostBuild[],MATCH(E311,HostBuild[Alias],0),COLUMN(HostBuild[CTI Target Completion]))&lt;&gt;0,INDEX(HostBuild[],MATCH(E311,HostBuild[Alias],0),COLUMN(HostBuild[CTI Target Completion])),""),""),"")</f>
        <v/>
      </c>
      <c r="D311" s="262" t="str">
        <f>IF(AND(NOT(ISBLANK(E311)),E311&lt;&gt;"(blank)"),IFERROR(IF(INDEX(HostBuild[],MATCH(E311,HostBuild[Alias],0),COLUMN(HostBuild[Description]))&lt;&gt;0,INDEX(HostBuild[],MATCH(E311,HostBuild[Alias],0),COLUMN(HostBuild[Description])),""),""),"")</f>
        <v/>
      </c>
    </row>
    <row r="312" spans="1:4">
      <c r="A312" s="3" t="str">
        <f>IF(AND(NOT(ISBLANK(E312)),E312&lt;&gt;"(blank)"),IFERROR(IF(INDEX(HostBuild[],MATCH(E312,HostBuild[Alias],0),COLUMN(HostBuild[Hostname]))&lt;&gt;0,INDEX(HostBuild[],MATCH(E312,HostBuild[Alias],0),COLUMN(HostBuild[Hostname])),""),""),"")</f>
        <v/>
      </c>
      <c r="B312" s="424" t="str">
        <f>IF(AND(NOT(ISBLANK(E312)),E312&lt;&gt;"(blank)"),IFERROR(IF(INDEX(HostBuild[],MATCH(E312,HostBuild[Alias],0),COLUMN(HostBuild[Status]))&lt;&gt;0,INDEX(HostBuild[],MATCH(E312,HostBuild[Alias],0),COLUMN(HostBuild[Status])),""),""),"")</f>
        <v/>
      </c>
      <c r="C312" s="425" t="str">
        <f>IF(AND(NOT(ISBLANK(E312)),E312&lt;&gt;"(blank)"),IFERROR(IF(INDEX(HostBuild[],MATCH(E312,HostBuild[Alias],0),COLUMN(HostBuild[CTI Target Completion]))&lt;&gt;0,INDEX(HostBuild[],MATCH(E312,HostBuild[Alias],0),COLUMN(HostBuild[CTI Target Completion])),""),""),"")</f>
        <v/>
      </c>
      <c r="D312" s="262" t="str">
        <f>IF(AND(NOT(ISBLANK(E312)),E312&lt;&gt;"(blank)"),IFERROR(IF(INDEX(HostBuild[],MATCH(E312,HostBuild[Alias],0),COLUMN(HostBuild[Description]))&lt;&gt;0,INDEX(HostBuild[],MATCH(E312,HostBuild[Alias],0),COLUMN(HostBuild[Description])),""),""),"")</f>
        <v/>
      </c>
    </row>
    <row r="313" spans="1:4">
      <c r="A313" s="3" t="str">
        <f>IF(AND(NOT(ISBLANK(E313)),E313&lt;&gt;"(blank)"),IFERROR(IF(INDEX(HostBuild[],MATCH(E313,HostBuild[Alias],0),COLUMN(HostBuild[Hostname]))&lt;&gt;0,INDEX(HostBuild[],MATCH(E313,HostBuild[Alias],0),COLUMN(HostBuild[Hostname])),""),""),"")</f>
        <v/>
      </c>
      <c r="B313" s="424" t="str">
        <f>IF(AND(NOT(ISBLANK(E313)),E313&lt;&gt;"(blank)"),IFERROR(IF(INDEX(HostBuild[],MATCH(E313,HostBuild[Alias],0),COLUMN(HostBuild[Status]))&lt;&gt;0,INDEX(HostBuild[],MATCH(E313,HostBuild[Alias],0),COLUMN(HostBuild[Status])),""),""),"")</f>
        <v/>
      </c>
      <c r="C313" s="425" t="str">
        <f>IF(AND(NOT(ISBLANK(E313)),E313&lt;&gt;"(blank)"),IFERROR(IF(INDEX(HostBuild[],MATCH(E313,HostBuild[Alias],0),COLUMN(HostBuild[CTI Target Completion]))&lt;&gt;0,INDEX(HostBuild[],MATCH(E313,HostBuild[Alias],0),COLUMN(HostBuild[CTI Target Completion])),""),""),"")</f>
        <v/>
      </c>
      <c r="D313" s="262" t="str">
        <f>IF(AND(NOT(ISBLANK(E313)),E313&lt;&gt;"(blank)"),IFERROR(IF(INDEX(HostBuild[],MATCH(E313,HostBuild[Alias],0),COLUMN(HostBuild[Description]))&lt;&gt;0,INDEX(HostBuild[],MATCH(E313,HostBuild[Alias],0),COLUMN(HostBuild[Description])),""),""),"")</f>
        <v/>
      </c>
    </row>
    <row r="314" spans="1:4">
      <c r="A314" s="3" t="str">
        <f>IF(AND(NOT(ISBLANK(E314)),E314&lt;&gt;"(blank)"),IFERROR(IF(INDEX(HostBuild[],MATCH(E314,HostBuild[Alias],0),COLUMN(HostBuild[Hostname]))&lt;&gt;0,INDEX(HostBuild[],MATCH(E314,HostBuild[Alias],0),COLUMN(HostBuild[Hostname])),""),""),"")</f>
        <v/>
      </c>
      <c r="B314" s="424" t="str">
        <f>IF(AND(NOT(ISBLANK(E314)),E314&lt;&gt;"(blank)"),IFERROR(IF(INDEX(HostBuild[],MATCH(E314,HostBuild[Alias],0),COLUMN(HostBuild[Status]))&lt;&gt;0,INDEX(HostBuild[],MATCH(E314,HostBuild[Alias],0),COLUMN(HostBuild[Status])),""),""),"")</f>
        <v/>
      </c>
      <c r="C314" s="425" t="str">
        <f>IF(AND(NOT(ISBLANK(E314)),E314&lt;&gt;"(blank)"),IFERROR(IF(INDEX(HostBuild[],MATCH(E314,HostBuild[Alias],0),COLUMN(HostBuild[CTI Target Completion]))&lt;&gt;0,INDEX(HostBuild[],MATCH(E314,HostBuild[Alias],0),COLUMN(HostBuild[CTI Target Completion])),""),""),"")</f>
        <v/>
      </c>
      <c r="D314" s="262" t="str">
        <f>IF(AND(NOT(ISBLANK(E314)),E314&lt;&gt;"(blank)"),IFERROR(IF(INDEX(HostBuild[],MATCH(E314,HostBuild[Alias],0),COLUMN(HostBuild[Description]))&lt;&gt;0,INDEX(HostBuild[],MATCH(E314,HostBuild[Alias],0),COLUMN(HostBuild[Description])),""),""),"")</f>
        <v/>
      </c>
    </row>
    <row r="315" spans="1:4">
      <c r="A315" s="3" t="str">
        <f>IF(AND(NOT(ISBLANK(E315)),E315&lt;&gt;"(blank)"),IFERROR(IF(INDEX(HostBuild[],MATCH(E315,HostBuild[Alias],0),COLUMN(HostBuild[Hostname]))&lt;&gt;0,INDEX(HostBuild[],MATCH(E315,HostBuild[Alias],0),COLUMN(HostBuild[Hostname])),""),""),"")</f>
        <v/>
      </c>
      <c r="B315" s="424" t="str">
        <f>IF(AND(NOT(ISBLANK(E315)),E315&lt;&gt;"(blank)"),IFERROR(IF(INDEX(HostBuild[],MATCH(E315,HostBuild[Alias],0),COLUMN(HostBuild[Status]))&lt;&gt;0,INDEX(HostBuild[],MATCH(E315,HostBuild[Alias],0),COLUMN(HostBuild[Status])),""),""),"")</f>
        <v/>
      </c>
      <c r="C315" s="425" t="str">
        <f>IF(AND(NOT(ISBLANK(E315)),E315&lt;&gt;"(blank)"),IFERROR(IF(INDEX(HostBuild[],MATCH(E315,HostBuild[Alias],0),COLUMN(HostBuild[CTI Target Completion]))&lt;&gt;0,INDEX(HostBuild[],MATCH(E315,HostBuild[Alias],0),COLUMN(HostBuild[CTI Target Completion])),""),""),"")</f>
        <v/>
      </c>
      <c r="D315" s="262" t="str">
        <f>IF(AND(NOT(ISBLANK(E315)),E315&lt;&gt;"(blank)"),IFERROR(IF(INDEX(HostBuild[],MATCH(E315,HostBuild[Alias],0),COLUMN(HostBuild[Description]))&lt;&gt;0,INDEX(HostBuild[],MATCH(E315,HostBuild[Alias],0),COLUMN(HostBuild[Description])),""),""),"")</f>
        <v/>
      </c>
    </row>
    <row r="316" spans="1:4">
      <c r="A316" s="3" t="str">
        <f>IF(AND(NOT(ISBLANK(E316)),E316&lt;&gt;"(blank)"),IFERROR(IF(INDEX(HostBuild[],MATCH(E316,HostBuild[Alias],0),COLUMN(HostBuild[Hostname]))&lt;&gt;0,INDEX(HostBuild[],MATCH(E316,HostBuild[Alias],0),COLUMN(HostBuild[Hostname])),""),""),"")</f>
        <v/>
      </c>
      <c r="B316" s="424" t="str">
        <f>IF(AND(NOT(ISBLANK(E316)),E316&lt;&gt;"(blank)"),IFERROR(IF(INDEX(HostBuild[],MATCH(E316,HostBuild[Alias],0),COLUMN(HostBuild[Status]))&lt;&gt;0,INDEX(HostBuild[],MATCH(E316,HostBuild[Alias],0),COLUMN(HostBuild[Status])),""),""),"")</f>
        <v/>
      </c>
      <c r="C316" s="425" t="str">
        <f>IF(AND(NOT(ISBLANK(E316)),E316&lt;&gt;"(blank)"),IFERROR(IF(INDEX(HostBuild[],MATCH(E316,HostBuild[Alias],0),COLUMN(HostBuild[CTI Target Completion]))&lt;&gt;0,INDEX(HostBuild[],MATCH(E316,HostBuild[Alias],0),COLUMN(HostBuild[CTI Target Completion])),""),""),"")</f>
        <v/>
      </c>
      <c r="D316" s="262" t="str">
        <f>IF(AND(NOT(ISBLANK(E316)),E316&lt;&gt;"(blank)"),IFERROR(IF(INDEX(HostBuild[],MATCH(E316,HostBuild[Alias],0),COLUMN(HostBuild[Description]))&lt;&gt;0,INDEX(HostBuild[],MATCH(E316,HostBuild[Alias],0),COLUMN(HostBuild[Description])),""),""),"")</f>
        <v/>
      </c>
    </row>
    <row r="317" spans="1:4">
      <c r="A317" s="3" t="str">
        <f>IF(AND(NOT(ISBLANK(E317)),E317&lt;&gt;"(blank)"),IFERROR(IF(INDEX(HostBuild[],MATCH(E317,HostBuild[Alias],0),COLUMN(HostBuild[Hostname]))&lt;&gt;0,INDEX(HostBuild[],MATCH(E317,HostBuild[Alias],0),COLUMN(HostBuild[Hostname])),""),""),"")</f>
        <v/>
      </c>
      <c r="B317" s="424" t="str">
        <f>IF(AND(NOT(ISBLANK(E317)),E317&lt;&gt;"(blank)"),IFERROR(IF(INDEX(HostBuild[],MATCH(E317,HostBuild[Alias],0),COLUMN(HostBuild[Status]))&lt;&gt;0,INDEX(HostBuild[],MATCH(E317,HostBuild[Alias],0),COLUMN(HostBuild[Status])),""),""),"")</f>
        <v/>
      </c>
      <c r="C317" s="425" t="str">
        <f>IF(AND(NOT(ISBLANK(E317)),E317&lt;&gt;"(blank)"),IFERROR(IF(INDEX(HostBuild[],MATCH(E317,HostBuild[Alias],0),COLUMN(HostBuild[CTI Target Completion]))&lt;&gt;0,INDEX(HostBuild[],MATCH(E317,HostBuild[Alias],0),COLUMN(HostBuild[CTI Target Completion])),""),""),"")</f>
        <v/>
      </c>
      <c r="D317" s="262" t="str">
        <f>IF(AND(NOT(ISBLANK(E317)),E317&lt;&gt;"(blank)"),IFERROR(IF(INDEX(HostBuild[],MATCH(E317,HostBuild[Alias],0),COLUMN(HostBuild[Description]))&lt;&gt;0,INDEX(HostBuild[],MATCH(E317,HostBuild[Alias],0),COLUMN(HostBuild[Description])),""),""),"")</f>
        <v/>
      </c>
    </row>
    <row r="318" spans="1:4">
      <c r="A318" s="3" t="str">
        <f>IF(AND(NOT(ISBLANK(E318)),E318&lt;&gt;"(blank)"),IFERROR(IF(INDEX(HostBuild[],MATCH(E318,HostBuild[Alias],0),COLUMN(HostBuild[Hostname]))&lt;&gt;0,INDEX(HostBuild[],MATCH(E318,HostBuild[Alias],0),COLUMN(HostBuild[Hostname])),""),""),"")</f>
        <v/>
      </c>
      <c r="B318" s="424" t="str">
        <f>IF(AND(NOT(ISBLANK(E318)),E318&lt;&gt;"(blank)"),IFERROR(IF(INDEX(HostBuild[],MATCH(E318,HostBuild[Alias],0),COLUMN(HostBuild[Status]))&lt;&gt;0,INDEX(HostBuild[],MATCH(E318,HostBuild[Alias],0),COLUMN(HostBuild[Status])),""),""),"")</f>
        <v/>
      </c>
      <c r="C318" s="425" t="str">
        <f>IF(AND(NOT(ISBLANK(E318)),E318&lt;&gt;"(blank)"),IFERROR(IF(INDEX(HostBuild[],MATCH(E318,HostBuild[Alias],0),COLUMN(HostBuild[CTI Target Completion]))&lt;&gt;0,INDEX(HostBuild[],MATCH(E318,HostBuild[Alias],0),COLUMN(HostBuild[CTI Target Completion])),""),""),"")</f>
        <v/>
      </c>
      <c r="D318" s="262" t="str">
        <f>IF(AND(NOT(ISBLANK(E318)),E318&lt;&gt;"(blank)"),IFERROR(IF(INDEX(HostBuild[],MATCH(E318,HostBuild[Alias],0),COLUMN(HostBuild[Description]))&lt;&gt;0,INDEX(HostBuild[],MATCH(E318,HostBuild[Alias],0),COLUMN(HostBuild[Description])),""),""),"")</f>
        <v/>
      </c>
    </row>
    <row r="319" spans="1:4">
      <c r="A319" s="3" t="str">
        <f>IF(AND(NOT(ISBLANK(E319)),E319&lt;&gt;"(blank)"),IFERROR(IF(INDEX(HostBuild[],MATCH(E319,HostBuild[Alias],0),COLUMN(HostBuild[Hostname]))&lt;&gt;0,INDEX(HostBuild[],MATCH(E319,HostBuild[Alias],0),COLUMN(HostBuild[Hostname])),""),""),"")</f>
        <v/>
      </c>
      <c r="B319" s="424" t="str">
        <f>IF(AND(NOT(ISBLANK(E319)),E319&lt;&gt;"(blank)"),IFERROR(IF(INDEX(HostBuild[],MATCH(E319,HostBuild[Alias],0),COLUMN(HostBuild[Status]))&lt;&gt;0,INDEX(HostBuild[],MATCH(E319,HostBuild[Alias],0),COLUMN(HostBuild[Status])),""),""),"")</f>
        <v/>
      </c>
      <c r="C319" s="425" t="str">
        <f>IF(AND(NOT(ISBLANK(E319)),E319&lt;&gt;"(blank)"),IFERROR(IF(INDEX(HostBuild[],MATCH(E319,HostBuild[Alias],0),COLUMN(HostBuild[CTI Target Completion]))&lt;&gt;0,INDEX(HostBuild[],MATCH(E319,HostBuild[Alias],0),COLUMN(HostBuild[CTI Target Completion])),""),""),"")</f>
        <v/>
      </c>
      <c r="D319" s="262" t="str">
        <f>IF(AND(NOT(ISBLANK(E319)),E319&lt;&gt;"(blank)"),IFERROR(IF(INDEX(HostBuild[],MATCH(E319,HostBuild[Alias],0),COLUMN(HostBuild[Description]))&lt;&gt;0,INDEX(HostBuild[],MATCH(E319,HostBuild[Alias],0),COLUMN(HostBuild[Description])),""),""),"")</f>
        <v/>
      </c>
    </row>
    <row r="320" spans="1:4">
      <c r="A320" s="3" t="str">
        <f>IF(AND(NOT(ISBLANK(E320)),E320&lt;&gt;"(blank)"),IFERROR(IF(INDEX(HostBuild[],MATCH(E320,HostBuild[Alias],0),COLUMN(HostBuild[Hostname]))&lt;&gt;0,INDEX(HostBuild[],MATCH(E320,HostBuild[Alias],0),COLUMN(HostBuild[Hostname])),""),""),"")</f>
        <v/>
      </c>
      <c r="B320" s="424" t="str">
        <f>IF(AND(NOT(ISBLANK(E320)),E320&lt;&gt;"(blank)"),IFERROR(IF(INDEX(HostBuild[],MATCH(E320,HostBuild[Alias],0),COLUMN(HostBuild[Status]))&lt;&gt;0,INDEX(HostBuild[],MATCH(E320,HostBuild[Alias],0),COLUMN(HostBuild[Status])),""),""),"")</f>
        <v/>
      </c>
      <c r="C320" s="425" t="str">
        <f>IF(AND(NOT(ISBLANK(E320)),E320&lt;&gt;"(blank)"),IFERROR(IF(INDEX(HostBuild[],MATCH(E320,HostBuild[Alias],0),COLUMN(HostBuild[CTI Target Completion]))&lt;&gt;0,INDEX(HostBuild[],MATCH(E320,HostBuild[Alias],0),COLUMN(HostBuild[CTI Target Completion])),""),""),"")</f>
        <v/>
      </c>
      <c r="D320" s="262" t="str">
        <f>IF(AND(NOT(ISBLANK(E320)),E320&lt;&gt;"(blank)"),IFERROR(IF(INDEX(HostBuild[],MATCH(E320,HostBuild[Alias],0),COLUMN(HostBuild[Description]))&lt;&gt;0,INDEX(HostBuild[],MATCH(E320,HostBuild[Alias],0),COLUMN(HostBuild[Description])),""),""),"")</f>
        <v/>
      </c>
    </row>
    <row r="321" spans="1:4">
      <c r="A321" s="3" t="str">
        <f>IF(AND(NOT(ISBLANK(E321)),E321&lt;&gt;"(blank)"),IFERROR(IF(INDEX(HostBuild[],MATCH(E321,HostBuild[Alias],0),COLUMN(HostBuild[Hostname]))&lt;&gt;0,INDEX(HostBuild[],MATCH(E321,HostBuild[Alias],0),COLUMN(HostBuild[Hostname])),""),""),"")</f>
        <v/>
      </c>
      <c r="B321" s="424" t="str">
        <f>IF(AND(NOT(ISBLANK(E321)),E321&lt;&gt;"(blank)"),IFERROR(IF(INDEX(HostBuild[],MATCH(E321,HostBuild[Alias],0),COLUMN(HostBuild[Status]))&lt;&gt;0,INDEX(HostBuild[],MATCH(E321,HostBuild[Alias],0),COLUMN(HostBuild[Status])),""),""),"")</f>
        <v/>
      </c>
      <c r="C321" s="425" t="str">
        <f>IF(AND(NOT(ISBLANK(E321)),E321&lt;&gt;"(blank)"),IFERROR(IF(INDEX(HostBuild[],MATCH(E321,HostBuild[Alias],0),COLUMN(HostBuild[CTI Target Completion]))&lt;&gt;0,INDEX(HostBuild[],MATCH(E321,HostBuild[Alias],0),COLUMN(HostBuild[CTI Target Completion])),""),""),"")</f>
        <v/>
      </c>
      <c r="D321" s="262" t="str">
        <f>IF(AND(NOT(ISBLANK(E321)),E321&lt;&gt;"(blank)"),IFERROR(IF(INDEX(HostBuild[],MATCH(E321,HostBuild[Alias],0),COLUMN(HostBuild[Description]))&lt;&gt;0,INDEX(HostBuild[],MATCH(E321,HostBuild[Alias],0),COLUMN(HostBuild[Description])),""),""),"")</f>
        <v/>
      </c>
    </row>
    <row r="322" spans="1:4">
      <c r="A322" s="3" t="str">
        <f>IF(AND(NOT(ISBLANK(E322)),E322&lt;&gt;"(blank)"),IFERROR(IF(INDEX(HostBuild[],MATCH(E322,HostBuild[Alias],0),COLUMN(HostBuild[Hostname]))&lt;&gt;0,INDEX(HostBuild[],MATCH(E322,HostBuild[Alias],0),COLUMN(HostBuild[Hostname])),""),""),"")</f>
        <v/>
      </c>
      <c r="B322" s="424" t="str">
        <f>IF(AND(NOT(ISBLANK(E322)),E322&lt;&gt;"(blank)"),IFERROR(IF(INDEX(HostBuild[],MATCH(E322,HostBuild[Alias],0),COLUMN(HostBuild[Status]))&lt;&gt;0,INDEX(HostBuild[],MATCH(E322,HostBuild[Alias],0),COLUMN(HostBuild[Status])),""),""),"")</f>
        <v/>
      </c>
      <c r="C322" s="425" t="str">
        <f>IF(AND(NOT(ISBLANK(E322)),E322&lt;&gt;"(blank)"),IFERROR(IF(INDEX(HostBuild[],MATCH(E322,HostBuild[Alias],0),COLUMN(HostBuild[CTI Target Completion]))&lt;&gt;0,INDEX(HostBuild[],MATCH(E322,HostBuild[Alias],0),COLUMN(HostBuild[CTI Target Completion])),""),""),"")</f>
        <v/>
      </c>
      <c r="D322" s="262" t="str">
        <f>IF(AND(NOT(ISBLANK(E322)),E322&lt;&gt;"(blank)"),IFERROR(IF(INDEX(HostBuild[],MATCH(E322,HostBuild[Alias],0),COLUMN(HostBuild[Description]))&lt;&gt;0,INDEX(HostBuild[],MATCH(E322,HostBuild[Alias],0),COLUMN(HostBuild[Description])),""),""),"")</f>
        <v/>
      </c>
    </row>
    <row r="323" spans="1:4">
      <c r="A323" s="3" t="str">
        <f>IF(AND(NOT(ISBLANK(E323)),E323&lt;&gt;"(blank)"),IFERROR(IF(INDEX(HostBuild[],MATCH(E323,HostBuild[Alias],0),COLUMN(HostBuild[Hostname]))&lt;&gt;0,INDEX(HostBuild[],MATCH(E323,HostBuild[Alias],0),COLUMN(HostBuild[Hostname])),""),""),"")</f>
        <v/>
      </c>
      <c r="B323" s="424" t="str">
        <f>IF(AND(NOT(ISBLANK(E323)),E323&lt;&gt;"(blank)"),IFERROR(IF(INDEX(HostBuild[],MATCH(E323,HostBuild[Alias],0),COLUMN(HostBuild[Status]))&lt;&gt;0,INDEX(HostBuild[],MATCH(E323,HostBuild[Alias],0),COLUMN(HostBuild[Status])),""),""),"")</f>
        <v/>
      </c>
      <c r="C323" s="425" t="str">
        <f>IF(AND(NOT(ISBLANK(E323)),E323&lt;&gt;"(blank)"),IFERROR(IF(INDEX(HostBuild[],MATCH(E323,HostBuild[Alias],0),COLUMN(HostBuild[CTI Target Completion]))&lt;&gt;0,INDEX(HostBuild[],MATCH(E323,HostBuild[Alias],0),COLUMN(HostBuild[CTI Target Completion])),""),""),"")</f>
        <v/>
      </c>
      <c r="D323" s="262" t="str">
        <f>IF(AND(NOT(ISBLANK(E323)),E323&lt;&gt;"(blank)"),IFERROR(IF(INDEX(HostBuild[],MATCH(E323,HostBuild[Alias],0),COLUMN(HostBuild[Description]))&lt;&gt;0,INDEX(HostBuild[],MATCH(E323,HostBuild[Alias],0),COLUMN(HostBuild[Description])),""),""),"")</f>
        <v/>
      </c>
    </row>
    <row r="324" spans="1:4">
      <c r="A324" s="3" t="str">
        <f>IF(AND(NOT(ISBLANK(E324)),E324&lt;&gt;"(blank)"),IFERROR(IF(INDEX(HostBuild[],MATCH(E324,HostBuild[Alias],0),COLUMN(HostBuild[Hostname]))&lt;&gt;0,INDEX(HostBuild[],MATCH(E324,HostBuild[Alias],0),COLUMN(HostBuild[Hostname])),""),""),"")</f>
        <v/>
      </c>
      <c r="B324" s="424" t="str">
        <f>IF(AND(NOT(ISBLANK(E324)),E324&lt;&gt;"(blank)"),IFERROR(IF(INDEX(HostBuild[],MATCH(E324,HostBuild[Alias],0),COLUMN(HostBuild[Status]))&lt;&gt;0,INDEX(HostBuild[],MATCH(E324,HostBuild[Alias],0),COLUMN(HostBuild[Status])),""),""),"")</f>
        <v/>
      </c>
      <c r="C324" s="425" t="str">
        <f>IF(AND(NOT(ISBLANK(E324)),E324&lt;&gt;"(blank)"),IFERROR(IF(INDEX(HostBuild[],MATCH(E324,HostBuild[Alias],0),COLUMN(HostBuild[CTI Target Completion]))&lt;&gt;0,INDEX(HostBuild[],MATCH(E324,HostBuild[Alias],0),COLUMN(HostBuild[CTI Target Completion])),""),""),"")</f>
        <v/>
      </c>
      <c r="D324" s="262" t="str">
        <f>IF(AND(NOT(ISBLANK(E324)),E324&lt;&gt;"(blank)"),IFERROR(IF(INDEX(HostBuild[],MATCH(E324,HostBuild[Alias],0),COLUMN(HostBuild[Description]))&lt;&gt;0,INDEX(HostBuild[],MATCH(E324,HostBuild[Alias],0),COLUMN(HostBuild[Description])),""),""),"")</f>
        <v/>
      </c>
    </row>
    <row r="325" spans="1:4">
      <c r="A325" s="3" t="str">
        <f>IF(AND(NOT(ISBLANK(E325)),E325&lt;&gt;"(blank)"),IFERROR(IF(INDEX(HostBuild[],MATCH(E325,HostBuild[Alias],0),COLUMN(HostBuild[Hostname]))&lt;&gt;0,INDEX(HostBuild[],MATCH(E325,HostBuild[Alias],0),COLUMN(HostBuild[Hostname])),""),""),"")</f>
        <v/>
      </c>
      <c r="B325" s="424" t="str">
        <f>IF(AND(NOT(ISBLANK(E325)),E325&lt;&gt;"(blank)"),IFERROR(IF(INDEX(HostBuild[],MATCH(E325,HostBuild[Alias],0),COLUMN(HostBuild[Status]))&lt;&gt;0,INDEX(HostBuild[],MATCH(E325,HostBuild[Alias],0),COLUMN(HostBuild[Status])),""),""),"")</f>
        <v/>
      </c>
      <c r="C325" s="425" t="str">
        <f>IF(AND(NOT(ISBLANK(E325)),E325&lt;&gt;"(blank)"),IFERROR(IF(INDEX(HostBuild[],MATCH(E325,HostBuild[Alias],0),COLUMN(HostBuild[CTI Target Completion]))&lt;&gt;0,INDEX(HostBuild[],MATCH(E325,HostBuild[Alias],0),COLUMN(HostBuild[CTI Target Completion])),""),""),"")</f>
        <v/>
      </c>
      <c r="D325" s="262" t="str">
        <f>IF(AND(NOT(ISBLANK(E325)),E325&lt;&gt;"(blank)"),IFERROR(IF(INDEX(HostBuild[],MATCH(E325,HostBuild[Alias],0),COLUMN(HostBuild[Description]))&lt;&gt;0,INDEX(HostBuild[],MATCH(E325,HostBuild[Alias],0),COLUMN(HostBuild[Description])),""),""),"")</f>
        <v/>
      </c>
    </row>
    <row r="326" spans="1:4">
      <c r="A326" s="3" t="str">
        <f>IF(AND(NOT(ISBLANK(E326)),E326&lt;&gt;"(blank)"),IFERROR(IF(INDEX(HostBuild[],MATCH(E326,HostBuild[Alias],0),COLUMN(HostBuild[Hostname]))&lt;&gt;0,INDEX(HostBuild[],MATCH(E326,HostBuild[Alias],0),COLUMN(HostBuild[Hostname])),""),""),"")</f>
        <v/>
      </c>
      <c r="B326" s="424" t="str">
        <f>IF(AND(NOT(ISBLANK(E326)),E326&lt;&gt;"(blank)"),IFERROR(IF(INDEX(HostBuild[],MATCH(E326,HostBuild[Alias],0),COLUMN(HostBuild[Status]))&lt;&gt;0,INDEX(HostBuild[],MATCH(E326,HostBuild[Alias],0),COLUMN(HostBuild[Status])),""),""),"")</f>
        <v/>
      </c>
      <c r="C326" s="425" t="str">
        <f>IF(AND(NOT(ISBLANK(E326)),E326&lt;&gt;"(blank)"),IFERROR(IF(INDEX(HostBuild[],MATCH(E326,HostBuild[Alias],0),COLUMN(HostBuild[CTI Target Completion]))&lt;&gt;0,INDEX(HostBuild[],MATCH(E326,HostBuild[Alias],0),COLUMN(HostBuild[CTI Target Completion])),""),""),"")</f>
        <v/>
      </c>
      <c r="D326" s="262" t="str">
        <f>IF(AND(NOT(ISBLANK(E326)),E326&lt;&gt;"(blank)"),IFERROR(IF(INDEX(HostBuild[],MATCH(E326,HostBuild[Alias],0),COLUMN(HostBuild[Description]))&lt;&gt;0,INDEX(HostBuild[],MATCH(E326,HostBuild[Alias],0),COLUMN(HostBuild[Description])),""),""),"")</f>
        <v/>
      </c>
    </row>
    <row r="327" spans="1:4">
      <c r="A327" s="3" t="str">
        <f>IF(AND(NOT(ISBLANK(E327)),E327&lt;&gt;"(blank)"),IFERROR(IF(INDEX(HostBuild[],MATCH(E327,HostBuild[Alias],0),COLUMN(HostBuild[Hostname]))&lt;&gt;0,INDEX(HostBuild[],MATCH(E327,HostBuild[Alias],0),COLUMN(HostBuild[Hostname])),""),""),"")</f>
        <v/>
      </c>
      <c r="B327" s="424" t="str">
        <f>IF(AND(NOT(ISBLANK(E327)),E327&lt;&gt;"(blank)"),IFERROR(IF(INDEX(HostBuild[],MATCH(E327,HostBuild[Alias],0),COLUMN(HostBuild[Status]))&lt;&gt;0,INDEX(HostBuild[],MATCH(E327,HostBuild[Alias],0),COLUMN(HostBuild[Status])),""),""),"")</f>
        <v/>
      </c>
      <c r="C327" s="425" t="str">
        <f>IF(AND(NOT(ISBLANK(E327)),E327&lt;&gt;"(blank)"),IFERROR(IF(INDEX(HostBuild[],MATCH(E327,HostBuild[Alias],0),COLUMN(HostBuild[CTI Target Completion]))&lt;&gt;0,INDEX(HostBuild[],MATCH(E327,HostBuild[Alias],0),COLUMN(HostBuild[CTI Target Completion])),""),""),"")</f>
        <v/>
      </c>
      <c r="D327" s="262" t="str">
        <f>IF(AND(NOT(ISBLANK(E327)),E327&lt;&gt;"(blank)"),IFERROR(IF(INDEX(HostBuild[],MATCH(E327,HostBuild[Alias],0),COLUMN(HostBuild[Description]))&lt;&gt;0,INDEX(HostBuild[],MATCH(E327,HostBuild[Alias],0),COLUMN(HostBuild[Description])),""),""),"")</f>
        <v/>
      </c>
    </row>
    <row r="328" spans="1:4">
      <c r="A328" s="3" t="str">
        <f>IF(AND(NOT(ISBLANK(E328)),E328&lt;&gt;"(blank)"),IFERROR(IF(INDEX(HostBuild[],MATCH(E328,HostBuild[Alias],0),COLUMN(HostBuild[Hostname]))&lt;&gt;0,INDEX(HostBuild[],MATCH(E328,HostBuild[Alias],0),COLUMN(HostBuild[Hostname])),""),""),"")</f>
        <v/>
      </c>
      <c r="B328" s="424" t="str">
        <f>IF(AND(NOT(ISBLANK(E328)),E328&lt;&gt;"(blank)"),IFERROR(IF(INDEX(HostBuild[],MATCH(E328,HostBuild[Alias],0),COLUMN(HostBuild[Status]))&lt;&gt;0,INDEX(HostBuild[],MATCH(E328,HostBuild[Alias],0),COLUMN(HostBuild[Status])),""),""),"")</f>
        <v/>
      </c>
      <c r="C328" s="425" t="str">
        <f>IF(AND(NOT(ISBLANK(E328)),E328&lt;&gt;"(blank)"),IFERROR(IF(INDEX(HostBuild[],MATCH(E328,HostBuild[Alias],0),COLUMN(HostBuild[CTI Target Completion]))&lt;&gt;0,INDEX(HostBuild[],MATCH(E328,HostBuild[Alias],0),COLUMN(HostBuild[CTI Target Completion])),""),""),"")</f>
        <v/>
      </c>
      <c r="D328" s="262" t="str">
        <f>IF(AND(NOT(ISBLANK(E328)),E328&lt;&gt;"(blank)"),IFERROR(IF(INDEX(HostBuild[],MATCH(E328,HostBuild[Alias],0),COLUMN(HostBuild[Description]))&lt;&gt;0,INDEX(HostBuild[],MATCH(E328,HostBuild[Alias],0),COLUMN(HostBuild[Description])),""),""),"")</f>
        <v/>
      </c>
    </row>
    <row r="329" spans="1:4">
      <c r="A329" s="3" t="str">
        <f>IF(AND(NOT(ISBLANK(E329)),E329&lt;&gt;"(blank)"),IFERROR(IF(INDEX(HostBuild[],MATCH(E329,HostBuild[Alias],0),COLUMN(HostBuild[Hostname]))&lt;&gt;0,INDEX(HostBuild[],MATCH(E329,HostBuild[Alias],0),COLUMN(HostBuild[Hostname])),""),""),"")</f>
        <v/>
      </c>
      <c r="B329" s="424" t="str">
        <f>IF(AND(NOT(ISBLANK(E329)),E329&lt;&gt;"(blank)"),IFERROR(IF(INDEX(HostBuild[],MATCH(E329,HostBuild[Alias],0),COLUMN(HostBuild[Status]))&lt;&gt;0,INDEX(HostBuild[],MATCH(E329,HostBuild[Alias],0),COLUMN(HostBuild[Status])),""),""),"")</f>
        <v/>
      </c>
      <c r="C329" s="425" t="str">
        <f>IF(AND(NOT(ISBLANK(E329)),E329&lt;&gt;"(blank)"),IFERROR(IF(INDEX(HostBuild[],MATCH(E329,HostBuild[Alias],0),COLUMN(HostBuild[CTI Target Completion]))&lt;&gt;0,INDEX(HostBuild[],MATCH(E329,HostBuild[Alias],0),COLUMN(HostBuild[CTI Target Completion])),""),""),"")</f>
        <v/>
      </c>
      <c r="D329" s="262" t="str">
        <f>IF(AND(NOT(ISBLANK(E329)),E329&lt;&gt;"(blank)"),IFERROR(IF(INDEX(HostBuild[],MATCH(E329,HostBuild[Alias],0),COLUMN(HostBuild[Description]))&lt;&gt;0,INDEX(HostBuild[],MATCH(E329,HostBuild[Alias],0),COLUMN(HostBuild[Description])),""),""),"")</f>
        <v/>
      </c>
    </row>
    <row r="330" spans="1:4">
      <c r="A330" s="3" t="str">
        <f>IF(AND(NOT(ISBLANK(E330)),E330&lt;&gt;"(blank)"),IFERROR(IF(INDEX(HostBuild[],MATCH(E330,HostBuild[Alias],0),COLUMN(HostBuild[Hostname]))&lt;&gt;0,INDEX(HostBuild[],MATCH(E330,HostBuild[Alias],0),COLUMN(HostBuild[Hostname])),""),""),"")</f>
        <v/>
      </c>
      <c r="B330" s="424" t="str">
        <f>IF(AND(NOT(ISBLANK(E330)),E330&lt;&gt;"(blank)"),IFERROR(IF(INDEX(HostBuild[],MATCH(E330,HostBuild[Alias],0),COLUMN(HostBuild[Status]))&lt;&gt;0,INDEX(HostBuild[],MATCH(E330,HostBuild[Alias],0),COLUMN(HostBuild[Status])),""),""),"")</f>
        <v/>
      </c>
      <c r="C330" s="425" t="str">
        <f>IF(AND(NOT(ISBLANK(E330)),E330&lt;&gt;"(blank)"),IFERROR(IF(INDEX(HostBuild[],MATCH(E330,HostBuild[Alias],0),COLUMN(HostBuild[CTI Target Completion]))&lt;&gt;0,INDEX(HostBuild[],MATCH(E330,HostBuild[Alias],0),COLUMN(HostBuild[CTI Target Completion])),""),""),"")</f>
        <v/>
      </c>
      <c r="D330" s="262" t="str">
        <f>IF(AND(NOT(ISBLANK(E330)),E330&lt;&gt;"(blank)"),IFERROR(IF(INDEX(HostBuild[],MATCH(E330,HostBuild[Alias],0),COLUMN(HostBuild[Description]))&lt;&gt;0,INDEX(HostBuild[],MATCH(E330,HostBuild[Alias],0),COLUMN(HostBuild[Description])),""),""),"")</f>
        <v/>
      </c>
    </row>
    <row r="331" spans="1:4">
      <c r="A331" s="3" t="str">
        <f>IF(AND(NOT(ISBLANK(E331)),E331&lt;&gt;"(blank)"),IFERROR(IF(INDEX(HostBuild[],MATCH(E331,HostBuild[Alias],0),COLUMN(HostBuild[Hostname]))&lt;&gt;0,INDEX(HostBuild[],MATCH(E331,HostBuild[Alias],0),COLUMN(HostBuild[Hostname])),""),""),"")</f>
        <v/>
      </c>
      <c r="B331" s="424" t="str">
        <f>IF(AND(NOT(ISBLANK(E331)),E331&lt;&gt;"(blank)"),IFERROR(IF(INDEX(HostBuild[],MATCH(E331,HostBuild[Alias],0),COLUMN(HostBuild[Status]))&lt;&gt;0,INDEX(HostBuild[],MATCH(E331,HostBuild[Alias],0),COLUMN(HostBuild[Status])),""),""),"")</f>
        <v/>
      </c>
      <c r="C331" s="425" t="str">
        <f>IF(AND(NOT(ISBLANK(E331)),E331&lt;&gt;"(blank)"),IFERROR(IF(INDEX(HostBuild[],MATCH(E331,HostBuild[Alias],0),COLUMN(HostBuild[CTI Target Completion]))&lt;&gt;0,INDEX(HostBuild[],MATCH(E331,HostBuild[Alias],0),COLUMN(HostBuild[CTI Target Completion])),""),""),"")</f>
        <v/>
      </c>
      <c r="D331" s="262" t="str">
        <f>IF(AND(NOT(ISBLANK(E331)),E331&lt;&gt;"(blank)"),IFERROR(IF(INDEX(HostBuild[],MATCH(E331,HostBuild[Alias],0),COLUMN(HostBuild[Description]))&lt;&gt;0,INDEX(HostBuild[],MATCH(E331,HostBuild[Alias],0),COLUMN(HostBuild[Description])),""),""),"")</f>
        <v/>
      </c>
    </row>
    <row r="332" spans="1:4">
      <c r="A332" s="3" t="str">
        <f>IF(AND(NOT(ISBLANK(E332)),E332&lt;&gt;"(blank)"),IFERROR(IF(INDEX(HostBuild[],MATCH(E332,HostBuild[Alias],0),COLUMN(HostBuild[Hostname]))&lt;&gt;0,INDEX(HostBuild[],MATCH(E332,HostBuild[Alias],0),COLUMN(HostBuild[Hostname])),""),""),"")</f>
        <v/>
      </c>
      <c r="B332" s="424" t="str">
        <f>IF(AND(NOT(ISBLANK(E332)),E332&lt;&gt;"(blank)"),IFERROR(IF(INDEX(HostBuild[],MATCH(E332,HostBuild[Alias],0),COLUMN(HostBuild[Status]))&lt;&gt;0,INDEX(HostBuild[],MATCH(E332,HostBuild[Alias],0),COLUMN(HostBuild[Status])),""),""),"")</f>
        <v/>
      </c>
      <c r="C332" s="425" t="str">
        <f>IF(AND(NOT(ISBLANK(E332)),E332&lt;&gt;"(blank)"),IFERROR(IF(INDEX(HostBuild[],MATCH(E332,HostBuild[Alias],0),COLUMN(HostBuild[CTI Target Completion]))&lt;&gt;0,INDEX(HostBuild[],MATCH(E332,HostBuild[Alias],0),COLUMN(HostBuild[CTI Target Completion])),""),""),"")</f>
        <v/>
      </c>
      <c r="D332" s="262" t="str">
        <f>IF(AND(NOT(ISBLANK(E332)),E332&lt;&gt;"(blank)"),IFERROR(IF(INDEX(HostBuild[],MATCH(E332,HostBuild[Alias],0),COLUMN(HostBuild[Description]))&lt;&gt;0,INDEX(HostBuild[],MATCH(E332,HostBuild[Alias],0),COLUMN(HostBuild[Description])),""),""),"")</f>
        <v/>
      </c>
    </row>
    <row r="333" spans="1:4">
      <c r="A333" s="3" t="str">
        <f>IF(AND(NOT(ISBLANK(E333)),E333&lt;&gt;"(blank)"),IFERROR(IF(INDEX(HostBuild[],MATCH(E333,HostBuild[Alias],0),COLUMN(HostBuild[Hostname]))&lt;&gt;0,INDEX(HostBuild[],MATCH(E333,HostBuild[Alias],0),COLUMN(HostBuild[Hostname])),""),""),"")</f>
        <v/>
      </c>
      <c r="B333" s="424" t="str">
        <f>IF(AND(NOT(ISBLANK(E333)),E333&lt;&gt;"(blank)"),IFERROR(IF(INDEX(HostBuild[],MATCH(E333,HostBuild[Alias],0),COLUMN(HostBuild[Status]))&lt;&gt;0,INDEX(HostBuild[],MATCH(E333,HostBuild[Alias],0),COLUMN(HostBuild[Status])),""),""),"")</f>
        <v/>
      </c>
      <c r="C333" s="425" t="str">
        <f>IF(AND(NOT(ISBLANK(E333)),E333&lt;&gt;"(blank)"),IFERROR(IF(INDEX(HostBuild[],MATCH(E333,HostBuild[Alias],0),COLUMN(HostBuild[CTI Target Completion]))&lt;&gt;0,INDEX(HostBuild[],MATCH(E333,HostBuild[Alias],0),COLUMN(HostBuild[CTI Target Completion])),""),""),"")</f>
        <v/>
      </c>
      <c r="D333" s="262" t="str">
        <f>IF(AND(NOT(ISBLANK(E333)),E333&lt;&gt;"(blank)"),IFERROR(IF(INDEX(HostBuild[],MATCH(E333,HostBuild[Alias],0),COLUMN(HostBuild[Description]))&lt;&gt;0,INDEX(HostBuild[],MATCH(E333,HostBuild[Alias],0),COLUMN(HostBuild[Description])),""),""),"")</f>
        <v/>
      </c>
    </row>
    <row r="334" spans="1:4">
      <c r="A334" s="3" t="str">
        <f>IF(AND(NOT(ISBLANK(E334)),E334&lt;&gt;"(blank)"),IFERROR(IF(INDEX(HostBuild[],MATCH(E334,HostBuild[Alias],0),COLUMN(HostBuild[Hostname]))&lt;&gt;0,INDEX(HostBuild[],MATCH(E334,HostBuild[Alias],0),COLUMN(HostBuild[Hostname])),""),""),"")</f>
        <v/>
      </c>
      <c r="B334" s="424" t="str">
        <f>IF(AND(NOT(ISBLANK(E334)),E334&lt;&gt;"(blank)"),IFERROR(IF(INDEX(HostBuild[],MATCH(E334,HostBuild[Alias],0),COLUMN(HostBuild[Status]))&lt;&gt;0,INDEX(HostBuild[],MATCH(E334,HostBuild[Alias],0),COLUMN(HostBuild[Status])),""),""),"")</f>
        <v/>
      </c>
      <c r="C334" s="425" t="str">
        <f>IF(AND(NOT(ISBLANK(E334)),E334&lt;&gt;"(blank)"),IFERROR(IF(INDEX(HostBuild[],MATCH(E334,HostBuild[Alias],0),COLUMN(HostBuild[CTI Target Completion]))&lt;&gt;0,INDEX(HostBuild[],MATCH(E334,HostBuild[Alias],0),COLUMN(HostBuild[CTI Target Completion])),""),""),"")</f>
        <v/>
      </c>
      <c r="D334" s="262" t="str">
        <f>IF(AND(NOT(ISBLANK(E334)),E334&lt;&gt;"(blank)"),IFERROR(IF(INDEX(HostBuild[],MATCH(E334,HostBuild[Alias],0),COLUMN(HostBuild[Description]))&lt;&gt;0,INDEX(HostBuild[],MATCH(E334,HostBuild[Alias],0),COLUMN(HostBuild[Description])),""),""),"")</f>
        <v/>
      </c>
    </row>
    <row r="335" spans="1:4">
      <c r="A335" s="3" t="str">
        <f>IF(AND(NOT(ISBLANK(E335)),E335&lt;&gt;"(blank)"),IFERROR(IF(INDEX(HostBuild[],MATCH(E335,HostBuild[Alias],0),COLUMN(HostBuild[Hostname]))&lt;&gt;0,INDEX(HostBuild[],MATCH(E335,HostBuild[Alias],0),COLUMN(HostBuild[Hostname])),""),""),"")</f>
        <v/>
      </c>
      <c r="B335" s="424" t="str">
        <f>IF(AND(NOT(ISBLANK(E335)),E335&lt;&gt;"(blank)"),IFERROR(IF(INDEX(HostBuild[],MATCH(E335,HostBuild[Alias],0),COLUMN(HostBuild[Status]))&lt;&gt;0,INDEX(HostBuild[],MATCH(E335,HostBuild[Alias],0),COLUMN(HostBuild[Status])),""),""),"")</f>
        <v/>
      </c>
      <c r="C335" s="425" t="str">
        <f>IF(AND(NOT(ISBLANK(E335)),E335&lt;&gt;"(blank)"),IFERROR(IF(INDEX(HostBuild[],MATCH(E335,HostBuild[Alias],0),COLUMN(HostBuild[CTI Target Completion]))&lt;&gt;0,INDEX(HostBuild[],MATCH(E335,HostBuild[Alias],0),COLUMN(HostBuild[CTI Target Completion])),""),""),"")</f>
        <v/>
      </c>
      <c r="D335" s="262" t="str">
        <f>IF(AND(NOT(ISBLANK(E335)),E335&lt;&gt;"(blank)"),IFERROR(IF(INDEX(HostBuild[],MATCH(E335,HostBuild[Alias],0),COLUMN(HostBuild[Description]))&lt;&gt;0,INDEX(HostBuild[],MATCH(E335,HostBuild[Alias],0),COLUMN(HostBuild[Description])),""),""),"")</f>
        <v/>
      </c>
    </row>
    <row r="336" spans="1:4">
      <c r="A336" s="3" t="str">
        <f>IF(AND(NOT(ISBLANK(E336)),E336&lt;&gt;"(blank)"),IFERROR(IF(INDEX(HostBuild[],MATCH(E336,HostBuild[Alias],0),COLUMN(HostBuild[Hostname]))&lt;&gt;0,INDEX(HostBuild[],MATCH(E336,HostBuild[Alias],0),COLUMN(HostBuild[Hostname])),""),""),"")</f>
        <v/>
      </c>
      <c r="B336" s="424" t="str">
        <f>IF(AND(NOT(ISBLANK(E336)),E336&lt;&gt;"(blank)"),IFERROR(IF(INDEX(HostBuild[],MATCH(E336,HostBuild[Alias],0),COLUMN(HostBuild[Status]))&lt;&gt;0,INDEX(HostBuild[],MATCH(E336,HostBuild[Alias],0),COLUMN(HostBuild[Status])),""),""),"")</f>
        <v/>
      </c>
      <c r="C336" s="425" t="str">
        <f>IF(AND(NOT(ISBLANK(E336)),E336&lt;&gt;"(blank)"),IFERROR(IF(INDEX(HostBuild[],MATCH(E336,HostBuild[Alias],0),COLUMN(HostBuild[CTI Target Completion]))&lt;&gt;0,INDEX(HostBuild[],MATCH(E336,HostBuild[Alias],0),COLUMN(HostBuild[CTI Target Completion])),""),""),"")</f>
        <v/>
      </c>
      <c r="D336" s="262" t="str">
        <f>IF(AND(NOT(ISBLANK(E336)),E336&lt;&gt;"(blank)"),IFERROR(IF(INDEX(HostBuild[],MATCH(E336,HostBuild[Alias],0),COLUMN(HostBuild[Description]))&lt;&gt;0,INDEX(HostBuild[],MATCH(E336,HostBuild[Alias],0),COLUMN(HostBuild[Description])),""),""),"")</f>
        <v/>
      </c>
    </row>
    <row r="337" spans="1:4">
      <c r="A337" s="3" t="str">
        <f>IF(AND(NOT(ISBLANK(E337)),E337&lt;&gt;"(blank)"),IFERROR(IF(INDEX(HostBuild[],MATCH(E337,HostBuild[Alias],0),COLUMN(HostBuild[Hostname]))&lt;&gt;0,INDEX(HostBuild[],MATCH(E337,HostBuild[Alias],0),COLUMN(HostBuild[Hostname])),""),""),"")</f>
        <v/>
      </c>
      <c r="B337" s="424" t="str">
        <f>IF(AND(NOT(ISBLANK(E337)),E337&lt;&gt;"(blank)"),IFERROR(IF(INDEX(HostBuild[],MATCH(E337,HostBuild[Alias],0),COLUMN(HostBuild[Status]))&lt;&gt;0,INDEX(HostBuild[],MATCH(E337,HostBuild[Alias],0),COLUMN(HostBuild[Status])),""),""),"")</f>
        <v/>
      </c>
      <c r="C337" s="425" t="str">
        <f>IF(AND(NOT(ISBLANK(E337)),E337&lt;&gt;"(blank)"),IFERROR(IF(INDEX(HostBuild[],MATCH(E337,HostBuild[Alias],0),COLUMN(HostBuild[CTI Target Completion]))&lt;&gt;0,INDEX(HostBuild[],MATCH(E337,HostBuild[Alias],0),COLUMN(HostBuild[CTI Target Completion])),""),""),"")</f>
        <v/>
      </c>
      <c r="D337" s="262" t="str">
        <f>IF(AND(NOT(ISBLANK(E337)),E337&lt;&gt;"(blank)"),IFERROR(IF(INDEX(HostBuild[],MATCH(E337,HostBuild[Alias],0),COLUMN(HostBuild[Description]))&lt;&gt;0,INDEX(HostBuild[],MATCH(E337,HostBuild[Alias],0),COLUMN(HostBuild[Description])),""),""),"")</f>
        <v/>
      </c>
    </row>
    <row r="338" spans="1:4">
      <c r="A338" s="3" t="str">
        <f>IF(AND(NOT(ISBLANK(E338)),E338&lt;&gt;"(blank)"),IFERROR(IF(INDEX(HostBuild[],MATCH(E338,HostBuild[Alias],0),COLUMN(HostBuild[Hostname]))&lt;&gt;0,INDEX(HostBuild[],MATCH(E338,HostBuild[Alias],0),COLUMN(HostBuild[Hostname])),""),""),"")</f>
        <v/>
      </c>
      <c r="B338" s="424" t="str">
        <f>IF(AND(NOT(ISBLANK(E338)),E338&lt;&gt;"(blank)"),IFERROR(IF(INDEX(HostBuild[],MATCH(E338,HostBuild[Alias],0),COLUMN(HostBuild[Status]))&lt;&gt;0,INDEX(HostBuild[],MATCH(E338,HostBuild[Alias],0),COLUMN(HostBuild[Status])),""),""),"")</f>
        <v/>
      </c>
      <c r="C338" s="425" t="str">
        <f>IF(AND(NOT(ISBLANK(E338)),E338&lt;&gt;"(blank)"),IFERROR(IF(INDEX(HostBuild[],MATCH(E338,HostBuild[Alias],0),COLUMN(HostBuild[CTI Target Completion]))&lt;&gt;0,INDEX(HostBuild[],MATCH(E338,HostBuild[Alias],0),COLUMN(HostBuild[CTI Target Completion])),""),""),"")</f>
        <v/>
      </c>
      <c r="D338" s="262" t="str">
        <f>IF(AND(NOT(ISBLANK(E338)),E338&lt;&gt;"(blank)"),IFERROR(IF(INDEX(HostBuild[],MATCH(E338,HostBuild[Alias],0),COLUMN(HostBuild[Description]))&lt;&gt;0,INDEX(HostBuild[],MATCH(E338,HostBuild[Alias],0),COLUMN(HostBuild[Description])),""),""),"")</f>
        <v/>
      </c>
    </row>
    <row r="339" spans="1:4">
      <c r="A339" s="3" t="str">
        <f>IF(AND(NOT(ISBLANK(E339)),E339&lt;&gt;"(blank)"),IFERROR(IF(INDEX(HostBuild[],MATCH(E339,HostBuild[Alias],0),COLUMN(HostBuild[Hostname]))&lt;&gt;0,INDEX(HostBuild[],MATCH(E339,HostBuild[Alias],0),COLUMN(HostBuild[Hostname])),""),""),"")</f>
        <v/>
      </c>
      <c r="B339" s="424" t="str">
        <f>IF(AND(NOT(ISBLANK(E339)),E339&lt;&gt;"(blank)"),IFERROR(IF(INDEX(HostBuild[],MATCH(E339,HostBuild[Alias],0),COLUMN(HostBuild[Status]))&lt;&gt;0,INDEX(HostBuild[],MATCH(E339,HostBuild[Alias],0),COLUMN(HostBuild[Status])),""),""),"")</f>
        <v/>
      </c>
      <c r="C339" s="425" t="str">
        <f>IF(AND(NOT(ISBLANK(E339)),E339&lt;&gt;"(blank)"),IFERROR(IF(INDEX(HostBuild[],MATCH(E339,HostBuild[Alias],0),COLUMN(HostBuild[CTI Target Completion]))&lt;&gt;0,INDEX(HostBuild[],MATCH(E339,HostBuild[Alias],0),COLUMN(HostBuild[CTI Target Completion])),""),""),"")</f>
        <v/>
      </c>
      <c r="D339" s="262" t="str">
        <f>IF(AND(NOT(ISBLANK(E339)),E339&lt;&gt;"(blank)"),IFERROR(IF(INDEX(HostBuild[],MATCH(E339,HostBuild[Alias],0),COLUMN(HostBuild[Description]))&lt;&gt;0,INDEX(HostBuild[],MATCH(E339,HostBuild[Alias],0),COLUMN(HostBuild[Description])),""),""),"")</f>
        <v/>
      </c>
    </row>
    <row r="340" spans="1:4">
      <c r="A340" s="3" t="str">
        <f>IF(AND(NOT(ISBLANK(E340)),E340&lt;&gt;"(blank)"),IFERROR(IF(INDEX(HostBuild[],MATCH(E340,HostBuild[Alias],0),COLUMN(HostBuild[Hostname]))&lt;&gt;0,INDEX(HostBuild[],MATCH(E340,HostBuild[Alias],0),COLUMN(HostBuild[Hostname])),""),""),"")</f>
        <v/>
      </c>
      <c r="B340" s="424" t="str">
        <f>IF(AND(NOT(ISBLANK(E340)),E340&lt;&gt;"(blank)"),IFERROR(IF(INDEX(HostBuild[],MATCH(E340,HostBuild[Alias],0),COLUMN(HostBuild[Status]))&lt;&gt;0,INDEX(HostBuild[],MATCH(E340,HostBuild[Alias],0),COLUMN(HostBuild[Status])),""),""),"")</f>
        <v/>
      </c>
      <c r="C340" s="425" t="str">
        <f>IF(AND(NOT(ISBLANK(E340)),E340&lt;&gt;"(blank)"),IFERROR(IF(INDEX(HostBuild[],MATCH(E340,HostBuild[Alias],0),COLUMN(HostBuild[CTI Target Completion]))&lt;&gt;0,INDEX(HostBuild[],MATCH(E340,HostBuild[Alias],0),COLUMN(HostBuild[CTI Target Completion])),""),""),"")</f>
        <v/>
      </c>
      <c r="D340" s="262" t="str">
        <f>IF(AND(NOT(ISBLANK(E340)),E340&lt;&gt;"(blank)"),IFERROR(IF(INDEX(HostBuild[],MATCH(E340,HostBuild[Alias],0),COLUMN(HostBuild[Description]))&lt;&gt;0,INDEX(HostBuild[],MATCH(E340,HostBuild[Alias],0),COLUMN(HostBuild[Description])),""),""),"")</f>
        <v/>
      </c>
    </row>
    <row r="341" spans="1:4">
      <c r="A341" s="3" t="str">
        <f>IF(AND(NOT(ISBLANK(E341)),E341&lt;&gt;"(blank)"),IFERROR(IF(INDEX(HostBuild[],MATCH(E341,HostBuild[Alias],0),COLUMN(HostBuild[Hostname]))&lt;&gt;0,INDEX(HostBuild[],MATCH(E341,HostBuild[Alias],0),COLUMN(HostBuild[Hostname])),""),""),"")</f>
        <v/>
      </c>
      <c r="B341" s="424" t="str">
        <f>IF(AND(NOT(ISBLANK(E341)),E341&lt;&gt;"(blank)"),IFERROR(IF(INDEX(HostBuild[],MATCH(E341,HostBuild[Alias],0),COLUMN(HostBuild[Status]))&lt;&gt;0,INDEX(HostBuild[],MATCH(E341,HostBuild[Alias],0),COLUMN(HostBuild[Status])),""),""),"")</f>
        <v/>
      </c>
      <c r="C341" s="425" t="str">
        <f>IF(AND(NOT(ISBLANK(E341)),E341&lt;&gt;"(blank)"),IFERROR(IF(INDEX(HostBuild[],MATCH(E341,HostBuild[Alias],0),COLUMN(HostBuild[CTI Target Completion]))&lt;&gt;0,INDEX(HostBuild[],MATCH(E341,HostBuild[Alias],0),COLUMN(HostBuild[CTI Target Completion])),""),""),"")</f>
        <v/>
      </c>
      <c r="D341" s="262" t="str">
        <f>IF(AND(NOT(ISBLANK(E341)),E341&lt;&gt;"(blank)"),IFERROR(IF(INDEX(HostBuild[],MATCH(E341,HostBuild[Alias],0),COLUMN(HostBuild[Description]))&lt;&gt;0,INDEX(HostBuild[],MATCH(E341,HostBuild[Alias],0),COLUMN(HostBuild[Description])),""),""),"")</f>
        <v/>
      </c>
    </row>
    <row r="342" spans="1:4">
      <c r="A342" s="3" t="str">
        <f>IF(AND(NOT(ISBLANK(E342)),E342&lt;&gt;"(blank)"),IFERROR(IF(INDEX(HostBuild[],MATCH(E342,HostBuild[Alias],0),COLUMN(HostBuild[Hostname]))&lt;&gt;0,INDEX(HostBuild[],MATCH(E342,HostBuild[Alias],0),COLUMN(HostBuild[Hostname])),""),""),"")</f>
        <v/>
      </c>
      <c r="B342" s="424" t="str">
        <f>IF(AND(NOT(ISBLANK(E342)),E342&lt;&gt;"(blank)"),IFERROR(IF(INDEX(HostBuild[],MATCH(E342,HostBuild[Alias],0),COLUMN(HostBuild[Status]))&lt;&gt;0,INDEX(HostBuild[],MATCH(E342,HostBuild[Alias],0),COLUMN(HostBuild[Status])),""),""),"")</f>
        <v/>
      </c>
      <c r="C342" s="425" t="str">
        <f>IF(AND(NOT(ISBLANK(E342)),E342&lt;&gt;"(blank)"),IFERROR(IF(INDEX(HostBuild[],MATCH(E342,HostBuild[Alias],0),COLUMN(HostBuild[CTI Target Completion]))&lt;&gt;0,INDEX(HostBuild[],MATCH(E342,HostBuild[Alias],0),COLUMN(HostBuild[CTI Target Completion])),""),""),"")</f>
        <v/>
      </c>
      <c r="D342" s="262" t="str">
        <f>IF(AND(NOT(ISBLANK(E342)),E342&lt;&gt;"(blank)"),IFERROR(IF(INDEX(HostBuild[],MATCH(E342,HostBuild[Alias],0),COLUMN(HostBuild[Description]))&lt;&gt;0,INDEX(HostBuild[],MATCH(E342,HostBuild[Alias],0),COLUMN(HostBuild[Description])),""),""),"")</f>
        <v/>
      </c>
    </row>
    <row r="343" spans="1:4">
      <c r="A343" s="3" t="str">
        <f>IF(AND(NOT(ISBLANK(E343)),E343&lt;&gt;"(blank)"),IFERROR(IF(INDEX(HostBuild[],MATCH(E343,HostBuild[Alias],0),COLUMN(HostBuild[Hostname]))&lt;&gt;0,INDEX(HostBuild[],MATCH(E343,HostBuild[Alias],0),COLUMN(HostBuild[Hostname])),""),""),"")</f>
        <v/>
      </c>
      <c r="B343" s="424" t="str">
        <f>IF(AND(NOT(ISBLANK(E343)),E343&lt;&gt;"(blank)"),IFERROR(IF(INDEX(HostBuild[],MATCH(E343,HostBuild[Alias],0),COLUMN(HostBuild[Status]))&lt;&gt;0,INDEX(HostBuild[],MATCH(E343,HostBuild[Alias],0),COLUMN(HostBuild[Status])),""),""),"")</f>
        <v/>
      </c>
      <c r="C343" s="425" t="str">
        <f>IF(AND(NOT(ISBLANK(E343)),E343&lt;&gt;"(blank)"),IFERROR(IF(INDEX(HostBuild[],MATCH(E343,HostBuild[Alias],0),COLUMN(HostBuild[CTI Target Completion]))&lt;&gt;0,INDEX(HostBuild[],MATCH(E343,HostBuild[Alias],0),COLUMN(HostBuild[CTI Target Completion])),""),""),"")</f>
        <v/>
      </c>
      <c r="D343" s="262" t="str">
        <f>IF(AND(NOT(ISBLANK(E343)),E343&lt;&gt;"(blank)"),IFERROR(IF(INDEX(HostBuild[],MATCH(E343,HostBuild[Alias],0),COLUMN(HostBuild[Description]))&lt;&gt;0,INDEX(HostBuild[],MATCH(E343,HostBuild[Alias],0),COLUMN(HostBuild[Description])),""),""),"")</f>
        <v/>
      </c>
    </row>
    <row r="344" spans="1:4">
      <c r="A344" s="3" t="str">
        <f>IF(AND(NOT(ISBLANK(E344)),E344&lt;&gt;"(blank)"),IFERROR(IF(INDEX(HostBuild[],MATCH(E344,HostBuild[Alias],0),COLUMN(HostBuild[Hostname]))&lt;&gt;0,INDEX(HostBuild[],MATCH(E344,HostBuild[Alias],0),COLUMN(HostBuild[Hostname])),""),""),"")</f>
        <v/>
      </c>
      <c r="B344" s="424" t="str">
        <f>IF(AND(NOT(ISBLANK(E344)),E344&lt;&gt;"(blank)"),IFERROR(IF(INDEX(HostBuild[],MATCH(E344,HostBuild[Alias],0),COLUMN(HostBuild[Status]))&lt;&gt;0,INDEX(HostBuild[],MATCH(E344,HostBuild[Alias],0),COLUMN(HostBuild[Status])),""),""),"")</f>
        <v/>
      </c>
      <c r="C344" s="425" t="str">
        <f>IF(AND(NOT(ISBLANK(E344)),E344&lt;&gt;"(blank)"),IFERROR(IF(INDEX(HostBuild[],MATCH(E344,HostBuild[Alias],0),COLUMN(HostBuild[CTI Target Completion]))&lt;&gt;0,INDEX(HostBuild[],MATCH(E344,HostBuild[Alias],0),COLUMN(HostBuild[CTI Target Completion])),""),""),"")</f>
        <v/>
      </c>
      <c r="D344" s="262" t="str">
        <f>IF(AND(NOT(ISBLANK(E344)),E344&lt;&gt;"(blank)"),IFERROR(IF(INDEX(HostBuild[],MATCH(E344,HostBuild[Alias],0),COLUMN(HostBuild[Description]))&lt;&gt;0,INDEX(HostBuild[],MATCH(E344,HostBuild[Alias],0),COLUMN(HostBuild[Description])),""),""),"")</f>
        <v/>
      </c>
    </row>
    <row r="345" spans="1:4">
      <c r="A345" s="3" t="str">
        <f>IF(AND(NOT(ISBLANK(E345)),E345&lt;&gt;"(blank)"),IFERROR(IF(INDEX(HostBuild[],MATCH(E345,HostBuild[Alias],0),COLUMN(HostBuild[Hostname]))&lt;&gt;0,INDEX(HostBuild[],MATCH(E345,HostBuild[Alias],0),COLUMN(HostBuild[Hostname])),""),""),"")</f>
        <v/>
      </c>
      <c r="B345" s="424" t="str">
        <f>IF(AND(NOT(ISBLANK(E345)),E345&lt;&gt;"(blank)"),IFERROR(IF(INDEX(HostBuild[],MATCH(E345,HostBuild[Alias],0),COLUMN(HostBuild[Status]))&lt;&gt;0,INDEX(HostBuild[],MATCH(E345,HostBuild[Alias],0),COLUMN(HostBuild[Status])),""),""),"")</f>
        <v/>
      </c>
      <c r="C345" s="425" t="str">
        <f>IF(AND(NOT(ISBLANK(E345)),E345&lt;&gt;"(blank)"),IFERROR(IF(INDEX(HostBuild[],MATCH(E345,HostBuild[Alias],0),COLUMN(HostBuild[CTI Target Completion]))&lt;&gt;0,INDEX(HostBuild[],MATCH(E345,HostBuild[Alias],0),COLUMN(HostBuild[CTI Target Completion])),""),""),"")</f>
        <v/>
      </c>
      <c r="D345" s="262" t="str">
        <f>IF(AND(NOT(ISBLANK(E345)),E345&lt;&gt;"(blank)"),IFERROR(IF(INDEX(HostBuild[],MATCH(E345,HostBuild[Alias],0),COLUMN(HostBuild[Description]))&lt;&gt;0,INDEX(HostBuild[],MATCH(E345,HostBuild[Alias],0),COLUMN(HostBuild[Description])),""),""),"")</f>
        <v/>
      </c>
    </row>
    <row r="346" spans="1:4">
      <c r="A346" s="3" t="str">
        <f>IF(AND(NOT(ISBLANK(E346)),E346&lt;&gt;"(blank)"),IFERROR(IF(INDEX(HostBuild[],MATCH(E346,HostBuild[Alias],0),COLUMN(HostBuild[Hostname]))&lt;&gt;0,INDEX(HostBuild[],MATCH(E346,HostBuild[Alias],0),COLUMN(HostBuild[Hostname])),""),""),"")</f>
        <v/>
      </c>
      <c r="B346" s="424" t="str">
        <f>IF(AND(NOT(ISBLANK(E346)),E346&lt;&gt;"(blank)"),IFERROR(IF(INDEX(HostBuild[],MATCH(E346,HostBuild[Alias],0),COLUMN(HostBuild[Status]))&lt;&gt;0,INDEX(HostBuild[],MATCH(E346,HostBuild[Alias],0),COLUMN(HostBuild[Status])),""),""),"")</f>
        <v/>
      </c>
      <c r="C346" s="425" t="str">
        <f>IF(AND(NOT(ISBLANK(E346)),E346&lt;&gt;"(blank)"),IFERROR(IF(INDEX(HostBuild[],MATCH(E346,HostBuild[Alias],0),COLUMN(HostBuild[CTI Target Completion]))&lt;&gt;0,INDEX(HostBuild[],MATCH(E346,HostBuild[Alias],0),COLUMN(HostBuild[CTI Target Completion])),""),""),"")</f>
        <v/>
      </c>
      <c r="D346" s="262" t="str">
        <f>IF(AND(NOT(ISBLANK(E346)),E346&lt;&gt;"(blank)"),IFERROR(IF(INDEX(HostBuild[],MATCH(E346,HostBuild[Alias],0),COLUMN(HostBuild[Description]))&lt;&gt;0,INDEX(HostBuild[],MATCH(E346,HostBuild[Alias],0),COLUMN(HostBuild[Description])),""),""),"")</f>
        <v/>
      </c>
    </row>
    <row r="347" spans="1:4">
      <c r="A347" s="3" t="str">
        <f>IF(AND(NOT(ISBLANK(E347)),E347&lt;&gt;"(blank)"),IFERROR(IF(INDEX(HostBuild[],MATCH(E347,HostBuild[Alias],0),COLUMN(HostBuild[Hostname]))&lt;&gt;0,INDEX(HostBuild[],MATCH(E347,HostBuild[Alias],0),COLUMN(HostBuild[Hostname])),""),""),"")</f>
        <v/>
      </c>
      <c r="B347" s="424" t="str">
        <f>IF(AND(NOT(ISBLANK(E347)),E347&lt;&gt;"(blank)"),IFERROR(IF(INDEX(HostBuild[],MATCH(E347,HostBuild[Alias],0),COLUMN(HostBuild[Status]))&lt;&gt;0,INDEX(HostBuild[],MATCH(E347,HostBuild[Alias],0),COLUMN(HostBuild[Status])),""),""),"")</f>
        <v/>
      </c>
      <c r="C347" s="425" t="str">
        <f>IF(AND(NOT(ISBLANK(E347)),E347&lt;&gt;"(blank)"),IFERROR(IF(INDEX(HostBuild[],MATCH(E347,HostBuild[Alias],0),COLUMN(HostBuild[CTI Target Completion]))&lt;&gt;0,INDEX(HostBuild[],MATCH(E347,HostBuild[Alias],0),COLUMN(HostBuild[CTI Target Completion])),""),""),"")</f>
        <v/>
      </c>
      <c r="D347" s="262" t="str">
        <f>IF(AND(NOT(ISBLANK(E347)),E347&lt;&gt;"(blank)"),IFERROR(IF(INDEX(HostBuild[],MATCH(E347,HostBuild[Alias],0),COLUMN(HostBuild[Description]))&lt;&gt;0,INDEX(HostBuild[],MATCH(E347,HostBuild[Alias],0),COLUMN(HostBuild[Description])),""),""),"")</f>
        <v/>
      </c>
    </row>
    <row r="348" spans="1:4">
      <c r="A348" s="3" t="str">
        <f>IF(AND(NOT(ISBLANK(E348)),E348&lt;&gt;"(blank)"),IFERROR(IF(INDEX(HostBuild[],MATCH(E348,HostBuild[Alias],0),COLUMN(HostBuild[Hostname]))&lt;&gt;0,INDEX(HostBuild[],MATCH(E348,HostBuild[Alias],0),COLUMN(HostBuild[Hostname])),""),""),"")</f>
        <v/>
      </c>
      <c r="B348" s="424" t="str">
        <f>IF(AND(NOT(ISBLANK(E348)),E348&lt;&gt;"(blank)"),IFERROR(IF(INDEX(HostBuild[],MATCH(E348,HostBuild[Alias],0),COLUMN(HostBuild[Status]))&lt;&gt;0,INDEX(HostBuild[],MATCH(E348,HostBuild[Alias],0),COLUMN(HostBuild[Status])),""),""),"")</f>
        <v/>
      </c>
      <c r="C348" s="425" t="str">
        <f>IF(AND(NOT(ISBLANK(E348)),E348&lt;&gt;"(blank)"),IFERROR(IF(INDEX(HostBuild[],MATCH(E348,HostBuild[Alias],0),COLUMN(HostBuild[CTI Target Completion]))&lt;&gt;0,INDEX(HostBuild[],MATCH(E348,HostBuild[Alias],0),COLUMN(HostBuild[CTI Target Completion])),""),""),"")</f>
        <v/>
      </c>
      <c r="D348" s="262" t="str">
        <f>IF(AND(NOT(ISBLANK(E348)),E348&lt;&gt;"(blank)"),IFERROR(IF(INDEX(HostBuild[],MATCH(E348,HostBuild[Alias],0),COLUMN(HostBuild[Description]))&lt;&gt;0,INDEX(HostBuild[],MATCH(E348,HostBuild[Alias],0),COLUMN(HostBuild[Description])),""),""),"")</f>
        <v/>
      </c>
    </row>
    <row r="349" spans="1:4">
      <c r="A349" s="3" t="str">
        <f>IF(AND(NOT(ISBLANK(E349)),E349&lt;&gt;"(blank)"),IFERROR(IF(INDEX(HostBuild[],MATCH(E349,HostBuild[Alias],0),COLUMN(HostBuild[Hostname]))&lt;&gt;0,INDEX(HostBuild[],MATCH(E349,HostBuild[Alias],0),COLUMN(HostBuild[Hostname])),""),""),"")</f>
        <v/>
      </c>
      <c r="B349" s="424" t="str">
        <f>IF(AND(NOT(ISBLANK(E349)),E349&lt;&gt;"(blank)"),IFERROR(IF(INDEX(HostBuild[],MATCH(E349,HostBuild[Alias],0),COLUMN(HostBuild[Status]))&lt;&gt;0,INDEX(HostBuild[],MATCH(E349,HostBuild[Alias],0),COLUMN(HostBuild[Status])),""),""),"")</f>
        <v/>
      </c>
      <c r="C349" s="425" t="str">
        <f>IF(AND(NOT(ISBLANK(E349)),E349&lt;&gt;"(blank)"),IFERROR(IF(INDEX(HostBuild[],MATCH(E349,HostBuild[Alias],0),COLUMN(HostBuild[CTI Target Completion]))&lt;&gt;0,INDEX(HostBuild[],MATCH(E349,HostBuild[Alias],0),COLUMN(HostBuild[CTI Target Completion])),""),""),"")</f>
        <v/>
      </c>
      <c r="D349" s="262" t="str">
        <f>IF(AND(NOT(ISBLANK(E349)),E349&lt;&gt;"(blank)"),IFERROR(IF(INDEX(HostBuild[],MATCH(E349,HostBuild[Alias],0),COLUMN(HostBuild[Description]))&lt;&gt;0,INDEX(HostBuild[],MATCH(E349,HostBuild[Alias],0),COLUMN(HostBuild[Description])),""),""),"")</f>
        <v/>
      </c>
    </row>
    <row r="350" spans="1:4">
      <c r="A350" s="3" t="str">
        <f>IF(AND(NOT(ISBLANK(E350)),E350&lt;&gt;"(blank)"),IFERROR(IF(INDEX(HostBuild[],MATCH(E350,HostBuild[Alias],0),COLUMN(HostBuild[Hostname]))&lt;&gt;0,INDEX(HostBuild[],MATCH(E350,HostBuild[Alias],0),COLUMN(HostBuild[Hostname])),""),""),"")</f>
        <v/>
      </c>
      <c r="B350" s="424" t="str">
        <f>IF(AND(NOT(ISBLANK(E350)),E350&lt;&gt;"(blank)"),IFERROR(IF(INDEX(HostBuild[],MATCH(E350,HostBuild[Alias],0),COLUMN(HostBuild[Status]))&lt;&gt;0,INDEX(HostBuild[],MATCH(E350,HostBuild[Alias],0),COLUMN(HostBuild[Status])),""),""),"")</f>
        <v/>
      </c>
      <c r="C350" s="425" t="str">
        <f>IF(AND(NOT(ISBLANK(E350)),E350&lt;&gt;"(blank)"),IFERROR(IF(INDEX(HostBuild[],MATCH(E350,HostBuild[Alias],0),COLUMN(HostBuild[CTI Target Completion]))&lt;&gt;0,INDEX(HostBuild[],MATCH(E350,HostBuild[Alias],0),COLUMN(HostBuild[CTI Target Completion])),""),""),"")</f>
        <v/>
      </c>
      <c r="D350" s="262" t="str">
        <f>IF(AND(NOT(ISBLANK(E350)),E350&lt;&gt;"(blank)"),IFERROR(IF(INDEX(HostBuild[],MATCH(E350,HostBuild[Alias],0),COLUMN(HostBuild[Description]))&lt;&gt;0,INDEX(HostBuild[],MATCH(E350,HostBuild[Alias],0),COLUMN(HostBuild[Description])),""),""),"")</f>
        <v/>
      </c>
    </row>
    <row r="351" spans="1:4">
      <c r="A351" s="3" t="str">
        <f>IF(AND(NOT(ISBLANK(E351)),E351&lt;&gt;"(blank)"),IFERROR(IF(INDEX(HostBuild[],MATCH(E351,HostBuild[Alias],0),COLUMN(HostBuild[Hostname]))&lt;&gt;0,INDEX(HostBuild[],MATCH(E351,HostBuild[Alias],0),COLUMN(HostBuild[Hostname])),""),""),"")</f>
        <v/>
      </c>
      <c r="B351" s="424" t="str">
        <f>IF(AND(NOT(ISBLANK(E351)),E351&lt;&gt;"(blank)"),IFERROR(IF(INDEX(HostBuild[],MATCH(E351,HostBuild[Alias],0),COLUMN(HostBuild[Status]))&lt;&gt;0,INDEX(HostBuild[],MATCH(E351,HostBuild[Alias],0),COLUMN(HostBuild[Status])),""),""),"")</f>
        <v/>
      </c>
      <c r="C351" s="425" t="str">
        <f>IF(AND(NOT(ISBLANK(E351)),E351&lt;&gt;"(blank)"),IFERROR(IF(INDEX(HostBuild[],MATCH(E351,HostBuild[Alias],0),COLUMN(HostBuild[CTI Target Completion]))&lt;&gt;0,INDEX(HostBuild[],MATCH(E351,HostBuild[Alias],0),COLUMN(HostBuild[CTI Target Completion])),""),""),"")</f>
        <v/>
      </c>
      <c r="D351" s="262" t="str">
        <f>IF(AND(NOT(ISBLANK(E351)),E351&lt;&gt;"(blank)"),IFERROR(IF(INDEX(HostBuild[],MATCH(E351,HostBuild[Alias],0),COLUMN(HostBuild[Description]))&lt;&gt;0,INDEX(HostBuild[],MATCH(E351,HostBuild[Alias],0),COLUMN(HostBuild[Description])),""),""),"")</f>
        <v/>
      </c>
    </row>
    <row r="352" spans="1:4">
      <c r="A352" s="3" t="str">
        <f>IF(AND(NOT(ISBLANK(E352)),E352&lt;&gt;"(blank)"),IFERROR(IF(INDEX(HostBuild[],MATCH(E352,HostBuild[Alias],0),COLUMN(HostBuild[Hostname]))&lt;&gt;0,INDEX(HostBuild[],MATCH(E352,HostBuild[Alias],0),COLUMN(HostBuild[Hostname])),""),""),"")</f>
        <v/>
      </c>
      <c r="B352" s="424" t="str">
        <f>IF(AND(NOT(ISBLANK(E352)),E352&lt;&gt;"(blank)"),IFERROR(IF(INDEX(HostBuild[],MATCH(E352,HostBuild[Alias],0),COLUMN(HostBuild[Status]))&lt;&gt;0,INDEX(HostBuild[],MATCH(E352,HostBuild[Alias],0),COLUMN(HostBuild[Status])),""),""),"")</f>
        <v/>
      </c>
      <c r="C352" s="425" t="str">
        <f>IF(AND(NOT(ISBLANK(E352)),E352&lt;&gt;"(blank)"),IFERROR(IF(INDEX(HostBuild[],MATCH(E352,HostBuild[Alias],0),COLUMN(HostBuild[CTI Target Completion]))&lt;&gt;0,INDEX(HostBuild[],MATCH(E352,HostBuild[Alias],0),COLUMN(HostBuild[CTI Target Completion])),""),""),"")</f>
        <v/>
      </c>
      <c r="D352" s="262" t="str">
        <f>IF(AND(NOT(ISBLANK(E352)),E352&lt;&gt;"(blank)"),IFERROR(IF(INDEX(HostBuild[],MATCH(E352,HostBuild[Alias],0),COLUMN(HostBuild[Description]))&lt;&gt;0,INDEX(HostBuild[],MATCH(E352,HostBuild[Alias],0),COLUMN(HostBuild[Description])),""),""),"")</f>
        <v/>
      </c>
    </row>
    <row r="353" spans="1:4">
      <c r="A353" s="3" t="str">
        <f>IF(AND(NOT(ISBLANK(E353)),E353&lt;&gt;"(blank)"),IFERROR(IF(INDEX(HostBuild[],MATCH(E353,HostBuild[Alias],0),COLUMN(HostBuild[Hostname]))&lt;&gt;0,INDEX(HostBuild[],MATCH(E353,HostBuild[Alias],0),COLUMN(HostBuild[Hostname])),""),""),"")</f>
        <v/>
      </c>
      <c r="B353" s="424" t="str">
        <f>IF(AND(NOT(ISBLANK(E353)),E353&lt;&gt;"(blank)"),IFERROR(IF(INDEX(HostBuild[],MATCH(E353,HostBuild[Alias],0),COLUMN(HostBuild[Status]))&lt;&gt;0,INDEX(HostBuild[],MATCH(E353,HostBuild[Alias],0),COLUMN(HostBuild[Status])),""),""),"")</f>
        <v/>
      </c>
      <c r="C353" s="425" t="str">
        <f>IF(AND(NOT(ISBLANK(E353)),E353&lt;&gt;"(blank)"),IFERROR(IF(INDEX(HostBuild[],MATCH(E353,HostBuild[Alias],0),COLUMN(HostBuild[CTI Target Completion]))&lt;&gt;0,INDEX(HostBuild[],MATCH(E353,HostBuild[Alias],0),COLUMN(HostBuild[CTI Target Completion])),""),""),"")</f>
        <v/>
      </c>
      <c r="D353" s="262" t="str">
        <f>IF(AND(NOT(ISBLANK(E353)),E353&lt;&gt;"(blank)"),IFERROR(IF(INDEX(HostBuild[],MATCH(E353,HostBuild[Alias],0),COLUMN(HostBuild[Description]))&lt;&gt;0,INDEX(HostBuild[],MATCH(E353,HostBuild[Alias],0),COLUMN(HostBuild[Description])),""),""),"")</f>
        <v/>
      </c>
    </row>
    <row r="354" spans="1:4">
      <c r="A354" s="3" t="str">
        <f>IF(AND(NOT(ISBLANK(E354)),E354&lt;&gt;"(blank)"),IFERROR(IF(INDEX(HostBuild[],MATCH(E354,HostBuild[Alias],0),COLUMN(HostBuild[Hostname]))&lt;&gt;0,INDEX(HostBuild[],MATCH(E354,HostBuild[Alias],0),COLUMN(HostBuild[Hostname])),""),""),"")</f>
        <v/>
      </c>
      <c r="B354" s="424" t="str">
        <f>IF(AND(NOT(ISBLANK(E354)),E354&lt;&gt;"(blank)"),IFERROR(IF(INDEX(HostBuild[],MATCH(E354,HostBuild[Alias],0),COLUMN(HostBuild[Status]))&lt;&gt;0,INDEX(HostBuild[],MATCH(E354,HostBuild[Alias],0),COLUMN(HostBuild[Status])),""),""),"")</f>
        <v/>
      </c>
      <c r="C354" s="425" t="str">
        <f>IF(AND(NOT(ISBLANK(E354)),E354&lt;&gt;"(blank)"),IFERROR(IF(INDEX(HostBuild[],MATCH(E354,HostBuild[Alias],0),COLUMN(HostBuild[CTI Target Completion]))&lt;&gt;0,INDEX(HostBuild[],MATCH(E354,HostBuild[Alias],0),COLUMN(HostBuild[CTI Target Completion])),""),""),"")</f>
        <v/>
      </c>
      <c r="D354" s="262" t="str">
        <f>IF(AND(NOT(ISBLANK(E354)),E354&lt;&gt;"(blank)"),IFERROR(IF(INDEX(HostBuild[],MATCH(E354,HostBuild[Alias],0),COLUMN(HostBuild[Description]))&lt;&gt;0,INDEX(HostBuild[],MATCH(E354,HostBuild[Alias],0),COLUMN(HostBuild[Description])),""),""),"")</f>
        <v/>
      </c>
    </row>
    <row r="355" spans="1:4">
      <c r="A355" s="3" t="str">
        <f>IF(AND(NOT(ISBLANK(E355)),E355&lt;&gt;"(blank)"),IFERROR(IF(INDEX(HostBuild[],MATCH(E355,HostBuild[Alias],0),COLUMN(HostBuild[Hostname]))&lt;&gt;0,INDEX(HostBuild[],MATCH(E355,HostBuild[Alias],0),COLUMN(HostBuild[Hostname])),""),""),"")</f>
        <v/>
      </c>
      <c r="B355" s="424" t="str">
        <f>IF(AND(NOT(ISBLANK(E355)),E355&lt;&gt;"(blank)"),IFERROR(IF(INDEX(HostBuild[],MATCH(E355,HostBuild[Alias],0),COLUMN(HostBuild[Status]))&lt;&gt;0,INDEX(HostBuild[],MATCH(E355,HostBuild[Alias],0),COLUMN(HostBuild[Status])),""),""),"")</f>
        <v/>
      </c>
      <c r="C355" s="425" t="str">
        <f>IF(AND(NOT(ISBLANK(E355)),E355&lt;&gt;"(blank)"),IFERROR(IF(INDEX(HostBuild[],MATCH(E355,HostBuild[Alias],0),COLUMN(HostBuild[CTI Target Completion]))&lt;&gt;0,INDEX(HostBuild[],MATCH(E355,HostBuild[Alias],0),COLUMN(HostBuild[CTI Target Completion])),""),""),"")</f>
        <v/>
      </c>
      <c r="D355" s="262" t="str">
        <f>IF(AND(NOT(ISBLANK(E355)),E355&lt;&gt;"(blank)"),IFERROR(IF(INDEX(HostBuild[],MATCH(E355,HostBuild[Alias],0),COLUMN(HostBuild[Description]))&lt;&gt;0,INDEX(HostBuild[],MATCH(E355,HostBuild[Alias],0),COLUMN(HostBuild[Description])),""),""),"")</f>
        <v/>
      </c>
    </row>
    <row r="356" spans="1:4">
      <c r="A356" s="3" t="str">
        <f>IF(AND(NOT(ISBLANK(E356)),E356&lt;&gt;"(blank)"),IFERROR(IF(INDEX(HostBuild[],MATCH(E356,HostBuild[Alias],0),COLUMN(HostBuild[Hostname]))&lt;&gt;0,INDEX(HostBuild[],MATCH(E356,HostBuild[Alias],0),COLUMN(HostBuild[Hostname])),""),""),"")</f>
        <v/>
      </c>
      <c r="B356" s="424" t="str">
        <f>IF(AND(NOT(ISBLANK(E356)),E356&lt;&gt;"(blank)"),IFERROR(IF(INDEX(HostBuild[],MATCH(E356,HostBuild[Alias],0),COLUMN(HostBuild[Status]))&lt;&gt;0,INDEX(HostBuild[],MATCH(E356,HostBuild[Alias],0),COLUMN(HostBuild[Status])),""),""),"")</f>
        <v/>
      </c>
      <c r="C356" s="425" t="str">
        <f>IF(AND(NOT(ISBLANK(E356)),E356&lt;&gt;"(blank)"),IFERROR(IF(INDEX(HostBuild[],MATCH(E356,HostBuild[Alias],0),COLUMN(HostBuild[CTI Target Completion]))&lt;&gt;0,INDEX(HostBuild[],MATCH(E356,HostBuild[Alias],0),COLUMN(HostBuild[CTI Target Completion])),""),""),"")</f>
        <v/>
      </c>
      <c r="D356" s="262" t="str">
        <f>IF(AND(NOT(ISBLANK(E356)),E356&lt;&gt;"(blank)"),IFERROR(IF(INDEX(HostBuild[],MATCH(E356,HostBuild[Alias],0),COLUMN(HostBuild[Description]))&lt;&gt;0,INDEX(HostBuild[],MATCH(E356,HostBuild[Alias],0),COLUMN(HostBuild[Description])),""),""),"")</f>
        <v/>
      </c>
    </row>
    <row r="357" spans="1:4">
      <c r="A357" s="3" t="str">
        <f>IF(AND(NOT(ISBLANK(E357)),E357&lt;&gt;"(blank)"),IFERROR(IF(INDEX(HostBuild[],MATCH(E357,HostBuild[Alias],0),COLUMN(HostBuild[Hostname]))&lt;&gt;0,INDEX(HostBuild[],MATCH(E357,HostBuild[Alias],0),COLUMN(HostBuild[Hostname])),""),""),"")</f>
        <v/>
      </c>
      <c r="B357" s="424" t="str">
        <f>IF(AND(NOT(ISBLANK(E357)),E357&lt;&gt;"(blank)"),IFERROR(IF(INDEX(HostBuild[],MATCH(E357,HostBuild[Alias],0),COLUMN(HostBuild[Status]))&lt;&gt;0,INDEX(HostBuild[],MATCH(E357,HostBuild[Alias],0),COLUMN(HostBuild[Status])),""),""),"")</f>
        <v/>
      </c>
      <c r="C357" s="425" t="str">
        <f>IF(AND(NOT(ISBLANK(E357)),E357&lt;&gt;"(blank)"),IFERROR(IF(INDEX(HostBuild[],MATCH(E357,HostBuild[Alias],0),COLUMN(HostBuild[CTI Target Completion]))&lt;&gt;0,INDEX(HostBuild[],MATCH(E357,HostBuild[Alias],0),COLUMN(HostBuild[CTI Target Completion])),""),""),"")</f>
        <v/>
      </c>
      <c r="D357" s="262" t="str">
        <f>IF(AND(NOT(ISBLANK(E357)),E357&lt;&gt;"(blank)"),IFERROR(IF(INDEX(HostBuild[],MATCH(E357,HostBuild[Alias],0),COLUMN(HostBuild[Description]))&lt;&gt;0,INDEX(HostBuild[],MATCH(E357,HostBuild[Alias],0),COLUMN(HostBuild[Description])),""),""),"")</f>
        <v/>
      </c>
    </row>
    <row r="358" spans="1:4">
      <c r="A358" s="3" t="str">
        <f>IF(AND(NOT(ISBLANK(E358)),E358&lt;&gt;"(blank)"),IFERROR(IF(INDEX(HostBuild[],MATCH(E358,HostBuild[Alias],0),COLUMN(HostBuild[Hostname]))&lt;&gt;0,INDEX(HostBuild[],MATCH(E358,HostBuild[Alias],0),COLUMN(HostBuild[Hostname])),""),""),"")</f>
        <v/>
      </c>
      <c r="B358" s="424" t="str">
        <f>IF(AND(NOT(ISBLANK(E358)),E358&lt;&gt;"(blank)"),IFERROR(IF(INDEX(HostBuild[],MATCH(E358,HostBuild[Alias],0),COLUMN(HostBuild[Status]))&lt;&gt;0,INDEX(HostBuild[],MATCH(E358,HostBuild[Alias],0),COLUMN(HostBuild[Status])),""),""),"")</f>
        <v/>
      </c>
      <c r="C358" s="425" t="str">
        <f>IF(AND(NOT(ISBLANK(E358)),E358&lt;&gt;"(blank)"),IFERROR(IF(INDEX(HostBuild[],MATCH(E358,HostBuild[Alias],0),COLUMN(HostBuild[CTI Target Completion]))&lt;&gt;0,INDEX(HostBuild[],MATCH(E358,HostBuild[Alias],0),COLUMN(HostBuild[CTI Target Completion])),""),""),"")</f>
        <v/>
      </c>
      <c r="D358" s="262" t="str">
        <f>IF(AND(NOT(ISBLANK(E358)),E358&lt;&gt;"(blank)"),IFERROR(IF(INDEX(HostBuild[],MATCH(E358,HostBuild[Alias],0),COLUMN(HostBuild[Description]))&lt;&gt;0,INDEX(HostBuild[],MATCH(E358,HostBuild[Alias],0),COLUMN(HostBuild[Description])),""),""),"")</f>
        <v/>
      </c>
    </row>
    <row r="359" spans="1:4">
      <c r="A359" s="3" t="str">
        <f>IF(AND(NOT(ISBLANK(E359)),E359&lt;&gt;"(blank)"),IFERROR(IF(INDEX(HostBuild[],MATCH(E359,HostBuild[Alias],0),COLUMN(HostBuild[Hostname]))&lt;&gt;0,INDEX(HostBuild[],MATCH(E359,HostBuild[Alias],0),COLUMN(HostBuild[Hostname])),""),""),"")</f>
        <v/>
      </c>
      <c r="B359" s="424" t="str">
        <f>IF(AND(NOT(ISBLANK(E359)),E359&lt;&gt;"(blank)"),IFERROR(IF(INDEX(HostBuild[],MATCH(E359,HostBuild[Alias],0),COLUMN(HostBuild[Status]))&lt;&gt;0,INDEX(HostBuild[],MATCH(E359,HostBuild[Alias],0),COLUMN(HostBuild[Status])),""),""),"")</f>
        <v/>
      </c>
      <c r="C359" s="425" t="str">
        <f>IF(AND(NOT(ISBLANK(E359)),E359&lt;&gt;"(blank)"),IFERROR(IF(INDEX(HostBuild[],MATCH(E359,HostBuild[Alias],0),COLUMN(HostBuild[CTI Target Completion]))&lt;&gt;0,INDEX(HostBuild[],MATCH(E359,HostBuild[Alias],0),COLUMN(HostBuild[CTI Target Completion])),""),""),"")</f>
        <v/>
      </c>
      <c r="D359" s="262" t="str">
        <f>IF(AND(NOT(ISBLANK(E359)),E359&lt;&gt;"(blank)"),IFERROR(IF(INDEX(HostBuild[],MATCH(E359,HostBuild[Alias],0),COLUMN(HostBuild[Description]))&lt;&gt;0,INDEX(HostBuild[],MATCH(E359,HostBuild[Alias],0),COLUMN(HostBuild[Description])),""),""),"")</f>
        <v/>
      </c>
    </row>
    <row r="360" spans="1:4">
      <c r="A360" s="3" t="str">
        <f>IF(AND(NOT(ISBLANK(E360)),E360&lt;&gt;"(blank)"),IFERROR(IF(INDEX(HostBuild[],MATCH(E360,HostBuild[Alias],0),COLUMN(HostBuild[Hostname]))&lt;&gt;0,INDEX(HostBuild[],MATCH(E360,HostBuild[Alias],0),COLUMN(HostBuild[Hostname])),""),""),"")</f>
        <v/>
      </c>
      <c r="B360" s="424" t="str">
        <f>IF(AND(NOT(ISBLANK(E360)),E360&lt;&gt;"(blank)"),IFERROR(IF(INDEX(HostBuild[],MATCH(E360,HostBuild[Alias],0),COLUMN(HostBuild[Status]))&lt;&gt;0,INDEX(HostBuild[],MATCH(E360,HostBuild[Alias],0),COLUMN(HostBuild[Status])),""),""),"")</f>
        <v/>
      </c>
      <c r="C360" s="425" t="str">
        <f>IF(AND(NOT(ISBLANK(E360)),E360&lt;&gt;"(blank)"),IFERROR(IF(INDEX(HostBuild[],MATCH(E360,HostBuild[Alias],0),COLUMN(HostBuild[CTI Target Completion]))&lt;&gt;0,INDEX(HostBuild[],MATCH(E360,HostBuild[Alias],0),COLUMN(HostBuild[CTI Target Completion])),""),""),"")</f>
        <v/>
      </c>
      <c r="D360" s="262" t="str">
        <f>IF(AND(NOT(ISBLANK(E360)),E360&lt;&gt;"(blank)"),IFERROR(IF(INDEX(HostBuild[],MATCH(E360,HostBuild[Alias],0),COLUMN(HostBuild[Description]))&lt;&gt;0,INDEX(HostBuild[],MATCH(E360,HostBuild[Alias],0),COLUMN(HostBuild[Description])),""),""),"")</f>
        <v/>
      </c>
    </row>
    <row r="361" spans="1:4">
      <c r="A361" s="3" t="str">
        <f>IF(AND(NOT(ISBLANK(E361)),E361&lt;&gt;"(blank)"),IFERROR(IF(INDEX(HostBuild[],MATCH(E361,HostBuild[Alias],0),COLUMN(HostBuild[Hostname]))&lt;&gt;0,INDEX(HostBuild[],MATCH(E361,HostBuild[Alias],0),COLUMN(HostBuild[Hostname])),""),""),"")</f>
        <v/>
      </c>
      <c r="B361" s="424" t="str">
        <f>IF(AND(NOT(ISBLANK(E361)),E361&lt;&gt;"(blank)"),IFERROR(IF(INDEX(HostBuild[],MATCH(E361,HostBuild[Alias],0),COLUMN(HostBuild[Status]))&lt;&gt;0,INDEX(HostBuild[],MATCH(E361,HostBuild[Alias],0),COLUMN(HostBuild[Status])),""),""),"")</f>
        <v/>
      </c>
      <c r="C361" s="425" t="str">
        <f>IF(AND(NOT(ISBLANK(E361)),E361&lt;&gt;"(blank)"),IFERROR(IF(INDEX(HostBuild[],MATCH(E361,HostBuild[Alias],0),COLUMN(HostBuild[CTI Target Completion]))&lt;&gt;0,INDEX(HostBuild[],MATCH(E361,HostBuild[Alias],0),COLUMN(HostBuild[CTI Target Completion])),""),""),"")</f>
        <v/>
      </c>
      <c r="D361" s="262" t="str">
        <f>IF(AND(NOT(ISBLANK(E361)),E361&lt;&gt;"(blank)"),IFERROR(IF(INDEX(HostBuild[],MATCH(E361,HostBuild[Alias],0),COLUMN(HostBuild[Description]))&lt;&gt;0,INDEX(HostBuild[],MATCH(E361,HostBuild[Alias],0),COLUMN(HostBuild[Description])),""),""),"")</f>
        <v/>
      </c>
    </row>
    <row r="362" spans="1:4">
      <c r="A362" s="3" t="str">
        <f>IF(AND(NOT(ISBLANK(E362)),E362&lt;&gt;"(blank)"),IFERROR(IF(INDEX(HostBuild[],MATCH(E362,HostBuild[Alias],0),COLUMN(HostBuild[Hostname]))&lt;&gt;0,INDEX(HostBuild[],MATCH(E362,HostBuild[Alias],0),COLUMN(HostBuild[Hostname])),""),""),"")</f>
        <v/>
      </c>
      <c r="B362" s="424" t="str">
        <f>IF(AND(NOT(ISBLANK(E362)),E362&lt;&gt;"(blank)"),IFERROR(IF(INDEX(HostBuild[],MATCH(E362,HostBuild[Alias],0),COLUMN(HostBuild[Status]))&lt;&gt;0,INDEX(HostBuild[],MATCH(E362,HostBuild[Alias],0),COLUMN(HostBuild[Status])),""),""),"")</f>
        <v/>
      </c>
      <c r="C362" s="425" t="str">
        <f>IF(AND(NOT(ISBLANK(E362)),E362&lt;&gt;"(blank)"),IFERROR(IF(INDEX(HostBuild[],MATCH(E362,HostBuild[Alias],0),COLUMN(HostBuild[CTI Target Completion]))&lt;&gt;0,INDEX(HostBuild[],MATCH(E362,HostBuild[Alias],0),COLUMN(HostBuild[CTI Target Completion])),""),""),"")</f>
        <v/>
      </c>
      <c r="D362" s="262" t="str">
        <f>IF(AND(NOT(ISBLANK(E362)),E362&lt;&gt;"(blank)"),IFERROR(IF(INDEX(HostBuild[],MATCH(E362,HostBuild[Alias],0),COLUMN(HostBuild[Description]))&lt;&gt;0,INDEX(HostBuild[],MATCH(E362,HostBuild[Alias],0),COLUMN(HostBuild[Description])),""),""),"")</f>
        <v/>
      </c>
    </row>
    <row r="363" spans="1:4">
      <c r="A363" s="3" t="str">
        <f>IF(AND(NOT(ISBLANK(E363)),E363&lt;&gt;"(blank)"),IFERROR(IF(INDEX(HostBuild[],MATCH(E363,HostBuild[Alias],0),COLUMN(HostBuild[Hostname]))&lt;&gt;0,INDEX(HostBuild[],MATCH(E363,HostBuild[Alias],0),COLUMN(HostBuild[Hostname])),""),""),"")</f>
        <v/>
      </c>
      <c r="B363" s="424" t="str">
        <f>IF(AND(NOT(ISBLANK(E363)),E363&lt;&gt;"(blank)"),IFERROR(IF(INDEX(HostBuild[],MATCH(E363,HostBuild[Alias],0),COLUMN(HostBuild[Status]))&lt;&gt;0,INDEX(HostBuild[],MATCH(E363,HostBuild[Alias],0),COLUMN(HostBuild[Status])),""),""),"")</f>
        <v/>
      </c>
      <c r="C363" s="425" t="str">
        <f>IF(AND(NOT(ISBLANK(E363)),E363&lt;&gt;"(blank)"),IFERROR(IF(INDEX(HostBuild[],MATCH(E363,HostBuild[Alias],0),COLUMN(HostBuild[CTI Target Completion]))&lt;&gt;0,INDEX(HostBuild[],MATCH(E363,HostBuild[Alias],0),COLUMN(HostBuild[CTI Target Completion])),""),""),"")</f>
        <v/>
      </c>
      <c r="D363" s="262" t="str">
        <f>IF(AND(NOT(ISBLANK(E363)),E363&lt;&gt;"(blank)"),IFERROR(IF(INDEX(HostBuild[],MATCH(E363,HostBuild[Alias],0),COLUMN(HostBuild[Description]))&lt;&gt;0,INDEX(HostBuild[],MATCH(E363,HostBuild[Alias],0),COLUMN(HostBuild[Description])),""),""),"")</f>
        <v/>
      </c>
    </row>
    <row r="364" spans="1:4">
      <c r="A364" s="3" t="str">
        <f>IF(AND(NOT(ISBLANK(E364)),E364&lt;&gt;"(blank)"),IFERROR(IF(INDEX(HostBuild[],MATCH(E364,HostBuild[Alias],0),COLUMN(HostBuild[Hostname]))&lt;&gt;0,INDEX(HostBuild[],MATCH(E364,HostBuild[Alias],0),COLUMN(HostBuild[Hostname])),""),""),"")</f>
        <v/>
      </c>
      <c r="B364" s="424" t="str">
        <f>IF(AND(NOT(ISBLANK(E364)),E364&lt;&gt;"(blank)"),IFERROR(IF(INDEX(HostBuild[],MATCH(E364,HostBuild[Alias],0),COLUMN(HostBuild[Status]))&lt;&gt;0,INDEX(HostBuild[],MATCH(E364,HostBuild[Alias],0),COLUMN(HostBuild[Status])),""),""),"")</f>
        <v/>
      </c>
      <c r="C364" s="425" t="str">
        <f>IF(AND(NOT(ISBLANK(E364)),E364&lt;&gt;"(blank)"),IFERROR(IF(INDEX(HostBuild[],MATCH(E364,HostBuild[Alias],0),COLUMN(HostBuild[CTI Target Completion]))&lt;&gt;0,INDEX(HostBuild[],MATCH(E364,HostBuild[Alias],0),COLUMN(HostBuild[CTI Target Completion])),""),""),"")</f>
        <v/>
      </c>
      <c r="D364" s="262" t="str">
        <f>IF(AND(NOT(ISBLANK(E364)),E364&lt;&gt;"(blank)"),IFERROR(IF(INDEX(HostBuild[],MATCH(E364,HostBuild[Alias],0),COLUMN(HostBuild[Description]))&lt;&gt;0,INDEX(HostBuild[],MATCH(E364,HostBuild[Alias],0),COLUMN(HostBuild[Description])),""),""),"")</f>
        <v/>
      </c>
    </row>
    <row r="365" spans="1:4">
      <c r="A365" s="3" t="str">
        <f>IF(AND(NOT(ISBLANK(E365)),E365&lt;&gt;"(blank)"),IFERROR(IF(INDEX(HostBuild[],MATCH(E365,HostBuild[Alias],0),COLUMN(HostBuild[Hostname]))&lt;&gt;0,INDEX(HostBuild[],MATCH(E365,HostBuild[Alias],0),COLUMN(HostBuild[Hostname])),""),""),"")</f>
        <v/>
      </c>
      <c r="B365" s="424" t="str">
        <f>IF(AND(NOT(ISBLANK(E365)),E365&lt;&gt;"(blank)"),IFERROR(IF(INDEX(HostBuild[],MATCH(E365,HostBuild[Alias],0),COLUMN(HostBuild[Status]))&lt;&gt;0,INDEX(HostBuild[],MATCH(E365,HostBuild[Alias],0),COLUMN(HostBuild[Status])),""),""),"")</f>
        <v/>
      </c>
      <c r="C365" s="425" t="str">
        <f>IF(AND(NOT(ISBLANK(E365)),E365&lt;&gt;"(blank)"),IFERROR(IF(INDEX(HostBuild[],MATCH(E365,HostBuild[Alias],0),COLUMN(HostBuild[CTI Target Completion]))&lt;&gt;0,INDEX(HostBuild[],MATCH(E365,HostBuild[Alias],0),COLUMN(HostBuild[CTI Target Completion])),""),""),"")</f>
        <v/>
      </c>
      <c r="D365" s="262" t="str">
        <f>IF(AND(NOT(ISBLANK(E365)),E365&lt;&gt;"(blank)"),IFERROR(IF(INDEX(HostBuild[],MATCH(E365,HostBuild[Alias],0),COLUMN(HostBuild[Description]))&lt;&gt;0,INDEX(HostBuild[],MATCH(E365,HostBuild[Alias],0),COLUMN(HostBuild[Description])),""),""),"")</f>
        <v/>
      </c>
    </row>
    <row r="366" spans="1:4">
      <c r="A366" s="3" t="str">
        <f>IF(AND(NOT(ISBLANK(E366)),E366&lt;&gt;"(blank)"),IFERROR(IF(INDEX(HostBuild[],MATCH(E366,HostBuild[Alias],0),COLUMN(HostBuild[Hostname]))&lt;&gt;0,INDEX(HostBuild[],MATCH(E366,HostBuild[Alias],0),COLUMN(HostBuild[Hostname])),""),""),"")</f>
        <v/>
      </c>
      <c r="B366" s="424" t="str">
        <f>IF(AND(NOT(ISBLANK(E366)),E366&lt;&gt;"(blank)"),IFERROR(IF(INDEX(HostBuild[],MATCH(E366,HostBuild[Alias],0),COLUMN(HostBuild[Status]))&lt;&gt;0,INDEX(HostBuild[],MATCH(E366,HostBuild[Alias],0),COLUMN(HostBuild[Status])),""),""),"")</f>
        <v/>
      </c>
      <c r="C366" s="425" t="str">
        <f>IF(AND(NOT(ISBLANK(E366)),E366&lt;&gt;"(blank)"),IFERROR(IF(INDEX(HostBuild[],MATCH(E366,HostBuild[Alias],0),COLUMN(HostBuild[CTI Target Completion]))&lt;&gt;0,INDEX(HostBuild[],MATCH(E366,HostBuild[Alias],0),COLUMN(HostBuild[CTI Target Completion])),""),""),"")</f>
        <v/>
      </c>
      <c r="D366" s="262" t="str">
        <f>IF(AND(NOT(ISBLANK(E366)),E366&lt;&gt;"(blank)"),IFERROR(IF(INDEX(HostBuild[],MATCH(E366,HostBuild[Alias],0),COLUMN(HostBuild[Description]))&lt;&gt;0,INDEX(HostBuild[],MATCH(E366,HostBuild[Alias],0),COLUMN(HostBuild[Description])),""),""),"")</f>
        <v/>
      </c>
    </row>
    <row r="367" spans="1:4">
      <c r="A367" s="3" t="str">
        <f>IF(AND(NOT(ISBLANK(E367)),E367&lt;&gt;"(blank)"),IFERROR(IF(INDEX(HostBuild[],MATCH(E367,HostBuild[Alias],0),COLUMN(HostBuild[Hostname]))&lt;&gt;0,INDEX(HostBuild[],MATCH(E367,HostBuild[Alias],0),COLUMN(HostBuild[Hostname])),""),""),"")</f>
        <v/>
      </c>
      <c r="B367" s="424" t="str">
        <f>IF(AND(NOT(ISBLANK(E367)),E367&lt;&gt;"(blank)"),IFERROR(IF(INDEX(HostBuild[],MATCH(E367,HostBuild[Alias],0),COLUMN(HostBuild[Status]))&lt;&gt;0,INDEX(HostBuild[],MATCH(E367,HostBuild[Alias],0),COLUMN(HostBuild[Status])),""),""),"")</f>
        <v/>
      </c>
      <c r="C367" s="425" t="str">
        <f>IF(AND(NOT(ISBLANK(E367)),E367&lt;&gt;"(blank)"),IFERROR(IF(INDEX(HostBuild[],MATCH(E367,HostBuild[Alias],0),COLUMN(HostBuild[CTI Target Completion]))&lt;&gt;0,INDEX(HostBuild[],MATCH(E367,HostBuild[Alias],0),COLUMN(HostBuild[CTI Target Completion])),""),""),"")</f>
        <v/>
      </c>
      <c r="D367" s="262" t="str">
        <f>IF(AND(NOT(ISBLANK(E367)),E367&lt;&gt;"(blank)"),IFERROR(IF(INDEX(HostBuild[],MATCH(E367,HostBuild[Alias],0),COLUMN(HostBuild[Description]))&lt;&gt;0,INDEX(HostBuild[],MATCH(E367,HostBuild[Alias],0),COLUMN(HostBuild[Description])),""),""),"")</f>
        <v/>
      </c>
    </row>
    <row r="368" spans="1:4">
      <c r="A368" s="3" t="str">
        <f>IF(AND(NOT(ISBLANK(E368)),E368&lt;&gt;"(blank)"),IFERROR(IF(INDEX(HostBuild[],MATCH(E368,HostBuild[Alias],0),COLUMN(HostBuild[Hostname]))&lt;&gt;0,INDEX(HostBuild[],MATCH(E368,HostBuild[Alias],0),COLUMN(HostBuild[Hostname])),""),""),"")</f>
        <v/>
      </c>
      <c r="B368" s="424" t="str">
        <f>IF(AND(NOT(ISBLANK(E368)),E368&lt;&gt;"(blank)"),IFERROR(IF(INDEX(HostBuild[],MATCH(E368,HostBuild[Alias],0),COLUMN(HostBuild[Status]))&lt;&gt;0,INDEX(HostBuild[],MATCH(E368,HostBuild[Alias],0),COLUMN(HostBuild[Status])),""),""),"")</f>
        <v/>
      </c>
      <c r="C368" s="425" t="str">
        <f>IF(AND(NOT(ISBLANK(E368)),E368&lt;&gt;"(blank)"),IFERROR(IF(INDEX(HostBuild[],MATCH(E368,HostBuild[Alias],0),COLUMN(HostBuild[CTI Target Completion]))&lt;&gt;0,INDEX(HostBuild[],MATCH(E368,HostBuild[Alias],0),COLUMN(HostBuild[CTI Target Completion])),""),""),"")</f>
        <v/>
      </c>
      <c r="D368" s="262" t="str">
        <f>IF(AND(NOT(ISBLANK(E368)),E368&lt;&gt;"(blank)"),IFERROR(IF(INDEX(HostBuild[],MATCH(E368,HostBuild[Alias],0),COLUMN(HostBuild[Description]))&lt;&gt;0,INDEX(HostBuild[],MATCH(E368,HostBuild[Alias],0),COLUMN(HostBuild[Description])),""),""),"")</f>
        <v/>
      </c>
    </row>
    <row r="369" spans="1:4">
      <c r="A369" s="3" t="str">
        <f>IF(AND(NOT(ISBLANK(E369)),E369&lt;&gt;"(blank)"),IFERROR(IF(INDEX(HostBuild[],MATCH(E369,HostBuild[Alias],0),COLUMN(HostBuild[Hostname]))&lt;&gt;0,INDEX(HostBuild[],MATCH(E369,HostBuild[Alias],0),COLUMN(HostBuild[Hostname])),""),""),"")</f>
        <v/>
      </c>
      <c r="B369" s="424" t="str">
        <f>IF(AND(NOT(ISBLANK(E369)),E369&lt;&gt;"(blank)"),IFERROR(IF(INDEX(HostBuild[],MATCH(E369,HostBuild[Alias],0),COLUMN(HostBuild[Status]))&lt;&gt;0,INDEX(HostBuild[],MATCH(E369,HostBuild[Alias],0),COLUMN(HostBuild[Status])),""),""),"")</f>
        <v/>
      </c>
      <c r="C369" s="425" t="str">
        <f>IF(AND(NOT(ISBLANK(E369)),E369&lt;&gt;"(blank)"),IFERROR(IF(INDEX(HostBuild[],MATCH(E369,HostBuild[Alias],0),COLUMN(HostBuild[CTI Target Completion]))&lt;&gt;0,INDEX(HostBuild[],MATCH(E369,HostBuild[Alias],0),COLUMN(HostBuild[CTI Target Completion])),""),""),"")</f>
        <v/>
      </c>
      <c r="D369" s="262" t="str">
        <f>IF(AND(NOT(ISBLANK(E369)),E369&lt;&gt;"(blank)"),IFERROR(IF(INDEX(HostBuild[],MATCH(E369,HostBuild[Alias],0),COLUMN(HostBuild[Description]))&lt;&gt;0,INDEX(HostBuild[],MATCH(E369,HostBuild[Alias],0),COLUMN(HostBuild[Description])),""),""),"")</f>
        <v/>
      </c>
    </row>
    <row r="370" spans="1:4">
      <c r="A370" s="3" t="str">
        <f>IF(AND(NOT(ISBLANK(E370)),E370&lt;&gt;"(blank)"),IFERROR(IF(INDEX(HostBuild[],MATCH(E370,HostBuild[Alias],0),COLUMN(HostBuild[Hostname]))&lt;&gt;0,INDEX(HostBuild[],MATCH(E370,HostBuild[Alias],0),COLUMN(HostBuild[Hostname])),""),""),"")</f>
        <v/>
      </c>
      <c r="B370" s="424" t="str">
        <f>IF(AND(NOT(ISBLANK(E370)),E370&lt;&gt;"(blank)"),IFERROR(IF(INDEX(HostBuild[],MATCH(E370,HostBuild[Alias],0),COLUMN(HostBuild[Status]))&lt;&gt;0,INDEX(HostBuild[],MATCH(E370,HostBuild[Alias],0),COLUMN(HostBuild[Status])),""),""),"")</f>
        <v/>
      </c>
      <c r="C370" s="425" t="str">
        <f>IF(AND(NOT(ISBLANK(E370)),E370&lt;&gt;"(blank)"),IFERROR(IF(INDEX(HostBuild[],MATCH(E370,HostBuild[Alias],0),COLUMN(HostBuild[CTI Target Completion]))&lt;&gt;0,INDEX(HostBuild[],MATCH(E370,HostBuild[Alias],0),COLUMN(HostBuild[CTI Target Completion])),""),""),"")</f>
        <v/>
      </c>
      <c r="D370" s="262" t="str">
        <f>IF(AND(NOT(ISBLANK(E370)),E370&lt;&gt;"(blank)"),IFERROR(IF(INDEX(HostBuild[],MATCH(E370,HostBuild[Alias],0),COLUMN(HostBuild[Description]))&lt;&gt;0,INDEX(HostBuild[],MATCH(E370,HostBuild[Alias],0),COLUMN(HostBuild[Description])),""),""),"")</f>
        <v/>
      </c>
    </row>
    <row r="371" spans="1:4">
      <c r="A371" s="3" t="str">
        <f>IF(AND(NOT(ISBLANK(E371)),E371&lt;&gt;"(blank)"),IFERROR(IF(INDEX(HostBuild[],MATCH(E371,HostBuild[Alias],0),COLUMN(HostBuild[Hostname]))&lt;&gt;0,INDEX(HostBuild[],MATCH(E371,HostBuild[Alias],0),COLUMN(HostBuild[Hostname])),""),""),"")</f>
        <v/>
      </c>
      <c r="B371" s="424" t="str">
        <f>IF(AND(NOT(ISBLANK(E371)),E371&lt;&gt;"(blank)"),IFERROR(IF(INDEX(HostBuild[],MATCH(E371,HostBuild[Alias],0),COLUMN(HostBuild[Status]))&lt;&gt;0,INDEX(HostBuild[],MATCH(E371,HostBuild[Alias],0),COLUMN(HostBuild[Status])),""),""),"")</f>
        <v/>
      </c>
      <c r="C371" s="425" t="str">
        <f>IF(AND(NOT(ISBLANK(E371)),E371&lt;&gt;"(blank)"),IFERROR(IF(INDEX(HostBuild[],MATCH(E371,HostBuild[Alias],0),COLUMN(HostBuild[CTI Target Completion]))&lt;&gt;0,INDEX(HostBuild[],MATCH(E371,HostBuild[Alias],0),COLUMN(HostBuild[CTI Target Completion])),""),""),"")</f>
        <v/>
      </c>
      <c r="D371" s="262" t="str">
        <f>IF(AND(NOT(ISBLANK(E371)),E371&lt;&gt;"(blank)"),IFERROR(IF(INDEX(HostBuild[],MATCH(E371,HostBuild[Alias],0),COLUMN(HostBuild[Description]))&lt;&gt;0,INDEX(HostBuild[],MATCH(E371,HostBuild[Alias],0),COLUMN(HostBuild[Description])),""),""),"")</f>
        <v/>
      </c>
    </row>
    <row r="372" spans="1:4">
      <c r="A372" s="3" t="str">
        <f>IF(AND(NOT(ISBLANK(E372)),E372&lt;&gt;"(blank)"),IFERROR(IF(INDEX(HostBuild[],MATCH(E372,HostBuild[Alias],0),COLUMN(HostBuild[Hostname]))&lt;&gt;0,INDEX(HostBuild[],MATCH(E372,HostBuild[Alias],0),COLUMN(HostBuild[Hostname])),""),""),"")</f>
        <v/>
      </c>
      <c r="B372" s="424" t="str">
        <f>IF(AND(NOT(ISBLANK(E372)),E372&lt;&gt;"(blank)"),IFERROR(IF(INDEX(HostBuild[],MATCH(E372,HostBuild[Alias],0),COLUMN(HostBuild[Status]))&lt;&gt;0,INDEX(HostBuild[],MATCH(E372,HostBuild[Alias],0),COLUMN(HostBuild[Status])),""),""),"")</f>
        <v/>
      </c>
      <c r="C372" s="425" t="str">
        <f>IF(AND(NOT(ISBLANK(E372)),E372&lt;&gt;"(blank)"),IFERROR(IF(INDEX(HostBuild[],MATCH(E372,HostBuild[Alias],0),COLUMN(HostBuild[CTI Target Completion]))&lt;&gt;0,INDEX(HostBuild[],MATCH(E372,HostBuild[Alias],0),COLUMN(HostBuild[CTI Target Completion])),""),""),"")</f>
        <v/>
      </c>
      <c r="D372" s="262" t="str">
        <f>IF(AND(NOT(ISBLANK(E372)),E372&lt;&gt;"(blank)"),IFERROR(IF(INDEX(HostBuild[],MATCH(E372,HostBuild[Alias],0),COLUMN(HostBuild[Description]))&lt;&gt;0,INDEX(HostBuild[],MATCH(E372,HostBuild[Alias],0),COLUMN(HostBuild[Description])),""),""),"")</f>
        <v/>
      </c>
    </row>
    <row r="373" spans="1:4">
      <c r="A373" s="3" t="str">
        <f>IF(AND(NOT(ISBLANK(E373)),E373&lt;&gt;"(blank)"),IFERROR(IF(INDEX(HostBuild[],MATCH(E373,HostBuild[Alias],0),COLUMN(HostBuild[Hostname]))&lt;&gt;0,INDEX(HostBuild[],MATCH(E373,HostBuild[Alias],0),COLUMN(HostBuild[Hostname])),""),""),"")</f>
        <v/>
      </c>
      <c r="B373" s="424" t="str">
        <f>IF(AND(NOT(ISBLANK(E373)),E373&lt;&gt;"(blank)"),IFERROR(IF(INDEX(HostBuild[],MATCH(E373,HostBuild[Alias],0),COLUMN(HostBuild[Status]))&lt;&gt;0,INDEX(HostBuild[],MATCH(E373,HostBuild[Alias],0),COLUMN(HostBuild[Status])),""),""),"")</f>
        <v/>
      </c>
      <c r="C373" s="425" t="str">
        <f>IF(AND(NOT(ISBLANK(E373)),E373&lt;&gt;"(blank)"),IFERROR(IF(INDEX(HostBuild[],MATCH(E373,HostBuild[Alias],0),COLUMN(HostBuild[CTI Target Completion]))&lt;&gt;0,INDEX(HostBuild[],MATCH(E373,HostBuild[Alias],0),COLUMN(HostBuild[CTI Target Completion])),""),""),"")</f>
        <v/>
      </c>
      <c r="D373" s="262" t="str">
        <f>IF(AND(NOT(ISBLANK(E373)),E373&lt;&gt;"(blank)"),IFERROR(IF(INDEX(HostBuild[],MATCH(E373,HostBuild[Alias],0),COLUMN(HostBuild[Description]))&lt;&gt;0,INDEX(HostBuild[],MATCH(E373,HostBuild[Alias],0),COLUMN(HostBuild[Description])),""),""),"")</f>
        <v/>
      </c>
    </row>
    <row r="374" spans="1:4">
      <c r="A374" s="3" t="str">
        <f>IF(AND(NOT(ISBLANK(E374)),E374&lt;&gt;"(blank)"),IFERROR(IF(INDEX(HostBuild[],MATCH(E374,HostBuild[Alias],0),COLUMN(HostBuild[Hostname]))&lt;&gt;0,INDEX(HostBuild[],MATCH(E374,HostBuild[Alias],0),COLUMN(HostBuild[Hostname])),""),""),"")</f>
        <v/>
      </c>
      <c r="B374" s="424" t="str">
        <f>IF(AND(NOT(ISBLANK(E374)),E374&lt;&gt;"(blank)"),IFERROR(IF(INDEX(HostBuild[],MATCH(E374,HostBuild[Alias],0),COLUMN(HostBuild[Status]))&lt;&gt;0,INDEX(HostBuild[],MATCH(E374,HostBuild[Alias],0),COLUMN(HostBuild[Status])),""),""),"")</f>
        <v/>
      </c>
      <c r="C374" s="425" t="str">
        <f>IF(AND(NOT(ISBLANK(E374)),E374&lt;&gt;"(blank)"),IFERROR(IF(INDEX(HostBuild[],MATCH(E374,HostBuild[Alias],0),COLUMN(HostBuild[CTI Target Completion]))&lt;&gt;0,INDEX(HostBuild[],MATCH(E374,HostBuild[Alias],0),COLUMN(HostBuild[CTI Target Completion])),""),""),"")</f>
        <v/>
      </c>
      <c r="D374" s="262" t="str">
        <f>IF(AND(NOT(ISBLANK(E374)),E374&lt;&gt;"(blank)"),IFERROR(IF(INDEX(HostBuild[],MATCH(E374,HostBuild[Alias],0),COLUMN(HostBuild[Description]))&lt;&gt;0,INDEX(HostBuild[],MATCH(E374,HostBuild[Alias],0),COLUMN(HostBuild[Description])),""),""),"")</f>
        <v/>
      </c>
    </row>
    <row r="375" spans="1:4">
      <c r="A375" s="3" t="str">
        <f>IF(AND(NOT(ISBLANK(E375)),E375&lt;&gt;"(blank)"),IFERROR(IF(INDEX(HostBuild[],MATCH(E375,HostBuild[Alias],0),COLUMN(HostBuild[Hostname]))&lt;&gt;0,INDEX(HostBuild[],MATCH(E375,HostBuild[Alias],0),COLUMN(HostBuild[Hostname])),""),""),"")</f>
        <v/>
      </c>
      <c r="B375" s="424" t="str">
        <f>IF(AND(NOT(ISBLANK(E375)),E375&lt;&gt;"(blank)"),IFERROR(IF(INDEX(HostBuild[],MATCH(E375,HostBuild[Alias],0),COLUMN(HostBuild[Status]))&lt;&gt;0,INDEX(HostBuild[],MATCH(E375,HostBuild[Alias],0),COLUMN(HostBuild[Status])),""),""),"")</f>
        <v/>
      </c>
      <c r="C375" s="425" t="str">
        <f>IF(AND(NOT(ISBLANK(E375)),E375&lt;&gt;"(blank)"),IFERROR(IF(INDEX(HostBuild[],MATCH(E375,HostBuild[Alias],0),COLUMN(HostBuild[CTI Target Completion]))&lt;&gt;0,INDEX(HostBuild[],MATCH(E375,HostBuild[Alias],0),COLUMN(HostBuild[CTI Target Completion])),""),""),"")</f>
        <v/>
      </c>
      <c r="D375" s="262" t="str">
        <f>IF(AND(NOT(ISBLANK(E375)),E375&lt;&gt;"(blank)"),IFERROR(IF(INDEX(HostBuild[],MATCH(E375,HostBuild[Alias],0),COLUMN(HostBuild[Description]))&lt;&gt;0,INDEX(HostBuild[],MATCH(E375,HostBuild[Alias],0),COLUMN(HostBuild[Description])),""),""),"")</f>
        <v/>
      </c>
    </row>
    <row r="376" spans="1:4">
      <c r="A376" s="3" t="str">
        <f>IF(AND(NOT(ISBLANK(E376)),E376&lt;&gt;"(blank)"),IFERROR(IF(INDEX(HostBuild[],MATCH(E376,HostBuild[Alias],0),COLUMN(HostBuild[Hostname]))&lt;&gt;0,INDEX(HostBuild[],MATCH(E376,HostBuild[Alias],0),COLUMN(HostBuild[Hostname])),""),""),"")</f>
        <v/>
      </c>
      <c r="B376" s="424" t="str">
        <f>IF(AND(NOT(ISBLANK(E376)),E376&lt;&gt;"(blank)"),IFERROR(IF(INDEX(HostBuild[],MATCH(E376,HostBuild[Alias],0),COLUMN(HostBuild[Status]))&lt;&gt;0,INDEX(HostBuild[],MATCH(E376,HostBuild[Alias],0),COLUMN(HostBuild[Status])),""),""),"")</f>
        <v/>
      </c>
      <c r="C376" s="425" t="str">
        <f>IF(AND(NOT(ISBLANK(E376)),E376&lt;&gt;"(blank)"),IFERROR(IF(INDEX(HostBuild[],MATCH(E376,HostBuild[Alias],0),COLUMN(HostBuild[CTI Target Completion]))&lt;&gt;0,INDEX(HostBuild[],MATCH(E376,HostBuild[Alias],0),COLUMN(HostBuild[CTI Target Completion])),""),""),"")</f>
        <v/>
      </c>
      <c r="D376" s="262" t="str">
        <f>IF(AND(NOT(ISBLANK(E376)),E376&lt;&gt;"(blank)"),IFERROR(IF(INDEX(HostBuild[],MATCH(E376,HostBuild[Alias],0),COLUMN(HostBuild[Description]))&lt;&gt;0,INDEX(HostBuild[],MATCH(E376,HostBuild[Alias],0),COLUMN(HostBuild[Description])),""),""),"")</f>
        <v/>
      </c>
    </row>
    <row r="377" spans="1:4">
      <c r="A377" s="3" t="str">
        <f>IF(AND(NOT(ISBLANK(E377)),E377&lt;&gt;"(blank)"),IFERROR(IF(INDEX(HostBuild[],MATCH(E377,HostBuild[Alias],0),COLUMN(HostBuild[Hostname]))&lt;&gt;0,INDEX(HostBuild[],MATCH(E377,HostBuild[Alias],0),COLUMN(HostBuild[Hostname])),""),""),"")</f>
        <v/>
      </c>
      <c r="B377" s="424" t="str">
        <f>IF(AND(NOT(ISBLANK(E377)),E377&lt;&gt;"(blank)"),IFERROR(IF(INDEX(HostBuild[],MATCH(E377,HostBuild[Alias],0),COLUMN(HostBuild[Status]))&lt;&gt;0,INDEX(HostBuild[],MATCH(E377,HostBuild[Alias],0),COLUMN(HostBuild[Status])),""),""),"")</f>
        <v/>
      </c>
      <c r="C377" s="425" t="str">
        <f>IF(AND(NOT(ISBLANK(E377)),E377&lt;&gt;"(blank)"),IFERROR(IF(INDEX(HostBuild[],MATCH(E377,HostBuild[Alias],0),COLUMN(HostBuild[CTI Target Completion]))&lt;&gt;0,INDEX(HostBuild[],MATCH(E377,HostBuild[Alias],0),COLUMN(HostBuild[CTI Target Completion])),""),""),"")</f>
        <v/>
      </c>
      <c r="D377" s="262" t="str">
        <f>IF(AND(NOT(ISBLANK(E377)),E377&lt;&gt;"(blank)"),IFERROR(IF(INDEX(HostBuild[],MATCH(E377,HostBuild[Alias],0),COLUMN(HostBuild[Description]))&lt;&gt;0,INDEX(HostBuild[],MATCH(E377,HostBuild[Alias],0),COLUMN(HostBuild[Description])),""),""),"")</f>
        <v/>
      </c>
    </row>
    <row r="378" spans="1:4">
      <c r="A378" s="3" t="str">
        <f>IF(AND(NOT(ISBLANK(E378)),E378&lt;&gt;"(blank)"),IFERROR(IF(INDEX(HostBuild[],MATCH(E378,HostBuild[Alias],0),COLUMN(HostBuild[Hostname]))&lt;&gt;0,INDEX(HostBuild[],MATCH(E378,HostBuild[Alias],0),COLUMN(HostBuild[Hostname])),""),""),"")</f>
        <v/>
      </c>
      <c r="B378" s="424" t="str">
        <f>IF(AND(NOT(ISBLANK(E378)),E378&lt;&gt;"(blank)"),IFERROR(IF(INDEX(HostBuild[],MATCH(E378,HostBuild[Alias],0),COLUMN(HostBuild[Status]))&lt;&gt;0,INDEX(HostBuild[],MATCH(E378,HostBuild[Alias],0),COLUMN(HostBuild[Status])),""),""),"")</f>
        <v/>
      </c>
      <c r="C378" s="425" t="str">
        <f>IF(AND(NOT(ISBLANK(E378)),E378&lt;&gt;"(blank)"),IFERROR(IF(INDEX(HostBuild[],MATCH(E378,HostBuild[Alias],0),COLUMN(HostBuild[CTI Target Completion]))&lt;&gt;0,INDEX(HostBuild[],MATCH(E378,HostBuild[Alias],0),COLUMN(HostBuild[CTI Target Completion])),""),""),"")</f>
        <v/>
      </c>
      <c r="D378" s="262" t="str">
        <f>IF(AND(NOT(ISBLANK(E378)),E378&lt;&gt;"(blank)"),IFERROR(IF(INDEX(HostBuild[],MATCH(E378,HostBuild[Alias],0),COLUMN(HostBuild[Description]))&lt;&gt;0,INDEX(HostBuild[],MATCH(E378,HostBuild[Alias],0),COLUMN(HostBuild[Description])),""),""),"")</f>
        <v/>
      </c>
    </row>
    <row r="379" spans="1:4">
      <c r="A379" s="3" t="str">
        <f>IF(AND(NOT(ISBLANK(E379)),E379&lt;&gt;"(blank)"),IFERROR(IF(INDEX(HostBuild[],MATCH(E379,HostBuild[Alias],0),COLUMN(HostBuild[Hostname]))&lt;&gt;0,INDEX(HostBuild[],MATCH(E379,HostBuild[Alias],0),COLUMN(HostBuild[Hostname])),""),""),"")</f>
        <v/>
      </c>
      <c r="B379" s="424" t="str">
        <f>IF(AND(NOT(ISBLANK(E379)),E379&lt;&gt;"(blank)"),IFERROR(IF(INDEX(HostBuild[],MATCH(E379,HostBuild[Alias],0),COLUMN(HostBuild[Status]))&lt;&gt;0,INDEX(HostBuild[],MATCH(E379,HostBuild[Alias],0),COLUMN(HostBuild[Status])),""),""),"")</f>
        <v/>
      </c>
      <c r="C379" s="425" t="str">
        <f>IF(AND(NOT(ISBLANK(E379)),E379&lt;&gt;"(blank)"),IFERROR(IF(INDEX(HostBuild[],MATCH(E379,HostBuild[Alias],0),COLUMN(HostBuild[CTI Target Completion]))&lt;&gt;0,INDEX(HostBuild[],MATCH(E379,HostBuild[Alias],0),COLUMN(HostBuild[CTI Target Completion])),""),""),"")</f>
        <v/>
      </c>
      <c r="D379" s="262" t="str">
        <f>IF(AND(NOT(ISBLANK(E379)),E379&lt;&gt;"(blank)"),IFERROR(IF(INDEX(HostBuild[],MATCH(E379,HostBuild[Alias],0),COLUMN(HostBuild[Description]))&lt;&gt;0,INDEX(HostBuild[],MATCH(E379,HostBuild[Alias],0),COLUMN(HostBuild[Description])),""),""),"")</f>
        <v/>
      </c>
    </row>
    <row r="380" spans="1:4">
      <c r="A380" s="3" t="str">
        <f>IF(AND(NOT(ISBLANK(E380)),E380&lt;&gt;"(blank)"),IFERROR(IF(INDEX(HostBuild[],MATCH(E380,HostBuild[Alias],0),COLUMN(HostBuild[Hostname]))&lt;&gt;0,INDEX(HostBuild[],MATCH(E380,HostBuild[Alias],0),COLUMN(HostBuild[Hostname])),""),""),"")</f>
        <v/>
      </c>
      <c r="B380" s="424" t="str">
        <f>IF(AND(NOT(ISBLANK(E380)),E380&lt;&gt;"(blank)"),IFERROR(IF(INDEX(HostBuild[],MATCH(E380,HostBuild[Alias],0),COLUMN(HostBuild[Status]))&lt;&gt;0,INDEX(HostBuild[],MATCH(E380,HostBuild[Alias],0),COLUMN(HostBuild[Status])),""),""),"")</f>
        <v/>
      </c>
      <c r="C380" s="425" t="str">
        <f>IF(AND(NOT(ISBLANK(E380)),E380&lt;&gt;"(blank)"),IFERROR(IF(INDEX(HostBuild[],MATCH(E380,HostBuild[Alias],0),COLUMN(HostBuild[CTI Target Completion]))&lt;&gt;0,INDEX(HostBuild[],MATCH(E380,HostBuild[Alias],0),COLUMN(HostBuild[CTI Target Completion])),""),""),"")</f>
        <v/>
      </c>
      <c r="D380" s="262" t="str">
        <f>IF(AND(NOT(ISBLANK(E380)),E380&lt;&gt;"(blank)"),IFERROR(IF(INDEX(HostBuild[],MATCH(E380,HostBuild[Alias],0),COLUMN(HostBuild[Description]))&lt;&gt;0,INDEX(HostBuild[],MATCH(E380,HostBuild[Alias],0),COLUMN(HostBuild[Description])),""),""),"")</f>
        <v/>
      </c>
    </row>
    <row r="381" spans="1:4">
      <c r="A381" s="3" t="str">
        <f>IF(AND(NOT(ISBLANK(E381)),E381&lt;&gt;"(blank)"),IFERROR(IF(INDEX(HostBuild[],MATCH(E381,HostBuild[Alias],0),COLUMN(HostBuild[Hostname]))&lt;&gt;0,INDEX(HostBuild[],MATCH(E381,HostBuild[Alias],0),COLUMN(HostBuild[Hostname])),""),""),"")</f>
        <v/>
      </c>
      <c r="B381" s="424" t="str">
        <f>IF(AND(NOT(ISBLANK(E381)),E381&lt;&gt;"(blank)"),IFERROR(IF(INDEX(HostBuild[],MATCH(E381,HostBuild[Alias],0),COLUMN(HostBuild[Status]))&lt;&gt;0,INDEX(HostBuild[],MATCH(E381,HostBuild[Alias],0),COLUMN(HostBuild[Status])),""),""),"")</f>
        <v/>
      </c>
      <c r="C381" s="425" t="str">
        <f>IF(AND(NOT(ISBLANK(E381)),E381&lt;&gt;"(blank)"),IFERROR(IF(INDEX(HostBuild[],MATCH(E381,HostBuild[Alias],0),COLUMN(HostBuild[CTI Target Completion]))&lt;&gt;0,INDEX(HostBuild[],MATCH(E381,HostBuild[Alias],0),COLUMN(HostBuild[CTI Target Completion])),""),""),"")</f>
        <v/>
      </c>
      <c r="D381" s="262" t="str">
        <f>IF(AND(NOT(ISBLANK(E381)),E381&lt;&gt;"(blank)"),IFERROR(IF(INDEX(HostBuild[],MATCH(E381,HostBuild[Alias],0),COLUMN(HostBuild[Description]))&lt;&gt;0,INDEX(HostBuild[],MATCH(E381,HostBuild[Alias],0),COLUMN(HostBuild[Description])),""),""),"")</f>
        <v/>
      </c>
    </row>
    <row r="382" spans="1:4">
      <c r="A382" s="3" t="str">
        <f>IF(AND(NOT(ISBLANK(E382)),E382&lt;&gt;"(blank)"),IFERROR(IF(INDEX(HostBuild[],MATCH(E382,HostBuild[Alias],0),COLUMN(HostBuild[Hostname]))&lt;&gt;0,INDEX(HostBuild[],MATCH(E382,HostBuild[Alias],0),COLUMN(HostBuild[Hostname])),""),""),"")</f>
        <v/>
      </c>
      <c r="B382" s="424" t="str">
        <f>IF(AND(NOT(ISBLANK(E382)),E382&lt;&gt;"(blank)"),IFERROR(IF(INDEX(HostBuild[],MATCH(E382,HostBuild[Alias],0),COLUMN(HostBuild[Status]))&lt;&gt;0,INDEX(HostBuild[],MATCH(E382,HostBuild[Alias],0),COLUMN(HostBuild[Status])),""),""),"")</f>
        <v/>
      </c>
      <c r="C382" s="425" t="str">
        <f>IF(AND(NOT(ISBLANK(E382)),E382&lt;&gt;"(blank)"),IFERROR(IF(INDEX(HostBuild[],MATCH(E382,HostBuild[Alias],0),COLUMN(HostBuild[CTI Target Completion]))&lt;&gt;0,INDEX(HostBuild[],MATCH(E382,HostBuild[Alias],0),COLUMN(HostBuild[CTI Target Completion])),""),""),"")</f>
        <v/>
      </c>
      <c r="D382" s="262" t="str">
        <f>IF(AND(NOT(ISBLANK(E382)),E382&lt;&gt;"(blank)"),IFERROR(IF(INDEX(HostBuild[],MATCH(E382,HostBuild[Alias],0),COLUMN(HostBuild[Description]))&lt;&gt;0,INDEX(HostBuild[],MATCH(E382,HostBuild[Alias],0),COLUMN(HostBuild[Description])),""),""),"")</f>
        <v/>
      </c>
    </row>
    <row r="383" spans="1:4">
      <c r="A383" s="3" t="str">
        <f>IF(AND(NOT(ISBLANK(E383)),E383&lt;&gt;"(blank)"),IFERROR(IF(INDEX(HostBuild[],MATCH(E383,HostBuild[Alias],0),COLUMN(HostBuild[Hostname]))&lt;&gt;0,INDEX(HostBuild[],MATCH(E383,HostBuild[Alias],0),COLUMN(HostBuild[Hostname])),""),""),"")</f>
        <v/>
      </c>
      <c r="B383" s="424" t="str">
        <f>IF(AND(NOT(ISBLANK(E383)),E383&lt;&gt;"(blank)"),IFERROR(IF(INDEX(HostBuild[],MATCH(E383,HostBuild[Alias],0),COLUMN(HostBuild[Status]))&lt;&gt;0,INDEX(HostBuild[],MATCH(E383,HostBuild[Alias],0),COLUMN(HostBuild[Status])),""),""),"")</f>
        <v/>
      </c>
      <c r="C383" s="425" t="str">
        <f>IF(AND(NOT(ISBLANK(E383)),E383&lt;&gt;"(blank)"),IFERROR(IF(INDEX(HostBuild[],MATCH(E383,HostBuild[Alias],0),COLUMN(HostBuild[CTI Target Completion]))&lt;&gt;0,INDEX(HostBuild[],MATCH(E383,HostBuild[Alias],0),COLUMN(HostBuild[CTI Target Completion])),""),""),"")</f>
        <v/>
      </c>
      <c r="D383" s="262" t="str">
        <f>IF(AND(NOT(ISBLANK(E383)),E383&lt;&gt;"(blank)"),IFERROR(IF(INDEX(HostBuild[],MATCH(E383,HostBuild[Alias],0),COLUMN(HostBuild[Description]))&lt;&gt;0,INDEX(HostBuild[],MATCH(E383,HostBuild[Alias],0),COLUMN(HostBuild[Description])),""),""),"")</f>
        <v/>
      </c>
    </row>
    <row r="384" spans="1:4">
      <c r="A384" s="3" t="str">
        <f>IF(AND(NOT(ISBLANK(E384)),E384&lt;&gt;"(blank)"),IFERROR(IF(INDEX(HostBuild[],MATCH(E384,HostBuild[Alias],0),COLUMN(HostBuild[Hostname]))&lt;&gt;0,INDEX(HostBuild[],MATCH(E384,HostBuild[Alias],0),COLUMN(HostBuild[Hostname])),""),""),"")</f>
        <v/>
      </c>
      <c r="B384" s="424" t="str">
        <f>IF(AND(NOT(ISBLANK(E384)),E384&lt;&gt;"(blank)"),IFERROR(IF(INDEX(HostBuild[],MATCH(E384,HostBuild[Alias],0),COLUMN(HostBuild[Status]))&lt;&gt;0,INDEX(HostBuild[],MATCH(E384,HostBuild[Alias],0),COLUMN(HostBuild[Status])),""),""),"")</f>
        <v/>
      </c>
      <c r="C384" s="425" t="str">
        <f>IF(AND(NOT(ISBLANK(E384)),E384&lt;&gt;"(blank)"),IFERROR(IF(INDEX(HostBuild[],MATCH(E384,HostBuild[Alias],0),COLUMN(HostBuild[CTI Target Completion]))&lt;&gt;0,INDEX(HostBuild[],MATCH(E384,HostBuild[Alias],0),COLUMN(HostBuild[CTI Target Completion])),""),""),"")</f>
        <v/>
      </c>
      <c r="D384" s="262" t="str">
        <f>IF(AND(NOT(ISBLANK(E384)),E384&lt;&gt;"(blank)"),IFERROR(IF(INDEX(HostBuild[],MATCH(E384,HostBuild[Alias],0),COLUMN(HostBuild[Description]))&lt;&gt;0,INDEX(HostBuild[],MATCH(E384,HostBuild[Alias],0),COLUMN(HostBuild[Description])),""),""),"")</f>
        <v/>
      </c>
    </row>
    <row r="385" spans="1:4">
      <c r="A385" s="3" t="str">
        <f>IF(AND(NOT(ISBLANK(E385)),E385&lt;&gt;"(blank)"),IFERROR(IF(INDEX(HostBuild[],MATCH(E385,HostBuild[Alias],0),COLUMN(HostBuild[Hostname]))&lt;&gt;0,INDEX(HostBuild[],MATCH(E385,HostBuild[Alias],0),COLUMN(HostBuild[Hostname])),""),""),"")</f>
        <v/>
      </c>
      <c r="B385" s="424" t="str">
        <f>IF(AND(NOT(ISBLANK(E385)),E385&lt;&gt;"(blank)"),IFERROR(IF(INDEX(HostBuild[],MATCH(E385,HostBuild[Alias],0),COLUMN(HostBuild[Status]))&lt;&gt;0,INDEX(HostBuild[],MATCH(E385,HostBuild[Alias],0),COLUMN(HostBuild[Status])),""),""),"")</f>
        <v/>
      </c>
      <c r="C385" s="425" t="str">
        <f>IF(AND(NOT(ISBLANK(E385)),E385&lt;&gt;"(blank)"),IFERROR(IF(INDEX(HostBuild[],MATCH(E385,HostBuild[Alias],0),COLUMN(HostBuild[CTI Target Completion]))&lt;&gt;0,INDEX(HostBuild[],MATCH(E385,HostBuild[Alias],0),COLUMN(HostBuild[CTI Target Completion])),""),""),"")</f>
        <v/>
      </c>
      <c r="D385" s="262" t="str">
        <f>IF(AND(NOT(ISBLANK(E385)),E385&lt;&gt;"(blank)"),IFERROR(IF(INDEX(HostBuild[],MATCH(E385,HostBuild[Alias],0),COLUMN(HostBuild[Description]))&lt;&gt;0,INDEX(HostBuild[],MATCH(E385,HostBuild[Alias],0),COLUMN(HostBuild[Description])),""),""),"")</f>
        <v/>
      </c>
    </row>
    <row r="386" spans="1:4">
      <c r="A386" s="3" t="str">
        <f>IF(AND(NOT(ISBLANK(E386)),E386&lt;&gt;"(blank)"),IFERROR(IF(INDEX(HostBuild[],MATCH(E386,HostBuild[Alias],0),COLUMN(HostBuild[Hostname]))&lt;&gt;0,INDEX(HostBuild[],MATCH(E386,HostBuild[Alias],0),COLUMN(HostBuild[Hostname])),""),""),"")</f>
        <v/>
      </c>
      <c r="B386" s="424" t="str">
        <f>IF(AND(NOT(ISBLANK(E386)),E386&lt;&gt;"(blank)"),IFERROR(IF(INDEX(HostBuild[],MATCH(E386,HostBuild[Alias],0),COLUMN(HostBuild[Status]))&lt;&gt;0,INDEX(HostBuild[],MATCH(E386,HostBuild[Alias],0),COLUMN(HostBuild[Status])),""),""),"")</f>
        <v/>
      </c>
      <c r="C386" s="425" t="str">
        <f>IF(AND(NOT(ISBLANK(E386)),E386&lt;&gt;"(blank)"),IFERROR(IF(INDEX(HostBuild[],MATCH(E386,HostBuild[Alias],0),COLUMN(HostBuild[CTI Target Completion]))&lt;&gt;0,INDEX(HostBuild[],MATCH(E386,HostBuild[Alias],0),COLUMN(HostBuild[CTI Target Completion])),""),""),"")</f>
        <v/>
      </c>
      <c r="D386" s="262" t="str">
        <f>IF(AND(NOT(ISBLANK(E386)),E386&lt;&gt;"(blank)"),IFERROR(IF(INDEX(HostBuild[],MATCH(E386,HostBuild[Alias],0),COLUMN(HostBuild[Description]))&lt;&gt;0,INDEX(HostBuild[],MATCH(E386,HostBuild[Alias],0),COLUMN(HostBuild[Description])),""),""),"")</f>
        <v/>
      </c>
    </row>
    <row r="387" spans="1:4">
      <c r="A387" s="3" t="str">
        <f>IF(AND(NOT(ISBLANK(E387)),E387&lt;&gt;"(blank)"),IFERROR(IF(INDEX(HostBuild[],MATCH(E387,HostBuild[Alias],0),COLUMN(HostBuild[Hostname]))&lt;&gt;0,INDEX(HostBuild[],MATCH(E387,HostBuild[Alias],0),COLUMN(HostBuild[Hostname])),""),""),"")</f>
        <v/>
      </c>
      <c r="B387" s="424" t="str">
        <f>IF(AND(NOT(ISBLANK(E387)),E387&lt;&gt;"(blank)"),IFERROR(IF(INDEX(HostBuild[],MATCH(E387,HostBuild[Alias],0),COLUMN(HostBuild[Status]))&lt;&gt;0,INDEX(HostBuild[],MATCH(E387,HostBuild[Alias],0),COLUMN(HostBuild[Status])),""),""),"")</f>
        <v/>
      </c>
      <c r="C387" s="425" t="str">
        <f>IF(AND(NOT(ISBLANK(E387)),E387&lt;&gt;"(blank)"),IFERROR(IF(INDEX(HostBuild[],MATCH(E387,HostBuild[Alias],0),COLUMN(HostBuild[CTI Target Completion]))&lt;&gt;0,INDEX(HostBuild[],MATCH(E387,HostBuild[Alias],0),COLUMN(HostBuild[CTI Target Completion])),""),""),"")</f>
        <v/>
      </c>
      <c r="D387" s="262" t="str">
        <f>IF(AND(NOT(ISBLANK(E387)),E387&lt;&gt;"(blank)"),IFERROR(IF(INDEX(HostBuild[],MATCH(E387,HostBuild[Alias],0),COLUMN(HostBuild[Description]))&lt;&gt;0,INDEX(HostBuild[],MATCH(E387,HostBuild[Alias],0),COLUMN(HostBuild[Description])),""),""),"")</f>
        <v/>
      </c>
    </row>
    <row r="388" spans="1:4">
      <c r="A388" s="3" t="str">
        <f>IF(AND(NOT(ISBLANK(E388)),E388&lt;&gt;"(blank)"),IFERROR(IF(INDEX(HostBuild[],MATCH(E388,HostBuild[Alias],0),COLUMN(HostBuild[Hostname]))&lt;&gt;0,INDEX(HostBuild[],MATCH(E388,HostBuild[Alias],0),COLUMN(HostBuild[Hostname])),""),""),"")</f>
        <v/>
      </c>
      <c r="B388" s="424" t="str">
        <f>IF(AND(NOT(ISBLANK(E388)),E388&lt;&gt;"(blank)"),IFERROR(IF(INDEX(HostBuild[],MATCH(E388,HostBuild[Alias],0),COLUMN(HostBuild[Status]))&lt;&gt;0,INDEX(HostBuild[],MATCH(E388,HostBuild[Alias],0),COLUMN(HostBuild[Status])),""),""),"")</f>
        <v/>
      </c>
      <c r="C388" s="425" t="str">
        <f>IF(AND(NOT(ISBLANK(E388)),E388&lt;&gt;"(blank)"),IFERROR(IF(INDEX(HostBuild[],MATCH(E388,HostBuild[Alias],0),COLUMN(HostBuild[CTI Target Completion]))&lt;&gt;0,INDEX(HostBuild[],MATCH(E388,HostBuild[Alias],0),COLUMN(HostBuild[CTI Target Completion])),""),""),"")</f>
        <v/>
      </c>
      <c r="D388" s="262" t="str">
        <f>IF(AND(NOT(ISBLANK(E388)),E388&lt;&gt;"(blank)"),IFERROR(IF(INDEX(HostBuild[],MATCH(E388,HostBuild[Alias],0),COLUMN(HostBuild[Description]))&lt;&gt;0,INDEX(HostBuild[],MATCH(E388,HostBuild[Alias],0),COLUMN(HostBuild[Description])),""),""),"")</f>
        <v/>
      </c>
    </row>
    <row r="389" spans="1:4">
      <c r="A389" s="3" t="str">
        <f>IF(AND(NOT(ISBLANK(E389)),E389&lt;&gt;"(blank)"),IFERROR(IF(INDEX(HostBuild[],MATCH(E389,HostBuild[Alias],0),COLUMN(HostBuild[Hostname]))&lt;&gt;0,INDEX(HostBuild[],MATCH(E389,HostBuild[Alias],0),COLUMN(HostBuild[Hostname])),""),""),"")</f>
        <v/>
      </c>
      <c r="B389" s="424" t="str">
        <f>IF(AND(NOT(ISBLANK(E389)),E389&lt;&gt;"(blank)"),IFERROR(IF(INDEX(HostBuild[],MATCH(E389,HostBuild[Alias],0),COLUMN(HostBuild[Status]))&lt;&gt;0,INDEX(HostBuild[],MATCH(E389,HostBuild[Alias],0),COLUMN(HostBuild[Status])),""),""),"")</f>
        <v/>
      </c>
      <c r="C389" s="425" t="str">
        <f>IF(AND(NOT(ISBLANK(E389)),E389&lt;&gt;"(blank)"),IFERROR(IF(INDEX(HostBuild[],MATCH(E389,HostBuild[Alias],0),COLUMN(HostBuild[CTI Target Completion]))&lt;&gt;0,INDEX(HostBuild[],MATCH(E389,HostBuild[Alias],0),COLUMN(HostBuild[CTI Target Completion])),""),""),"")</f>
        <v/>
      </c>
      <c r="D389" s="262" t="str">
        <f>IF(AND(NOT(ISBLANK(E389)),E389&lt;&gt;"(blank)"),IFERROR(IF(INDEX(HostBuild[],MATCH(E389,HostBuild[Alias],0),COLUMN(HostBuild[Description]))&lt;&gt;0,INDEX(HostBuild[],MATCH(E389,HostBuild[Alias],0),COLUMN(HostBuild[Description])),""),""),"")</f>
        <v/>
      </c>
    </row>
    <row r="390" spans="1:4">
      <c r="A390" s="3" t="str">
        <f>IF(AND(NOT(ISBLANK(E390)),E390&lt;&gt;"(blank)"),IFERROR(IF(INDEX(HostBuild[],MATCH(E390,HostBuild[Alias],0),COLUMN(HostBuild[Hostname]))&lt;&gt;0,INDEX(HostBuild[],MATCH(E390,HostBuild[Alias],0),COLUMN(HostBuild[Hostname])),""),""),"")</f>
        <v/>
      </c>
      <c r="B390" s="424" t="str">
        <f>IF(AND(NOT(ISBLANK(E390)),E390&lt;&gt;"(blank)"),IFERROR(IF(INDEX(HostBuild[],MATCH(E390,HostBuild[Alias],0),COLUMN(HostBuild[Status]))&lt;&gt;0,INDEX(HostBuild[],MATCH(E390,HostBuild[Alias],0),COLUMN(HostBuild[Status])),""),""),"")</f>
        <v/>
      </c>
      <c r="C390" s="425" t="str">
        <f>IF(AND(NOT(ISBLANK(E390)),E390&lt;&gt;"(blank)"),IFERROR(IF(INDEX(HostBuild[],MATCH(E390,HostBuild[Alias],0),COLUMN(HostBuild[CTI Target Completion]))&lt;&gt;0,INDEX(HostBuild[],MATCH(E390,HostBuild[Alias],0),COLUMN(HostBuild[CTI Target Completion])),""),""),"")</f>
        <v/>
      </c>
      <c r="D390" s="262" t="str">
        <f>IF(AND(NOT(ISBLANK(E390)),E390&lt;&gt;"(blank)"),IFERROR(IF(INDEX(HostBuild[],MATCH(E390,HostBuild[Alias],0),COLUMN(HostBuild[Description]))&lt;&gt;0,INDEX(HostBuild[],MATCH(E390,HostBuild[Alias],0),COLUMN(HostBuild[Description])),""),""),"")</f>
        <v/>
      </c>
    </row>
    <row r="391" spans="1:4">
      <c r="A391" s="3" t="str">
        <f>IF(AND(NOT(ISBLANK(E391)),E391&lt;&gt;"(blank)"),IFERROR(IF(INDEX(HostBuild[],MATCH(E391,HostBuild[Alias],0),COLUMN(HostBuild[Hostname]))&lt;&gt;0,INDEX(HostBuild[],MATCH(E391,HostBuild[Alias],0),COLUMN(HostBuild[Hostname])),""),""),"")</f>
        <v/>
      </c>
      <c r="B391" s="424" t="str">
        <f>IF(AND(NOT(ISBLANK(E391)),E391&lt;&gt;"(blank)"),IFERROR(IF(INDEX(HostBuild[],MATCH(E391,HostBuild[Alias],0),COLUMN(HostBuild[Status]))&lt;&gt;0,INDEX(HostBuild[],MATCH(E391,HostBuild[Alias],0),COLUMN(HostBuild[Status])),""),""),"")</f>
        <v/>
      </c>
      <c r="C391" s="425" t="str">
        <f>IF(AND(NOT(ISBLANK(E391)),E391&lt;&gt;"(blank)"),IFERROR(IF(INDEX(HostBuild[],MATCH(E391,HostBuild[Alias],0),COLUMN(HostBuild[CTI Target Completion]))&lt;&gt;0,INDEX(HostBuild[],MATCH(E391,HostBuild[Alias],0),COLUMN(HostBuild[CTI Target Completion])),""),""),"")</f>
        <v/>
      </c>
      <c r="D391" s="262" t="str">
        <f>IF(AND(NOT(ISBLANK(E391)),E391&lt;&gt;"(blank)"),IFERROR(IF(INDEX(HostBuild[],MATCH(E391,HostBuild[Alias],0),COLUMN(HostBuild[Description]))&lt;&gt;0,INDEX(HostBuild[],MATCH(E391,HostBuild[Alias],0),COLUMN(HostBuild[Description])),""),""),"")</f>
        <v/>
      </c>
    </row>
    <row r="392" spans="1:4">
      <c r="A392" s="3" t="str">
        <f>IF(AND(NOT(ISBLANK(E392)),E392&lt;&gt;"(blank)"),IFERROR(IF(INDEX(HostBuild[],MATCH(E392,HostBuild[Alias],0),COLUMN(HostBuild[Hostname]))&lt;&gt;0,INDEX(HostBuild[],MATCH(E392,HostBuild[Alias],0),COLUMN(HostBuild[Hostname])),""),""),"")</f>
        <v/>
      </c>
      <c r="B392" s="424" t="str">
        <f>IF(AND(NOT(ISBLANK(E392)),E392&lt;&gt;"(blank)"),IFERROR(IF(INDEX(HostBuild[],MATCH(E392,HostBuild[Alias],0),COLUMN(HostBuild[Status]))&lt;&gt;0,INDEX(HostBuild[],MATCH(E392,HostBuild[Alias],0),COLUMN(HostBuild[Status])),""),""),"")</f>
        <v/>
      </c>
      <c r="C392" s="425" t="str">
        <f>IF(AND(NOT(ISBLANK(E392)),E392&lt;&gt;"(blank)"),IFERROR(IF(INDEX(HostBuild[],MATCH(E392,HostBuild[Alias],0),COLUMN(HostBuild[CTI Target Completion]))&lt;&gt;0,INDEX(HostBuild[],MATCH(E392,HostBuild[Alias],0),COLUMN(HostBuild[CTI Target Completion])),""),""),"")</f>
        <v/>
      </c>
      <c r="D392" s="262" t="str">
        <f>IF(AND(NOT(ISBLANK(E392)),E392&lt;&gt;"(blank)"),IFERROR(IF(INDEX(HostBuild[],MATCH(E392,HostBuild[Alias],0),COLUMN(HostBuild[Description]))&lt;&gt;0,INDEX(HostBuild[],MATCH(E392,HostBuild[Alias],0),COLUMN(HostBuild[Description])),""),""),"")</f>
        <v/>
      </c>
    </row>
    <row r="393" spans="1:4">
      <c r="A393" s="3" t="str">
        <f>IF(AND(NOT(ISBLANK(E393)),E393&lt;&gt;"(blank)"),IFERROR(IF(INDEX(HostBuild[],MATCH(E393,HostBuild[Alias],0),COLUMN(HostBuild[Hostname]))&lt;&gt;0,INDEX(HostBuild[],MATCH(E393,HostBuild[Alias],0),COLUMN(HostBuild[Hostname])),""),""),"")</f>
        <v/>
      </c>
      <c r="B393" s="424" t="str">
        <f>IF(AND(NOT(ISBLANK(E393)),E393&lt;&gt;"(blank)"),IFERROR(IF(INDEX(HostBuild[],MATCH(E393,HostBuild[Alias],0),COLUMN(HostBuild[Status]))&lt;&gt;0,INDEX(HostBuild[],MATCH(E393,HostBuild[Alias],0),COLUMN(HostBuild[Status])),""),""),"")</f>
        <v/>
      </c>
      <c r="C393" s="425" t="str">
        <f>IF(AND(NOT(ISBLANK(E393)),E393&lt;&gt;"(blank)"),IFERROR(IF(INDEX(HostBuild[],MATCH(E393,HostBuild[Alias],0),COLUMN(HostBuild[CTI Target Completion]))&lt;&gt;0,INDEX(HostBuild[],MATCH(E393,HostBuild[Alias],0),COLUMN(HostBuild[CTI Target Completion])),""),""),"")</f>
        <v/>
      </c>
      <c r="D393" s="262" t="str">
        <f>IF(AND(NOT(ISBLANK(E393)),E393&lt;&gt;"(blank)"),IFERROR(IF(INDEX(HostBuild[],MATCH(E393,HostBuild[Alias],0),COLUMN(HostBuild[Description]))&lt;&gt;0,INDEX(HostBuild[],MATCH(E393,HostBuild[Alias],0),COLUMN(HostBuild[Description])),""),""),"")</f>
        <v/>
      </c>
    </row>
    <row r="394" spans="1:4">
      <c r="A394" s="3" t="str">
        <f>IF(AND(NOT(ISBLANK(E394)),E394&lt;&gt;"(blank)"),IFERROR(IF(INDEX(HostBuild[],MATCH(E394,HostBuild[Alias],0),COLUMN(HostBuild[Hostname]))&lt;&gt;0,INDEX(HostBuild[],MATCH(E394,HostBuild[Alias],0),COLUMN(HostBuild[Hostname])),""),""),"")</f>
        <v/>
      </c>
      <c r="B394" s="424" t="str">
        <f>IF(AND(NOT(ISBLANK(E394)),E394&lt;&gt;"(blank)"),IFERROR(IF(INDEX(HostBuild[],MATCH(E394,HostBuild[Alias],0),COLUMN(HostBuild[Status]))&lt;&gt;0,INDEX(HostBuild[],MATCH(E394,HostBuild[Alias],0),COLUMN(HostBuild[Status])),""),""),"")</f>
        <v/>
      </c>
      <c r="C394" s="425" t="str">
        <f>IF(AND(NOT(ISBLANK(E394)),E394&lt;&gt;"(blank)"),IFERROR(IF(INDEX(HostBuild[],MATCH(E394,HostBuild[Alias],0),COLUMN(HostBuild[CTI Target Completion]))&lt;&gt;0,INDEX(HostBuild[],MATCH(E394,HostBuild[Alias],0),COLUMN(HostBuild[CTI Target Completion])),""),""),"")</f>
        <v/>
      </c>
      <c r="D394" s="262" t="str">
        <f>IF(AND(NOT(ISBLANK(E394)),E394&lt;&gt;"(blank)"),IFERROR(IF(INDEX(HostBuild[],MATCH(E394,HostBuild[Alias],0),COLUMN(HostBuild[Description]))&lt;&gt;0,INDEX(HostBuild[],MATCH(E394,HostBuild[Alias],0),COLUMN(HostBuild[Description])),""),""),"")</f>
        <v/>
      </c>
    </row>
    <row r="395" spans="1:4">
      <c r="A395" s="3" t="str">
        <f>IF(AND(NOT(ISBLANK(E395)),E395&lt;&gt;"(blank)"),IFERROR(IF(INDEX(HostBuild[],MATCH(E395,HostBuild[Alias],0),COLUMN(HostBuild[Hostname]))&lt;&gt;0,INDEX(HostBuild[],MATCH(E395,HostBuild[Alias],0),COLUMN(HostBuild[Hostname])),""),""),"")</f>
        <v/>
      </c>
      <c r="B395" s="424" t="str">
        <f>IF(AND(NOT(ISBLANK(E395)),E395&lt;&gt;"(blank)"),IFERROR(IF(INDEX(HostBuild[],MATCH(E395,HostBuild[Alias],0),COLUMN(HostBuild[Status]))&lt;&gt;0,INDEX(HostBuild[],MATCH(E395,HostBuild[Alias],0),COLUMN(HostBuild[Status])),""),""),"")</f>
        <v/>
      </c>
      <c r="C395" s="425" t="str">
        <f>IF(AND(NOT(ISBLANK(E395)),E395&lt;&gt;"(blank)"),IFERROR(IF(INDEX(HostBuild[],MATCH(E395,HostBuild[Alias],0),COLUMN(HostBuild[CTI Target Completion]))&lt;&gt;0,INDEX(HostBuild[],MATCH(E395,HostBuild[Alias],0),COLUMN(HostBuild[CTI Target Completion])),""),""),"")</f>
        <v/>
      </c>
      <c r="D395" s="262" t="str">
        <f>IF(AND(NOT(ISBLANK(E395)),E395&lt;&gt;"(blank)"),IFERROR(IF(INDEX(HostBuild[],MATCH(E395,HostBuild[Alias],0),COLUMN(HostBuild[Description]))&lt;&gt;0,INDEX(HostBuild[],MATCH(E395,HostBuild[Alias],0),COLUMN(HostBuild[Description])),""),""),"")</f>
        <v/>
      </c>
    </row>
    <row r="396" spans="1:4">
      <c r="A396" s="3" t="str">
        <f>IF(AND(NOT(ISBLANK(E396)),E396&lt;&gt;"(blank)"),IFERROR(IF(INDEX(HostBuild[],MATCH(E396,HostBuild[Alias],0),COLUMN(HostBuild[Hostname]))&lt;&gt;0,INDEX(HostBuild[],MATCH(E396,HostBuild[Alias],0),COLUMN(HostBuild[Hostname])),""),""),"")</f>
        <v/>
      </c>
      <c r="B396" s="424" t="str">
        <f>IF(AND(NOT(ISBLANK(E396)),E396&lt;&gt;"(blank)"),IFERROR(IF(INDEX(HostBuild[],MATCH(E396,HostBuild[Alias],0),COLUMN(HostBuild[Status]))&lt;&gt;0,INDEX(HostBuild[],MATCH(E396,HostBuild[Alias],0),COLUMN(HostBuild[Status])),""),""),"")</f>
        <v/>
      </c>
      <c r="C396" s="425" t="str">
        <f>IF(AND(NOT(ISBLANK(E396)),E396&lt;&gt;"(blank)"),IFERROR(IF(INDEX(HostBuild[],MATCH(E396,HostBuild[Alias],0),COLUMN(HostBuild[CTI Target Completion]))&lt;&gt;0,INDEX(HostBuild[],MATCH(E396,HostBuild[Alias],0),COLUMN(HostBuild[CTI Target Completion])),""),""),"")</f>
        <v/>
      </c>
      <c r="D396" s="262" t="str">
        <f>IF(AND(NOT(ISBLANK(E396)),E396&lt;&gt;"(blank)"),IFERROR(IF(INDEX(HostBuild[],MATCH(E396,HostBuild[Alias],0),COLUMN(HostBuild[Description]))&lt;&gt;0,INDEX(HostBuild[],MATCH(E396,HostBuild[Alias],0),COLUMN(HostBuild[Description])),""),""),"")</f>
        <v/>
      </c>
    </row>
    <row r="397" spans="1:4">
      <c r="A397" s="3" t="str">
        <f>IF(AND(NOT(ISBLANK(E397)),E397&lt;&gt;"(blank)"),IFERROR(IF(INDEX(HostBuild[],MATCH(E397,HostBuild[Alias],0),COLUMN(HostBuild[Hostname]))&lt;&gt;0,INDEX(HostBuild[],MATCH(E397,HostBuild[Alias],0),COLUMN(HostBuild[Hostname])),""),""),"")</f>
        <v/>
      </c>
      <c r="B397" s="424" t="str">
        <f>IF(AND(NOT(ISBLANK(E397)),E397&lt;&gt;"(blank)"),IFERROR(IF(INDEX(HostBuild[],MATCH(E397,HostBuild[Alias],0),COLUMN(HostBuild[Status]))&lt;&gt;0,INDEX(HostBuild[],MATCH(E397,HostBuild[Alias],0),COLUMN(HostBuild[Status])),""),""),"")</f>
        <v/>
      </c>
      <c r="C397" s="425" t="str">
        <f>IF(AND(NOT(ISBLANK(E397)),E397&lt;&gt;"(blank)"),IFERROR(IF(INDEX(HostBuild[],MATCH(E397,HostBuild[Alias],0),COLUMN(HostBuild[CTI Target Completion]))&lt;&gt;0,INDEX(HostBuild[],MATCH(E397,HostBuild[Alias],0),COLUMN(HostBuild[CTI Target Completion])),""),""),"")</f>
        <v/>
      </c>
      <c r="D397" s="262" t="str">
        <f>IF(AND(NOT(ISBLANK(E397)),E397&lt;&gt;"(blank)"),IFERROR(IF(INDEX(HostBuild[],MATCH(E397,HostBuild[Alias],0),COLUMN(HostBuild[Description]))&lt;&gt;0,INDEX(HostBuild[],MATCH(E397,HostBuild[Alias],0),COLUMN(HostBuild[Description])),""),""),"")</f>
        <v/>
      </c>
    </row>
    <row r="398" spans="1:4">
      <c r="A398" s="3" t="str">
        <f>IF(AND(NOT(ISBLANK(E398)),E398&lt;&gt;"(blank)"),IFERROR(IF(INDEX(HostBuild[],MATCH(E398,HostBuild[Alias],0),COLUMN(HostBuild[Hostname]))&lt;&gt;0,INDEX(HostBuild[],MATCH(E398,HostBuild[Alias],0),COLUMN(HostBuild[Hostname])),""),""),"")</f>
        <v/>
      </c>
      <c r="B398" s="424" t="str">
        <f>IF(AND(NOT(ISBLANK(E398)),E398&lt;&gt;"(blank)"),IFERROR(IF(INDEX(HostBuild[],MATCH(E398,HostBuild[Alias],0),COLUMN(HostBuild[Status]))&lt;&gt;0,INDEX(HostBuild[],MATCH(E398,HostBuild[Alias],0),COLUMN(HostBuild[Status])),""),""),"")</f>
        <v/>
      </c>
      <c r="C398" s="425" t="str">
        <f>IF(AND(NOT(ISBLANK(E398)),E398&lt;&gt;"(blank)"),IFERROR(IF(INDEX(HostBuild[],MATCH(E398,HostBuild[Alias],0),COLUMN(HostBuild[CTI Target Completion]))&lt;&gt;0,INDEX(HostBuild[],MATCH(E398,HostBuild[Alias],0),COLUMN(HostBuild[CTI Target Completion])),""),""),"")</f>
        <v/>
      </c>
      <c r="D398" s="262" t="str">
        <f>IF(AND(NOT(ISBLANK(E398)),E398&lt;&gt;"(blank)"),IFERROR(IF(INDEX(HostBuild[],MATCH(E398,HostBuild[Alias],0),COLUMN(HostBuild[Description]))&lt;&gt;0,INDEX(HostBuild[],MATCH(E398,HostBuild[Alias],0),COLUMN(HostBuild[Description])),""),""),"")</f>
        <v/>
      </c>
    </row>
    <row r="399" spans="1:4">
      <c r="A399" s="3" t="str">
        <f>IF(AND(NOT(ISBLANK(E399)),E399&lt;&gt;"(blank)"),IFERROR(IF(INDEX(HostBuild[],MATCH(E399,HostBuild[Alias],0),COLUMN(HostBuild[Hostname]))&lt;&gt;0,INDEX(HostBuild[],MATCH(E399,HostBuild[Alias],0),COLUMN(HostBuild[Hostname])),""),""),"")</f>
        <v/>
      </c>
      <c r="B399" s="424" t="str">
        <f>IF(AND(NOT(ISBLANK(E399)),E399&lt;&gt;"(blank)"),IFERROR(IF(INDEX(HostBuild[],MATCH(E399,HostBuild[Alias],0),COLUMN(HostBuild[Status]))&lt;&gt;0,INDEX(HostBuild[],MATCH(E399,HostBuild[Alias],0),COLUMN(HostBuild[Status])),""),""),"")</f>
        <v/>
      </c>
      <c r="C399" s="425" t="str">
        <f>IF(AND(NOT(ISBLANK(E399)),E399&lt;&gt;"(blank)"),IFERROR(IF(INDEX(HostBuild[],MATCH(E399,HostBuild[Alias],0),COLUMN(HostBuild[CTI Target Completion]))&lt;&gt;0,INDEX(HostBuild[],MATCH(E399,HostBuild[Alias],0),COLUMN(HostBuild[CTI Target Completion])),""),""),"")</f>
        <v/>
      </c>
      <c r="D399" s="262" t="str">
        <f>IF(AND(NOT(ISBLANK(E399)),E399&lt;&gt;"(blank)"),IFERROR(IF(INDEX(HostBuild[],MATCH(E399,HostBuild[Alias],0),COLUMN(HostBuild[Description]))&lt;&gt;0,INDEX(HostBuild[],MATCH(E399,HostBuild[Alias],0),COLUMN(HostBuild[Description])),""),""),"")</f>
        <v/>
      </c>
    </row>
    <row r="400" spans="1:4">
      <c r="A400" s="3" t="str">
        <f>IF(AND(NOT(ISBLANK(E400)),E400&lt;&gt;"(blank)"),IFERROR(IF(INDEX(HostBuild[],MATCH(E400,HostBuild[Alias],0),COLUMN(HostBuild[Hostname]))&lt;&gt;0,INDEX(HostBuild[],MATCH(E400,HostBuild[Alias],0),COLUMN(HostBuild[Hostname])),""),""),"")</f>
        <v/>
      </c>
      <c r="B400" s="424" t="str">
        <f>IF(AND(NOT(ISBLANK(E400)),E400&lt;&gt;"(blank)"),IFERROR(IF(INDEX(HostBuild[],MATCH(E400,HostBuild[Alias],0),COLUMN(HostBuild[Status]))&lt;&gt;0,INDEX(HostBuild[],MATCH(E400,HostBuild[Alias],0),COLUMN(HostBuild[Status])),""),""),"")</f>
        <v/>
      </c>
      <c r="C400" s="425" t="str">
        <f>IF(AND(NOT(ISBLANK(E400)),E400&lt;&gt;"(blank)"),IFERROR(IF(INDEX(HostBuild[],MATCH(E400,HostBuild[Alias],0),COLUMN(HostBuild[CTI Target Completion]))&lt;&gt;0,INDEX(HostBuild[],MATCH(E400,HostBuild[Alias],0),COLUMN(HostBuild[CTI Target Completion])),""),""),"")</f>
        <v/>
      </c>
      <c r="D400" s="262" t="str">
        <f>IF(AND(NOT(ISBLANK(E400)),E400&lt;&gt;"(blank)"),IFERROR(IF(INDEX(HostBuild[],MATCH(E400,HostBuild[Alias],0),COLUMN(HostBuild[Description]))&lt;&gt;0,INDEX(HostBuild[],MATCH(E400,HostBuild[Alias],0),COLUMN(HostBuild[Description])),""),""),"")</f>
        <v/>
      </c>
    </row>
    <row r="401" spans="1:4">
      <c r="A401" s="3" t="str">
        <f>IF(AND(NOT(ISBLANK(E401)),E401&lt;&gt;"(blank)"),IFERROR(IF(INDEX(HostBuild[],MATCH(E401,HostBuild[Alias],0),COLUMN(HostBuild[Hostname]))&lt;&gt;0,INDEX(HostBuild[],MATCH(E401,HostBuild[Alias],0),COLUMN(HostBuild[Hostname])),""),""),"")</f>
        <v/>
      </c>
      <c r="B401" s="424" t="str">
        <f>IF(AND(NOT(ISBLANK(E401)),E401&lt;&gt;"(blank)"),IFERROR(IF(INDEX(HostBuild[],MATCH(E401,HostBuild[Alias],0),COLUMN(HostBuild[Status]))&lt;&gt;0,INDEX(HostBuild[],MATCH(E401,HostBuild[Alias],0),COLUMN(HostBuild[Status])),""),""),"")</f>
        <v/>
      </c>
      <c r="C401" s="425" t="str">
        <f>IF(AND(NOT(ISBLANK(E401)),E401&lt;&gt;"(blank)"),IFERROR(IF(INDEX(HostBuild[],MATCH(E401,HostBuild[Alias],0),COLUMN(HostBuild[CTI Target Completion]))&lt;&gt;0,INDEX(HostBuild[],MATCH(E401,HostBuild[Alias],0),COLUMN(HostBuild[CTI Target Completion])),""),""),"")</f>
        <v/>
      </c>
      <c r="D401" s="262" t="str">
        <f>IF(AND(NOT(ISBLANK(E401)),E401&lt;&gt;"(blank)"),IFERROR(IF(INDEX(HostBuild[],MATCH(E401,HostBuild[Alias],0),COLUMN(HostBuild[Description]))&lt;&gt;0,INDEX(HostBuild[],MATCH(E401,HostBuild[Alias],0),COLUMN(HostBuild[Description])),""),""),"")</f>
        <v/>
      </c>
    </row>
    <row r="402" spans="1:4">
      <c r="A402" s="3" t="str">
        <f>IF(AND(NOT(ISBLANK(E402)),E402&lt;&gt;"(blank)"),IFERROR(IF(INDEX(HostBuild[],MATCH(E402,HostBuild[Alias],0),COLUMN(HostBuild[Hostname]))&lt;&gt;0,INDEX(HostBuild[],MATCH(E402,HostBuild[Alias],0),COLUMN(HostBuild[Hostname])),""),""),"")</f>
        <v/>
      </c>
      <c r="B402" s="424" t="str">
        <f>IF(AND(NOT(ISBLANK(E402)),E402&lt;&gt;"(blank)"),IFERROR(IF(INDEX(HostBuild[],MATCH(E402,HostBuild[Alias],0),COLUMN(HostBuild[Status]))&lt;&gt;0,INDEX(HostBuild[],MATCH(E402,HostBuild[Alias],0),COLUMN(HostBuild[Status])),""),""),"")</f>
        <v/>
      </c>
      <c r="C402" s="425" t="str">
        <f>IF(AND(NOT(ISBLANK(E402)),E402&lt;&gt;"(blank)"),IFERROR(IF(INDEX(HostBuild[],MATCH(E402,HostBuild[Alias],0),COLUMN(HostBuild[CTI Target Completion]))&lt;&gt;0,INDEX(HostBuild[],MATCH(E402,HostBuild[Alias],0),COLUMN(HostBuild[CTI Target Completion])),""),""),"")</f>
        <v/>
      </c>
      <c r="D402" s="262" t="str">
        <f>IF(AND(NOT(ISBLANK(E402)),E402&lt;&gt;"(blank)"),IFERROR(IF(INDEX(HostBuild[],MATCH(E402,HostBuild[Alias],0),COLUMN(HostBuild[Description]))&lt;&gt;0,INDEX(HostBuild[],MATCH(E402,HostBuild[Alias],0),COLUMN(HostBuild[Description])),""),""),"")</f>
        <v/>
      </c>
    </row>
    <row r="403" spans="1:4">
      <c r="A403" s="3" t="str">
        <f>IF(AND(NOT(ISBLANK(E403)),E403&lt;&gt;"(blank)"),IFERROR(IF(INDEX(HostBuild[],MATCH(E403,HostBuild[Alias],0),COLUMN(HostBuild[Hostname]))&lt;&gt;0,INDEX(HostBuild[],MATCH(E403,HostBuild[Alias],0),COLUMN(HostBuild[Hostname])),""),""),"")</f>
        <v/>
      </c>
      <c r="B403" s="424" t="str">
        <f>IF(AND(NOT(ISBLANK(E403)),E403&lt;&gt;"(blank)"),IFERROR(IF(INDEX(HostBuild[],MATCH(E403,HostBuild[Alias],0),COLUMN(HostBuild[Status]))&lt;&gt;0,INDEX(HostBuild[],MATCH(E403,HostBuild[Alias],0),COLUMN(HostBuild[Status])),""),""),"")</f>
        <v/>
      </c>
      <c r="C403" s="425" t="str">
        <f>IF(AND(NOT(ISBLANK(E403)),E403&lt;&gt;"(blank)"),IFERROR(IF(INDEX(HostBuild[],MATCH(E403,HostBuild[Alias],0),COLUMN(HostBuild[CTI Target Completion]))&lt;&gt;0,INDEX(HostBuild[],MATCH(E403,HostBuild[Alias],0),COLUMN(HostBuild[CTI Target Completion])),""),""),"")</f>
        <v/>
      </c>
      <c r="D403" s="262" t="str">
        <f>IF(AND(NOT(ISBLANK(E403)),E403&lt;&gt;"(blank)"),IFERROR(IF(INDEX(HostBuild[],MATCH(E403,HostBuild[Alias],0),COLUMN(HostBuild[Description]))&lt;&gt;0,INDEX(HostBuild[],MATCH(E403,HostBuild[Alias],0),COLUMN(HostBuild[Description])),""),""),"")</f>
        <v/>
      </c>
    </row>
    <row r="404" spans="1:4">
      <c r="A404" s="3" t="str">
        <f>IF(AND(NOT(ISBLANK(E404)),E404&lt;&gt;"(blank)"),IFERROR(IF(INDEX(HostBuild[],MATCH(E404,HostBuild[Alias],0),COLUMN(HostBuild[Hostname]))&lt;&gt;0,INDEX(HostBuild[],MATCH(E404,HostBuild[Alias],0),COLUMN(HostBuild[Hostname])),""),""),"")</f>
        <v/>
      </c>
      <c r="B404" s="424" t="str">
        <f>IF(AND(NOT(ISBLANK(E404)),E404&lt;&gt;"(blank)"),IFERROR(IF(INDEX(HostBuild[],MATCH(E404,HostBuild[Alias],0),COLUMN(HostBuild[Status]))&lt;&gt;0,INDEX(HostBuild[],MATCH(E404,HostBuild[Alias],0),COLUMN(HostBuild[Status])),""),""),"")</f>
        <v/>
      </c>
      <c r="C404" s="425" t="str">
        <f>IF(AND(NOT(ISBLANK(E404)),E404&lt;&gt;"(blank)"),IFERROR(IF(INDEX(HostBuild[],MATCH(E404,HostBuild[Alias],0),COLUMN(HostBuild[CTI Target Completion]))&lt;&gt;0,INDEX(HostBuild[],MATCH(E404,HostBuild[Alias],0),COLUMN(HostBuild[CTI Target Completion])),""),""),"")</f>
        <v/>
      </c>
      <c r="D404" s="262" t="str">
        <f>IF(AND(NOT(ISBLANK(E404)),E404&lt;&gt;"(blank)"),IFERROR(IF(INDEX(HostBuild[],MATCH(E404,HostBuild[Alias],0),COLUMN(HostBuild[Description]))&lt;&gt;0,INDEX(HostBuild[],MATCH(E404,HostBuild[Alias],0),COLUMN(HostBuild[Description])),""),""),"")</f>
        <v/>
      </c>
    </row>
    <row r="405" spans="1:4">
      <c r="A405" s="3" t="str">
        <f>IF(AND(NOT(ISBLANK(E405)),E405&lt;&gt;"(blank)"),IFERROR(IF(INDEX(HostBuild[],MATCH(E405,HostBuild[Alias],0),COLUMN(HostBuild[Hostname]))&lt;&gt;0,INDEX(HostBuild[],MATCH(E405,HostBuild[Alias],0),COLUMN(HostBuild[Hostname])),""),""),"")</f>
        <v/>
      </c>
      <c r="B405" s="424" t="str">
        <f>IF(AND(NOT(ISBLANK(E405)),E405&lt;&gt;"(blank)"),IFERROR(IF(INDEX(HostBuild[],MATCH(E405,HostBuild[Alias],0),COLUMN(HostBuild[Status]))&lt;&gt;0,INDEX(HostBuild[],MATCH(E405,HostBuild[Alias],0),COLUMN(HostBuild[Status])),""),""),"")</f>
        <v/>
      </c>
      <c r="C405" s="425" t="str">
        <f>IF(AND(NOT(ISBLANK(E405)),E405&lt;&gt;"(blank)"),IFERROR(IF(INDEX(HostBuild[],MATCH(E405,HostBuild[Alias],0),COLUMN(HostBuild[CTI Target Completion]))&lt;&gt;0,INDEX(HostBuild[],MATCH(E405,HostBuild[Alias],0),COLUMN(HostBuild[CTI Target Completion])),""),""),"")</f>
        <v/>
      </c>
      <c r="D405" s="262" t="str">
        <f>IF(AND(NOT(ISBLANK(E405)),E405&lt;&gt;"(blank)"),IFERROR(IF(INDEX(HostBuild[],MATCH(E405,HostBuild[Alias],0),COLUMN(HostBuild[Description]))&lt;&gt;0,INDEX(HostBuild[],MATCH(E405,HostBuild[Alias],0),COLUMN(HostBuild[Description])),""),""),"")</f>
        <v/>
      </c>
    </row>
    <row r="406" spans="1:4">
      <c r="A406" s="3" t="str">
        <f>IF(AND(NOT(ISBLANK(E406)),E406&lt;&gt;"(blank)"),IFERROR(IF(INDEX(HostBuild[],MATCH(E406,HostBuild[Alias],0),COLUMN(HostBuild[Hostname]))&lt;&gt;0,INDEX(HostBuild[],MATCH(E406,HostBuild[Alias],0),COLUMN(HostBuild[Hostname])),""),""),"")</f>
        <v/>
      </c>
      <c r="B406" s="424" t="str">
        <f>IF(AND(NOT(ISBLANK(E406)),E406&lt;&gt;"(blank)"),IFERROR(IF(INDEX(HostBuild[],MATCH(E406,HostBuild[Alias],0),COLUMN(HostBuild[Status]))&lt;&gt;0,INDEX(HostBuild[],MATCH(E406,HostBuild[Alias],0),COLUMN(HostBuild[Status])),""),""),"")</f>
        <v/>
      </c>
      <c r="C406" s="425" t="str">
        <f>IF(AND(NOT(ISBLANK(E406)),E406&lt;&gt;"(blank)"),IFERROR(IF(INDEX(HostBuild[],MATCH(E406,HostBuild[Alias],0),COLUMN(HostBuild[CTI Target Completion]))&lt;&gt;0,INDEX(HostBuild[],MATCH(E406,HostBuild[Alias],0),COLUMN(HostBuild[CTI Target Completion])),""),""),"")</f>
        <v/>
      </c>
      <c r="D406" s="262" t="str">
        <f>IF(AND(NOT(ISBLANK(E406)),E406&lt;&gt;"(blank)"),IFERROR(IF(INDEX(HostBuild[],MATCH(E406,HostBuild[Alias],0),COLUMN(HostBuild[Description]))&lt;&gt;0,INDEX(HostBuild[],MATCH(E406,HostBuild[Alias],0),COLUMN(HostBuild[Description])),""),""),"")</f>
        <v/>
      </c>
    </row>
    <row r="407" spans="1:4">
      <c r="A407" s="3" t="str">
        <f>IF(AND(NOT(ISBLANK(E407)),E407&lt;&gt;"(blank)"),IFERROR(IF(INDEX(HostBuild[],MATCH(E407,HostBuild[Alias],0),COLUMN(HostBuild[Hostname]))&lt;&gt;0,INDEX(HostBuild[],MATCH(E407,HostBuild[Alias],0),COLUMN(HostBuild[Hostname])),""),""),"")</f>
        <v/>
      </c>
      <c r="B407" s="424" t="str">
        <f>IF(AND(NOT(ISBLANK(E407)),E407&lt;&gt;"(blank)"),IFERROR(IF(INDEX(HostBuild[],MATCH(E407,HostBuild[Alias],0),COLUMN(HostBuild[Status]))&lt;&gt;0,INDEX(HostBuild[],MATCH(E407,HostBuild[Alias],0),COLUMN(HostBuild[Status])),""),""),"")</f>
        <v/>
      </c>
      <c r="C407" s="425" t="str">
        <f>IF(AND(NOT(ISBLANK(E407)),E407&lt;&gt;"(blank)"),IFERROR(IF(INDEX(HostBuild[],MATCH(E407,HostBuild[Alias],0),COLUMN(HostBuild[CTI Target Completion]))&lt;&gt;0,INDEX(HostBuild[],MATCH(E407,HostBuild[Alias],0),COLUMN(HostBuild[CTI Target Completion])),""),""),"")</f>
        <v/>
      </c>
      <c r="D407" s="262" t="str">
        <f>IF(AND(NOT(ISBLANK(E407)),E407&lt;&gt;"(blank)"),IFERROR(IF(INDEX(HostBuild[],MATCH(E407,HostBuild[Alias],0),COLUMN(HostBuild[Description]))&lt;&gt;0,INDEX(HostBuild[],MATCH(E407,HostBuild[Alias],0),COLUMN(HostBuild[Description])),""),""),"")</f>
        <v/>
      </c>
    </row>
    <row r="408" spans="1:4">
      <c r="A408" s="3" t="str">
        <f>IF(AND(NOT(ISBLANK(E408)),E408&lt;&gt;"(blank)"),IFERROR(IF(INDEX(HostBuild[],MATCH(E408,HostBuild[Alias],0),COLUMN(HostBuild[Hostname]))&lt;&gt;0,INDEX(HostBuild[],MATCH(E408,HostBuild[Alias],0),COLUMN(HostBuild[Hostname])),""),""),"")</f>
        <v/>
      </c>
      <c r="B408" s="424" t="str">
        <f>IF(AND(NOT(ISBLANK(E408)),E408&lt;&gt;"(blank)"),IFERROR(IF(INDEX(HostBuild[],MATCH(E408,HostBuild[Alias],0),COLUMN(HostBuild[Status]))&lt;&gt;0,INDEX(HostBuild[],MATCH(E408,HostBuild[Alias],0),COLUMN(HostBuild[Status])),""),""),"")</f>
        <v/>
      </c>
      <c r="C408" s="425" t="str">
        <f>IF(AND(NOT(ISBLANK(E408)),E408&lt;&gt;"(blank)"),IFERROR(IF(INDEX(HostBuild[],MATCH(E408,HostBuild[Alias],0),COLUMN(HostBuild[CTI Target Completion]))&lt;&gt;0,INDEX(HostBuild[],MATCH(E408,HostBuild[Alias],0),COLUMN(HostBuild[CTI Target Completion])),""),""),"")</f>
        <v/>
      </c>
      <c r="D408" s="262" t="str">
        <f>IF(AND(NOT(ISBLANK(E408)),E408&lt;&gt;"(blank)"),IFERROR(IF(INDEX(HostBuild[],MATCH(E408,HostBuild[Alias],0),COLUMN(HostBuild[Description]))&lt;&gt;0,INDEX(HostBuild[],MATCH(E408,HostBuild[Alias],0),COLUMN(HostBuild[Description])),""),""),"")</f>
        <v/>
      </c>
    </row>
    <row r="409" spans="1:4">
      <c r="A409" s="3" t="str">
        <f>IF(AND(NOT(ISBLANK(E409)),E409&lt;&gt;"(blank)"),IFERROR(IF(INDEX(HostBuild[],MATCH(E409,HostBuild[Alias],0),COLUMN(HostBuild[Hostname]))&lt;&gt;0,INDEX(HostBuild[],MATCH(E409,HostBuild[Alias],0),COLUMN(HostBuild[Hostname])),""),""),"")</f>
        <v/>
      </c>
      <c r="B409" s="424" t="str">
        <f>IF(AND(NOT(ISBLANK(E409)),E409&lt;&gt;"(blank)"),IFERROR(IF(INDEX(HostBuild[],MATCH(E409,HostBuild[Alias],0),COLUMN(HostBuild[Status]))&lt;&gt;0,INDEX(HostBuild[],MATCH(E409,HostBuild[Alias],0),COLUMN(HostBuild[Status])),""),""),"")</f>
        <v/>
      </c>
      <c r="C409" s="425" t="str">
        <f>IF(AND(NOT(ISBLANK(E409)),E409&lt;&gt;"(blank)"),IFERROR(IF(INDEX(HostBuild[],MATCH(E409,HostBuild[Alias],0),COLUMN(HostBuild[CTI Target Completion]))&lt;&gt;0,INDEX(HostBuild[],MATCH(E409,HostBuild[Alias],0),COLUMN(HostBuild[CTI Target Completion])),""),""),"")</f>
        <v/>
      </c>
      <c r="D409" s="262" t="str">
        <f>IF(AND(NOT(ISBLANK(E409)),E409&lt;&gt;"(blank)"),IFERROR(IF(INDEX(HostBuild[],MATCH(E409,HostBuild[Alias],0),COLUMN(HostBuild[Description]))&lt;&gt;0,INDEX(HostBuild[],MATCH(E409,HostBuild[Alias],0),COLUMN(HostBuild[Description])),""),""),"")</f>
        <v/>
      </c>
    </row>
    <row r="410" spans="1:4">
      <c r="A410" s="3" t="str">
        <f>IF(AND(NOT(ISBLANK(E410)),E410&lt;&gt;"(blank)"),IFERROR(IF(INDEX(HostBuild[],MATCH(E410,HostBuild[Alias],0),COLUMN(HostBuild[Hostname]))&lt;&gt;0,INDEX(HostBuild[],MATCH(E410,HostBuild[Alias],0),COLUMN(HostBuild[Hostname])),""),""),"")</f>
        <v/>
      </c>
      <c r="B410" s="424" t="str">
        <f>IF(AND(NOT(ISBLANK(E410)),E410&lt;&gt;"(blank)"),IFERROR(IF(INDEX(HostBuild[],MATCH(E410,HostBuild[Alias],0),COLUMN(HostBuild[Status]))&lt;&gt;0,INDEX(HostBuild[],MATCH(E410,HostBuild[Alias],0),COLUMN(HostBuild[Status])),""),""),"")</f>
        <v/>
      </c>
      <c r="C410" s="425" t="str">
        <f>IF(AND(NOT(ISBLANK(E410)),E410&lt;&gt;"(blank)"),IFERROR(IF(INDEX(HostBuild[],MATCH(E410,HostBuild[Alias],0),COLUMN(HostBuild[CTI Target Completion]))&lt;&gt;0,INDEX(HostBuild[],MATCH(E410,HostBuild[Alias],0),COLUMN(HostBuild[CTI Target Completion])),""),""),"")</f>
        <v/>
      </c>
      <c r="D410" s="262" t="str">
        <f>IF(AND(NOT(ISBLANK(E410)),E410&lt;&gt;"(blank)"),IFERROR(IF(INDEX(HostBuild[],MATCH(E410,HostBuild[Alias],0),COLUMN(HostBuild[Description]))&lt;&gt;0,INDEX(HostBuild[],MATCH(E410,HostBuild[Alias],0),COLUMN(HostBuild[Description])),""),""),"")</f>
        <v/>
      </c>
    </row>
    <row r="411" spans="1:4">
      <c r="A411" s="3" t="str">
        <f>IF(AND(NOT(ISBLANK(E411)),E411&lt;&gt;"(blank)"),IFERROR(IF(INDEX(HostBuild[],MATCH(E411,HostBuild[Alias],0),COLUMN(HostBuild[Hostname]))&lt;&gt;0,INDEX(HostBuild[],MATCH(E411,HostBuild[Alias],0),COLUMN(HostBuild[Hostname])),""),""),"")</f>
        <v/>
      </c>
      <c r="B411" s="424" t="str">
        <f>IF(AND(NOT(ISBLANK(E411)),E411&lt;&gt;"(blank)"),IFERROR(IF(INDEX(HostBuild[],MATCH(E411,HostBuild[Alias],0),COLUMN(HostBuild[Status]))&lt;&gt;0,INDEX(HostBuild[],MATCH(E411,HostBuild[Alias],0),COLUMN(HostBuild[Status])),""),""),"")</f>
        <v/>
      </c>
      <c r="C411" s="425" t="str">
        <f>IF(AND(NOT(ISBLANK(E411)),E411&lt;&gt;"(blank)"),IFERROR(IF(INDEX(HostBuild[],MATCH(E411,HostBuild[Alias],0),COLUMN(HostBuild[CTI Target Completion]))&lt;&gt;0,INDEX(HostBuild[],MATCH(E411,HostBuild[Alias],0),COLUMN(HostBuild[CTI Target Completion])),""),""),"")</f>
        <v/>
      </c>
      <c r="D411" s="262" t="str">
        <f>IF(AND(NOT(ISBLANK(E411)),E411&lt;&gt;"(blank)"),IFERROR(IF(INDEX(HostBuild[],MATCH(E411,HostBuild[Alias],0),COLUMN(HostBuild[Description]))&lt;&gt;0,INDEX(HostBuild[],MATCH(E411,HostBuild[Alias],0),COLUMN(HostBuild[Description])),""),""),"")</f>
        <v/>
      </c>
    </row>
    <row r="412" spans="1:4">
      <c r="A412" s="3" t="str">
        <f>IF(AND(NOT(ISBLANK(E412)),E412&lt;&gt;"(blank)"),IFERROR(IF(INDEX(HostBuild[],MATCH(E412,HostBuild[Alias],0),COLUMN(HostBuild[Hostname]))&lt;&gt;0,INDEX(HostBuild[],MATCH(E412,HostBuild[Alias],0),COLUMN(HostBuild[Hostname])),""),""),"")</f>
        <v/>
      </c>
      <c r="B412" s="424" t="str">
        <f>IF(AND(NOT(ISBLANK(E412)),E412&lt;&gt;"(blank)"),IFERROR(IF(INDEX(HostBuild[],MATCH(E412,HostBuild[Alias],0),COLUMN(HostBuild[Status]))&lt;&gt;0,INDEX(HostBuild[],MATCH(E412,HostBuild[Alias],0),COLUMN(HostBuild[Status])),""),""),"")</f>
        <v/>
      </c>
      <c r="C412" s="425" t="str">
        <f>IF(AND(NOT(ISBLANK(E412)),E412&lt;&gt;"(blank)"),IFERROR(IF(INDEX(HostBuild[],MATCH(E412,HostBuild[Alias],0),COLUMN(HostBuild[CTI Target Completion]))&lt;&gt;0,INDEX(HostBuild[],MATCH(E412,HostBuild[Alias],0),COLUMN(HostBuild[CTI Target Completion])),""),""),"")</f>
        <v/>
      </c>
      <c r="D412" s="262" t="str">
        <f>IF(AND(NOT(ISBLANK(E412)),E412&lt;&gt;"(blank)"),IFERROR(IF(INDEX(HostBuild[],MATCH(E412,HostBuild[Alias],0),COLUMN(HostBuild[Description]))&lt;&gt;0,INDEX(HostBuild[],MATCH(E412,HostBuild[Alias],0),COLUMN(HostBuild[Description])),""),""),"")</f>
        <v/>
      </c>
    </row>
    <row r="413" spans="1:4">
      <c r="A413" s="3" t="str">
        <f>IF(AND(NOT(ISBLANK(E413)),E413&lt;&gt;"(blank)"),IFERROR(IF(INDEX(HostBuild[],MATCH(E413,HostBuild[Alias],0),COLUMN(HostBuild[Hostname]))&lt;&gt;0,INDEX(HostBuild[],MATCH(E413,HostBuild[Alias],0),COLUMN(HostBuild[Hostname])),""),""),"")</f>
        <v/>
      </c>
      <c r="B413" s="424" t="str">
        <f>IF(AND(NOT(ISBLANK(E413)),E413&lt;&gt;"(blank)"),IFERROR(IF(INDEX(HostBuild[],MATCH(E413,HostBuild[Alias],0),COLUMN(HostBuild[Status]))&lt;&gt;0,INDEX(HostBuild[],MATCH(E413,HostBuild[Alias],0),COLUMN(HostBuild[Status])),""),""),"")</f>
        <v/>
      </c>
      <c r="C413" s="425" t="str">
        <f>IF(AND(NOT(ISBLANK(E413)),E413&lt;&gt;"(blank)"),IFERROR(IF(INDEX(HostBuild[],MATCH(E413,HostBuild[Alias],0),COLUMN(HostBuild[CTI Target Completion]))&lt;&gt;0,INDEX(HostBuild[],MATCH(E413,HostBuild[Alias],0),COLUMN(HostBuild[CTI Target Completion])),""),""),"")</f>
        <v/>
      </c>
      <c r="D413" s="262" t="str">
        <f>IF(AND(NOT(ISBLANK(E413)),E413&lt;&gt;"(blank)"),IFERROR(IF(INDEX(HostBuild[],MATCH(E413,HostBuild[Alias],0),COLUMN(HostBuild[Description]))&lt;&gt;0,INDEX(HostBuild[],MATCH(E413,HostBuild[Alias],0),COLUMN(HostBuild[Description])),""),""),"")</f>
        <v/>
      </c>
    </row>
    <row r="414" spans="1:4">
      <c r="A414" s="3" t="str">
        <f>IF(AND(NOT(ISBLANK(E414)),E414&lt;&gt;"(blank)"),IFERROR(IF(INDEX(HostBuild[],MATCH(E414,HostBuild[Alias],0),COLUMN(HostBuild[Hostname]))&lt;&gt;0,INDEX(HostBuild[],MATCH(E414,HostBuild[Alias],0),COLUMN(HostBuild[Hostname])),""),""),"")</f>
        <v/>
      </c>
      <c r="B414" s="424" t="str">
        <f>IF(AND(NOT(ISBLANK(E414)),E414&lt;&gt;"(blank)"),IFERROR(IF(INDEX(HostBuild[],MATCH(E414,HostBuild[Alias],0),COLUMN(HostBuild[Status]))&lt;&gt;0,INDEX(HostBuild[],MATCH(E414,HostBuild[Alias],0),COLUMN(HostBuild[Status])),""),""),"")</f>
        <v/>
      </c>
      <c r="C414" s="425" t="str">
        <f>IF(AND(NOT(ISBLANK(E414)),E414&lt;&gt;"(blank)"),IFERROR(IF(INDEX(HostBuild[],MATCH(E414,HostBuild[Alias],0),COLUMN(HostBuild[CTI Target Completion]))&lt;&gt;0,INDEX(HostBuild[],MATCH(E414,HostBuild[Alias],0),COLUMN(HostBuild[CTI Target Completion])),""),""),"")</f>
        <v/>
      </c>
      <c r="D414" s="262" t="str">
        <f>IF(AND(NOT(ISBLANK(E414)),E414&lt;&gt;"(blank)"),IFERROR(IF(INDEX(HostBuild[],MATCH(E414,HostBuild[Alias],0),COLUMN(HostBuild[Description]))&lt;&gt;0,INDEX(HostBuild[],MATCH(E414,HostBuild[Alias],0),COLUMN(HostBuild[Description])),""),""),"")</f>
        <v/>
      </c>
    </row>
    <row r="415" spans="1:4">
      <c r="A415" s="3" t="str">
        <f>IF(AND(NOT(ISBLANK(E415)),E415&lt;&gt;"(blank)"),IFERROR(IF(INDEX(HostBuild[],MATCH(E415,HostBuild[Alias],0),COLUMN(HostBuild[Hostname]))&lt;&gt;0,INDEX(HostBuild[],MATCH(E415,HostBuild[Alias],0),COLUMN(HostBuild[Hostname])),""),""),"")</f>
        <v/>
      </c>
      <c r="B415" s="424" t="str">
        <f>IF(AND(NOT(ISBLANK(E415)),E415&lt;&gt;"(blank)"),IFERROR(IF(INDEX(HostBuild[],MATCH(E415,HostBuild[Alias],0),COLUMN(HostBuild[Status]))&lt;&gt;0,INDEX(HostBuild[],MATCH(E415,HostBuild[Alias],0),COLUMN(HostBuild[Status])),""),""),"")</f>
        <v/>
      </c>
      <c r="C415" s="425" t="str">
        <f>IF(AND(NOT(ISBLANK(E415)),E415&lt;&gt;"(blank)"),IFERROR(IF(INDEX(HostBuild[],MATCH(E415,HostBuild[Alias],0),COLUMN(HostBuild[CTI Target Completion]))&lt;&gt;0,INDEX(HostBuild[],MATCH(E415,HostBuild[Alias],0),COLUMN(HostBuild[CTI Target Completion])),""),""),"")</f>
        <v/>
      </c>
      <c r="D415" s="262" t="str">
        <f>IF(AND(NOT(ISBLANK(E415)),E415&lt;&gt;"(blank)"),IFERROR(IF(INDEX(HostBuild[],MATCH(E415,HostBuild[Alias],0),COLUMN(HostBuild[Description]))&lt;&gt;0,INDEX(HostBuild[],MATCH(E415,HostBuild[Alias],0),COLUMN(HostBuild[Description])),""),""),"")</f>
        <v/>
      </c>
    </row>
    <row r="416" spans="1:4">
      <c r="A416" s="3" t="str">
        <f>IF(AND(NOT(ISBLANK(E416)),E416&lt;&gt;"(blank)"),IFERROR(IF(INDEX(HostBuild[],MATCH(E416,HostBuild[Alias],0),COLUMN(HostBuild[Hostname]))&lt;&gt;0,INDEX(HostBuild[],MATCH(E416,HostBuild[Alias],0),COLUMN(HostBuild[Hostname])),""),""),"")</f>
        <v/>
      </c>
      <c r="B416" s="424" t="str">
        <f>IF(AND(NOT(ISBLANK(E416)),E416&lt;&gt;"(blank)"),IFERROR(IF(INDEX(HostBuild[],MATCH(E416,HostBuild[Alias],0),COLUMN(HostBuild[Status]))&lt;&gt;0,INDEX(HostBuild[],MATCH(E416,HostBuild[Alias],0),COLUMN(HostBuild[Status])),""),""),"")</f>
        <v/>
      </c>
      <c r="C416" s="425" t="str">
        <f>IF(AND(NOT(ISBLANK(E416)),E416&lt;&gt;"(blank)"),IFERROR(IF(INDEX(HostBuild[],MATCH(E416,HostBuild[Alias],0),COLUMN(HostBuild[CTI Target Completion]))&lt;&gt;0,INDEX(HostBuild[],MATCH(E416,HostBuild[Alias],0),COLUMN(HostBuild[CTI Target Completion])),""),""),"")</f>
        <v/>
      </c>
      <c r="D416" s="262" t="str">
        <f>IF(AND(NOT(ISBLANK(E416)),E416&lt;&gt;"(blank)"),IFERROR(IF(INDEX(HostBuild[],MATCH(E416,HostBuild[Alias],0),COLUMN(HostBuild[Description]))&lt;&gt;0,INDEX(HostBuild[],MATCH(E416,HostBuild[Alias],0),COLUMN(HostBuild[Description])),""),""),"")</f>
        <v/>
      </c>
    </row>
    <row r="417" spans="1:4">
      <c r="A417" s="3" t="str">
        <f>IF(AND(NOT(ISBLANK(E417)),E417&lt;&gt;"(blank)"),IFERROR(IF(INDEX(HostBuild[],MATCH(E417,HostBuild[Alias],0),COLUMN(HostBuild[Hostname]))&lt;&gt;0,INDEX(HostBuild[],MATCH(E417,HostBuild[Alias],0),COLUMN(HostBuild[Hostname])),""),""),"")</f>
        <v/>
      </c>
      <c r="B417" s="424" t="str">
        <f>IF(AND(NOT(ISBLANK(E417)),E417&lt;&gt;"(blank)"),IFERROR(IF(INDEX(HostBuild[],MATCH(E417,HostBuild[Alias],0),COLUMN(HostBuild[Status]))&lt;&gt;0,INDEX(HostBuild[],MATCH(E417,HostBuild[Alias],0),COLUMN(HostBuild[Status])),""),""),"")</f>
        <v/>
      </c>
      <c r="C417" s="425" t="str">
        <f>IF(AND(NOT(ISBLANK(E417)),E417&lt;&gt;"(blank)"),IFERROR(IF(INDEX(HostBuild[],MATCH(E417,HostBuild[Alias],0),COLUMN(HostBuild[CTI Target Completion]))&lt;&gt;0,INDEX(HostBuild[],MATCH(E417,HostBuild[Alias],0),COLUMN(HostBuild[CTI Target Completion])),""),""),"")</f>
        <v/>
      </c>
      <c r="D417" s="262" t="str">
        <f>IF(AND(NOT(ISBLANK(E417)),E417&lt;&gt;"(blank)"),IFERROR(IF(INDEX(HostBuild[],MATCH(E417,HostBuild[Alias],0),COLUMN(HostBuild[Description]))&lt;&gt;0,INDEX(HostBuild[],MATCH(E417,HostBuild[Alias],0),COLUMN(HostBuild[Description])),""),""),"")</f>
        <v/>
      </c>
    </row>
    <row r="418" spans="1:4">
      <c r="A418" s="3" t="str">
        <f>IF(AND(NOT(ISBLANK(E418)),E418&lt;&gt;"(blank)"),IFERROR(IF(INDEX(HostBuild[],MATCH(E418,HostBuild[Alias],0),COLUMN(HostBuild[Hostname]))&lt;&gt;0,INDEX(HostBuild[],MATCH(E418,HostBuild[Alias],0),COLUMN(HostBuild[Hostname])),""),""),"")</f>
        <v/>
      </c>
      <c r="B418" s="424" t="str">
        <f>IF(AND(NOT(ISBLANK(E418)),E418&lt;&gt;"(blank)"),IFERROR(IF(INDEX(HostBuild[],MATCH(E418,HostBuild[Alias],0),COLUMN(HostBuild[Status]))&lt;&gt;0,INDEX(HostBuild[],MATCH(E418,HostBuild[Alias],0),COLUMN(HostBuild[Status])),""),""),"")</f>
        <v/>
      </c>
      <c r="C418" s="425" t="str">
        <f>IF(AND(NOT(ISBLANK(E418)),E418&lt;&gt;"(blank)"),IFERROR(IF(INDEX(HostBuild[],MATCH(E418,HostBuild[Alias],0),COLUMN(HostBuild[CTI Target Completion]))&lt;&gt;0,INDEX(HostBuild[],MATCH(E418,HostBuild[Alias],0),COLUMN(HostBuild[CTI Target Completion])),""),""),"")</f>
        <v/>
      </c>
      <c r="D418" s="262" t="str">
        <f>IF(AND(NOT(ISBLANK(E418)),E418&lt;&gt;"(blank)"),IFERROR(IF(INDEX(HostBuild[],MATCH(E418,HostBuild[Alias],0),COLUMN(HostBuild[Description]))&lt;&gt;0,INDEX(HostBuild[],MATCH(E418,HostBuild[Alias],0),COLUMN(HostBuild[Description])),""),""),"")</f>
        <v/>
      </c>
    </row>
    <row r="419" spans="1:4">
      <c r="A419" s="3" t="str">
        <f>IF(AND(NOT(ISBLANK(E419)),E419&lt;&gt;"(blank)"),IFERROR(IF(INDEX(HostBuild[],MATCH(E419,HostBuild[Alias],0),COLUMN(HostBuild[Hostname]))&lt;&gt;0,INDEX(HostBuild[],MATCH(E419,HostBuild[Alias],0),COLUMN(HostBuild[Hostname])),""),""),"")</f>
        <v/>
      </c>
      <c r="B419" s="424" t="str">
        <f>IF(AND(NOT(ISBLANK(E419)),E419&lt;&gt;"(blank)"),IFERROR(IF(INDEX(HostBuild[],MATCH(E419,HostBuild[Alias],0),COLUMN(HostBuild[Status]))&lt;&gt;0,INDEX(HostBuild[],MATCH(E419,HostBuild[Alias],0),COLUMN(HostBuild[Status])),""),""),"")</f>
        <v/>
      </c>
      <c r="C419" s="425" t="str">
        <f>IF(AND(NOT(ISBLANK(E419)),E419&lt;&gt;"(blank)"),IFERROR(IF(INDEX(HostBuild[],MATCH(E419,HostBuild[Alias],0),COLUMN(HostBuild[CTI Target Completion]))&lt;&gt;0,INDEX(HostBuild[],MATCH(E419,HostBuild[Alias],0),COLUMN(HostBuild[CTI Target Completion])),""),""),"")</f>
        <v/>
      </c>
      <c r="D419" s="262" t="str">
        <f>IF(AND(NOT(ISBLANK(E419)),E419&lt;&gt;"(blank)"),IFERROR(IF(INDEX(HostBuild[],MATCH(E419,HostBuild[Alias],0),COLUMN(HostBuild[Description]))&lt;&gt;0,INDEX(HostBuild[],MATCH(E419,HostBuild[Alias],0),COLUMN(HostBuild[Description])),""),""),"")</f>
        <v/>
      </c>
    </row>
    <row r="420" spans="1:4">
      <c r="A420" s="3" t="str">
        <f>IF(AND(NOT(ISBLANK(E420)),E420&lt;&gt;"(blank)"),IFERROR(IF(INDEX(HostBuild[],MATCH(E420,HostBuild[Alias],0),COLUMN(HostBuild[Hostname]))&lt;&gt;0,INDEX(HostBuild[],MATCH(E420,HostBuild[Alias],0),COLUMN(HostBuild[Hostname])),""),""),"")</f>
        <v/>
      </c>
      <c r="B420" s="424" t="str">
        <f>IF(AND(NOT(ISBLANK(E420)),E420&lt;&gt;"(blank)"),IFERROR(IF(INDEX(HostBuild[],MATCH(E420,HostBuild[Alias],0),COLUMN(HostBuild[Status]))&lt;&gt;0,INDEX(HostBuild[],MATCH(E420,HostBuild[Alias],0),COLUMN(HostBuild[Status])),""),""),"")</f>
        <v/>
      </c>
      <c r="C420" s="425" t="str">
        <f>IF(AND(NOT(ISBLANK(E420)),E420&lt;&gt;"(blank)"),IFERROR(IF(INDEX(HostBuild[],MATCH(E420,HostBuild[Alias],0),COLUMN(HostBuild[CTI Target Completion]))&lt;&gt;0,INDEX(HostBuild[],MATCH(E420,HostBuild[Alias],0),COLUMN(HostBuild[CTI Target Completion])),""),""),"")</f>
        <v/>
      </c>
      <c r="D420" s="262" t="str">
        <f>IF(AND(NOT(ISBLANK(E420)),E420&lt;&gt;"(blank)"),IFERROR(IF(INDEX(HostBuild[],MATCH(E420,HostBuild[Alias],0),COLUMN(HostBuild[Description]))&lt;&gt;0,INDEX(HostBuild[],MATCH(E420,HostBuild[Alias],0),COLUMN(HostBuild[Description])),""),""),"")</f>
        <v/>
      </c>
    </row>
    <row r="421" spans="1:4">
      <c r="A421" s="3" t="str">
        <f>IF(AND(NOT(ISBLANK(E421)),E421&lt;&gt;"(blank)"),IFERROR(IF(INDEX(HostBuild[],MATCH(E421,HostBuild[Alias],0),COLUMN(HostBuild[Hostname]))&lt;&gt;0,INDEX(HostBuild[],MATCH(E421,HostBuild[Alias],0),COLUMN(HostBuild[Hostname])),""),""),"")</f>
        <v/>
      </c>
      <c r="B421" s="424" t="str">
        <f>IF(AND(NOT(ISBLANK(E421)),E421&lt;&gt;"(blank)"),IFERROR(IF(INDEX(HostBuild[],MATCH(E421,HostBuild[Alias],0),COLUMN(HostBuild[Status]))&lt;&gt;0,INDEX(HostBuild[],MATCH(E421,HostBuild[Alias],0),COLUMN(HostBuild[Status])),""),""),"")</f>
        <v/>
      </c>
      <c r="C421" s="425" t="str">
        <f>IF(AND(NOT(ISBLANK(E421)),E421&lt;&gt;"(blank)"),IFERROR(IF(INDEX(HostBuild[],MATCH(E421,HostBuild[Alias],0),COLUMN(HostBuild[CTI Target Completion]))&lt;&gt;0,INDEX(HostBuild[],MATCH(E421,HostBuild[Alias],0),COLUMN(HostBuild[CTI Target Completion])),""),""),"")</f>
        <v/>
      </c>
      <c r="D421" s="262" t="str">
        <f>IF(AND(NOT(ISBLANK(E421)),E421&lt;&gt;"(blank)"),IFERROR(IF(INDEX(HostBuild[],MATCH(E421,HostBuild[Alias],0),COLUMN(HostBuild[Description]))&lt;&gt;0,INDEX(HostBuild[],MATCH(E421,HostBuild[Alias],0),COLUMN(HostBuild[Description])),""),""),"")</f>
        <v/>
      </c>
    </row>
    <row r="422" spans="1:4">
      <c r="A422" s="3" t="str">
        <f>IF(AND(NOT(ISBLANK(E422)),E422&lt;&gt;"(blank)"),IFERROR(IF(INDEX(HostBuild[],MATCH(E422,HostBuild[Alias],0),COLUMN(HostBuild[Hostname]))&lt;&gt;0,INDEX(HostBuild[],MATCH(E422,HostBuild[Alias],0),COLUMN(HostBuild[Hostname])),""),""),"")</f>
        <v/>
      </c>
      <c r="B422" s="424" t="str">
        <f>IF(AND(NOT(ISBLANK(E422)),E422&lt;&gt;"(blank)"),IFERROR(IF(INDEX(HostBuild[],MATCH(E422,HostBuild[Alias],0),COLUMN(HostBuild[Status]))&lt;&gt;0,INDEX(HostBuild[],MATCH(E422,HostBuild[Alias],0),COLUMN(HostBuild[Status])),""),""),"")</f>
        <v/>
      </c>
      <c r="C422" s="425" t="str">
        <f>IF(AND(NOT(ISBLANK(E422)),E422&lt;&gt;"(blank)"),IFERROR(IF(INDEX(HostBuild[],MATCH(E422,HostBuild[Alias],0),COLUMN(HostBuild[CTI Target Completion]))&lt;&gt;0,INDEX(HostBuild[],MATCH(E422,HostBuild[Alias],0),COLUMN(HostBuild[CTI Target Completion])),""),""),"")</f>
        <v/>
      </c>
      <c r="D422" s="262" t="str">
        <f>IF(AND(NOT(ISBLANK(E422)),E422&lt;&gt;"(blank)"),IFERROR(IF(INDEX(HostBuild[],MATCH(E422,HostBuild[Alias],0),COLUMN(HostBuild[Description]))&lt;&gt;0,INDEX(HostBuild[],MATCH(E422,HostBuild[Alias],0),COLUMN(HostBuild[Description])),""),""),"")</f>
        <v/>
      </c>
    </row>
    <row r="423" spans="1:4">
      <c r="A423" s="3" t="str">
        <f>IF(AND(NOT(ISBLANK(E423)),E423&lt;&gt;"(blank)"),IFERROR(IF(INDEX(HostBuild[],MATCH(E423,HostBuild[Alias],0),COLUMN(HostBuild[Hostname]))&lt;&gt;0,INDEX(HostBuild[],MATCH(E423,HostBuild[Alias],0),COLUMN(HostBuild[Hostname])),""),""),"")</f>
        <v/>
      </c>
      <c r="B423" s="424" t="str">
        <f>IF(AND(NOT(ISBLANK(E423)),E423&lt;&gt;"(blank)"),IFERROR(IF(INDEX(HostBuild[],MATCH(E423,HostBuild[Alias],0),COLUMN(HostBuild[Status]))&lt;&gt;0,INDEX(HostBuild[],MATCH(E423,HostBuild[Alias],0),COLUMN(HostBuild[Status])),""),""),"")</f>
        <v/>
      </c>
      <c r="C423" s="425" t="str">
        <f>IF(AND(NOT(ISBLANK(E423)),E423&lt;&gt;"(blank)"),IFERROR(IF(INDEX(HostBuild[],MATCH(E423,HostBuild[Alias],0),COLUMN(HostBuild[CTI Target Completion]))&lt;&gt;0,INDEX(HostBuild[],MATCH(E423,HostBuild[Alias],0),COLUMN(HostBuild[CTI Target Completion])),""),""),"")</f>
        <v/>
      </c>
      <c r="D423" s="262" t="str">
        <f>IF(AND(NOT(ISBLANK(E423)),E423&lt;&gt;"(blank)"),IFERROR(IF(INDEX(HostBuild[],MATCH(E423,HostBuild[Alias],0),COLUMN(HostBuild[Description]))&lt;&gt;0,INDEX(HostBuild[],MATCH(E423,HostBuild[Alias],0),COLUMN(HostBuild[Description])),""),""),"")</f>
        <v/>
      </c>
    </row>
    <row r="424" spans="1:4">
      <c r="A424" s="3" t="str">
        <f>IF(AND(NOT(ISBLANK(E424)),E424&lt;&gt;"(blank)"),IFERROR(IF(INDEX(HostBuild[],MATCH(E424,HostBuild[Alias],0),COLUMN(HostBuild[Hostname]))&lt;&gt;0,INDEX(HostBuild[],MATCH(E424,HostBuild[Alias],0),COLUMN(HostBuild[Hostname])),""),""),"")</f>
        <v/>
      </c>
      <c r="B424" s="424" t="str">
        <f>IF(AND(NOT(ISBLANK(E424)),E424&lt;&gt;"(blank)"),IFERROR(IF(INDEX(HostBuild[],MATCH(E424,HostBuild[Alias],0),COLUMN(HostBuild[Status]))&lt;&gt;0,INDEX(HostBuild[],MATCH(E424,HostBuild[Alias],0),COLUMN(HostBuild[Status])),""),""),"")</f>
        <v/>
      </c>
      <c r="C424" s="425" t="str">
        <f>IF(AND(NOT(ISBLANK(E424)),E424&lt;&gt;"(blank)"),IFERROR(IF(INDEX(HostBuild[],MATCH(E424,HostBuild[Alias],0),COLUMN(HostBuild[CTI Target Completion]))&lt;&gt;0,INDEX(HostBuild[],MATCH(E424,HostBuild[Alias],0),COLUMN(HostBuild[CTI Target Completion])),""),""),"")</f>
        <v/>
      </c>
      <c r="D424" s="262" t="str">
        <f>IF(AND(NOT(ISBLANK(E424)),E424&lt;&gt;"(blank)"),IFERROR(IF(INDEX(HostBuild[],MATCH(E424,HostBuild[Alias],0),COLUMN(HostBuild[Description]))&lt;&gt;0,INDEX(HostBuild[],MATCH(E424,HostBuild[Alias],0),COLUMN(HostBuild[Description])),""),""),"")</f>
        <v/>
      </c>
    </row>
    <row r="425" spans="1:4">
      <c r="A425" s="3" t="str">
        <f>IF(AND(NOT(ISBLANK(E425)),E425&lt;&gt;"(blank)"),IFERROR(IF(INDEX(HostBuild[],MATCH(E425,HostBuild[Alias],0),COLUMN(HostBuild[Hostname]))&lt;&gt;0,INDEX(HostBuild[],MATCH(E425,HostBuild[Alias],0),COLUMN(HostBuild[Hostname])),""),""),"")</f>
        <v/>
      </c>
      <c r="B425" s="424" t="str">
        <f>IF(AND(NOT(ISBLANK(E425)),E425&lt;&gt;"(blank)"),IFERROR(IF(INDEX(HostBuild[],MATCH(E425,HostBuild[Alias],0),COLUMN(HostBuild[Status]))&lt;&gt;0,INDEX(HostBuild[],MATCH(E425,HostBuild[Alias],0),COLUMN(HostBuild[Status])),""),""),"")</f>
        <v/>
      </c>
      <c r="C425" s="425" t="str">
        <f>IF(AND(NOT(ISBLANK(E425)),E425&lt;&gt;"(blank)"),IFERROR(IF(INDEX(HostBuild[],MATCH(E425,HostBuild[Alias],0),COLUMN(HostBuild[CTI Target Completion]))&lt;&gt;0,INDEX(HostBuild[],MATCH(E425,HostBuild[Alias],0),COLUMN(HostBuild[CTI Target Completion])),""),""),"")</f>
        <v/>
      </c>
      <c r="D425" s="262" t="str">
        <f>IF(AND(NOT(ISBLANK(E425)),E425&lt;&gt;"(blank)"),IFERROR(IF(INDEX(HostBuild[],MATCH(E425,HostBuild[Alias],0),COLUMN(HostBuild[Description]))&lt;&gt;0,INDEX(HostBuild[],MATCH(E425,HostBuild[Alias],0),COLUMN(HostBuild[Description])),""),""),"")</f>
        <v/>
      </c>
    </row>
    <row r="426" spans="1:4">
      <c r="A426" s="3" t="str">
        <f>IF(AND(NOT(ISBLANK(E426)),E426&lt;&gt;"(blank)"),IFERROR(IF(INDEX(HostBuild[],MATCH(E426,HostBuild[Alias],0),COLUMN(HostBuild[Hostname]))&lt;&gt;0,INDEX(HostBuild[],MATCH(E426,HostBuild[Alias],0),COLUMN(HostBuild[Hostname])),""),""),"")</f>
        <v/>
      </c>
      <c r="B426" s="424" t="str">
        <f>IF(AND(NOT(ISBLANK(E426)),E426&lt;&gt;"(blank)"),IFERROR(IF(INDEX(HostBuild[],MATCH(E426,HostBuild[Alias],0),COLUMN(HostBuild[Status]))&lt;&gt;0,INDEX(HostBuild[],MATCH(E426,HostBuild[Alias],0),COLUMN(HostBuild[Status])),""),""),"")</f>
        <v/>
      </c>
      <c r="C426" s="425" t="str">
        <f>IF(AND(NOT(ISBLANK(E426)),E426&lt;&gt;"(blank)"),IFERROR(IF(INDEX(HostBuild[],MATCH(E426,HostBuild[Alias],0),COLUMN(HostBuild[CTI Target Completion]))&lt;&gt;0,INDEX(HostBuild[],MATCH(E426,HostBuild[Alias],0),COLUMN(HostBuild[CTI Target Completion])),""),""),"")</f>
        <v/>
      </c>
      <c r="D426" s="262" t="str">
        <f>IF(AND(NOT(ISBLANK(E426)),E426&lt;&gt;"(blank)"),IFERROR(IF(INDEX(HostBuild[],MATCH(E426,HostBuild[Alias],0),COLUMN(HostBuild[Description]))&lt;&gt;0,INDEX(HostBuild[],MATCH(E426,HostBuild[Alias],0),COLUMN(HostBuild[Description])),""),""),"")</f>
        <v/>
      </c>
    </row>
    <row r="427" spans="1:4">
      <c r="A427" s="3" t="str">
        <f>IF(AND(NOT(ISBLANK(E427)),E427&lt;&gt;"(blank)"),IFERROR(IF(INDEX(HostBuild[],MATCH(E427,HostBuild[Alias],0),COLUMN(HostBuild[Hostname]))&lt;&gt;0,INDEX(HostBuild[],MATCH(E427,HostBuild[Alias],0),COLUMN(HostBuild[Hostname])),""),""),"")</f>
        <v/>
      </c>
      <c r="B427" s="424" t="str">
        <f>IF(AND(NOT(ISBLANK(E427)),E427&lt;&gt;"(blank)"),IFERROR(IF(INDEX(HostBuild[],MATCH(E427,HostBuild[Alias],0),COLUMN(HostBuild[Status]))&lt;&gt;0,INDEX(HostBuild[],MATCH(E427,HostBuild[Alias],0),COLUMN(HostBuild[Status])),""),""),"")</f>
        <v/>
      </c>
      <c r="C427" s="425" t="str">
        <f>IF(AND(NOT(ISBLANK(E427)),E427&lt;&gt;"(blank)"),IFERROR(IF(INDEX(HostBuild[],MATCH(E427,HostBuild[Alias],0),COLUMN(HostBuild[CTI Target Completion]))&lt;&gt;0,INDEX(HostBuild[],MATCH(E427,HostBuild[Alias],0),COLUMN(HostBuild[CTI Target Completion])),""),""),"")</f>
        <v/>
      </c>
      <c r="D427" s="262" t="str">
        <f>IF(AND(NOT(ISBLANK(E427)),E427&lt;&gt;"(blank)"),IFERROR(IF(INDEX(HostBuild[],MATCH(E427,HostBuild[Alias],0),COLUMN(HostBuild[Description]))&lt;&gt;0,INDEX(HostBuild[],MATCH(E427,HostBuild[Alias],0),COLUMN(HostBuild[Description])),""),""),"")</f>
        <v/>
      </c>
    </row>
    <row r="428" spans="1:4">
      <c r="A428" s="3" t="str">
        <f>IF(AND(NOT(ISBLANK(E428)),E428&lt;&gt;"(blank)"),IFERROR(IF(INDEX(HostBuild[],MATCH(E428,HostBuild[Alias],0),COLUMN(HostBuild[Hostname]))&lt;&gt;0,INDEX(HostBuild[],MATCH(E428,HostBuild[Alias],0),COLUMN(HostBuild[Hostname])),""),""),"")</f>
        <v/>
      </c>
      <c r="B428" s="424" t="str">
        <f>IF(AND(NOT(ISBLANK(E428)),E428&lt;&gt;"(blank)"),IFERROR(IF(INDEX(HostBuild[],MATCH(E428,HostBuild[Alias],0),COLUMN(HostBuild[Status]))&lt;&gt;0,INDEX(HostBuild[],MATCH(E428,HostBuild[Alias],0),COLUMN(HostBuild[Status])),""),""),"")</f>
        <v/>
      </c>
      <c r="C428" s="425" t="str">
        <f>IF(AND(NOT(ISBLANK(E428)),E428&lt;&gt;"(blank)"),IFERROR(IF(INDEX(HostBuild[],MATCH(E428,HostBuild[Alias],0),COLUMN(HostBuild[CTI Target Completion]))&lt;&gt;0,INDEX(HostBuild[],MATCH(E428,HostBuild[Alias],0),COLUMN(HostBuild[CTI Target Completion])),""),""),"")</f>
        <v/>
      </c>
      <c r="D428" s="262" t="str">
        <f>IF(AND(NOT(ISBLANK(E428)),E428&lt;&gt;"(blank)"),IFERROR(IF(INDEX(HostBuild[],MATCH(E428,HostBuild[Alias],0),COLUMN(HostBuild[Description]))&lt;&gt;0,INDEX(HostBuild[],MATCH(E428,HostBuild[Alias],0),COLUMN(HostBuild[Description])),""),""),"")</f>
        <v/>
      </c>
    </row>
    <row r="429" spans="1:4">
      <c r="A429" s="3" t="str">
        <f>IF(AND(NOT(ISBLANK(E429)),E429&lt;&gt;"(blank)"),IFERROR(IF(INDEX(HostBuild[],MATCH(E429,HostBuild[Alias],0),COLUMN(HostBuild[Hostname]))&lt;&gt;0,INDEX(HostBuild[],MATCH(E429,HostBuild[Alias],0),COLUMN(HostBuild[Hostname])),""),""),"")</f>
        <v/>
      </c>
      <c r="B429" s="424" t="str">
        <f>IF(AND(NOT(ISBLANK(E429)),E429&lt;&gt;"(blank)"),IFERROR(IF(INDEX(HostBuild[],MATCH(E429,HostBuild[Alias],0),COLUMN(HostBuild[Status]))&lt;&gt;0,INDEX(HostBuild[],MATCH(E429,HostBuild[Alias],0),COLUMN(HostBuild[Status])),""),""),"")</f>
        <v/>
      </c>
      <c r="C429" s="425" t="str">
        <f>IF(AND(NOT(ISBLANK(E429)),E429&lt;&gt;"(blank)"),IFERROR(IF(INDEX(HostBuild[],MATCH(E429,HostBuild[Alias],0),COLUMN(HostBuild[CTI Target Completion]))&lt;&gt;0,INDEX(HostBuild[],MATCH(E429,HostBuild[Alias],0),COLUMN(HostBuild[CTI Target Completion])),""),""),"")</f>
        <v/>
      </c>
      <c r="D429" s="262" t="str">
        <f>IF(AND(NOT(ISBLANK(E429)),E429&lt;&gt;"(blank)"),IFERROR(IF(INDEX(HostBuild[],MATCH(E429,HostBuild[Alias],0),COLUMN(HostBuild[Description]))&lt;&gt;0,INDEX(HostBuild[],MATCH(E429,HostBuild[Alias],0),COLUMN(HostBuild[Description])),""),""),"")</f>
        <v/>
      </c>
    </row>
    <row r="430" spans="1:4">
      <c r="A430" s="3" t="str">
        <f>IF(AND(NOT(ISBLANK(E430)),E430&lt;&gt;"(blank)"),IFERROR(IF(INDEX(HostBuild[],MATCH(E430,HostBuild[Alias],0),COLUMN(HostBuild[Hostname]))&lt;&gt;0,INDEX(HostBuild[],MATCH(E430,HostBuild[Alias],0),COLUMN(HostBuild[Hostname])),""),""),"")</f>
        <v/>
      </c>
      <c r="B430" s="424" t="str">
        <f>IF(AND(NOT(ISBLANK(E430)),E430&lt;&gt;"(blank)"),IFERROR(IF(INDEX(HostBuild[],MATCH(E430,HostBuild[Alias],0),COLUMN(HostBuild[Status]))&lt;&gt;0,INDEX(HostBuild[],MATCH(E430,HostBuild[Alias],0),COLUMN(HostBuild[Status])),""),""),"")</f>
        <v/>
      </c>
      <c r="C430" s="425" t="str">
        <f>IF(AND(NOT(ISBLANK(E430)),E430&lt;&gt;"(blank)"),IFERROR(IF(INDEX(HostBuild[],MATCH(E430,HostBuild[Alias],0),COLUMN(HostBuild[CTI Target Completion]))&lt;&gt;0,INDEX(HostBuild[],MATCH(E430,HostBuild[Alias],0),COLUMN(HostBuild[CTI Target Completion])),""),""),"")</f>
        <v/>
      </c>
      <c r="D430" s="262" t="str">
        <f>IF(AND(NOT(ISBLANK(E430)),E430&lt;&gt;"(blank)"),IFERROR(IF(INDEX(HostBuild[],MATCH(E430,HostBuild[Alias],0),COLUMN(HostBuild[Description]))&lt;&gt;0,INDEX(HostBuild[],MATCH(E430,HostBuild[Alias],0),COLUMN(HostBuild[Description])),""),""),"")</f>
        <v/>
      </c>
    </row>
    <row r="431" spans="1:4">
      <c r="A431" s="3" t="str">
        <f>IF(AND(NOT(ISBLANK(E431)),E431&lt;&gt;"(blank)"),IFERROR(IF(INDEX(HostBuild[],MATCH(E431,HostBuild[Alias],0),COLUMN(HostBuild[Hostname]))&lt;&gt;0,INDEX(HostBuild[],MATCH(E431,HostBuild[Alias],0),COLUMN(HostBuild[Hostname])),""),""),"")</f>
        <v/>
      </c>
      <c r="B431" s="424" t="str">
        <f>IF(AND(NOT(ISBLANK(E431)),E431&lt;&gt;"(blank)"),IFERROR(IF(INDEX(HostBuild[],MATCH(E431,HostBuild[Alias],0),COLUMN(HostBuild[Status]))&lt;&gt;0,INDEX(HostBuild[],MATCH(E431,HostBuild[Alias],0),COLUMN(HostBuild[Status])),""),""),"")</f>
        <v/>
      </c>
      <c r="C431" s="425" t="str">
        <f>IF(AND(NOT(ISBLANK(E431)),E431&lt;&gt;"(blank)"),IFERROR(IF(INDEX(HostBuild[],MATCH(E431,HostBuild[Alias],0),COLUMN(HostBuild[CTI Target Completion]))&lt;&gt;0,INDEX(HostBuild[],MATCH(E431,HostBuild[Alias],0),COLUMN(HostBuild[CTI Target Completion])),""),""),"")</f>
        <v/>
      </c>
      <c r="D431" s="262" t="str">
        <f>IF(AND(NOT(ISBLANK(E431)),E431&lt;&gt;"(blank)"),IFERROR(IF(INDEX(HostBuild[],MATCH(E431,HostBuild[Alias],0),COLUMN(HostBuild[Description]))&lt;&gt;0,INDEX(HostBuild[],MATCH(E431,HostBuild[Alias],0),COLUMN(HostBuild[Description])),""),""),"")</f>
        <v/>
      </c>
    </row>
    <row r="432" spans="1:4">
      <c r="A432" s="3" t="str">
        <f>IF(AND(NOT(ISBLANK(E432)),E432&lt;&gt;"(blank)"),IFERROR(IF(INDEX(HostBuild[],MATCH(E432,HostBuild[Alias],0),COLUMN(HostBuild[Hostname]))&lt;&gt;0,INDEX(HostBuild[],MATCH(E432,HostBuild[Alias],0),COLUMN(HostBuild[Hostname])),""),""),"")</f>
        <v/>
      </c>
      <c r="B432" s="424" t="str">
        <f>IF(AND(NOT(ISBLANK(E432)),E432&lt;&gt;"(blank)"),IFERROR(IF(INDEX(HostBuild[],MATCH(E432,HostBuild[Alias],0),COLUMN(HostBuild[Status]))&lt;&gt;0,INDEX(HostBuild[],MATCH(E432,HostBuild[Alias],0),COLUMN(HostBuild[Status])),""),""),"")</f>
        <v/>
      </c>
      <c r="C432" s="425" t="str">
        <f>IF(AND(NOT(ISBLANK(E432)),E432&lt;&gt;"(blank)"),IFERROR(IF(INDEX(HostBuild[],MATCH(E432,HostBuild[Alias],0),COLUMN(HostBuild[CTI Target Completion]))&lt;&gt;0,INDEX(HostBuild[],MATCH(E432,HostBuild[Alias],0),COLUMN(HostBuild[CTI Target Completion])),""),""),"")</f>
        <v/>
      </c>
      <c r="D432" s="262" t="str">
        <f>IF(AND(NOT(ISBLANK(E432)),E432&lt;&gt;"(blank)"),IFERROR(IF(INDEX(HostBuild[],MATCH(E432,HostBuild[Alias],0),COLUMN(HostBuild[Description]))&lt;&gt;0,INDEX(HostBuild[],MATCH(E432,HostBuild[Alias],0),COLUMN(HostBuild[Description])),""),""),"")</f>
        <v/>
      </c>
    </row>
    <row r="433" spans="1:4">
      <c r="A433" s="3" t="str">
        <f>IF(AND(NOT(ISBLANK(E433)),E433&lt;&gt;"(blank)"),IFERROR(IF(INDEX(HostBuild[],MATCH(E433,HostBuild[Alias],0),COLUMN(HostBuild[Hostname]))&lt;&gt;0,INDEX(HostBuild[],MATCH(E433,HostBuild[Alias],0),COLUMN(HostBuild[Hostname])),""),""),"")</f>
        <v/>
      </c>
      <c r="B433" s="424" t="str">
        <f>IF(AND(NOT(ISBLANK(E433)),E433&lt;&gt;"(blank)"),IFERROR(IF(INDEX(HostBuild[],MATCH(E433,HostBuild[Alias],0),COLUMN(HostBuild[Status]))&lt;&gt;0,INDEX(HostBuild[],MATCH(E433,HostBuild[Alias],0),COLUMN(HostBuild[Status])),""),""),"")</f>
        <v/>
      </c>
      <c r="C433" s="425" t="str">
        <f>IF(AND(NOT(ISBLANK(E433)),E433&lt;&gt;"(blank)"),IFERROR(IF(INDEX(HostBuild[],MATCH(E433,HostBuild[Alias],0),COLUMN(HostBuild[CTI Target Completion]))&lt;&gt;0,INDEX(HostBuild[],MATCH(E433,HostBuild[Alias],0),COLUMN(HostBuild[CTI Target Completion])),""),""),"")</f>
        <v/>
      </c>
      <c r="D433" s="262" t="str">
        <f>IF(AND(NOT(ISBLANK(E433)),E433&lt;&gt;"(blank)"),IFERROR(IF(INDEX(HostBuild[],MATCH(E433,HostBuild[Alias],0),COLUMN(HostBuild[Description]))&lt;&gt;0,INDEX(HostBuild[],MATCH(E433,HostBuild[Alias],0),COLUMN(HostBuild[Description])),""),""),"")</f>
        <v/>
      </c>
    </row>
    <row r="434" spans="1:4">
      <c r="A434" s="3" t="str">
        <f>IF(AND(NOT(ISBLANK(E434)),E434&lt;&gt;"(blank)"),IFERROR(IF(INDEX(HostBuild[],MATCH(E434,HostBuild[Alias],0),COLUMN(HostBuild[Hostname]))&lt;&gt;0,INDEX(HostBuild[],MATCH(E434,HostBuild[Alias],0),COLUMN(HostBuild[Hostname])),""),""),"")</f>
        <v/>
      </c>
      <c r="B434" s="424" t="str">
        <f>IF(AND(NOT(ISBLANK(E434)),E434&lt;&gt;"(blank)"),IFERROR(IF(INDEX(HostBuild[],MATCH(E434,HostBuild[Alias],0),COLUMN(HostBuild[Status]))&lt;&gt;0,INDEX(HostBuild[],MATCH(E434,HostBuild[Alias],0),COLUMN(HostBuild[Status])),""),""),"")</f>
        <v/>
      </c>
      <c r="C434" s="425" t="str">
        <f>IF(AND(NOT(ISBLANK(E434)),E434&lt;&gt;"(blank)"),IFERROR(IF(INDEX(HostBuild[],MATCH(E434,HostBuild[Alias],0),COLUMN(HostBuild[CTI Target Completion]))&lt;&gt;0,INDEX(HostBuild[],MATCH(E434,HostBuild[Alias],0),COLUMN(HostBuild[CTI Target Completion])),""),""),"")</f>
        <v/>
      </c>
      <c r="D434" s="262" t="str">
        <f>IF(AND(NOT(ISBLANK(E434)),E434&lt;&gt;"(blank)"),IFERROR(IF(INDEX(HostBuild[],MATCH(E434,HostBuild[Alias],0),COLUMN(HostBuild[Description]))&lt;&gt;0,INDEX(HostBuild[],MATCH(E434,HostBuild[Alias],0),COLUMN(HostBuild[Description])),""),""),"")</f>
        <v/>
      </c>
    </row>
    <row r="435" spans="1:4">
      <c r="A435" s="3" t="str">
        <f>IF(AND(NOT(ISBLANK(E435)),E435&lt;&gt;"(blank)"),IFERROR(IF(INDEX(HostBuild[],MATCH(E435,HostBuild[Alias],0),COLUMN(HostBuild[Hostname]))&lt;&gt;0,INDEX(HostBuild[],MATCH(E435,HostBuild[Alias],0),COLUMN(HostBuild[Hostname])),""),""),"")</f>
        <v/>
      </c>
      <c r="B435" s="424" t="str">
        <f>IF(AND(NOT(ISBLANK(E435)),E435&lt;&gt;"(blank)"),IFERROR(IF(INDEX(HostBuild[],MATCH(E435,HostBuild[Alias],0),COLUMN(HostBuild[Status]))&lt;&gt;0,INDEX(HostBuild[],MATCH(E435,HostBuild[Alias],0),COLUMN(HostBuild[Status])),""),""),"")</f>
        <v/>
      </c>
      <c r="C435" s="425" t="str">
        <f>IF(AND(NOT(ISBLANK(E435)),E435&lt;&gt;"(blank)"),IFERROR(IF(INDEX(HostBuild[],MATCH(E435,HostBuild[Alias],0),COLUMN(HostBuild[CTI Target Completion]))&lt;&gt;0,INDEX(HostBuild[],MATCH(E435,HostBuild[Alias],0),COLUMN(HostBuild[CTI Target Completion])),""),""),"")</f>
        <v/>
      </c>
      <c r="D435" s="262" t="str">
        <f>IF(AND(NOT(ISBLANK(E435)),E435&lt;&gt;"(blank)"),IFERROR(IF(INDEX(HostBuild[],MATCH(E435,HostBuild[Alias],0),COLUMN(HostBuild[Description]))&lt;&gt;0,INDEX(HostBuild[],MATCH(E435,HostBuild[Alias],0),COLUMN(HostBuild[Description])),""),""),"")</f>
        <v/>
      </c>
    </row>
    <row r="436" spans="1:4">
      <c r="A436" s="3" t="str">
        <f>IF(AND(NOT(ISBLANK(E436)),E436&lt;&gt;"(blank)"),IFERROR(IF(INDEX(HostBuild[],MATCH(E436,HostBuild[Alias],0),COLUMN(HostBuild[Hostname]))&lt;&gt;0,INDEX(HostBuild[],MATCH(E436,HostBuild[Alias],0),COLUMN(HostBuild[Hostname])),""),""),"")</f>
        <v/>
      </c>
      <c r="B436" s="424" t="str">
        <f>IF(AND(NOT(ISBLANK(E436)),E436&lt;&gt;"(blank)"),IFERROR(IF(INDEX(HostBuild[],MATCH(E436,HostBuild[Alias],0),COLUMN(HostBuild[Status]))&lt;&gt;0,INDEX(HostBuild[],MATCH(E436,HostBuild[Alias],0),COLUMN(HostBuild[Status])),""),""),"")</f>
        <v/>
      </c>
      <c r="C436" s="425" t="str">
        <f>IF(AND(NOT(ISBLANK(E436)),E436&lt;&gt;"(blank)"),IFERROR(IF(INDEX(HostBuild[],MATCH(E436,HostBuild[Alias],0),COLUMN(HostBuild[CTI Target Completion]))&lt;&gt;0,INDEX(HostBuild[],MATCH(E436,HostBuild[Alias],0),COLUMN(HostBuild[CTI Target Completion])),""),""),"")</f>
        <v/>
      </c>
      <c r="D436" s="262" t="str">
        <f>IF(AND(NOT(ISBLANK(E436)),E436&lt;&gt;"(blank)"),IFERROR(IF(INDEX(HostBuild[],MATCH(E436,HostBuild[Alias],0),COLUMN(HostBuild[Description]))&lt;&gt;0,INDEX(HostBuild[],MATCH(E436,HostBuild[Alias],0),COLUMN(HostBuild[Description])),""),""),"")</f>
        <v/>
      </c>
    </row>
    <row r="437" spans="1:4">
      <c r="A437" s="3" t="str">
        <f>IF(AND(NOT(ISBLANK(E437)),E437&lt;&gt;"(blank)"),IFERROR(IF(INDEX(HostBuild[],MATCH(E437,HostBuild[Alias],0),COLUMN(HostBuild[Hostname]))&lt;&gt;0,INDEX(HostBuild[],MATCH(E437,HostBuild[Alias],0),COLUMN(HostBuild[Hostname])),""),""),"")</f>
        <v/>
      </c>
      <c r="B437" s="424" t="str">
        <f>IF(AND(NOT(ISBLANK(E437)),E437&lt;&gt;"(blank)"),IFERROR(IF(INDEX(HostBuild[],MATCH(E437,HostBuild[Alias],0),COLUMN(HostBuild[Status]))&lt;&gt;0,INDEX(HostBuild[],MATCH(E437,HostBuild[Alias],0),COLUMN(HostBuild[Status])),""),""),"")</f>
        <v/>
      </c>
      <c r="C437" s="425" t="str">
        <f>IF(AND(NOT(ISBLANK(E437)),E437&lt;&gt;"(blank)"),IFERROR(IF(INDEX(HostBuild[],MATCH(E437,HostBuild[Alias],0),COLUMN(HostBuild[CTI Target Completion]))&lt;&gt;0,INDEX(HostBuild[],MATCH(E437,HostBuild[Alias],0),COLUMN(HostBuild[CTI Target Completion])),""),""),"")</f>
        <v/>
      </c>
      <c r="D437" s="262" t="str">
        <f>IF(AND(NOT(ISBLANK(E437)),E437&lt;&gt;"(blank)"),IFERROR(IF(INDEX(HostBuild[],MATCH(E437,HostBuild[Alias],0),COLUMN(HostBuild[Description]))&lt;&gt;0,INDEX(HostBuild[],MATCH(E437,HostBuild[Alias],0),COLUMN(HostBuild[Description])),""),""),"")</f>
        <v/>
      </c>
    </row>
    <row r="438" spans="1:4">
      <c r="A438" s="3" t="str">
        <f>IF(AND(NOT(ISBLANK(E438)),E438&lt;&gt;"(blank)"),IFERROR(IF(INDEX(HostBuild[],MATCH(E438,HostBuild[Alias],0),COLUMN(HostBuild[Hostname]))&lt;&gt;0,INDEX(HostBuild[],MATCH(E438,HostBuild[Alias],0),COLUMN(HostBuild[Hostname])),""),""),"")</f>
        <v/>
      </c>
      <c r="B438" s="424" t="str">
        <f>IF(AND(NOT(ISBLANK(E438)),E438&lt;&gt;"(blank)"),IFERROR(IF(INDEX(HostBuild[],MATCH(E438,HostBuild[Alias],0),COLUMN(HostBuild[Status]))&lt;&gt;0,INDEX(HostBuild[],MATCH(E438,HostBuild[Alias],0),COLUMN(HostBuild[Status])),""),""),"")</f>
        <v/>
      </c>
      <c r="C438" s="425" t="str">
        <f>IF(AND(NOT(ISBLANK(E438)),E438&lt;&gt;"(blank)"),IFERROR(IF(INDEX(HostBuild[],MATCH(E438,HostBuild[Alias],0),COLUMN(HostBuild[CTI Target Completion]))&lt;&gt;0,INDEX(HostBuild[],MATCH(E438,HostBuild[Alias],0),COLUMN(HostBuild[CTI Target Completion])),""),""),"")</f>
        <v/>
      </c>
      <c r="D438" s="262" t="str">
        <f>IF(AND(NOT(ISBLANK(E438)),E438&lt;&gt;"(blank)"),IFERROR(IF(INDEX(HostBuild[],MATCH(E438,HostBuild[Alias],0),COLUMN(HostBuild[Description]))&lt;&gt;0,INDEX(HostBuild[],MATCH(E438,HostBuild[Alias],0),COLUMN(HostBuild[Description])),""),""),"")</f>
        <v/>
      </c>
    </row>
    <row r="439" spans="1:4">
      <c r="A439" s="3" t="str">
        <f>IF(AND(NOT(ISBLANK(E439)),E439&lt;&gt;"(blank)"),IFERROR(IF(INDEX(HostBuild[],MATCH(E439,HostBuild[Alias],0),COLUMN(HostBuild[Hostname]))&lt;&gt;0,INDEX(HostBuild[],MATCH(E439,HostBuild[Alias],0),COLUMN(HostBuild[Hostname])),""),""),"")</f>
        <v/>
      </c>
      <c r="B439" s="424" t="str">
        <f>IF(AND(NOT(ISBLANK(E439)),E439&lt;&gt;"(blank)"),IFERROR(IF(INDEX(HostBuild[],MATCH(E439,HostBuild[Alias],0),COLUMN(HostBuild[Status]))&lt;&gt;0,INDEX(HostBuild[],MATCH(E439,HostBuild[Alias],0),COLUMN(HostBuild[Status])),""),""),"")</f>
        <v/>
      </c>
      <c r="C439" s="425" t="str">
        <f>IF(AND(NOT(ISBLANK(E439)),E439&lt;&gt;"(blank)"),IFERROR(IF(INDEX(HostBuild[],MATCH(E439,HostBuild[Alias],0),COLUMN(HostBuild[CTI Target Completion]))&lt;&gt;0,INDEX(HostBuild[],MATCH(E439,HostBuild[Alias],0),COLUMN(HostBuild[CTI Target Completion])),""),""),"")</f>
        <v/>
      </c>
      <c r="D439" s="262" t="str">
        <f>IF(AND(NOT(ISBLANK(E439)),E439&lt;&gt;"(blank)"),IFERROR(IF(INDEX(HostBuild[],MATCH(E439,HostBuild[Alias],0),COLUMN(HostBuild[Description]))&lt;&gt;0,INDEX(HostBuild[],MATCH(E439,HostBuild[Alias],0),COLUMN(HostBuild[Description])),""),""),"")</f>
        <v/>
      </c>
    </row>
    <row r="440" spans="1:4">
      <c r="A440" s="3" t="str">
        <f>IF(AND(NOT(ISBLANK(E440)),E440&lt;&gt;"(blank)"),IFERROR(IF(INDEX(HostBuild[],MATCH(E440,HostBuild[Alias],0),COLUMN(HostBuild[Hostname]))&lt;&gt;0,INDEX(HostBuild[],MATCH(E440,HostBuild[Alias],0),COLUMN(HostBuild[Hostname])),""),""),"")</f>
        <v/>
      </c>
      <c r="B440" s="424" t="str">
        <f>IF(AND(NOT(ISBLANK(E440)),E440&lt;&gt;"(blank)"),IFERROR(IF(INDEX(HostBuild[],MATCH(E440,HostBuild[Alias],0),COLUMN(HostBuild[Status]))&lt;&gt;0,INDEX(HostBuild[],MATCH(E440,HostBuild[Alias],0),COLUMN(HostBuild[Status])),""),""),"")</f>
        <v/>
      </c>
      <c r="C440" s="425" t="str">
        <f>IF(AND(NOT(ISBLANK(E440)),E440&lt;&gt;"(blank)"),IFERROR(IF(INDEX(HostBuild[],MATCH(E440,HostBuild[Alias],0),COLUMN(HostBuild[CTI Target Completion]))&lt;&gt;0,INDEX(HostBuild[],MATCH(E440,HostBuild[Alias],0),COLUMN(HostBuild[CTI Target Completion])),""),""),"")</f>
        <v/>
      </c>
      <c r="D440" s="262" t="str">
        <f>IF(AND(NOT(ISBLANK(E440)),E440&lt;&gt;"(blank)"),IFERROR(IF(INDEX(HostBuild[],MATCH(E440,HostBuild[Alias],0),COLUMN(HostBuild[Description]))&lt;&gt;0,INDEX(HostBuild[],MATCH(E440,HostBuild[Alias],0),COLUMN(HostBuild[Description])),""),""),"")</f>
        <v/>
      </c>
    </row>
    <row r="441" spans="1:4">
      <c r="A441" s="3" t="str">
        <f>IF(AND(NOT(ISBLANK(E441)),E441&lt;&gt;"(blank)"),IFERROR(IF(INDEX(HostBuild[],MATCH(E441,HostBuild[Alias],0),COLUMN(HostBuild[Hostname]))&lt;&gt;0,INDEX(HostBuild[],MATCH(E441,HostBuild[Alias],0),COLUMN(HostBuild[Hostname])),""),""),"")</f>
        <v/>
      </c>
      <c r="B441" s="424" t="str">
        <f>IF(AND(NOT(ISBLANK(E441)),E441&lt;&gt;"(blank)"),IFERROR(IF(INDEX(HostBuild[],MATCH(E441,HostBuild[Alias],0),COLUMN(HostBuild[Status]))&lt;&gt;0,INDEX(HostBuild[],MATCH(E441,HostBuild[Alias],0),COLUMN(HostBuild[Status])),""),""),"")</f>
        <v/>
      </c>
      <c r="C441" s="425" t="str">
        <f>IF(AND(NOT(ISBLANK(E441)),E441&lt;&gt;"(blank)"),IFERROR(IF(INDEX(HostBuild[],MATCH(E441,HostBuild[Alias],0),COLUMN(HostBuild[CTI Target Completion]))&lt;&gt;0,INDEX(HostBuild[],MATCH(E441,HostBuild[Alias],0),COLUMN(HostBuild[CTI Target Completion])),""),""),"")</f>
        <v/>
      </c>
      <c r="D441" s="262" t="str">
        <f>IF(AND(NOT(ISBLANK(E441)),E441&lt;&gt;"(blank)"),IFERROR(IF(INDEX(HostBuild[],MATCH(E441,HostBuild[Alias],0),COLUMN(HostBuild[Description]))&lt;&gt;0,INDEX(HostBuild[],MATCH(E441,HostBuild[Alias],0),COLUMN(HostBuild[Description])),""),""),"")</f>
        <v/>
      </c>
    </row>
    <row r="442" spans="1:4">
      <c r="A442" s="3" t="str">
        <f>IF(AND(NOT(ISBLANK(E442)),E442&lt;&gt;"(blank)"),IFERROR(IF(INDEX(HostBuild[],MATCH(E442,HostBuild[Alias],0),COLUMN(HostBuild[Hostname]))&lt;&gt;0,INDEX(HostBuild[],MATCH(E442,HostBuild[Alias],0),COLUMN(HostBuild[Hostname])),""),""),"")</f>
        <v/>
      </c>
      <c r="B442" s="424" t="str">
        <f>IF(AND(NOT(ISBLANK(E442)),E442&lt;&gt;"(blank)"),IFERROR(IF(INDEX(HostBuild[],MATCH(E442,HostBuild[Alias],0),COLUMN(HostBuild[Status]))&lt;&gt;0,INDEX(HostBuild[],MATCH(E442,HostBuild[Alias],0),COLUMN(HostBuild[Status])),""),""),"")</f>
        <v/>
      </c>
      <c r="C442" s="425" t="str">
        <f>IF(AND(NOT(ISBLANK(E442)),E442&lt;&gt;"(blank)"),IFERROR(IF(INDEX(HostBuild[],MATCH(E442,HostBuild[Alias],0),COLUMN(HostBuild[CTI Target Completion]))&lt;&gt;0,INDEX(HostBuild[],MATCH(E442,HostBuild[Alias],0),COLUMN(HostBuild[CTI Target Completion])),""),""),"")</f>
        <v/>
      </c>
      <c r="D442" s="262" t="str">
        <f>IF(AND(NOT(ISBLANK(E442)),E442&lt;&gt;"(blank)"),IFERROR(IF(INDEX(HostBuild[],MATCH(E442,HostBuild[Alias],0),COLUMN(HostBuild[Description]))&lt;&gt;0,INDEX(HostBuild[],MATCH(E442,HostBuild[Alias],0),COLUMN(HostBuild[Description])),""),""),"")</f>
        <v/>
      </c>
    </row>
    <row r="443" spans="1:4">
      <c r="A443" s="3" t="str">
        <f>IF(AND(NOT(ISBLANK(E443)),E443&lt;&gt;"(blank)"),IFERROR(IF(INDEX(HostBuild[],MATCH(E443,HostBuild[Alias],0),COLUMN(HostBuild[Hostname]))&lt;&gt;0,INDEX(HostBuild[],MATCH(E443,HostBuild[Alias],0),COLUMN(HostBuild[Hostname])),""),""),"")</f>
        <v/>
      </c>
      <c r="B443" s="424" t="str">
        <f>IF(AND(NOT(ISBLANK(E443)),E443&lt;&gt;"(blank)"),IFERROR(IF(INDEX(HostBuild[],MATCH(E443,HostBuild[Alias],0),COLUMN(HostBuild[Status]))&lt;&gt;0,INDEX(HostBuild[],MATCH(E443,HostBuild[Alias],0),COLUMN(HostBuild[Status])),""),""),"")</f>
        <v/>
      </c>
      <c r="C443" s="425" t="str">
        <f>IF(AND(NOT(ISBLANK(E443)),E443&lt;&gt;"(blank)"),IFERROR(IF(INDEX(HostBuild[],MATCH(E443,HostBuild[Alias],0),COLUMN(HostBuild[CTI Target Completion]))&lt;&gt;0,INDEX(HostBuild[],MATCH(E443,HostBuild[Alias],0),COLUMN(HostBuild[CTI Target Completion])),""),""),"")</f>
        <v/>
      </c>
      <c r="D443" s="262" t="str">
        <f>IF(AND(NOT(ISBLANK(E443)),E443&lt;&gt;"(blank)"),IFERROR(IF(INDEX(HostBuild[],MATCH(E443,HostBuild[Alias],0),COLUMN(HostBuild[Description]))&lt;&gt;0,INDEX(HostBuild[],MATCH(E443,HostBuild[Alias],0),COLUMN(HostBuild[Description])),""),""),"")</f>
        <v/>
      </c>
    </row>
    <row r="444" spans="1:4">
      <c r="A444" s="3" t="str">
        <f>IF(AND(NOT(ISBLANK(E444)),E444&lt;&gt;"(blank)"),IFERROR(IF(INDEX(HostBuild[],MATCH(E444,HostBuild[Alias],0),COLUMN(HostBuild[Hostname]))&lt;&gt;0,INDEX(HostBuild[],MATCH(E444,HostBuild[Alias],0),COLUMN(HostBuild[Hostname])),""),""),"")</f>
        <v/>
      </c>
      <c r="B444" s="424" t="str">
        <f>IF(AND(NOT(ISBLANK(E444)),E444&lt;&gt;"(blank)"),IFERROR(IF(INDEX(HostBuild[],MATCH(E444,HostBuild[Alias],0),COLUMN(HostBuild[Status]))&lt;&gt;0,INDEX(HostBuild[],MATCH(E444,HostBuild[Alias],0),COLUMN(HostBuild[Status])),""),""),"")</f>
        <v/>
      </c>
      <c r="C444" s="425" t="str">
        <f>IF(AND(NOT(ISBLANK(E444)),E444&lt;&gt;"(blank)"),IFERROR(IF(INDEX(HostBuild[],MATCH(E444,HostBuild[Alias],0),COLUMN(HostBuild[CTI Target Completion]))&lt;&gt;0,INDEX(HostBuild[],MATCH(E444,HostBuild[Alias],0),COLUMN(HostBuild[CTI Target Completion])),""),""),"")</f>
        <v/>
      </c>
      <c r="D444" s="262" t="str">
        <f>IF(AND(NOT(ISBLANK(E444)),E444&lt;&gt;"(blank)"),IFERROR(IF(INDEX(HostBuild[],MATCH(E444,HostBuild[Alias],0),COLUMN(HostBuild[Description]))&lt;&gt;0,INDEX(HostBuild[],MATCH(E444,HostBuild[Alias],0),COLUMN(HostBuild[Description])),""),""),"")</f>
        <v/>
      </c>
    </row>
    <row r="445" spans="1:4">
      <c r="A445" s="3" t="str">
        <f>IF(AND(NOT(ISBLANK(E445)),E445&lt;&gt;"(blank)"),IFERROR(IF(INDEX(HostBuild[],MATCH(E445,HostBuild[Alias],0),COLUMN(HostBuild[Hostname]))&lt;&gt;0,INDEX(HostBuild[],MATCH(E445,HostBuild[Alias],0),COLUMN(HostBuild[Hostname])),""),""),"")</f>
        <v/>
      </c>
      <c r="B445" s="424" t="str">
        <f>IF(AND(NOT(ISBLANK(E445)),E445&lt;&gt;"(blank)"),IFERROR(IF(INDEX(HostBuild[],MATCH(E445,HostBuild[Alias],0),COLUMN(HostBuild[Status]))&lt;&gt;0,INDEX(HostBuild[],MATCH(E445,HostBuild[Alias],0),COLUMN(HostBuild[Status])),""),""),"")</f>
        <v/>
      </c>
      <c r="C445" s="425" t="str">
        <f>IF(AND(NOT(ISBLANK(E445)),E445&lt;&gt;"(blank)"),IFERROR(IF(INDEX(HostBuild[],MATCH(E445,HostBuild[Alias],0),COLUMN(HostBuild[CTI Target Completion]))&lt;&gt;0,INDEX(HostBuild[],MATCH(E445,HostBuild[Alias],0),COLUMN(HostBuild[CTI Target Completion])),""),""),"")</f>
        <v/>
      </c>
      <c r="D445" s="262" t="str">
        <f>IF(AND(NOT(ISBLANK(E445)),E445&lt;&gt;"(blank)"),IFERROR(IF(INDEX(HostBuild[],MATCH(E445,HostBuild[Alias],0),COLUMN(HostBuild[Description]))&lt;&gt;0,INDEX(HostBuild[],MATCH(E445,HostBuild[Alias],0),COLUMN(HostBuild[Description])),""),""),"")</f>
        <v/>
      </c>
    </row>
    <row r="446" spans="1:4">
      <c r="A446" s="3" t="str">
        <f>IF(AND(NOT(ISBLANK(E446)),E446&lt;&gt;"(blank)"),IFERROR(IF(INDEX(HostBuild[],MATCH(E446,HostBuild[Alias],0),COLUMN(HostBuild[Hostname]))&lt;&gt;0,INDEX(HostBuild[],MATCH(E446,HostBuild[Alias],0),COLUMN(HostBuild[Hostname])),""),""),"")</f>
        <v/>
      </c>
      <c r="B446" s="424" t="str">
        <f>IF(AND(NOT(ISBLANK(E446)),E446&lt;&gt;"(blank)"),IFERROR(IF(INDEX(HostBuild[],MATCH(E446,HostBuild[Alias],0),COLUMN(HostBuild[Status]))&lt;&gt;0,INDEX(HostBuild[],MATCH(E446,HostBuild[Alias],0),COLUMN(HostBuild[Status])),""),""),"")</f>
        <v/>
      </c>
      <c r="C446" s="425" t="str">
        <f>IF(AND(NOT(ISBLANK(E446)),E446&lt;&gt;"(blank)"),IFERROR(IF(INDEX(HostBuild[],MATCH(E446,HostBuild[Alias],0),COLUMN(HostBuild[CTI Target Completion]))&lt;&gt;0,INDEX(HostBuild[],MATCH(E446,HostBuild[Alias],0),COLUMN(HostBuild[CTI Target Completion])),""),""),"")</f>
        <v/>
      </c>
      <c r="D446" s="262" t="str">
        <f>IF(AND(NOT(ISBLANK(E446)),E446&lt;&gt;"(blank)"),IFERROR(IF(INDEX(HostBuild[],MATCH(E446,HostBuild[Alias],0),COLUMN(HostBuild[Description]))&lt;&gt;0,INDEX(HostBuild[],MATCH(E446,HostBuild[Alias],0),COLUMN(HostBuild[Description])),""),""),"")</f>
        <v/>
      </c>
    </row>
    <row r="447" spans="1:4">
      <c r="A447" s="3" t="str">
        <f>IF(AND(NOT(ISBLANK(E447)),E447&lt;&gt;"(blank)"),IFERROR(IF(INDEX(HostBuild[],MATCH(E447,HostBuild[Alias],0),COLUMN(HostBuild[Hostname]))&lt;&gt;0,INDEX(HostBuild[],MATCH(E447,HostBuild[Alias],0),COLUMN(HostBuild[Hostname])),""),""),"")</f>
        <v/>
      </c>
      <c r="B447" s="424" t="str">
        <f>IF(AND(NOT(ISBLANK(E447)),E447&lt;&gt;"(blank)"),IFERROR(IF(INDEX(HostBuild[],MATCH(E447,HostBuild[Alias],0),COLUMN(HostBuild[Status]))&lt;&gt;0,INDEX(HostBuild[],MATCH(E447,HostBuild[Alias],0),COLUMN(HostBuild[Status])),""),""),"")</f>
        <v/>
      </c>
      <c r="C447" s="425" t="str">
        <f>IF(AND(NOT(ISBLANK(E447)),E447&lt;&gt;"(blank)"),IFERROR(IF(INDEX(HostBuild[],MATCH(E447,HostBuild[Alias],0),COLUMN(HostBuild[CTI Target Completion]))&lt;&gt;0,INDEX(HostBuild[],MATCH(E447,HostBuild[Alias],0),COLUMN(HostBuild[CTI Target Completion])),""),""),"")</f>
        <v/>
      </c>
      <c r="D447" s="262" t="str">
        <f>IF(AND(NOT(ISBLANK(E447)),E447&lt;&gt;"(blank)"),IFERROR(IF(INDEX(HostBuild[],MATCH(E447,HostBuild[Alias],0),COLUMN(HostBuild[Description]))&lt;&gt;0,INDEX(HostBuild[],MATCH(E447,HostBuild[Alias],0),COLUMN(HostBuild[Description])),""),""),"")</f>
        <v/>
      </c>
    </row>
    <row r="448" spans="1:4">
      <c r="A448" s="3" t="str">
        <f>IF(AND(NOT(ISBLANK(E448)),E448&lt;&gt;"(blank)"),IFERROR(IF(INDEX(HostBuild[],MATCH(E448,HostBuild[Alias],0),COLUMN(HostBuild[Hostname]))&lt;&gt;0,INDEX(HostBuild[],MATCH(E448,HostBuild[Alias],0),COLUMN(HostBuild[Hostname])),""),""),"")</f>
        <v/>
      </c>
      <c r="B448" s="424" t="str">
        <f>IF(AND(NOT(ISBLANK(E448)),E448&lt;&gt;"(blank)"),IFERROR(IF(INDEX(HostBuild[],MATCH(E448,HostBuild[Alias],0),COLUMN(HostBuild[Status]))&lt;&gt;0,INDEX(HostBuild[],MATCH(E448,HostBuild[Alias],0),COLUMN(HostBuild[Status])),""),""),"")</f>
        <v/>
      </c>
      <c r="C448" s="425" t="str">
        <f>IF(AND(NOT(ISBLANK(E448)),E448&lt;&gt;"(blank)"),IFERROR(IF(INDEX(HostBuild[],MATCH(E448,HostBuild[Alias],0),COLUMN(HostBuild[CTI Target Completion]))&lt;&gt;0,INDEX(HostBuild[],MATCH(E448,HostBuild[Alias],0),COLUMN(HostBuild[CTI Target Completion])),""),""),"")</f>
        <v/>
      </c>
      <c r="D448" s="262" t="str">
        <f>IF(AND(NOT(ISBLANK(E448)),E448&lt;&gt;"(blank)"),IFERROR(IF(INDEX(HostBuild[],MATCH(E448,HostBuild[Alias],0),COLUMN(HostBuild[Description]))&lt;&gt;0,INDEX(HostBuild[],MATCH(E448,HostBuild[Alias],0),COLUMN(HostBuild[Description])),""),""),"")</f>
        <v/>
      </c>
    </row>
    <row r="449" spans="1:4">
      <c r="A449" s="3" t="str">
        <f>IF(AND(NOT(ISBLANK(E449)),E449&lt;&gt;"(blank)"),IFERROR(IF(INDEX(HostBuild[],MATCH(E449,HostBuild[Alias],0),COLUMN(HostBuild[Hostname]))&lt;&gt;0,INDEX(HostBuild[],MATCH(E449,HostBuild[Alias],0),COLUMN(HostBuild[Hostname])),""),""),"")</f>
        <v/>
      </c>
      <c r="B449" s="424" t="str">
        <f>IF(AND(NOT(ISBLANK(E449)),E449&lt;&gt;"(blank)"),IFERROR(IF(INDEX(HostBuild[],MATCH(E449,HostBuild[Alias],0),COLUMN(HostBuild[Status]))&lt;&gt;0,INDEX(HostBuild[],MATCH(E449,HostBuild[Alias],0),COLUMN(HostBuild[Status])),""),""),"")</f>
        <v/>
      </c>
      <c r="C449" s="425" t="str">
        <f>IF(AND(NOT(ISBLANK(E449)),E449&lt;&gt;"(blank)"),IFERROR(IF(INDEX(HostBuild[],MATCH(E449,HostBuild[Alias],0),COLUMN(HostBuild[CTI Target Completion]))&lt;&gt;0,INDEX(HostBuild[],MATCH(E449,HostBuild[Alias],0),COLUMN(HostBuild[CTI Target Completion])),""),""),"")</f>
        <v/>
      </c>
      <c r="D449" s="262" t="str">
        <f>IF(AND(NOT(ISBLANK(E449)),E449&lt;&gt;"(blank)"),IFERROR(IF(INDEX(HostBuild[],MATCH(E449,HostBuild[Alias],0),COLUMN(HostBuild[Description]))&lt;&gt;0,INDEX(HostBuild[],MATCH(E449,HostBuild[Alias],0),COLUMN(HostBuild[Description])),""),""),"")</f>
        <v/>
      </c>
    </row>
    <row r="450" spans="1:4">
      <c r="A450" s="3" t="str">
        <f>IF(AND(NOT(ISBLANK(E450)),E450&lt;&gt;"(blank)"),IFERROR(IF(INDEX(HostBuild[],MATCH(E450,HostBuild[Alias],0),COLUMN(HostBuild[Hostname]))&lt;&gt;0,INDEX(HostBuild[],MATCH(E450,HostBuild[Alias],0),COLUMN(HostBuild[Hostname])),""),""),"")</f>
        <v/>
      </c>
      <c r="B450" s="424" t="str">
        <f>IF(AND(NOT(ISBLANK(E450)),E450&lt;&gt;"(blank)"),IFERROR(IF(INDEX(HostBuild[],MATCH(E450,HostBuild[Alias],0),COLUMN(HostBuild[Status]))&lt;&gt;0,INDEX(HostBuild[],MATCH(E450,HostBuild[Alias],0),COLUMN(HostBuild[Status])),""),""),"")</f>
        <v/>
      </c>
      <c r="C450" s="425" t="str">
        <f>IF(AND(NOT(ISBLANK(E450)),E450&lt;&gt;"(blank)"),IFERROR(IF(INDEX(HostBuild[],MATCH(E450,HostBuild[Alias],0),COLUMN(HostBuild[CTI Target Completion]))&lt;&gt;0,INDEX(HostBuild[],MATCH(E450,HostBuild[Alias],0),COLUMN(HostBuild[CTI Target Completion])),""),""),"")</f>
        <v/>
      </c>
      <c r="D450" s="262" t="str">
        <f>IF(AND(NOT(ISBLANK(E450)),E450&lt;&gt;"(blank)"),IFERROR(IF(INDEX(HostBuild[],MATCH(E450,HostBuild[Alias],0),COLUMN(HostBuild[Description]))&lt;&gt;0,INDEX(HostBuild[],MATCH(E450,HostBuild[Alias],0),COLUMN(HostBuild[Description])),""),""),"")</f>
        <v/>
      </c>
    </row>
    <row r="451" spans="1:4">
      <c r="A451" s="3" t="str">
        <f>IF(AND(NOT(ISBLANK(E451)),E451&lt;&gt;"(blank)"),IFERROR(IF(INDEX(HostBuild[],MATCH(E451,HostBuild[Alias],0),COLUMN(HostBuild[Hostname]))&lt;&gt;0,INDEX(HostBuild[],MATCH(E451,HostBuild[Alias],0),COLUMN(HostBuild[Hostname])),""),""),"")</f>
        <v/>
      </c>
      <c r="B451" s="424" t="str">
        <f>IF(AND(NOT(ISBLANK(E451)),E451&lt;&gt;"(blank)"),IFERROR(IF(INDEX(HostBuild[],MATCH(E451,HostBuild[Alias],0),COLUMN(HostBuild[Status]))&lt;&gt;0,INDEX(HostBuild[],MATCH(E451,HostBuild[Alias],0),COLUMN(HostBuild[Status])),""),""),"")</f>
        <v/>
      </c>
      <c r="C451" s="425" t="str">
        <f>IF(AND(NOT(ISBLANK(E451)),E451&lt;&gt;"(blank)"),IFERROR(IF(INDEX(HostBuild[],MATCH(E451,HostBuild[Alias],0),COLUMN(HostBuild[CTI Target Completion]))&lt;&gt;0,INDEX(HostBuild[],MATCH(E451,HostBuild[Alias],0),COLUMN(HostBuild[CTI Target Completion])),""),""),"")</f>
        <v/>
      </c>
      <c r="D451" s="262" t="str">
        <f>IF(AND(NOT(ISBLANK(E451)),E451&lt;&gt;"(blank)"),IFERROR(IF(INDEX(HostBuild[],MATCH(E451,HostBuild[Alias],0),COLUMN(HostBuild[Description]))&lt;&gt;0,INDEX(HostBuild[],MATCH(E451,HostBuild[Alias],0),COLUMN(HostBuild[Description])),""),""),"")</f>
        <v/>
      </c>
    </row>
    <row r="452" spans="1:4">
      <c r="A452" s="3" t="str">
        <f>IF(AND(NOT(ISBLANK(E452)),E452&lt;&gt;"(blank)"),IFERROR(IF(INDEX(HostBuild[],MATCH(E452,HostBuild[Alias],0),COLUMN(HostBuild[Hostname]))&lt;&gt;0,INDEX(HostBuild[],MATCH(E452,HostBuild[Alias],0),COLUMN(HostBuild[Hostname])),""),""),"")</f>
        <v/>
      </c>
      <c r="B452" s="424" t="str">
        <f>IF(AND(NOT(ISBLANK(E452)),E452&lt;&gt;"(blank)"),IFERROR(IF(INDEX(HostBuild[],MATCH(E452,HostBuild[Alias],0),COLUMN(HostBuild[Status]))&lt;&gt;0,INDEX(HostBuild[],MATCH(E452,HostBuild[Alias],0),COLUMN(HostBuild[Status])),""),""),"")</f>
        <v/>
      </c>
      <c r="C452" s="425" t="str">
        <f>IF(AND(NOT(ISBLANK(E452)),E452&lt;&gt;"(blank)"),IFERROR(IF(INDEX(HostBuild[],MATCH(E452,HostBuild[Alias],0),COLUMN(HostBuild[CTI Target Completion]))&lt;&gt;0,INDEX(HostBuild[],MATCH(E452,HostBuild[Alias],0),COLUMN(HostBuild[CTI Target Completion])),""),""),"")</f>
        <v/>
      </c>
      <c r="D452" s="262" t="str">
        <f>IF(AND(NOT(ISBLANK(E452)),E452&lt;&gt;"(blank)"),IFERROR(IF(INDEX(HostBuild[],MATCH(E452,HostBuild[Alias],0),COLUMN(HostBuild[Description]))&lt;&gt;0,INDEX(HostBuild[],MATCH(E452,HostBuild[Alias],0),COLUMN(HostBuild[Description])),""),""),"")</f>
        <v/>
      </c>
    </row>
    <row r="453" spans="1:4">
      <c r="A453" s="3" t="str">
        <f>IF(AND(NOT(ISBLANK(E453)),E453&lt;&gt;"(blank)"),IFERROR(IF(INDEX(HostBuild[],MATCH(E453,HostBuild[Alias],0),COLUMN(HostBuild[Hostname]))&lt;&gt;0,INDEX(HostBuild[],MATCH(E453,HostBuild[Alias],0),COLUMN(HostBuild[Hostname])),""),""),"")</f>
        <v/>
      </c>
      <c r="B453" s="424" t="str">
        <f>IF(AND(NOT(ISBLANK(E453)),E453&lt;&gt;"(blank)"),IFERROR(IF(INDEX(HostBuild[],MATCH(E453,HostBuild[Alias],0),COLUMN(HostBuild[Status]))&lt;&gt;0,INDEX(HostBuild[],MATCH(E453,HostBuild[Alias],0),COLUMN(HostBuild[Status])),""),""),"")</f>
        <v/>
      </c>
      <c r="C453" s="425" t="str">
        <f>IF(AND(NOT(ISBLANK(E453)),E453&lt;&gt;"(blank)"),IFERROR(IF(INDEX(HostBuild[],MATCH(E453,HostBuild[Alias],0),COLUMN(HostBuild[CTI Target Completion]))&lt;&gt;0,INDEX(HostBuild[],MATCH(E453,HostBuild[Alias],0),COLUMN(HostBuild[CTI Target Completion])),""),""),"")</f>
        <v/>
      </c>
      <c r="D453" s="262" t="str">
        <f>IF(AND(NOT(ISBLANK(E453)),E453&lt;&gt;"(blank)"),IFERROR(IF(INDEX(HostBuild[],MATCH(E453,HostBuild[Alias],0),COLUMN(HostBuild[Description]))&lt;&gt;0,INDEX(HostBuild[],MATCH(E453,HostBuild[Alias],0),COLUMN(HostBuild[Description])),""),""),"")</f>
        <v/>
      </c>
    </row>
    <row r="454" spans="1:4">
      <c r="A454" s="3" t="str">
        <f>IF(AND(NOT(ISBLANK(E454)),E454&lt;&gt;"(blank)"),IFERROR(IF(INDEX(HostBuild[],MATCH(E454,HostBuild[Alias],0),COLUMN(HostBuild[Hostname]))&lt;&gt;0,INDEX(HostBuild[],MATCH(E454,HostBuild[Alias],0),COLUMN(HostBuild[Hostname])),""),""),"")</f>
        <v/>
      </c>
      <c r="B454" s="424" t="str">
        <f>IF(AND(NOT(ISBLANK(E454)),E454&lt;&gt;"(blank)"),IFERROR(IF(INDEX(HostBuild[],MATCH(E454,HostBuild[Alias],0),COLUMN(HostBuild[Status]))&lt;&gt;0,INDEX(HostBuild[],MATCH(E454,HostBuild[Alias],0),COLUMN(HostBuild[Status])),""),""),"")</f>
        <v/>
      </c>
      <c r="C454" s="425" t="str">
        <f>IF(AND(NOT(ISBLANK(E454)),E454&lt;&gt;"(blank)"),IFERROR(IF(INDEX(HostBuild[],MATCH(E454,HostBuild[Alias],0),COLUMN(HostBuild[CTI Target Completion]))&lt;&gt;0,INDEX(HostBuild[],MATCH(E454,HostBuild[Alias],0),COLUMN(HostBuild[CTI Target Completion])),""),""),"")</f>
        <v/>
      </c>
      <c r="D454" s="262" t="str">
        <f>IF(AND(NOT(ISBLANK(E454)),E454&lt;&gt;"(blank)"),IFERROR(IF(INDEX(HostBuild[],MATCH(E454,HostBuild[Alias],0),COLUMN(HostBuild[Description]))&lt;&gt;0,INDEX(HostBuild[],MATCH(E454,HostBuild[Alias],0),COLUMN(HostBuild[Description])),""),""),"")</f>
        <v/>
      </c>
    </row>
    <row r="455" spans="1:4">
      <c r="A455" s="3" t="str">
        <f>IF(AND(NOT(ISBLANK(E455)),E455&lt;&gt;"(blank)"),IFERROR(IF(INDEX(HostBuild[],MATCH(E455,HostBuild[Alias],0),COLUMN(HostBuild[Hostname]))&lt;&gt;0,INDEX(HostBuild[],MATCH(E455,HostBuild[Alias],0),COLUMN(HostBuild[Hostname])),""),""),"")</f>
        <v/>
      </c>
      <c r="B455" s="424" t="str">
        <f>IF(AND(NOT(ISBLANK(E455)),E455&lt;&gt;"(blank)"),IFERROR(IF(INDEX(HostBuild[],MATCH(E455,HostBuild[Alias],0),COLUMN(HostBuild[Status]))&lt;&gt;0,INDEX(HostBuild[],MATCH(E455,HostBuild[Alias],0),COLUMN(HostBuild[Status])),""),""),"")</f>
        <v/>
      </c>
      <c r="C455" s="425" t="str">
        <f>IF(AND(NOT(ISBLANK(E455)),E455&lt;&gt;"(blank)"),IFERROR(IF(INDEX(HostBuild[],MATCH(E455,HostBuild[Alias],0),COLUMN(HostBuild[CTI Target Completion]))&lt;&gt;0,INDEX(HostBuild[],MATCH(E455,HostBuild[Alias],0),COLUMN(HostBuild[CTI Target Completion])),""),""),"")</f>
        <v/>
      </c>
      <c r="D455" s="262" t="str">
        <f>IF(AND(NOT(ISBLANK(E455)),E455&lt;&gt;"(blank)"),IFERROR(IF(INDEX(HostBuild[],MATCH(E455,HostBuild[Alias],0),COLUMN(HostBuild[Description]))&lt;&gt;0,INDEX(HostBuild[],MATCH(E455,HostBuild[Alias],0),COLUMN(HostBuild[Description])),""),""),"")</f>
        <v/>
      </c>
    </row>
    <row r="456" spans="1:4">
      <c r="A456" s="3" t="str">
        <f>IF(AND(NOT(ISBLANK(E456)),E456&lt;&gt;"(blank)"),IFERROR(IF(INDEX(HostBuild[],MATCH(E456,HostBuild[Alias],0),COLUMN(HostBuild[Hostname]))&lt;&gt;0,INDEX(HostBuild[],MATCH(E456,HostBuild[Alias],0),COLUMN(HostBuild[Hostname])),""),""),"")</f>
        <v/>
      </c>
      <c r="B456" s="424" t="str">
        <f>IF(AND(NOT(ISBLANK(E456)),E456&lt;&gt;"(blank)"),IFERROR(IF(INDEX(HostBuild[],MATCH(E456,HostBuild[Alias],0),COLUMN(HostBuild[Status]))&lt;&gt;0,INDEX(HostBuild[],MATCH(E456,HostBuild[Alias],0),COLUMN(HostBuild[Status])),""),""),"")</f>
        <v/>
      </c>
      <c r="C456" s="425" t="str">
        <f>IF(AND(NOT(ISBLANK(E456)),E456&lt;&gt;"(blank)"),IFERROR(IF(INDEX(HostBuild[],MATCH(E456,HostBuild[Alias],0),COLUMN(HostBuild[CTI Target Completion]))&lt;&gt;0,INDEX(HostBuild[],MATCH(E456,HostBuild[Alias],0),COLUMN(HostBuild[CTI Target Completion])),""),""),"")</f>
        <v/>
      </c>
      <c r="D456" s="262" t="str">
        <f>IF(AND(NOT(ISBLANK(E456)),E456&lt;&gt;"(blank)"),IFERROR(IF(INDEX(HostBuild[],MATCH(E456,HostBuild[Alias],0),COLUMN(HostBuild[Description]))&lt;&gt;0,INDEX(HostBuild[],MATCH(E456,HostBuild[Alias],0),COLUMN(HostBuild[Description])),""),""),"")</f>
        <v/>
      </c>
    </row>
    <row r="457" spans="1:4">
      <c r="A457" s="3" t="str">
        <f>IF(AND(NOT(ISBLANK(E457)),E457&lt;&gt;"(blank)"),IFERROR(IF(INDEX(HostBuild[],MATCH(E457,HostBuild[Alias],0),COLUMN(HostBuild[Hostname]))&lt;&gt;0,INDEX(HostBuild[],MATCH(E457,HostBuild[Alias],0),COLUMN(HostBuild[Hostname])),""),""),"")</f>
        <v/>
      </c>
      <c r="B457" s="424" t="str">
        <f>IF(AND(NOT(ISBLANK(E457)),E457&lt;&gt;"(blank)"),IFERROR(IF(INDEX(HostBuild[],MATCH(E457,HostBuild[Alias],0),COLUMN(HostBuild[Status]))&lt;&gt;0,INDEX(HostBuild[],MATCH(E457,HostBuild[Alias],0),COLUMN(HostBuild[Status])),""),""),"")</f>
        <v/>
      </c>
      <c r="C457" s="425" t="str">
        <f>IF(AND(NOT(ISBLANK(E457)),E457&lt;&gt;"(blank)"),IFERROR(IF(INDEX(HostBuild[],MATCH(E457,HostBuild[Alias],0),COLUMN(HostBuild[CTI Target Completion]))&lt;&gt;0,INDEX(HostBuild[],MATCH(E457,HostBuild[Alias],0),COLUMN(HostBuild[CTI Target Completion])),""),""),"")</f>
        <v/>
      </c>
      <c r="D457" s="262" t="str">
        <f>IF(AND(NOT(ISBLANK(E457)),E457&lt;&gt;"(blank)"),IFERROR(IF(INDEX(HostBuild[],MATCH(E457,HostBuild[Alias],0),COLUMN(HostBuild[Description]))&lt;&gt;0,INDEX(HostBuild[],MATCH(E457,HostBuild[Alias],0),COLUMN(HostBuild[Description])),""),""),"")</f>
        <v/>
      </c>
    </row>
    <row r="458" spans="1:4">
      <c r="A458" s="3" t="str">
        <f>IF(AND(NOT(ISBLANK(E458)),E458&lt;&gt;"(blank)"),IFERROR(IF(INDEX(HostBuild[],MATCH(E458,HostBuild[Alias],0),COLUMN(HostBuild[Hostname]))&lt;&gt;0,INDEX(HostBuild[],MATCH(E458,HostBuild[Alias],0),COLUMN(HostBuild[Hostname])),""),""),"")</f>
        <v/>
      </c>
      <c r="B458" s="424" t="str">
        <f>IF(AND(NOT(ISBLANK(E458)),E458&lt;&gt;"(blank)"),IFERROR(IF(INDEX(HostBuild[],MATCH(E458,HostBuild[Alias],0),COLUMN(HostBuild[Status]))&lt;&gt;0,INDEX(HostBuild[],MATCH(E458,HostBuild[Alias],0),COLUMN(HostBuild[Status])),""),""),"")</f>
        <v/>
      </c>
      <c r="C458" s="425" t="str">
        <f>IF(AND(NOT(ISBLANK(E458)),E458&lt;&gt;"(blank)"),IFERROR(IF(INDEX(HostBuild[],MATCH(E458,HostBuild[Alias],0),COLUMN(HostBuild[CTI Target Completion]))&lt;&gt;0,INDEX(HostBuild[],MATCH(E458,HostBuild[Alias],0),COLUMN(HostBuild[CTI Target Completion])),""),""),"")</f>
        <v/>
      </c>
      <c r="D458" s="262" t="str">
        <f>IF(AND(NOT(ISBLANK(E458)),E458&lt;&gt;"(blank)"),IFERROR(IF(INDEX(HostBuild[],MATCH(E458,HostBuild[Alias],0),COLUMN(HostBuild[Description]))&lt;&gt;0,INDEX(HostBuild[],MATCH(E458,HostBuild[Alias],0),COLUMN(HostBuild[Description])),""),""),"")</f>
        <v/>
      </c>
    </row>
    <row r="459" spans="1:4">
      <c r="A459" s="3" t="str">
        <f>IF(AND(NOT(ISBLANK(E459)),E459&lt;&gt;"(blank)"),IFERROR(IF(INDEX(HostBuild[],MATCH(E459,HostBuild[Alias],0),COLUMN(HostBuild[Hostname]))&lt;&gt;0,INDEX(HostBuild[],MATCH(E459,HostBuild[Alias],0),COLUMN(HostBuild[Hostname])),""),""),"")</f>
        <v/>
      </c>
      <c r="B459" s="424" t="str">
        <f>IF(AND(NOT(ISBLANK(E459)),E459&lt;&gt;"(blank)"),IFERROR(IF(INDEX(HostBuild[],MATCH(E459,HostBuild[Alias],0),COLUMN(HostBuild[Status]))&lt;&gt;0,INDEX(HostBuild[],MATCH(E459,HostBuild[Alias],0),COLUMN(HostBuild[Status])),""),""),"")</f>
        <v/>
      </c>
      <c r="C459" s="425" t="str">
        <f>IF(AND(NOT(ISBLANK(E459)),E459&lt;&gt;"(blank)"),IFERROR(IF(INDEX(HostBuild[],MATCH(E459,HostBuild[Alias],0),COLUMN(HostBuild[CTI Target Completion]))&lt;&gt;0,INDEX(HostBuild[],MATCH(E459,HostBuild[Alias],0),COLUMN(HostBuild[CTI Target Completion])),""),""),"")</f>
        <v/>
      </c>
      <c r="D459" s="262" t="str">
        <f>IF(AND(NOT(ISBLANK(E459)),E459&lt;&gt;"(blank)"),IFERROR(IF(INDEX(HostBuild[],MATCH(E459,HostBuild[Alias],0),COLUMN(HostBuild[Description]))&lt;&gt;0,INDEX(HostBuild[],MATCH(E459,HostBuild[Alias],0),COLUMN(HostBuild[Description])),""),""),"")</f>
        <v/>
      </c>
    </row>
    <row r="460" spans="1:4">
      <c r="A460" s="3" t="str">
        <f>IF(AND(NOT(ISBLANK(E460)),E460&lt;&gt;"(blank)"),IFERROR(IF(INDEX(HostBuild[],MATCH(E460,HostBuild[Alias],0),COLUMN(HostBuild[Hostname]))&lt;&gt;0,INDEX(HostBuild[],MATCH(E460,HostBuild[Alias],0),COLUMN(HostBuild[Hostname])),""),""),"")</f>
        <v/>
      </c>
      <c r="B460" s="424" t="str">
        <f>IF(AND(NOT(ISBLANK(E460)),E460&lt;&gt;"(blank)"),IFERROR(IF(INDEX(HostBuild[],MATCH(E460,HostBuild[Alias],0),COLUMN(HostBuild[Status]))&lt;&gt;0,INDEX(HostBuild[],MATCH(E460,HostBuild[Alias],0),COLUMN(HostBuild[Status])),""),""),"")</f>
        <v/>
      </c>
      <c r="C460" s="425" t="str">
        <f>IF(AND(NOT(ISBLANK(E460)),E460&lt;&gt;"(blank)"),IFERROR(IF(INDEX(HostBuild[],MATCH(E460,HostBuild[Alias],0),COLUMN(HostBuild[CTI Target Completion]))&lt;&gt;0,INDEX(HostBuild[],MATCH(E460,HostBuild[Alias],0),COLUMN(HostBuild[CTI Target Completion])),""),""),"")</f>
        <v/>
      </c>
      <c r="D460" s="262" t="str">
        <f>IF(AND(NOT(ISBLANK(E460)),E460&lt;&gt;"(blank)"),IFERROR(IF(INDEX(HostBuild[],MATCH(E460,HostBuild[Alias],0),COLUMN(HostBuild[Description]))&lt;&gt;0,INDEX(HostBuild[],MATCH(E460,HostBuild[Alias],0),COLUMN(HostBuild[Description])),""),""),"")</f>
        <v/>
      </c>
    </row>
    <row r="461" spans="1:4">
      <c r="A461" s="3" t="str">
        <f>IF(AND(NOT(ISBLANK(E461)),E461&lt;&gt;"(blank)"),IFERROR(IF(INDEX(HostBuild[],MATCH(E461,HostBuild[Alias],0),COLUMN(HostBuild[Hostname]))&lt;&gt;0,INDEX(HostBuild[],MATCH(E461,HostBuild[Alias],0),COLUMN(HostBuild[Hostname])),""),""),"")</f>
        <v/>
      </c>
      <c r="B461" s="424" t="str">
        <f>IF(AND(NOT(ISBLANK(E461)),E461&lt;&gt;"(blank)"),IFERROR(IF(INDEX(HostBuild[],MATCH(E461,HostBuild[Alias],0),COLUMN(HostBuild[Status]))&lt;&gt;0,INDEX(HostBuild[],MATCH(E461,HostBuild[Alias],0),COLUMN(HostBuild[Status])),""),""),"")</f>
        <v/>
      </c>
      <c r="C461" s="425" t="str">
        <f>IF(AND(NOT(ISBLANK(E461)),E461&lt;&gt;"(blank)"),IFERROR(IF(INDEX(HostBuild[],MATCH(E461,HostBuild[Alias],0),COLUMN(HostBuild[CTI Target Completion]))&lt;&gt;0,INDEX(HostBuild[],MATCH(E461,HostBuild[Alias],0),COLUMN(HostBuild[CTI Target Completion])),""),""),"")</f>
        <v/>
      </c>
      <c r="D461" s="262" t="str">
        <f>IF(AND(NOT(ISBLANK(E461)),E461&lt;&gt;"(blank)"),IFERROR(IF(INDEX(HostBuild[],MATCH(E461,HostBuild[Alias],0),COLUMN(HostBuild[Description]))&lt;&gt;0,INDEX(HostBuild[],MATCH(E461,HostBuild[Alias],0),COLUMN(HostBuild[Description])),""),""),"")</f>
        <v/>
      </c>
    </row>
    <row r="462" spans="1:4">
      <c r="A462" s="3" t="str">
        <f>IF(AND(NOT(ISBLANK(E462)),E462&lt;&gt;"(blank)"),IFERROR(IF(INDEX(HostBuild[],MATCH(E462,HostBuild[Alias],0),COLUMN(HostBuild[Hostname]))&lt;&gt;0,INDEX(HostBuild[],MATCH(E462,HostBuild[Alias],0),COLUMN(HostBuild[Hostname])),""),""),"")</f>
        <v/>
      </c>
      <c r="B462" s="424" t="str">
        <f>IF(AND(NOT(ISBLANK(E462)),E462&lt;&gt;"(blank)"),IFERROR(IF(INDEX(HostBuild[],MATCH(E462,HostBuild[Alias],0),COLUMN(HostBuild[Status]))&lt;&gt;0,INDEX(HostBuild[],MATCH(E462,HostBuild[Alias],0),COLUMN(HostBuild[Status])),""),""),"")</f>
        <v/>
      </c>
      <c r="C462" s="425" t="str">
        <f>IF(AND(NOT(ISBLANK(E462)),E462&lt;&gt;"(blank)"),IFERROR(IF(INDEX(HostBuild[],MATCH(E462,HostBuild[Alias],0),COLUMN(HostBuild[CTI Target Completion]))&lt;&gt;0,INDEX(HostBuild[],MATCH(E462,HostBuild[Alias],0),COLUMN(HostBuild[CTI Target Completion])),""),""),"")</f>
        <v/>
      </c>
      <c r="D462" s="262" t="str">
        <f>IF(AND(NOT(ISBLANK(E462)),E462&lt;&gt;"(blank)"),IFERROR(IF(INDEX(HostBuild[],MATCH(E462,HostBuild[Alias],0),COLUMN(HostBuild[Description]))&lt;&gt;0,INDEX(HostBuild[],MATCH(E462,HostBuild[Alias],0),COLUMN(HostBuild[Description])),""),""),"")</f>
        <v/>
      </c>
    </row>
    <row r="463" spans="1:4">
      <c r="A463" s="3" t="str">
        <f>IF(AND(NOT(ISBLANK(E463)),E463&lt;&gt;"(blank)"),IFERROR(IF(INDEX(HostBuild[],MATCH(E463,HostBuild[Alias],0),COLUMN(HostBuild[Hostname]))&lt;&gt;0,INDEX(HostBuild[],MATCH(E463,HostBuild[Alias],0),COLUMN(HostBuild[Hostname])),""),""),"")</f>
        <v/>
      </c>
      <c r="B463" s="424" t="str">
        <f>IF(AND(NOT(ISBLANK(E463)),E463&lt;&gt;"(blank)"),IFERROR(IF(INDEX(HostBuild[],MATCH(E463,HostBuild[Alias],0),COLUMN(HostBuild[Status]))&lt;&gt;0,INDEX(HostBuild[],MATCH(E463,HostBuild[Alias],0),COLUMN(HostBuild[Status])),""),""),"")</f>
        <v/>
      </c>
      <c r="C463" s="425" t="str">
        <f>IF(AND(NOT(ISBLANK(E463)),E463&lt;&gt;"(blank)"),IFERROR(IF(INDEX(HostBuild[],MATCH(E463,HostBuild[Alias],0),COLUMN(HostBuild[CTI Target Completion]))&lt;&gt;0,INDEX(HostBuild[],MATCH(E463,HostBuild[Alias],0),COLUMN(HostBuild[CTI Target Completion])),""),""),"")</f>
        <v/>
      </c>
      <c r="D463" s="262" t="str">
        <f>IF(AND(NOT(ISBLANK(E463)),E463&lt;&gt;"(blank)"),IFERROR(IF(INDEX(HostBuild[],MATCH(E463,HostBuild[Alias],0),COLUMN(HostBuild[Description]))&lt;&gt;0,INDEX(HostBuild[],MATCH(E463,HostBuild[Alias],0),COLUMN(HostBuild[Description])),""),""),"")</f>
        <v/>
      </c>
    </row>
    <row r="464" spans="1:4">
      <c r="A464" s="3" t="str">
        <f>IF(AND(NOT(ISBLANK(E464)),E464&lt;&gt;"(blank)"),IFERROR(IF(INDEX(HostBuild[],MATCH(E464,HostBuild[Alias],0),COLUMN(HostBuild[Hostname]))&lt;&gt;0,INDEX(HostBuild[],MATCH(E464,HostBuild[Alias],0),COLUMN(HostBuild[Hostname])),""),""),"")</f>
        <v/>
      </c>
      <c r="B464" s="424" t="str">
        <f>IF(AND(NOT(ISBLANK(E464)),E464&lt;&gt;"(blank)"),IFERROR(IF(INDEX(HostBuild[],MATCH(E464,HostBuild[Alias],0),COLUMN(HostBuild[Status]))&lt;&gt;0,INDEX(HostBuild[],MATCH(E464,HostBuild[Alias],0),COLUMN(HostBuild[Status])),""),""),"")</f>
        <v/>
      </c>
      <c r="C464" s="425" t="str">
        <f>IF(AND(NOT(ISBLANK(E464)),E464&lt;&gt;"(blank)"),IFERROR(IF(INDEX(HostBuild[],MATCH(E464,HostBuild[Alias],0),COLUMN(HostBuild[CTI Target Completion]))&lt;&gt;0,INDEX(HostBuild[],MATCH(E464,HostBuild[Alias],0),COLUMN(HostBuild[CTI Target Completion])),""),""),"")</f>
        <v/>
      </c>
      <c r="D464" s="262" t="str">
        <f>IF(AND(NOT(ISBLANK(E464)),E464&lt;&gt;"(blank)"),IFERROR(IF(INDEX(HostBuild[],MATCH(E464,HostBuild[Alias],0),COLUMN(HostBuild[Description]))&lt;&gt;0,INDEX(HostBuild[],MATCH(E464,HostBuild[Alias],0),COLUMN(HostBuild[Description])),""),""),"")</f>
        <v/>
      </c>
    </row>
    <row r="465" spans="1:4">
      <c r="A465" s="3" t="str">
        <f>IF(AND(NOT(ISBLANK(E465)),E465&lt;&gt;"(blank)"),IFERROR(IF(INDEX(HostBuild[],MATCH(E465,HostBuild[Alias],0),COLUMN(HostBuild[Hostname]))&lt;&gt;0,INDEX(HostBuild[],MATCH(E465,HostBuild[Alias],0),COLUMN(HostBuild[Hostname])),""),""),"")</f>
        <v/>
      </c>
      <c r="B465" s="424" t="str">
        <f>IF(AND(NOT(ISBLANK(E465)),E465&lt;&gt;"(blank)"),IFERROR(IF(INDEX(HostBuild[],MATCH(E465,HostBuild[Alias],0),COLUMN(HostBuild[Status]))&lt;&gt;0,INDEX(HostBuild[],MATCH(E465,HostBuild[Alias],0),COLUMN(HostBuild[Status])),""),""),"")</f>
        <v/>
      </c>
      <c r="C465" s="425" t="str">
        <f>IF(AND(NOT(ISBLANK(E465)),E465&lt;&gt;"(blank)"),IFERROR(IF(INDEX(HostBuild[],MATCH(E465,HostBuild[Alias],0),COLUMN(HostBuild[CTI Target Completion]))&lt;&gt;0,INDEX(HostBuild[],MATCH(E465,HostBuild[Alias],0),COLUMN(HostBuild[CTI Target Completion])),""),""),"")</f>
        <v/>
      </c>
      <c r="D465" s="262" t="str">
        <f>IF(AND(NOT(ISBLANK(E465)),E465&lt;&gt;"(blank)"),IFERROR(IF(INDEX(HostBuild[],MATCH(E465,HostBuild[Alias],0),COLUMN(HostBuild[Description]))&lt;&gt;0,INDEX(HostBuild[],MATCH(E465,HostBuild[Alias],0),COLUMN(HostBuild[Description])),""),""),"")</f>
        <v/>
      </c>
    </row>
    <row r="466" spans="1:4">
      <c r="A466" s="3" t="str">
        <f>IF(AND(NOT(ISBLANK(E466)),E466&lt;&gt;"(blank)"),IFERROR(IF(INDEX(HostBuild[],MATCH(E466,HostBuild[Alias],0),COLUMN(HostBuild[Hostname]))&lt;&gt;0,INDEX(HostBuild[],MATCH(E466,HostBuild[Alias],0),COLUMN(HostBuild[Hostname])),""),""),"")</f>
        <v/>
      </c>
      <c r="B466" s="424" t="str">
        <f>IF(AND(NOT(ISBLANK(E466)),E466&lt;&gt;"(blank)"),IFERROR(IF(INDEX(HostBuild[],MATCH(E466,HostBuild[Alias],0),COLUMN(HostBuild[Status]))&lt;&gt;0,INDEX(HostBuild[],MATCH(E466,HostBuild[Alias],0),COLUMN(HostBuild[Status])),""),""),"")</f>
        <v/>
      </c>
      <c r="C466" s="425" t="str">
        <f>IF(AND(NOT(ISBLANK(E466)),E466&lt;&gt;"(blank)"),IFERROR(IF(INDEX(HostBuild[],MATCH(E466,HostBuild[Alias],0),COLUMN(HostBuild[CTI Target Completion]))&lt;&gt;0,INDEX(HostBuild[],MATCH(E466,HostBuild[Alias],0),COLUMN(HostBuild[CTI Target Completion])),""),""),"")</f>
        <v/>
      </c>
      <c r="D466" s="262" t="str">
        <f>IF(AND(NOT(ISBLANK(E466)),E466&lt;&gt;"(blank)"),IFERROR(IF(INDEX(HostBuild[],MATCH(E466,HostBuild[Alias],0),COLUMN(HostBuild[Description]))&lt;&gt;0,INDEX(HostBuild[],MATCH(E466,HostBuild[Alias],0),COLUMN(HostBuild[Description])),""),""),"")</f>
        <v/>
      </c>
    </row>
    <row r="467" spans="1:4">
      <c r="A467" s="3" t="str">
        <f>IF(AND(NOT(ISBLANK(E467)),E467&lt;&gt;"(blank)"),IFERROR(IF(INDEX(HostBuild[],MATCH(E467,HostBuild[Alias],0),COLUMN(HostBuild[Hostname]))&lt;&gt;0,INDEX(HostBuild[],MATCH(E467,HostBuild[Alias],0),COLUMN(HostBuild[Hostname])),""),""),"")</f>
        <v/>
      </c>
      <c r="B467" s="424" t="str">
        <f>IF(AND(NOT(ISBLANK(E467)),E467&lt;&gt;"(blank)"),IFERROR(IF(INDEX(HostBuild[],MATCH(E467,HostBuild[Alias],0),COLUMN(HostBuild[Status]))&lt;&gt;0,INDEX(HostBuild[],MATCH(E467,HostBuild[Alias],0),COLUMN(HostBuild[Status])),""),""),"")</f>
        <v/>
      </c>
      <c r="C467" s="425" t="str">
        <f>IF(AND(NOT(ISBLANK(E467)),E467&lt;&gt;"(blank)"),IFERROR(IF(INDEX(HostBuild[],MATCH(E467,HostBuild[Alias],0),COLUMN(HostBuild[CTI Target Completion]))&lt;&gt;0,INDEX(HostBuild[],MATCH(E467,HostBuild[Alias],0),COLUMN(HostBuild[CTI Target Completion])),""),""),"")</f>
        <v/>
      </c>
      <c r="D467" s="262" t="str">
        <f>IF(AND(NOT(ISBLANK(E467)),E467&lt;&gt;"(blank)"),IFERROR(IF(INDEX(HostBuild[],MATCH(E467,HostBuild[Alias],0),COLUMN(HostBuild[Description]))&lt;&gt;0,INDEX(HostBuild[],MATCH(E467,HostBuild[Alias],0),COLUMN(HostBuild[Description])),""),""),"")</f>
        <v/>
      </c>
    </row>
    <row r="468" spans="1:4">
      <c r="A468" s="3" t="str">
        <f>IF(AND(NOT(ISBLANK(E468)),E468&lt;&gt;"(blank)"),IFERROR(IF(INDEX(HostBuild[],MATCH(E468,HostBuild[Alias],0),COLUMN(HostBuild[Hostname]))&lt;&gt;0,INDEX(HostBuild[],MATCH(E468,HostBuild[Alias],0),COLUMN(HostBuild[Hostname])),""),""),"")</f>
        <v/>
      </c>
      <c r="B468" s="424" t="str">
        <f>IF(AND(NOT(ISBLANK(E468)),E468&lt;&gt;"(blank)"),IFERROR(IF(INDEX(HostBuild[],MATCH(E468,HostBuild[Alias],0),COLUMN(HostBuild[Status]))&lt;&gt;0,INDEX(HostBuild[],MATCH(E468,HostBuild[Alias],0),COLUMN(HostBuild[Status])),""),""),"")</f>
        <v/>
      </c>
      <c r="C468" s="425" t="str">
        <f>IF(AND(NOT(ISBLANK(E468)),E468&lt;&gt;"(blank)"),IFERROR(IF(INDEX(HostBuild[],MATCH(E468,HostBuild[Alias],0),COLUMN(HostBuild[CTI Target Completion]))&lt;&gt;0,INDEX(HostBuild[],MATCH(E468,HostBuild[Alias],0),COLUMN(HostBuild[CTI Target Completion])),""),""),"")</f>
        <v/>
      </c>
      <c r="D468" s="262" t="str">
        <f>IF(AND(NOT(ISBLANK(E468)),E468&lt;&gt;"(blank)"),IFERROR(IF(INDEX(HostBuild[],MATCH(E468,HostBuild[Alias],0),COLUMN(HostBuild[Description]))&lt;&gt;0,INDEX(HostBuild[],MATCH(E468,HostBuild[Alias],0),COLUMN(HostBuild[Description])),""),""),"")</f>
        <v/>
      </c>
    </row>
    <row r="469" spans="1:4">
      <c r="A469" s="3" t="str">
        <f>IF(AND(NOT(ISBLANK(E469)),E469&lt;&gt;"(blank)"),IFERROR(IF(INDEX(HostBuild[],MATCH(E469,HostBuild[Alias],0),COLUMN(HostBuild[Hostname]))&lt;&gt;0,INDEX(HostBuild[],MATCH(E469,HostBuild[Alias],0),COLUMN(HostBuild[Hostname])),""),""),"")</f>
        <v/>
      </c>
      <c r="B469" s="424" t="str">
        <f>IF(AND(NOT(ISBLANK(E469)),E469&lt;&gt;"(blank)"),IFERROR(IF(INDEX(HostBuild[],MATCH(E469,HostBuild[Alias],0),COLUMN(HostBuild[Status]))&lt;&gt;0,INDEX(HostBuild[],MATCH(E469,HostBuild[Alias],0),COLUMN(HostBuild[Status])),""),""),"")</f>
        <v/>
      </c>
      <c r="C469" s="425" t="str">
        <f>IF(AND(NOT(ISBLANK(E469)),E469&lt;&gt;"(blank)"),IFERROR(IF(INDEX(HostBuild[],MATCH(E469,HostBuild[Alias],0),COLUMN(HostBuild[CTI Target Completion]))&lt;&gt;0,INDEX(HostBuild[],MATCH(E469,HostBuild[Alias],0),COLUMN(HostBuild[CTI Target Completion])),""),""),"")</f>
        <v/>
      </c>
      <c r="D469" s="262" t="str">
        <f>IF(AND(NOT(ISBLANK(E469)),E469&lt;&gt;"(blank)"),IFERROR(IF(INDEX(HostBuild[],MATCH(E469,HostBuild[Alias],0),COLUMN(HostBuild[Description]))&lt;&gt;0,INDEX(HostBuild[],MATCH(E469,HostBuild[Alias],0),COLUMN(HostBuild[Description])),""),""),"")</f>
        <v/>
      </c>
    </row>
    <row r="470" spans="1:4">
      <c r="A470" s="3" t="str">
        <f>IF(AND(NOT(ISBLANK(E470)),E470&lt;&gt;"(blank)"),IFERROR(IF(INDEX(HostBuild[],MATCH(E470,HostBuild[Alias],0),COLUMN(HostBuild[Hostname]))&lt;&gt;0,INDEX(HostBuild[],MATCH(E470,HostBuild[Alias],0),COLUMN(HostBuild[Hostname])),""),""),"")</f>
        <v/>
      </c>
      <c r="B470" s="424" t="str">
        <f>IF(AND(NOT(ISBLANK(E470)),E470&lt;&gt;"(blank)"),IFERROR(IF(INDEX(HostBuild[],MATCH(E470,HostBuild[Alias],0),COLUMN(HostBuild[Status]))&lt;&gt;0,INDEX(HostBuild[],MATCH(E470,HostBuild[Alias],0),COLUMN(HostBuild[Status])),""),""),"")</f>
        <v/>
      </c>
      <c r="C470" s="425" t="str">
        <f>IF(AND(NOT(ISBLANK(E470)),E470&lt;&gt;"(blank)"),IFERROR(IF(INDEX(HostBuild[],MATCH(E470,HostBuild[Alias],0),COLUMN(HostBuild[CTI Target Completion]))&lt;&gt;0,INDEX(HostBuild[],MATCH(E470,HostBuild[Alias],0),COLUMN(HostBuild[CTI Target Completion])),""),""),"")</f>
        <v/>
      </c>
      <c r="D470" s="262" t="str">
        <f>IF(AND(NOT(ISBLANK(E470)),E470&lt;&gt;"(blank)"),IFERROR(IF(INDEX(HostBuild[],MATCH(E470,HostBuild[Alias],0),COLUMN(HostBuild[Description]))&lt;&gt;0,INDEX(HostBuild[],MATCH(E470,HostBuild[Alias],0),COLUMN(HostBuild[Description])),""),""),"")</f>
        <v/>
      </c>
    </row>
    <row r="471" spans="1:4">
      <c r="A471" s="3" t="str">
        <f>IF(AND(NOT(ISBLANK(E471)),E471&lt;&gt;"(blank)"),IFERROR(IF(INDEX(HostBuild[],MATCH(E471,HostBuild[Alias],0),COLUMN(HostBuild[Hostname]))&lt;&gt;0,INDEX(HostBuild[],MATCH(E471,HostBuild[Alias],0),COLUMN(HostBuild[Hostname])),""),""),"")</f>
        <v/>
      </c>
      <c r="B471" s="424" t="str">
        <f>IF(AND(NOT(ISBLANK(E471)),E471&lt;&gt;"(blank)"),IFERROR(IF(INDEX(HostBuild[],MATCH(E471,HostBuild[Alias],0),COLUMN(HostBuild[Status]))&lt;&gt;0,INDEX(HostBuild[],MATCH(E471,HostBuild[Alias],0),COLUMN(HostBuild[Status])),""),""),"")</f>
        <v/>
      </c>
      <c r="C471" s="425" t="str">
        <f>IF(AND(NOT(ISBLANK(E471)),E471&lt;&gt;"(blank)"),IFERROR(IF(INDEX(HostBuild[],MATCH(E471,HostBuild[Alias],0),COLUMN(HostBuild[CTI Target Completion]))&lt;&gt;0,INDEX(HostBuild[],MATCH(E471,HostBuild[Alias],0),COLUMN(HostBuild[CTI Target Completion])),""),""),"")</f>
        <v/>
      </c>
      <c r="D471" s="262" t="str">
        <f>IF(AND(NOT(ISBLANK(E471)),E471&lt;&gt;"(blank)"),IFERROR(IF(INDEX(HostBuild[],MATCH(E471,HostBuild[Alias],0),COLUMN(HostBuild[Description]))&lt;&gt;0,INDEX(HostBuild[],MATCH(E471,HostBuild[Alias],0),COLUMN(HostBuild[Description])),""),""),"")</f>
        <v/>
      </c>
    </row>
    <row r="472" spans="1:4">
      <c r="A472" s="3" t="str">
        <f>IF(AND(NOT(ISBLANK(E472)),E472&lt;&gt;"(blank)"),IFERROR(IF(INDEX(HostBuild[],MATCH(E472,HostBuild[Alias],0),COLUMN(HostBuild[Hostname]))&lt;&gt;0,INDEX(HostBuild[],MATCH(E472,HostBuild[Alias],0),COLUMN(HostBuild[Hostname])),""),""),"")</f>
        <v/>
      </c>
      <c r="B472" s="424" t="str">
        <f>IF(AND(NOT(ISBLANK(E472)),E472&lt;&gt;"(blank)"),IFERROR(IF(INDEX(HostBuild[],MATCH(E472,HostBuild[Alias],0),COLUMN(HostBuild[Status]))&lt;&gt;0,INDEX(HostBuild[],MATCH(E472,HostBuild[Alias],0),COLUMN(HostBuild[Status])),""),""),"")</f>
        <v/>
      </c>
      <c r="C472" s="425" t="str">
        <f>IF(AND(NOT(ISBLANK(E472)),E472&lt;&gt;"(blank)"),IFERROR(IF(INDEX(HostBuild[],MATCH(E472,HostBuild[Alias],0),COLUMN(HostBuild[CTI Target Completion]))&lt;&gt;0,INDEX(HostBuild[],MATCH(E472,HostBuild[Alias],0),COLUMN(HostBuild[CTI Target Completion])),""),""),"")</f>
        <v/>
      </c>
      <c r="D472" s="262" t="str">
        <f>IF(AND(NOT(ISBLANK(E472)),E472&lt;&gt;"(blank)"),IFERROR(IF(INDEX(HostBuild[],MATCH(E472,HostBuild[Alias],0),COLUMN(HostBuild[Description]))&lt;&gt;0,INDEX(HostBuild[],MATCH(E472,HostBuild[Alias],0),COLUMN(HostBuild[Description])),""),""),"")</f>
        <v/>
      </c>
    </row>
    <row r="473" spans="1:4">
      <c r="A473" s="3" t="str">
        <f>IF(AND(NOT(ISBLANK(E473)),E473&lt;&gt;"(blank)"),IFERROR(IF(INDEX(HostBuild[],MATCH(E473,HostBuild[Alias],0),COLUMN(HostBuild[Hostname]))&lt;&gt;0,INDEX(HostBuild[],MATCH(E473,HostBuild[Alias],0),COLUMN(HostBuild[Hostname])),""),""),"")</f>
        <v/>
      </c>
      <c r="B473" s="424" t="str">
        <f>IF(AND(NOT(ISBLANK(E473)),E473&lt;&gt;"(blank)"),IFERROR(IF(INDEX(HostBuild[],MATCH(E473,HostBuild[Alias],0),COLUMN(HostBuild[Status]))&lt;&gt;0,INDEX(HostBuild[],MATCH(E473,HostBuild[Alias],0),COLUMN(HostBuild[Status])),""),""),"")</f>
        <v/>
      </c>
      <c r="C473" s="425" t="str">
        <f>IF(AND(NOT(ISBLANK(E473)),E473&lt;&gt;"(blank)"),IFERROR(IF(INDEX(HostBuild[],MATCH(E473,HostBuild[Alias],0),COLUMN(HostBuild[CTI Target Completion]))&lt;&gt;0,INDEX(HostBuild[],MATCH(E473,HostBuild[Alias],0),COLUMN(HostBuild[CTI Target Completion])),""),""),"")</f>
        <v/>
      </c>
      <c r="D473" s="262" t="str">
        <f>IF(AND(NOT(ISBLANK(E473)),E473&lt;&gt;"(blank)"),IFERROR(IF(INDEX(HostBuild[],MATCH(E473,HostBuild[Alias],0),COLUMN(HostBuild[Description]))&lt;&gt;0,INDEX(HostBuild[],MATCH(E473,HostBuild[Alias],0),COLUMN(HostBuild[Description])),""),""),"")</f>
        <v/>
      </c>
    </row>
    <row r="474" spans="1:4">
      <c r="A474" s="3" t="str">
        <f>IF(AND(NOT(ISBLANK(E474)),E474&lt;&gt;"(blank)"),IFERROR(IF(INDEX(HostBuild[],MATCH(E474,HostBuild[Alias],0),COLUMN(HostBuild[Hostname]))&lt;&gt;0,INDEX(HostBuild[],MATCH(E474,HostBuild[Alias],0),COLUMN(HostBuild[Hostname])),""),""),"")</f>
        <v/>
      </c>
      <c r="B474" s="424" t="str">
        <f>IF(AND(NOT(ISBLANK(E474)),E474&lt;&gt;"(blank)"),IFERROR(IF(INDEX(HostBuild[],MATCH(E474,HostBuild[Alias],0),COLUMN(HostBuild[Status]))&lt;&gt;0,INDEX(HostBuild[],MATCH(E474,HostBuild[Alias],0),COLUMN(HostBuild[Status])),""),""),"")</f>
        <v/>
      </c>
      <c r="C474" s="425" t="str">
        <f>IF(AND(NOT(ISBLANK(E474)),E474&lt;&gt;"(blank)"),IFERROR(IF(INDEX(HostBuild[],MATCH(E474,HostBuild[Alias],0),COLUMN(HostBuild[CTI Target Completion]))&lt;&gt;0,INDEX(HostBuild[],MATCH(E474,HostBuild[Alias],0),COLUMN(HostBuild[CTI Target Completion])),""),""),"")</f>
        <v/>
      </c>
      <c r="D474" s="262" t="str">
        <f>IF(AND(NOT(ISBLANK(E474)),E474&lt;&gt;"(blank)"),IFERROR(IF(INDEX(HostBuild[],MATCH(E474,HostBuild[Alias],0),COLUMN(HostBuild[Description]))&lt;&gt;0,INDEX(HostBuild[],MATCH(E474,HostBuild[Alias],0),COLUMN(HostBuild[Description])),""),""),"")</f>
        <v/>
      </c>
    </row>
    <row r="475" spans="1:4">
      <c r="A475" s="3" t="str">
        <f>IF(AND(NOT(ISBLANK(E475)),E475&lt;&gt;"(blank)"),IFERROR(IF(INDEX(HostBuild[],MATCH(E475,HostBuild[Alias],0),COLUMN(HostBuild[Hostname]))&lt;&gt;0,INDEX(HostBuild[],MATCH(E475,HostBuild[Alias],0),COLUMN(HostBuild[Hostname])),""),""),"")</f>
        <v/>
      </c>
      <c r="B475" s="424" t="str">
        <f>IF(AND(NOT(ISBLANK(E475)),E475&lt;&gt;"(blank)"),IFERROR(IF(INDEX(HostBuild[],MATCH(E475,HostBuild[Alias],0),COLUMN(HostBuild[Status]))&lt;&gt;0,INDEX(HostBuild[],MATCH(E475,HostBuild[Alias],0),COLUMN(HostBuild[Status])),""),""),"")</f>
        <v/>
      </c>
      <c r="C475" s="425" t="str">
        <f>IF(AND(NOT(ISBLANK(E475)),E475&lt;&gt;"(blank)"),IFERROR(IF(INDEX(HostBuild[],MATCH(E475,HostBuild[Alias],0),COLUMN(HostBuild[CTI Target Completion]))&lt;&gt;0,INDEX(HostBuild[],MATCH(E475,HostBuild[Alias],0),COLUMN(HostBuild[CTI Target Completion])),""),""),"")</f>
        <v/>
      </c>
      <c r="D475" s="262" t="str">
        <f>IF(AND(NOT(ISBLANK(E475)),E475&lt;&gt;"(blank)"),IFERROR(IF(INDEX(HostBuild[],MATCH(E475,HostBuild[Alias],0),COLUMN(HostBuild[Description]))&lt;&gt;0,INDEX(HostBuild[],MATCH(E475,HostBuild[Alias],0),COLUMN(HostBuild[Description])),""),""),"")</f>
        <v/>
      </c>
    </row>
    <row r="476" spans="1:4">
      <c r="A476" s="3" t="str">
        <f>IF(AND(NOT(ISBLANK(E476)),E476&lt;&gt;"(blank)"),IFERROR(IF(INDEX(HostBuild[],MATCH(E476,HostBuild[Alias],0),COLUMN(HostBuild[Hostname]))&lt;&gt;0,INDEX(HostBuild[],MATCH(E476,HostBuild[Alias],0),COLUMN(HostBuild[Hostname])),""),""),"")</f>
        <v/>
      </c>
      <c r="B476" s="424" t="str">
        <f>IF(AND(NOT(ISBLANK(E476)),E476&lt;&gt;"(blank)"),IFERROR(IF(INDEX(HostBuild[],MATCH(E476,HostBuild[Alias],0),COLUMN(HostBuild[Status]))&lt;&gt;0,INDEX(HostBuild[],MATCH(E476,HostBuild[Alias],0),COLUMN(HostBuild[Status])),""),""),"")</f>
        <v/>
      </c>
      <c r="C476" s="425" t="str">
        <f>IF(AND(NOT(ISBLANK(E476)),E476&lt;&gt;"(blank)"),IFERROR(IF(INDEX(HostBuild[],MATCH(E476,HostBuild[Alias],0),COLUMN(HostBuild[CTI Target Completion]))&lt;&gt;0,INDEX(HostBuild[],MATCH(E476,HostBuild[Alias],0),COLUMN(HostBuild[CTI Target Completion])),""),""),"")</f>
        <v/>
      </c>
      <c r="D476" s="262" t="str">
        <f>IF(AND(NOT(ISBLANK(E476)),E476&lt;&gt;"(blank)"),IFERROR(IF(INDEX(HostBuild[],MATCH(E476,HostBuild[Alias],0),COLUMN(HostBuild[Description]))&lt;&gt;0,INDEX(HostBuild[],MATCH(E476,HostBuild[Alias],0),COLUMN(HostBuild[Description])),""),""),"")</f>
        <v/>
      </c>
    </row>
    <row r="477" spans="1:4">
      <c r="A477" s="3" t="str">
        <f>IF(AND(NOT(ISBLANK(E477)),E477&lt;&gt;"(blank)"),IFERROR(IF(INDEX(HostBuild[],MATCH(E477,HostBuild[Alias],0),COLUMN(HostBuild[Hostname]))&lt;&gt;0,INDEX(HostBuild[],MATCH(E477,HostBuild[Alias],0),COLUMN(HostBuild[Hostname])),""),""),"")</f>
        <v/>
      </c>
      <c r="B477" s="424" t="str">
        <f>IF(AND(NOT(ISBLANK(E477)),E477&lt;&gt;"(blank)"),IFERROR(IF(INDEX(HostBuild[],MATCH(E477,HostBuild[Alias],0),COLUMN(HostBuild[Status]))&lt;&gt;0,INDEX(HostBuild[],MATCH(E477,HostBuild[Alias],0),COLUMN(HostBuild[Status])),""),""),"")</f>
        <v/>
      </c>
      <c r="C477" s="425" t="str">
        <f>IF(AND(NOT(ISBLANK(E477)),E477&lt;&gt;"(blank)"),IFERROR(IF(INDEX(HostBuild[],MATCH(E477,HostBuild[Alias],0),COLUMN(HostBuild[CTI Target Completion]))&lt;&gt;0,INDEX(HostBuild[],MATCH(E477,HostBuild[Alias],0),COLUMN(HostBuild[CTI Target Completion])),""),""),"")</f>
        <v/>
      </c>
      <c r="D477" s="262" t="str">
        <f>IF(AND(NOT(ISBLANK(E477)),E477&lt;&gt;"(blank)"),IFERROR(IF(INDEX(HostBuild[],MATCH(E477,HostBuild[Alias],0),COLUMN(HostBuild[Description]))&lt;&gt;0,INDEX(HostBuild[],MATCH(E477,HostBuild[Alias],0),COLUMN(HostBuild[Description])),""),""),"")</f>
        <v/>
      </c>
    </row>
    <row r="478" spans="1:4">
      <c r="A478" s="3" t="str">
        <f>IF(AND(NOT(ISBLANK(E478)),E478&lt;&gt;"(blank)"),IFERROR(IF(INDEX(HostBuild[],MATCH(E478,HostBuild[Alias],0),COLUMN(HostBuild[Hostname]))&lt;&gt;0,INDEX(HostBuild[],MATCH(E478,HostBuild[Alias],0),COLUMN(HostBuild[Hostname])),""),""),"")</f>
        <v/>
      </c>
      <c r="B478" s="424" t="str">
        <f>IF(AND(NOT(ISBLANK(E478)),E478&lt;&gt;"(blank)"),IFERROR(IF(INDEX(HostBuild[],MATCH(E478,HostBuild[Alias],0),COLUMN(HostBuild[Status]))&lt;&gt;0,INDEX(HostBuild[],MATCH(E478,HostBuild[Alias],0),COLUMN(HostBuild[Status])),""),""),"")</f>
        <v/>
      </c>
      <c r="C478" s="425" t="str">
        <f>IF(AND(NOT(ISBLANK(E478)),E478&lt;&gt;"(blank)"),IFERROR(IF(INDEX(HostBuild[],MATCH(E478,HostBuild[Alias],0),COLUMN(HostBuild[CTI Target Completion]))&lt;&gt;0,INDEX(HostBuild[],MATCH(E478,HostBuild[Alias],0),COLUMN(HostBuild[CTI Target Completion])),""),""),"")</f>
        <v/>
      </c>
      <c r="D478" s="262" t="str">
        <f>IF(AND(NOT(ISBLANK(E478)),E478&lt;&gt;"(blank)"),IFERROR(IF(INDEX(HostBuild[],MATCH(E478,HostBuild[Alias],0),COLUMN(HostBuild[Description]))&lt;&gt;0,INDEX(HostBuild[],MATCH(E478,HostBuild[Alias],0),COLUMN(HostBuild[Description])),""),""),"")</f>
        <v/>
      </c>
    </row>
    <row r="479" spans="1:4">
      <c r="A479" s="3" t="str">
        <f>IF(AND(NOT(ISBLANK(E479)),E479&lt;&gt;"(blank)"),IFERROR(IF(INDEX(HostBuild[],MATCH(E479,HostBuild[Alias],0),COLUMN(HostBuild[Hostname]))&lt;&gt;0,INDEX(HostBuild[],MATCH(E479,HostBuild[Alias],0),COLUMN(HostBuild[Hostname])),""),""),"")</f>
        <v/>
      </c>
      <c r="B479" s="424" t="str">
        <f>IF(AND(NOT(ISBLANK(E479)),E479&lt;&gt;"(blank)"),IFERROR(IF(INDEX(HostBuild[],MATCH(E479,HostBuild[Alias],0),COLUMN(HostBuild[Status]))&lt;&gt;0,INDEX(HostBuild[],MATCH(E479,HostBuild[Alias],0),COLUMN(HostBuild[Status])),""),""),"")</f>
        <v/>
      </c>
      <c r="C479" s="425" t="str">
        <f>IF(AND(NOT(ISBLANK(E479)),E479&lt;&gt;"(blank)"),IFERROR(IF(INDEX(HostBuild[],MATCH(E479,HostBuild[Alias],0),COLUMN(HostBuild[CTI Target Completion]))&lt;&gt;0,INDEX(HostBuild[],MATCH(E479,HostBuild[Alias],0),COLUMN(HostBuild[CTI Target Completion])),""),""),"")</f>
        <v/>
      </c>
      <c r="D479" s="262" t="str">
        <f>IF(AND(NOT(ISBLANK(E479)),E479&lt;&gt;"(blank)"),IFERROR(IF(INDEX(HostBuild[],MATCH(E479,HostBuild[Alias],0),COLUMN(HostBuild[Description]))&lt;&gt;0,INDEX(HostBuild[],MATCH(E479,HostBuild[Alias],0),COLUMN(HostBuild[Description])),""),""),"")</f>
        <v/>
      </c>
    </row>
    <row r="480" spans="1:4">
      <c r="A480" s="3" t="str">
        <f>IF(AND(NOT(ISBLANK(E480)),E480&lt;&gt;"(blank)"),IFERROR(IF(INDEX(HostBuild[],MATCH(E480,HostBuild[Alias],0),COLUMN(HostBuild[Hostname]))&lt;&gt;0,INDEX(HostBuild[],MATCH(E480,HostBuild[Alias],0),COLUMN(HostBuild[Hostname])),""),""),"")</f>
        <v/>
      </c>
      <c r="B480" s="424" t="str">
        <f>IF(AND(NOT(ISBLANK(E480)),E480&lt;&gt;"(blank)"),IFERROR(IF(INDEX(HostBuild[],MATCH(E480,HostBuild[Alias],0),COLUMN(HostBuild[Status]))&lt;&gt;0,INDEX(HostBuild[],MATCH(E480,HostBuild[Alias],0),COLUMN(HostBuild[Status])),""),""),"")</f>
        <v/>
      </c>
      <c r="C480" s="425" t="str">
        <f>IF(AND(NOT(ISBLANK(E480)),E480&lt;&gt;"(blank)"),IFERROR(IF(INDEX(HostBuild[],MATCH(E480,HostBuild[Alias],0),COLUMN(HostBuild[CTI Target Completion]))&lt;&gt;0,INDEX(HostBuild[],MATCH(E480,HostBuild[Alias],0),COLUMN(HostBuild[CTI Target Completion])),""),""),"")</f>
        <v/>
      </c>
      <c r="D480" s="262" t="str">
        <f>IF(AND(NOT(ISBLANK(E480)),E480&lt;&gt;"(blank)"),IFERROR(IF(INDEX(HostBuild[],MATCH(E480,HostBuild[Alias],0),COLUMN(HostBuild[Description]))&lt;&gt;0,INDEX(HostBuild[],MATCH(E480,HostBuild[Alias],0),COLUMN(HostBuild[Description])),""),""),"")</f>
        <v/>
      </c>
    </row>
    <row r="481" spans="1:4">
      <c r="A481" s="3" t="str">
        <f>IF(AND(NOT(ISBLANK(E481)),E481&lt;&gt;"(blank)"),IFERROR(IF(INDEX(HostBuild[],MATCH(E481,HostBuild[Alias],0),COLUMN(HostBuild[Hostname]))&lt;&gt;0,INDEX(HostBuild[],MATCH(E481,HostBuild[Alias],0),COLUMN(HostBuild[Hostname])),""),""),"")</f>
        <v/>
      </c>
      <c r="B481" s="424" t="str">
        <f>IF(AND(NOT(ISBLANK(E481)),E481&lt;&gt;"(blank)"),IFERROR(IF(INDEX(HostBuild[],MATCH(E481,HostBuild[Alias],0),COLUMN(HostBuild[Status]))&lt;&gt;0,INDEX(HostBuild[],MATCH(E481,HostBuild[Alias],0),COLUMN(HostBuild[Status])),""),""),"")</f>
        <v/>
      </c>
      <c r="C481" s="425" t="str">
        <f>IF(AND(NOT(ISBLANK(E481)),E481&lt;&gt;"(blank)"),IFERROR(IF(INDEX(HostBuild[],MATCH(E481,HostBuild[Alias],0),COLUMN(HostBuild[CTI Target Completion]))&lt;&gt;0,INDEX(HostBuild[],MATCH(E481,HostBuild[Alias],0),COLUMN(HostBuild[CTI Target Completion])),""),""),"")</f>
        <v/>
      </c>
      <c r="D481" s="262" t="str">
        <f>IF(AND(NOT(ISBLANK(E481)),E481&lt;&gt;"(blank)"),IFERROR(IF(INDEX(HostBuild[],MATCH(E481,HostBuild[Alias],0),COLUMN(HostBuild[Description]))&lt;&gt;0,INDEX(HostBuild[],MATCH(E481,HostBuild[Alias],0),COLUMN(HostBuild[Description])),""),""),"")</f>
        <v/>
      </c>
    </row>
    <row r="482" spans="1:4">
      <c r="A482" s="3" t="str">
        <f>IF(AND(NOT(ISBLANK(E482)),E482&lt;&gt;"(blank)"),IFERROR(IF(INDEX(HostBuild[],MATCH(E482,HostBuild[Alias],0),COLUMN(HostBuild[Hostname]))&lt;&gt;0,INDEX(HostBuild[],MATCH(E482,HostBuild[Alias],0),COLUMN(HostBuild[Hostname])),""),""),"")</f>
        <v/>
      </c>
      <c r="B482" s="424" t="str">
        <f>IF(AND(NOT(ISBLANK(E482)),E482&lt;&gt;"(blank)"),IFERROR(IF(INDEX(HostBuild[],MATCH(E482,HostBuild[Alias],0),COLUMN(HostBuild[Status]))&lt;&gt;0,INDEX(HostBuild[],MATCH(E482,HostBuild[Alias],0),COLUMN(HostBuild[Status])),""),""),"")</f>
        <v/>
      </c>
      <c r="C482" s="425" t="str">
        <f>IF(AND(NOT(ISBLANK(E482)),E482&lt;&gt;"(blank)"),IFERROR(IF(INDEX(HostBuild[],MATCH(E482,HostBuild[Alias],0),COLUMN(HostBuild[CTI Target Completion]))&lt;&gt;0,INDEX(HostBuild[],MATCH(E482,HostBuild[Alias],0),COLUMN(HostBuild[CTI Target Completion])),""),""),"")</f>
        <v/>
      </c>
      <c r="D482" s="262" t="str">
        <f>IF(AND(NOT(ISBLANK(E482)),E482&lt;&gt;"(blank)"),IFERROR(IF(INDEX(HostBuild[],MATCH(E482,HostBuild[Alias],0),COLUMN(HostBuild[Description]))&lt;&gt;0,INDEX(HostBuild[],MATCH(E482,HostBuild[Alias],0),COLUMN(HostBuild[Description])),""),""),"")</f>
        <v/>
      </c>
    </row>
    <row r="483" spans="1:4">
      <c r="A483" s="3" t="str">
        <f>IF(AND(NOT(ISBLANK(E483)),E483&lt;&gt;"(blank)"),IFERROR(IF(INDEX(HostBuild[],MATCH(E483,HostBuild[Alias],0),COLUMN(HostBuild[Hostname]))&lt;&gt;0,INDEX(HostBuild[],MATCH(E483,HostBuild[Alias],0),COLUMN(HostBuild[Hostname])),""),""),"")</f>
        <v/>
      </c>
      <c r="B483" s="424" t="str">
        <f>IF(AND(NOT(ISBLANK(E483)),E483&lt;&gt;"(blank)"),IFERROR(IF(INDEX(HostBuild[],MATCH(E483,HostBuild[Alias],0),COLUMN(HostBuild[Status]))&lt;&gt;0,INDEX(HostBuild[],MATCH(E483,HostBuild[Alias],0),COLUMN(HostBuild[Status])),""),""),"")</f>
        <v/>
      </c>
      <c r="C483" s="425" t="str">
        <f>IF(AND(NOT(ISBLANK(E483)),E483&lt;&gt;"(blank)"),IFERROR(IF(INDEX(HostBuild[],MATCH(E483,HostBuild[Alias],0),COLUMN(HostBuild[CTI Target Completion]))&lt;&gt;0,INDEX(HostBuild[],MATCH(E483,HostBuild[Alias],0),COLUMN(HostBuild[CTI Target Completion])),""),""),"")</f>
        <v/>
      </c>
      <c r="D483" s="262" t="str">
        <f>IF(AND(NOT(ISBLANK(E483)),E483&lt;&gt;"(blank)"),IFERROR(IF(INDEX(HostBuild[],MATCH(E483,HostBuild[Alias],0),COLUMN(HostBuild[Description]))&lt;&gt;0,INDEX(HostBuild[],MATCH(E483,HostBuild[Alias],0),COLUMN(HostBuild[Description])),""),""),"")</f>
        <v/>
      </c>
    </row>
    <row r="484" spans="1:4">
      <c r="A484" s="3" t="str">
        <f>IF(AND(NOT(ISBLANK(E484)),E484&lt;&gt;"(blank)"),IFERROR(IF(INDEX(HostBuild[],MATCH(E484,HostBuild[Alias],0),COLUMN(HostBuild[Hostname]))&lt;&gt;0,INDEX(HostBuild[],MATCH(E484,HostBuild[Alias],0),COLUMN(HostBuild[Hostname])),""),""),"")</f>
        <v/>
      </c>
      <c r="B484" s="424" t="str">
        <f>IF(AND(NOT(ISBLANK(E484)),E484&lt;&gt;"(blank)"),IFERROR(IF(INDEX(HostBuild[],MATCH(E484,HostBuild[Alias],0),COLUMN(HostBuild[Status]))&lt;&gt;0,INDEX(HostBuild[],MATCH(E484,HostBuild[Alias],0),COLUMN(HostBuild[Status])),""),""),"")</f>
        <v/>
      </c>
      <c r="C484" s="425" t="str">
        <f>IF(AND(NOT(ISBLANK(E484)),E484&lt;&gt;"(blank)"),IFERROR(IF(INDEX(HostBuild[],MATCH(E484,HostBuild[Alias],0),COLUMN(HostBuild[CTI Target Completion]))&lt;&gt;0,INDEX(HostBuild[],MATCH(E484,HostBuild[Alias],0),COLUMN(HostBuild[CTI Target Completion])),""),""),"")</f>
        <v/>
      </c>
      <c r="D484" s="262" t="str">
        <f>IF(AND(NOT(ISBLANK(E484)),E484&lt;&gt;"(blank)"),IFERROR(IF(INDEX(HostBuild[],MATCH(E484,HostBuild[Alias],0),COLUMN(HostBuild[Description]))&lt;&gt;0,INDEX(HostBuild[],MATCH(E484,HostBuild[Alias],0),COLUMN(HostBuild[Description])),""),""),"")</f>
        <v/>
      </c>
    </row>
    <row r="485" spans="1:4">
      <c r="A485" s="3" t="str">
        <f>IF(AND(NOT(ISBLANK(E485)),E485&lt;&gt;"(blank)"),IFERROR(IF(INDEX(HostBuild[],MATCH(E485,HostBuild[Alias],0),COLUMN(HostBuild[Hostname]))&lt;&gt;0,INDEX(HostBuild[],MATCH(E485,HostBuild[Alias],0),COLUMN(HostBuild[Hostname])),""),""),"")</f>
        <v/>
      </c>
      <c r="B485" s="424" t="str">
        <f>IF(AND(NOT(ISBLANK(E485)),E485&lt;&gt;"(blank)"),IFERROR(IF(INDEX(HostBuild[],MATCH(E485,HostBuild[Alias],0),COLUMN(HostBuild[Status]))&lt;&gt;0,INDEX(HostBuild[],MATCH(E485,HostBuild[Alias],0),COLUMN(HostBuild[Status])),""),""),"")</f>
        <v/>
      </c>
      <c r="C485" s="425" t="str">
        <f>IF(AND(NOT(ISBLANK(E485)),E485&lt;&gt;"(blank)"),IFERROR(IF(INDEX(HostBuild[],MATCH(E485,HostBuild[Alias],0),COLUMN(HostBuild[CTI Target Completion]))&lt;&gt;0,INDEX(HostBuild[],MATCH(E485,HostBuild[Alias],0),COLUMN(HostBuild[CTI Target Completion])),""),""),"")</f>
        <v/>
      </c>
      <c r="D485" s="262" t="str">
        <f>IF(AND(NOT(ISBLANK(E485)),E485&lt;&gt;"(blank)"),IFERROR(IF(INDEX(HostBuild[],MATCH(E485,HostBuild[Alias],0),COLUMN(HostBuild[Description]))&lt;&gt;0,INDEX(HostBuild[],MATCH(E485,HostBuild[Alias],0),COLUMN(HostBuild[Description])),""),""),"")</f>
        <v/>
      </c>
    </row>
    <row r="486" spans="1:4">
      <c r="A486" s="3" t="str">
        <f>IF(AND(NOT(ISBLANK(E486)),E486&lt;&gt;"(blank)"),IFERROR(IF(INDEX(HostBuild[],MATCH(E486,HostBuild[Alias],0),COLUMN(HostBuild[Hostname]))&lt;&gt;0,INDEX(HostBuild[],MATCH(E486,HostBuild[Alias],0),COLUMN(HostBuild[Hostname])),""),""),"")</f>
        <v/>
      </c>
      <c r="B486" s="424" t="str">
        <f>IF(AND(NOT(ISBLANK(E486)),E486&lt;&gt;"(blank)"),IFERROR(IF(INDEX(HostBuild[],MATCH(E486,HostBuild[Alias],0),COLUMN(HostBuild[Status]))&lt;&gt;0,INDEX(HostBuild[],MATCH(E486,HostBuild[Alias],0),COLUMN(HostBuild[Status])),""),""),"")</f>
        <v/>
      </c>
      <c r="C486" s="425" t="str">
        <f>IF(AND(NOT(ISBLANK(E486)),E486&lt;&gt;"(blank)"),IFERROR(IF(INDEX(HostBuild[],MATCH(E486,HostBuild[Alias],0),COLUMN(HostBuild[CTI Target Completion]))&lt;&gt;0,INDEX(HostBuild[],MATCH(E486,HostBuild[Alias],0),COLUMN(HostBuild[CTI Target Completion])),""),""),"")</f>
        <v/>
      </c>
      <c r="D486" s="262" t="str">
        <f>IF(AND(NOT(ISBLANK(E486)),E486&lt;&gt;"(blank)"),IFERROR(IF(INDEX(HostBuild[],MATCH(E486,HostBuild[Alias],0),COLUMN(HostBuild[Description]))&lt;&gt;0,INDEX(HostBuild[],MATCH(E486,HostBuild[Alias],0),COLUMN(HostBuild[Description])),""),""),"")</f>
        <v/>
      </c>
    </row>
    <row r="487" spans="1:4">
      <c r="A487" s="3" t="str">
        <f>IF(AND(NOT(ISBLANK(E487)),E487&lt;&gt;"(blank)"),IFERROR(IF(INDEX(HostBuild[],MATCH(E487,HostBuild[Alias],0),COLUMN(HostBuild[Hostname]))&lt;&gt;0,INDEX(HostBuild[],MATCH(E487,HostBuild[Alias],0),COLUMN(HostBuild[Hostname])),""),""),"")</f>
        <v/>
      </c>
      <c r="B487" s="424" t="str">
        <f>IF(AND(NOT(ISBLANK(E487)),E487&lt;&gt;"(blank)"),IFERROR(IF(INDEX(HostBuild[],MATCH(E487,HostBuild[Alias],0),COLUMN(HostBuild[Status]))&lt;&gt;0,INDEX(HostBuild[],MATCH(E487,HostBuild[Alias],0),COLUMN(HostBuild[Status])),""),""),"")</f>
        <v/>
      </c>
      <c r="C487" s="425" t="str">
        <f>IF(AND(NOT(ISBLANK(E487)),E487&lt;&gt;"(blank)"),IFERROR(IF(INDEX(HostBuild[],MATCH(E487,HostBuild[Alias],0),COLUMN(HostBuild[CTI Target Completion]))&lt;&gt;0,INDEX(HostBuild[],MATCH(E487,HostBuild[Alias],0),COLUMN(HostBuild[CTI Target Completion])),""),""),"")</f>
        <v/>
      </c>
      <c r="D487" s="262" t="str">
        <f>IF(AND(NOT(ISBLANK(E487)),E487&lt;&gt;"(blank)"),IFERROR(IF(INDEX(HostBuild[],MATCH(E487,HostBuild[Alias],0),COLUMN(HostBuild[Description]))&lt;&gt;0,INDEX(HostBuild[],MATCH(E487,HostBuild[Alias],0),COLUMN(HostBuild[Description])),""),""),"")</f>
        <v/>
      </c>
    </row>
    <row r="488" spans="1:4">
      <c r="A488" s="3" t="str">
        <f>IF(AND(NOT(ISBLANK(E488)),E488&lt;&gt;"(blank)"),IFERROR(IF(INDEX(HostBuild[],MATCH(E488,HostBuild[Alias],0),COLUMN(HostBuild[Hostname]))&lt;&gt;0,INDEX(HostBuild[],MATCH(E488,HostBuild[Alias],0),COLUMN(HostBuild[Hostname])),""),""),"")</f>
        <v/>
      </c>
      <c r="B488" s="424" t="str">
        <f>IF(AND(NOT(ISBLANK(E488)),E488&lt;&gt;"(blank)"),IFERROR(IF(INDEX(HostBuild[],MATCH(E488,HostBuild[Alias],0),COLUMN(HostBuild[Status]))&lt;&gt;0,INDEX(HostBuild[],MATCH(E488,HostBuild[Alias],0),COLUMN(HostBuild[Status])),""),""),"")</f>
        <v/>
      </c>
      <c r="C488" s="425" t="str">
        <f>IF(AND(NOT(ISBLANK(E488)),E488&lt;&gt;"(blank)"),IFERROR(IF(INDEX(HostBuild[],MATCH(E488,HostBuild[Alias],0),COLUMN(HostBuild[CTI Target Completion]))&lt;&gt;0,INDEX(HostBuild[],MATCH(E488,HostBuild[Alias],0),COLUMN(HostBuild[CTI Target Completion])),""),""),"")</f>
        <v/>
      </c>
      <c r="D488" s="262" t="str">
        <f>IF(AND(NOT(ISBLANK(E488)),E488&lt;&gt;"(blank)"),IFERROR(IF(INDEX(HostBuild[],MATCH(E488,HostBuild[Alias],0),COLUMN(HostBuild[Description]))&lt;&gt;0,INDEX(HostBuild[],MATCH(E488,HostBuild[Alias],0),COLUMN(HostBuild[Description])),""),""),"")</f>
        <v/>
      </c>
    </row>
    <row r="489" spans="1:4">
      <c r="A489" s="3" t="str">
        <f>IF(AND(NOT(ISBLANK(E489)),E489&lt;&gt;"(blank)"),IFERROR(IF(INDEX(HostBuild[],MATCH(E489,HostBuild[Alias],0),COLUMN(HostBuild[Hostname]))&lt;&gt;0,INDEX(HostBuild[],MATCH(E489,HostBuild[Alias],0),COLUMN(HostBuild[Hostname])),""),""),"")</f>
        <v/>
      </c>
      <c r="B489" s="424" t="str">
        <f>IF(AND(NOT(ISBLANK(E489)),E489&lt;&gt;"(blank)"),IFERROR(IF(INDEX(HostBuild[],MATCH(E489,HostBuild[Alias],0),COLUMN(HostBuild[Status]))&lt;&gt;0,INDEX(HostBuild[],MATCH(E489,HostBuild[Alias],0),COLUMN(HostBuild[Status])),""),""),"")</f>
        <v/>
      </c>
      <c r="C489" s="425" t="str">
        <f>IF(AND(NOT(ISBLANK(E489)),E489&lt;&gt;"(blank)"),IFERROR(IF(INDEX(HostBuild[],MATCH(E489,HostBuild[Alias],0),COLUMN(HostBuild[CTI Target Completion]))&lt;&gt;0,INDEX(HostBuild[],MATCH(E489,HostBuild[Alias],0),COLUMN(HostBuild[CTI Target Completion])),""),""),"")</f>
        <v/>
      </c>
      <c r="D489" s="262" t="str">
        <f>IF(AND(NOT(ISBLANK(E489)),E489&lt;&gt;"(blank)"),IFERROR(IF(INDEX(HostBuild[],MATCH(E489,HostBuild[Alias],0),COLUMN(HostBuild[Description]))&lt;&gt;0,INDEX(HostBuild[],MATCH(E489,HostBuild[Alias],0),COLUMN(HostBuild[Description])),""),""),"")</f>
        <v/>
      </c>
    </row>
    <row r="490" spans="1:4">
      <c r="A490" s="3" t="str">
        <f>IF(AND(NOT(ISBLANK(E490)),E490&lt;&gt;"(blank)"),IFERROR(IF(INDEX(HostBuild[],MATCH(E490,HostBuild[Alias],0),COLUMN(HostBuild[Hostname]))&lt;&gt;0,INDEX(HostBuild[],MATCH(E490,HostBuild[Alias],0),COLUMN(HostBuild[Hostname])),""),""),"")</f>
        <v/>
      </c>
      <c r="B490" s="424" t="str">
        <f>IF(AND(NOT(ISBLANK(E490)),E490&lt;&gt;"(blank)"),IFERROR(IF(INDEX(HostBuild[],MATCH(E490,HostBuild[Alias],0),COLUMN(HostBuild[Status]))&lt;&gt;0,INDEX(HostBuild[],MATCH(E490,HostBuild[Alias],0),COLUMN(HostBuild[Status])),""),""),"")</f>
        <v/>
      </c>
      <c r="C490" s="425" t="str">
        <f>IF(AND(NOT(ISBLANK(E490)),E490&lt;&gt;"(blank)"),IFERROR(IF(INDEX(HostBuild[],MATCH(E490,HostBuild[Alias],0),COLUMN(HostBuild[CTI Target Completion]))&lt;&gt;0,INDEX(HostBuild[],MATCH(E490,HostBuild[Alias],0),COLUMN(HostBuild[CTI Target Completion])),""),""),"")</f>
        <v/>
      </c>
      <c r="D490" s="262" t="str">
        <f>IF(AND(NOT(ISBLANK(E490)),E490&lt;&gt;"(blank)"),IFERROR(IF(INDEX(HostBuild[],MATCH(E490,HostBuild[Alias],0),COLUMN(HostBuild[Description]))&lt;&gt;0,INDEX(HostBuild[],MATCH(E490,HostBuild[Alias],0),COLUMN(HostBuild[Description])),""),""),"")</f>
        <v/>
      </c>
    </row>
    <row r="491" spans="1:4">
      <c r="A491" s="3" t="str">
        <f>IF(AND(NOT(ISBLANK(E491)),E491&lt;&gt;"(blank)"),IFERROR(IF(INDEX(HostBuild[],MATCH(E491,HostBuild[Alias],0),COLUMN(HostBuild[Hostname]))&lt;&gt;0,INDEX(HostBuild[],MATCH(E491,HostBuild[Alias],0),COLUMN(HostBuild[Hostname])),""),""),"")</f>
        <v/>
      </c>
      <c r="B491" s="424" t="str">
        <f>IF(AND(NOT(ISBLANK(E491)),E491&lt;&gt;"(blank)"),IFERROR(IF(INDEX(HostBuild[],MATCH(E491,HostBuild[Alias],0),COLUMN(HostBuild[Status]))&lt;&gt;0,INDEX(HostBuild[],MATCH(E491,HostBuild[Alias],0),COLUMN(HostBuild[Status])),""),""),"")</f>
        <v/>
      </c>
      <c r="C491" s="425" t="str">
        <f>IF(AND(NOT(ISBLANK(E491)),E491&lt;&gt;"(blank)"),IFERROR(IF(INDEX(HostBuild[],MATCH(E491,HostBuild[Alias],0),COLUMN(HostBuild[CTI Target Completion]))&lt;&gt;0,INDEX(HostBuild[],MATCH(E491,HostBuild[Alias],0),COLUMN(HostBuild[CTI Target Completion])),""),""),"")</f>
        <v/>
      </c>
      <c r="D491" s="262" t="str">
        <f>IF(AND(NOT(ISBLANK(E491)),E491&lt;&gt;"(blank)"),IFERROR(IF(INDEX(HostBuild[],MATCH(E491,HostBuild[Alias],0),COLUMN(HostBuild[Description]))&lt;&gt;0,INDEX(HostBuild[],MATCH(E491,HostBuild[Alias],0),COLUMN(HostBuild[Description])),""),""),"")</f>
        <v/>
      </c>
    </row>
    <row r="492" spans="1:4">
      <c r="A492" s="3" t="str">
        <f>IF(AND(NOT(ISBLANK(E492)),E492&lt;&gt;"(blank)"),IFERROR(IF(INDEX(HostBuild[],MATCH(E492,HostBuild[Alias],0),COLUMN(HostBuild[Hostname]))&lt;&gt;0,INDEX(HostBuild[],MATCH(E492,HostBuild[Alias],0),COLUMN(HostBuild[Hostname])),""),""),"")</f>
        <v/>
      </c>
      <c r="B492" s="424" t="str">
        <f>IF(AND(NOT(ISBLANK(E492)),E492&lt;&gt;"(blank)"),IFERROR(IF(INDEX(HostBuild[],MATCH(E492,HostBuild[Alias],0),COLUMN(HostBuild[Status]))&lt;&gt;0,INDEX(HostBuild[],MATCH(E492,HostBuild[Alias],0),COLUMN(HostBuild[Status])),""),""),"")</f>
        <v/>
      </c>
      <c r="C492" s="425" t="str">
        <f>IF(AND(NOT(ISBLANK(E492)),E492&lt;&gt;"(blank)"),IFERROR(IF(INDEX(HostBuild[],MATCH(E492,HostBuild[Alias],0),COLUMN(HostBuild[CTI Target Completion]))&lt;&gt;0,INDEX(HostBuild[],MATCH(E492,HostBuild[Alias],0),COLUMN(HostBuild[CTI Target Completion])),""),""),"")</f>
        <v/>
      </c>
      <c r="D492" s="262" t="str">
        <f>IF(AND(NOT(ISBLANK(E492)),E492&lt;&gt;"(blank)"),IFERROR(IF(INDEX(HostBuild[],MATCH(E492,HostBuild[Alias],0),COLUMN(HostBuild[Description]))&lt;&gt;0,INDEX(HostBuild[],MATCH(E492,HostBuild[Alias],0),COLUMN(HostBuild[Description])),""),""),"")</f>
        <v/>
      </c>
    </row>
    <row r="493" spans="1:4">
      <c r="A493" s="3" t="str">
        <f>IF(AND(NOT(ISBLANK(E493)),E493&lt;&gt;"(blank)"),IFERROR(IF(INDEX(HostBuild[],MATCH(E493,HostBuild[Alias],0),COLUMN(HostBuild[Hostname]))&lt;&gt;0,INDEX(HostBuild[],MATCH(E493,HostBuild[Alias],0),COLUMN(HostBuild[Hostname])),""),""),"")</f>
        <v/>
      </c>
      <c r="B493" s="424" t="str">
        <f>IF(AND(NOT(ISBLANK(E493)),E493&lt;&gt;"(blank)"),IFERROR(IF(INDEX(HostBuild[],MATCH(E493,HostBuild[Alias],0),COLUMN(HostBuild[Status]))&lt;&gt;0,INDEX(HostBuild[],MATCH(E493,HostBuild[Alias],0),COLUMN(HostBuild[Status])),""),""),"")</f>
        <v/>
      </c>
      <c r="C493" s="425" t="str">
        <f>IF(AND(NOT(ISBLANK(E493)),E493&lt;&gt;"(blank)"),IFERROR(IF(INDEX(HostBuild[],MATCH(E493,HostBuild[Alias],0),COLUMN(HostBuild[CTI Target Completion]))&lt;&gt;0,INDEX(HostBuild[],MATCH(E493,HostBuild[Alias],0),COLUMN(HostBuild[CTI Target Completion])),""),""),"")</f>
        <v/>
      </c>
      <c r="D493" s="262" t="str">
        <f>IF(AND(NOT(ISBLANK(E493)),E493&lt;&gt;"(blank)"),IFERROR(IF(INDEX(HostBuild[],MATCH(E493,HostBuild[Alias],0),COLUMN(HostBuild[Description]))&lt;&gt;0,INDEX(HostBuild[],MATCH(E493,HostBuild[Alias],0),COLUMN(HostBuild[Description])),""),""),"")</f>
        <v/>
      </c>
    </row>
    <row r="494" spans="1:4">
      <c r="A494" s="3" t="str">
        <f>IF(AND(NOT(ISBLANK(E494)),E494&lt;&gt;"(blank)"),IFERROR(IF(INDEX(HostBuild[],MATCH(E494,HostBuild[Alias],0),COLUMN(HostBuild[Hostname]))&lt;&gt;0,INDEX(HostBuild[],MATCH(E494,HostBuild[Alias],0),COLUMN(HostBuild[Hostname])),""),""),"")</f>
        <v/>
      </c>
      <c r="B494" s="424" t="str">
        <f>IF(AND(NOT(ISBLANK(E494)),E494&lt;&gt;"(blank)"),IFERROR(IF(INDEX(HostBuild[],MATCH(E494,HostBuild[Alias],0),COLUMN(HostBuild[Status]))&lt;&gt;0,INDEX(HostBuild[],MATCH(E494,HostBuild[Alias],0),COLUMN(HostBuild[Status])),""),""),"")</f>
        <v/>
      </c>
      <c r="C494" s="425" t="str">
        <f>IF(AND(NOT(ISBLANK(E494)),E494&lt;&gt;"(blank)"),IFERROR(IF(INDEX(HostBuild[],MATCH(E494,HostBuild[Alias],0),COLUMN(HostBuild[CTI Target Completion]))&lt;&gt;0,INDEX(HostBuild[],MATCH(E494,HostBuild[Alias],0),COLUMN(HostBuild[CTI Target Completion])),""),""),"")</f>
        <v/>
      </c>
      <c r="D494" s="262" t="str">
        <f>IF(AND(NOT(ISBLANK(E494)),E494&lt;&gt;"(blank)"),IFERROR(IF(INDEX(HostBuild[],MATCH(E494,HostBuild[Alias],0),COLUMN(HostBuild[Description]))&lt;&gt;0,INDEX(HostBuild[],MATCH(E494,HostBuild[Alias],0),COLUMN(HostBuild[Description])),""),""),"")</f>
        <v/>
      </c>
    </row>
    <row r="495" spans="1:4">
      <c r="A495" s="3" t="str">
        <f>IF(AND(NOT(ISBLANK(E495)),E495&lt;&gt;"(blank)"),IFERROR(IF(INDEX(HostBuild[],MATCH(E495,HostBuild[Alias],0),COLUMN(HostBuild[Hostname]))&lt;&gt;0,INDEX(HostBuild[],MATCH(E495,HostBuild[Alias],0),COLUMN(HostBuild[Hostname])),""),""),"")</f>
        <v/>
      </c>
      <c r="B495" s="424" t="str">
        <f>IF(AND(NOT(ISBLANK(E495)),E495&lt;&gt;"(blank)"),IFERROR(IF(INDEX(HostBuild[],MATCH(E495,HostBuild[Alias],0),COLUMN(HostBuild[Status]))&lt;&gt;0,INDEX(HostBuild[],MATCH(E495,HostBuild[Alias],0),COLUMN(HostBuild[Status])),""),""),"")</f>
        <v/>
      </c>
      <c r="C495" s="425" t="str">
        <f>IF(AND(NOT(ISBLANK(E495)),E495&lt;&gt;"(blank)"),IFERROR(IF(INDEX(HostBuild[],MATCH(E495,HostBuild[Alias],0),COLUMN(HostBuild[CTI Target Completion]))&lt;&gt;0,INDEX(HostBuild[],MATCH(E495,HostBuild[Alias],0),COLUMN(HostBuild[CTI Target Completion])),""),""),"")</f>
        <v/>
      </c>
      <c r="D495" s="262" t="str">
        <f>IF(AND(NOT(ISBLANK(E495)),E495&lt;&gt;"(blank)"),IFERROR(IF(INDEX(HostBuild[],MATCH(E495,HostBuild[Alias],0),COLUMN(HostBuild[Description]))&lt;&gt;0,INDEX(HostBuild[],MATCH(E495,HostBuild[Alias],0),COLUMN(HostBuild[Description])),""),""),"")</f>
        <v/>
      </c>
    </row>
    <row r="496" spans="1:4">
      <c r="A496" s="3" t="str">
        <f>IF(AND(NOT(ISBLANK(E496)),E496&lt;&gt;"(blank)"),IFERROR(IF(INDEX(HostBuild[],MATCH(E496,HostBuild[Alias],0),COLUMN(HostBuild[Hostname]))&lt;&gt;0,INDEX(HostBuild[],MATCH(E496,HostBuild[Alias],0),COLUMN(HostBuild[Hostname])),""),""),"")</f>
        <v/>
      </c>
      <c r="B496" s="424" t="str">
        <f>IF(AND(NOT(ISBLANK(E496)),E496&lt;&gt;"(blank)"),IFERROR(IF(INDEX(HostBuild[],MATCH(E496,HostBuild[Alias],0),COLUMN(HostBuild[Status]))&lt;&gt;0,INDEX(HostBuild[],MATCH(E496,HostBuild[Alias],0),COLUMN(HostBuild[Status])),""),""),"")</f>
        <v/>
      </c>
      <c r="C496" s="425" t="str">
        <f>IF(AND(NOT(ISBLANK(E496)),E496&lt;&gt;"(blank)"),IFERROR(IF(INDEX(HostBuild[],MATCH(E496,HostBuild[Alias],0),COLUMN(HostBuild[CTI Target Completion]))&lt;&gt;0,INDEX(HostBuild[],MATCH(E496,HostBuild[Alias],0),COLUMN(HostBuild[CTI Target Completion])),""),""),"")</f>
        <v/>
      </c>
      <c r="D496" s="262" t="str">
        <f>IF(AND(NOT(ISBLANK(E496)),E496&lt;&gt;"(blank)"),IFERROR(IF(INDEX(HostBuild[],MATCH(E496,HostBuild[Alias],0),COLUMN(HostBuild[Description]))&lt;&gt;0,INDEX(HostBuild[],MATCH(E496,HostBuild[Alias],0),COLUMN(HostBuild[Description])),""),""),"")</f>
        <v/>
      </c>
    </row>
    <row r="497" spans="1:4">
      <c r="A497" s="3" t="str">
        <f>IF(AND(NOT(ISBLANK(E497)),E497&lt;&gt;"(blank)"),IFERROR(IF(INDEX(HostBuild[],MATCH(E497,HostBuild[Alias],0),COLUMN(HostBuild[Hostname]))&lt;&gt;0,INDEX(HostBuild[],MATCH(E497,HostBuild[Alias],0),COLUMN(HostBuild[Hostname])),""),""),"")</f>
        <v/>
      </c>
      <c r="B497" s="424" t="str">
        <f>IF(AND(NOT(ISBLANK(E497)),E497&lt;&gt;"(blank)"),IFERROR(IF(INDEX(HostBuild[],MATCH(E497,HostBuild[Alias],0),COLUMN(HostBuild[Status]))&lt;&gt;0,INDEX(HostBuild[],MATCH(E497,HostBuild[Alias],0),COLUMN(HostBuild[Status])),""),""),"")</f>
        <v/>
      </c>
      <c r="C497" s="425" t="str">
        <f>IF(AND(NOT(ISBLANK(E497)),E497&lt;&gt;"(blank)"),IFERROR(IF(INDEX(HostBuild[],MATCH(E497,HostBuild[Alias],0),COLUMN(HostBuild[CTI Target Completion]))&lt;&gt;0,INDEX(HostBuild[],MATCH(E497,HostBuild[Alias],0),COLUMN(HostBuild[CTI Target Completion])),""),""),"")</f>
        <v/>
      </c>
      <c r="D497" s="262" t="str">
        <f>IF(AND(NOT(ISBLANK(E497)),E497&lt;&gt;"(blank)"),IFERROR(IF(INDEX(HostBuild[],MATCH(E497,HostBuild[Alias],0),COLUMN(HostBuild[Description]))&lt;&gt;0,INDEX(HostBuild[],MATCH(E497,HostBuild[Alias],0),COLUMN(HostBuild[Description])),""),""),"")</f>
        <v/>
      </c>
    </row>
    <row r="498" spans="1:4">
      <c r="A498" s="3" t="str">
        <f>IF(AND(NOT(ISBLANK(E498)),E498&lt;&gt;"(blank)"),IFERROR(IF(INDEX(HostBuild[],MATCH(E498,HostBuild[Alias],0),COLUMN(HostBuild[Hostname]))&lt;&gt;0,INDEX(HostBuild[],MATCH(E498,HostBuild[Alias],0),COLUMN(HostBuild[Hostname])),""),""),"")</f>
        <v/>
      </c>
      <c r="B498" s="424" t="str">
        <f>IF(AND(NOT(ISBLANK(E498)),E498&lt;&gt;"(blank)"),IFERROR(IF(INDEX(HostBuild[],MATCH(E498,HostBuild[Alias],0),COLUMN(HostBuild[Status]))&lt;&gt;0,INDEX(HostBuild[],MATCH(E498,HostBuild[Alias],0),COLUMN(HostBuild[Status])),""),""),"")</f>
        <v/>
      </c>
      <c r="C498" s="425" t="str">
        <f>IF(AND(NOT(ISBLANK(E498)),E498&lt;&gt;"(blank)"),IFERROR(IF(INDEX(HostBuild[],MATCH(E498,HostBuild[Alias],0),COLUMN(HostBuild[CTI Target Completion]))&lt;&gt;0,INDEX(HostBuild[],MATCH(E498,HostBuild[Alias],0),COLUMN(HostBuild[CTI Target Completion])),""),""),"")</f>
        <v/>
      </c>
      <c r="D498" s="262" t="str">
        <f>IF(AND(NOT(ISBLANK(E498)),E498&lt;&gt;"(blank)"),IFERROR(IF(INDEX(HostBuild[],MATCH(E498,HostBuild[Alias],0),COLUMN(HostBuild[Description]))&lt;&gt;0,INDEX(HostBuild[],MATCH(E498,HostBuild[Alias],0),COLUMN(HostBuild[Description])),""),""),"")</f>
        <v/>
      </c>
    </row>
    <row r="499" spans="1:4">
      <c r="A499" s="3" t="str">
        <f>IF(AND(NOT(ISBLANK(E499)),E499&lt;&gt;"(blank)"),IFERROR(IF(INDEX(HostBuild[],MATCH(E499,HostBuild[Alias],0),COLUMN(HostBuild[Hostname]))&lt;&gt;0,INDEX(HostBuild[],MATCH(E499,HostBuild[Alias],0),COLUMN(HostBuild[Hostname])),""),""),"")</f>
        <v/>
      </c>
      <c r="B499" s="424" t="str">
        <f>IF(AND(NOT(ISBLANK(E499)),E499&lt;&gt;"(blank)"),IFERROR(IF(INDEX(HostBuild[],MATCH(E499,HostBuild[Alias],0),COLUMN(HostBuild[Status]))&lt;&gt;0,INDEX(HostBuild[],MATCH(E499,HostBuild[Alias],0),COLUMN(HostBuild[Status])),""),""),"")</f>
        <v/>
      </c>
      <c r="C499" s="425" t="str">
        <f>IF(AND(NOT(ISBLANK(E499)),E499&lt;&gt;"(blank)"),IFERROR(IF(INDEX(HostBuild[],MATCH(E499,HostBuild[Alias],0),COLUMN(HostBuild[CTI Target Completion]))&lt;&gt;0,INDEX(HostBuild[],MATCH(E499,HostBuild[Alias],0),COLUMN(HostBuild[CTI Target Completion])),""),""),"")</f>
        <v/>
      </c>
      <c r="D499" s="262" t="str">
        <f>IF(AND(NOT(ISBLANK(E499)),E499&lt;&gt;"(blank)"),IFERROR(IF(INDEX(HostBuild[],MATCH(E499,HostBuild[Alias],0),COLUMN(HostBuild[Description]))&lt;&gt;0,INDEX(HostBuild[],MATCH(E499,HostBuild[Alias],0),COLUMN(HostBuild[Description])),""),""),"")</f>
        <v/>
      </c>
    </row>
    <row r="500" spans="1:4">
      <c r="A500" s="3" t="str">
        <f>IF(AND(NOT(ISBLANK(E500)),E500&lt;&gt;"(blank)"),IFERROR(IF(INDEX(HostBuild[],MATCH(E500,HostBuild[Alias],0),COLUMN(HostBuild[Hostname]))&lt;&gt;0,INDEX(HostBuild[],MATCH(E500,HostBuild[Alias],0),COLUMN(HostBuild[Hostname])),""),""),"")</f>
        <v/>
      </c>
      <c r="B500" s="424" t="str">
        <f>IF(AND(NOT(ISBLANK(E500)),E500&lt;&gt;"(blank)"),IFERROR(IF(INDEX(HostBuild[],MATCH(E500,HostBuild[Alias],0),COLUMN(HostBuild[Status]))&lt;&gt;0,INDEX(HostBuild[],MATCH(E500,HostBuild[Alias],0),COLUMN(HostBuild[Status])),""),""),"")</f>
        <v/>
      </c>
      <c r="C500" s="425" t="str">
        <f>IF(AND(NOT(ISBLANK(E500)),E500&lt;&gt;"(blank)"),IFERROR(IF(INDEX(HostBuild[],MATCH(E500,HostBuild[Alias],0),COLUMN(HostBuild[CTI Target Completion]))&lt;&gt;0,INDEX(HostBuild[],MATCH(E500,HostBuild[Alias],0),COLUMN(HostBuild[CTI Target Completion])),""),""),"")</f>
        <v/>
      </c>
      <c r="D500" s="262" t="str">
        <f>IF(AND(NOT(ISBLANK(E500)),E500&lt;&gt;"(blank)"),IFERROR(IF(INDEX(HostBuild[],MATCH(E500,HostBuild[Alias],0),COLUMN(HostBuild[Description]))&lt;&gt;0,INDEX(HostBuild[],MATCH(E500,HostBuild[Alias],0),COLUMN(HostBuild[Description])),""),""),"")</f>
        <v/>
      </c>
    </row>
    <row r="501" spans="1:4">
      <c r="A501" s="3" t="str">
        <f>IF(AND(NOT(ISBLANK(E501)),E501&lt;&gt;"(blank)"),IFERROR(IF(INDEX(HostBuild[],MATCH(E501,HostBuild[Alias],0),COLUMN(HostBuild[Hostname]))&lt;&gt;0,INDEX(HostBuild[],MATCH(E501,HostBuild[Alias],0),COLUMN(HostBuild[Hostname])),""),""),"")</f>
        <v/>
      </c>
      <c r="B501" s="424" t="str">
        <f>IF(AND(NOT(ISBLANK(E501)),E501&lt;&gt;"(blank)"),IFERROR(IF(INDEX(HostBuild[],MATCH(E501,HostBuild[Alias],0),COLUMN(HostBuild[Status]))&lt;&gt;0,INDEX(HostBuild[],MATCH(E501,HostBuild[Alias],0),COLUMN(HostBuild[Status])),""),""),"")</f>
        <v/>
      </c>
      <c r="C501" s="425" t="str">
        <f>IF(AND(NOT(ISBLANK(E501)),E501&lt;&gt;"(blank)"),IFERROR(IF(INDEX(HostBuild[],MATCH(E501,HostBuild[Alias],0),COLUMN(HostBuild[CTI Target Completion]))&lt;&gt;0,INDEX(HostBuild[],MATCH(E501,HostBuild[Alias],0),COLUMN(HostBuild[CTI Target Completion])),""),""),"")</f>
        <v/>
      </c>
      <c r="D501" s="262" t="str">
        <f>IF(AND(NOT(ISBLANK(E501)),E501&lt;&gt;"(blank)"),IFERROR(IF(INDEX(HostBuild[],MATCH(E501,HostBuild[Alias],0),COLUMN(HostBuild[Description]))&lt;&gt;0,INDEX(HostBuild[],MATCH(E501,HostBuild[Alias],0),COLUMN(HostBuild[Description])),""),""),"")</f>
        <v/>
      </c>
    </row>
    <row r="502" spans="1:4">
      <c r="A502" s="3" t="str">
        <f>IF(AND(NOT(ISBLANK(E502)),E502&lt;&gt;"(blank)"),IFERROR(IF(INDEX(HostBuild[],MATCH(E502,HostBuild[Alias],0),COLUMN(HostBuild[Hostname]))&lt;&gt;0,INDEX(HostBuild[],MATCH(E502,HostBuild[Alias],0),COLUMN(HostBuild[Hostname])),""),""),"")</f>
        <v/>
      </c>
      <c r="B502" s="424" t="str">
        <f>IF(AND(NOT(ISBLANK(E502)),E502&lt;&gt;"(blank)"),IFERROR(IF(INDEX(HostBuild[],MATCH(E502,HostBuild[Alias],0),COLUMN(HostBuild[Status]))&lt;&gt;0,INDEX(HostBuild[],MATCH(E502,HostBuild[Alias],0),COLUMN(HostBuild[Status])),""),""),"")</f>
        <v/>
      </c>
      <c r="C502" s="425" t="str">
        <f>IF(AND(NOT(ISBLANK(E502)),E502&lt;&gt;"(blank)"),IFERROR(IF(INDEX(HostBuild[],MATCH(E502,HostBuild[Alias],0),COLUMN(HostBuild[CTI Target Completion]))&lt;&gt;0,INDEX(HostBuild[],MATCH(E502,HostBuild[Alias],0),COLUMN(HostBuild[CTI Target Completion])),""),""),"")</f>
        <v/>
      </c>
      <c r="D502" s="262" t="str">
        <f>IF(AND(NOT(ISBLANK(E502)),E502&lt;&gt;"(blank)"),IFERROR(IF(INDEX(HostBuild[],MATCH(E502,HostBuild[Alias],0),COLUMN(HostBuild[Description]))&lt;&gt;0,INDEX(HostBuild[],MATCH(E502,HostBuild[Alias],0),COLUMN(HostBuild[Description])),""),""),"")</f>
        <v/>
      </c>
    </row>
    <row r="503" spans="1:4">
      <c r="A503" s="3" t="str">
        <f>IF(AND(NOT(ISBLANK(E503)),E503&lt;&gt;"(blank)"),IFERROR(IF(INDEX(HostBuild[],MATCH(E503,HostBuild[Alias],0),COLUMN(HostBuild[Hostname]))&lt;&gt;0,INDEX(HostBuild[],MATCH(E503,HostBuild[Alias],0),COLUMN(HostBuild[Hostname])),""),""),"")</f>
        <v/>
      </c>
      <c r="B503" s="424" t="str">
        <f>IF(AND(NOT(ISBLANK(E503)),E503&lt;&gt;"(blank)"),IFERROR(IF(INDEX(HostBuild[],MATCH(E503,HostBuild[Alias],0),COLUMN(HostBuild[Status]))&lt;&gt;0,INDEX(HostBuild[],MATCH(E503,HostBuild[Alias],0),COLUMN(HostBuild[Status])),""),""),"")</f>
        <v/>
      </c>
      <c r="C503" s="425" t="str">
        <f>IF(AND(NOT(ISBLANK(E503)),E503&lt;&gt;"(blank)"),IFERROR(IF(INDEX(HostBuild[],MATCH(E503,HostBuild[Alias],0),COLUMN(HostBuild[CTI Target Completion]))&lt;&gt;0,INDEX(HostBuild[],MATCH(E503,HostBuild[Alias],0),COLUMN(HostBuild[CTI Target Completion])),""),""),"")</f>
        <v/>
      </c>
      <c r="D503" s="262" t="str">
        <f>IF(AND(NOT(ISBLANK(E503)),E503&lt;&gt;"(blank)"),IFERROR(IF(INDEX(HostBuild[],MATCH(E503,HostBuild[Alias],0),COLUMN(HostBuild[Description]))&lt;&gt;0,INDEX(HostBuild[],MATCH(E503,HostBuild[Alias],0),COLUMN(HostBuild[Description])),""),""),"")</f>
        <v/>
      </c>
    </row>
    <row r="504" spans="1:4">
      <c r="A504" s="3" t="str">
        <f>IF(AND(NOT(ISBLANK(E504)),E504&lt;&gt;"(blank)"),IFERROR(IF(INDEX(HostBuild[],MATCH(E504,HostBuild[Alias],0),COLUMN(HostBuild[Hostname]))&lt;&gt;0,INDEX(HostBuild[],MATCH(E504,HostBuild[Alias],0),COLUMN(HostBuild[Hostname])),""),""),"")</f>
        <v/>
      </c>
      <c r="B504" s="424" t="str">
        <f>IF(AND(NOT(ISBLANK(E504)),E504&lt;&gt;"(blank)"),IFERROR(IF(INDEX(HostBuild[],MATCH(E504,HostBuild[Alias],0),COLUMN(HostBuild[Status]))&lt;&gt;0,INDEX(HostBuild[],MATCH(E504,HostBuild[Alias],0),COLUMN(HostBuild[Status])),""),""),"")</f>
        <v/>
      </c>
      <c r="C504" s="425" t="str">
        <f>IF(AND(NOT(ISBLANK(E504)),E504&lt;&gt;"(blank)"),IFERROR(IF(INDEX(HostBuild[],MATCH(E504,HostBuild[Alias],0),COLUMN(HostBuild[CTI Target Completion]))&lt;&gt;0,INDEX(HostBuild[],MATCH(E504,HostBuild[Alias],0),COLUMN(HostBuild[CTI Target Completion])),""),""),"")</f>
        <v/>
      </c>
      <c r="D504" s="262" t="str">
        <f>IF(AND(NOT(ISBLANK(E504)),E504&lt;&gt;"(blank)"),IFERROR(IF(INDEX(HostBuild[],MATCH(E504,HostBuild[Alias],0),COLUMN(HostBuild[Description]))&lt;&gt;0,INDEX(HostBuild[],MATCH(E504,HostBuild[Alias],0),COLUMN(HostBuild[Description])),""),""),"")</f>
        <v/>
      </c>
    </row>
    <row r="505" spans="1:4">
      <c r="A505" s="3" t="str">
        <f>IF(AND(NOT(ISBLANK(E505)),E505&lt;&gt;"(blank)"),IFERROR(IF(INDEX(HostBuild[],MATCH(E505,HostBuild[Alias],0),COLUMN(HostBuild[Hostname]))&lt;&gt;0,INDEX(HostBuild[],MATCH(E505,HostBuild[Alias],0),COLUMN(HostBuild[Hostname])),""),""),"")</f>
        <v/>
      </c>
      <c r="B505" s="424" t="str">
        <f>IF(AND(NOT(ISBLANK(E505)),E505&lt;&gt;"(blank)"),IFERROR(IF(INDEX(HostBuild[],MATCH(E505,HostBuild[Alias],0),COLUMN(HostBuild[Status]))&lt;&gt;0,INDEX(HostBuild[],MATCH(E505,HostBuild[Alias],0),COLUMN(HostBuild[Status])),""),""),"")</f>
        <v/>
      </c>
      <c r="C505" s="425" t="str">
        <f>IF(AND(NOT(ISBLANK(E505)),E505&lt;&gt;"(blank)"),IFERROR(IF(INDEX(HostBuild[],MATCH(E505,HostBuild[Alias],0),COLUMN(HostBuild[CTI Target Completion]))&lt;&gt;0,INDEX(HostBuild[],MATCH(E505,HostBuild[Alias],0),COLUMN(HostBuild[CTI Target Completion])),""),""),"")</f>
        <v/>
      </c>
      <c r="D505" s="262" t="str">
        <f>IF(AND(NOT(ISBLANK(E505)),E505&lt;&gt;"(blank)"),IFERROR(IF(INDEX(HostBuild[],MATCH(E505,HostBuild[Alias],0),COLUMN(HostBuild[Description]))&lt;&gt;0,INDEX(HostBuild[],MATCH(E505,HostBuild[Alias],0),COLUMN(HostBuild[Description])),""),""),"")</f>
        <v/>
      </c>
    </row>
    <row r="506" spans="1:4">
      <c r="A506" s="3" t="str">
        <f>IF(AND(NOT(ISBLANK(E506)),E506&lt;&gt;"(blank)"),IFERROR(IF(INDEX(HostBuild[],MATCH(E506,HostBuild[Alias],0),COLUMN(HostBuild[Hostname]))&lt;&gt;0,INDEX(HostBuild[],MATCH(E506,HostBuild[Alias],0),COLUMN(HostBuild[Hostname])),""),""),"")</f>
        <v/>
      </c>
      <c r="B506" s="424" t="str">
        <f>IF(AND(NOT(ISBLANK(E506)),E506&lt;&gt;"(blank)"),IFERROR(IF(INDEX(HostBuild[],MATCH(E506,HostBuild[Alias],0),COLUMN(HostBuild[Status]))&lt;&gt;0,INDEX(HostBuild[],MATCH(E506,HostBuild[Alias],0),COLUMN(HostBuild[Status])),""),""),"")</f>
        <v/>
      </c>
      <c r="C506" s="425" t="str">
        <f>IF(AND(NOT(ISBLANK(E506)),E506&lt;&gt;"(blank)"),IFERROR(IF(INDEX(HostBuild[],MATCH(E506,HostBuild[Alias],0),COLUMN(HostBuild[CTI Target Completion]))&lt;&gt;0,INDEX(HostBuild[],MATCH(E506,HostBuild[Alias],0),COLUMN(HostBuild[CTI Target Completion])),""),""),"")</f>
        <v/>
      </c>
      <c r="D506" s="262" t="str">
        <f>IF(AND(NOT(ISBLANK(E506)),E506&lt;&gt;"(blank)"),IFERROR(IF(INDEX(HostBuild[],MATCH(E506,HostBuild[Alias],0),COLUMN(HostBuild[Description]))&lt;&gt;0,INDEX(HostBuild[],MATCH(E506,HostBuild[Alias],0),COLUMN(HostBuild[Description])),""),""),"")</f>
        <v/>
      </c>
    </row>
    <row r="507" spans="1:4">
      <c r="A507" s="3" t="str">
        <f>IF(AND(NOT(ISBLANK(E507)),E507&lt;&gt;"(blank)"),IFERROR(IF(INDEX(HostBuild[],MATCH(E507,HostBuild[Alias],0),COLUMN(HostBuild[Hostname]))&lt;&gt;0,INDEX(HostBuild[],MATCH(E507,HostBuild[Alias],0),COLUMN(HostBuild[Hostname])),""),""),"")</f>
        <v/>
      </c>
      <c r="B507" s="424" t="str">
        <f>IF(AND(NOT(ISBLANK(E507)),E507&lt;&gt;"(blank)"),IFERROR(IF(INDEX(HostBuild[],MATCH(E507,HostBuild[Alias],0),COLUMN(HostBuild[Status]))&lt;&gt;0,INDEX(HostBuild[],MATCH(E507,HostBuild[Alias],0),COLUMN(HostBuild[Status])),""),""),"")</f>
        <v/>
      </c>
      <c r="C507" s="425" t="str">
        <f>IF(AND(NOT(ISBLANK(E507)),E507&lt;&gt;"(blank)"),IFERROR(IF(INDEX(HostBuild[],MATCH(E507,HostBuild[Alias],0),COLUMN(HostBuild[CTI Target Completion]))&lt;&gt;0,INDEX(HostBuild[],MATCH(E507,HostBuild[Alias],0),COLUMN(HostBuild[CTI Target Completion])),""),""),"")</f>
        <v/>
      </c>
      <c r="D507" s="262" t="str">
        <f>IF(AND(NOT(ISBLANK(E507)),E507&lt;&gt;"(blank)"),IFERROR(IF(INDEX(HostBuild[],MATCH(E507,HostBuild[Alias],0),COLUMN(HostBuild[Description]))&lt;&gt;0,INDEX(HostBuild[],MATCH(E507,HostBuild[Alias],0),COLUMN(HostBuild[Description])),""),""),"")</f>
        <v/>
      </c>
    </row>
    <row r="508" spans="1:4">
      <c r="A508" s="3" t="str">
        <f>IF(AND(NOT(ISBLANK(E508)),E508&lt;&gt;"(blank)"),IFERROR(IF(INDEX(HostBuild[],MATCH(E508,HostBuild[Alias],0),COLUMN(HostBuild[Hostname]))&lt;&gt;0,INDEX(HostBuild[],MATCH(E508,HostBuild[Alias],0),COLUMN(HostBuild[Hostname])),""),""),"")</f>
        <v/>
      </c>
      <c r="B508" s="424" t="str">
        <f>IF(AND(NOT(ISBLANK(E508)),E508&lt;&gt;"(blank)"),IFERROR(IF(INDEX(HostBuild[],MATCH(E508,HostBuild[Alias],0),COLUMN(HostBuild[Status]))&lt;&gt;0,INDEX(HostBuild[],MATCH(E508,HostBuild[Alias],0),COLUMN(HostBuild[Status])),""),""),"")</f>
        <v/>
      </c>
      <c r="C508" s="425" t="str">
        <f>IF(AND(NOT(ISBLANK(E508)),E508&lt;&gt;"(blank)"),IFERROR(IF(INDEX(HostBuild[],MATCH(E508,HostBuild[Alias],0),COLUMN(HostBuild[CTI Target Completion]))&lt;&gt;0,INDEX(HostBuild[],MATCH(E508,HostBuild[Alias],0),COLUMN(HostBuild[CTI Target Completion])),""),""),"")</f>
        <v/>
      </c>
      <c r="D508" s="262" t="str">
        <f>IF(AND(NOT(ISBLANK(E508)),E508&lt;&gt;"(blank)"),IFERROR(IF(INDEX(HostBuild[],MATCH(E508,HostBuild[Alias],0),COLUMN(HostBuild[Description]))&lt;&gt;0,INDEX(HostBuild[],MATCH(E508,HostBuild[Alias],0),COLUMN(HostBuild[Description])),""),""),"")</f>
        <v/>
      </c>
    </row>
    <row r="509" spans="1:4">
      <c r="A509" s="3" t="str">
        <f>IF(AND(NOT(ISBLANK(E509)),E509&lt;&gt;"(blank)"),IFERROR(IF(INDEX(HostBuild[],MATCH(E509,HostBuild[Alias],0),COLUMN(HostBuild[Hostname]))&lt;&gt;0,INDEX(HostBuild[],MATCH(E509,HostBuild[Alias],0),COLUMN(HostBuild[Hostname])),""),""),"")</f>
        <v/>
      </c>
      <c r="B509" s="424" t="str">
        <f>IF(AND(NOT(ISBLANK(E509)),E509&lt;&gt;"(blank)"),IFERROR(IF(INDEX(HostBuild[],MATCH(E509,HostBuild[Alias],0),COLUMN(HostBuild[Status]))&lt;&gt;0,INDEX(HostBuild[],MATCH(E509,HostBuild[Alias],0),COLUMN(HostBuild[Status])),""),""),"")</f>
        <v/>
      </c>
      <c r="C509" s="425" t="str">
        <f>IF(AND(NOT(ISBLANK(E509)),E509&lt;&gt;"(blank)"),IFERROR(IF(INDEX(HostBuild[],MATCH(E509,HostBuild[Alias],0),COLUMN(HostBuild[CTI Target Completion]))&lt;&gt;0,INDEX(HostBuild[],MATCH(E509,HostBuild[Alias],0),COLUMN(HostBuild[CTI Target Completion])),""),""),"")</f>
        <v/>
      </c>
      <c r="D509" s="262" t="str">
        <f>IF(AND(NOT(ISBLANK(E509)),E509&lt;&gt;"(blank)"),IFERROR(IF(INDEX(HostBuild[],MATCH(E509,HostBuild[Alias],0),COLUMN(HostBuild[Description]))&lt;&gt;0,INDEX(HostBuild[],MATCH(E509,HostBuild[Alias],0),COLUMN(HostBuild[Description])),""),""),"")</f>
        <v/>
      </c>
    </row>
    <row r="510" spans="1:4">
      <c r="A510" s="3" t="str">
        <f>IF(AND(NOT(ISBLANK(E510)),E510&lt;&gt;"(blank)"),IFERROR(IF(INDEX(HostBuild[],MATCH(E510,HostBuild[Alias],0),COLUMN(HostBuild[Hostname]))&lt;&gt;0,INDEX(HostBuild[],MATCH(E510,HostBuild[Alias],0),COLUMN(HostBuild[Hostname])),""),""),"")</f>
        <v/>
      </c>
      <c r="B510" s="424" t="str">
        <f>IF(AND(NOT(ISBLANK(E510)),E510&lt;&gt;"(blank)"),IFERROR(IF(INDEX(HostBuild[],MATCH(E510,HostBuild[Alias],0),COLUMN(HostBuild[Status]))&lt;&gt;0,INDEX(HostBuild[],MATCH(E510,HostBuild[Alias],0),COLUMN(HostBuild[Status])),""),""),"")</f>
        <v/>
      </c>
      <c r="C510" s="425" t="str">
        <f>IF(AND(NOT(ISBLANK(E510)),E510&lt;&gt;"(blank)"),IFERROR(IF(INDEX(HostBuild[],MATCH(E510,HostBuild[Alias],0),COLUMN(HostBuild[CTI Target Completion]))&lt;&gt;0,INDEX(HostBuild[],MATCH(E510,HostBuild[Alias],0),COLUMN(HostBuild[CTI Target Completion])),""),""),"")</f>
        <v/>
      </c>
      <c r="D510" s="262" t="str">
        <f>IF(AND(NOT(ISBLANK(E510)),E510&lt;&gt;"(blank)"),IFERROR(IF(INDEX(HostBuild[],MATCH(E510,HostBuild[Alias],0),COLUMN(HostBuild[Description]))&lt;&gt;0,INDEX(HostBuild[],MATCH(E510,HostBuild[Alias],0),COLUMN(HostBuild[Description])),""),""),"")</f>
        <v/>
      </c>
    </row>
    <row r="511" spans="1:4">
      <c r="A511" s="3" t="str">
        <f>IF(AND(NOT(ISBLANK(E511)),E511&lt;&gt;"(blank)"),IFERROR(IF(INDEX(HostBuild[],MATCH(E511,HostBuild[Alias],0),COLUMN(HostBuild[Hostname]))&lt;&gt;0,INDEX(HostBuild[],MATCH(E511,HostBuild[Alias],0),COLUMN(HostBuild[Hostname])),""),""),"")</f>
        <v/>
      </c>
      <c r="B511" s="424" t="str">
        <f>IF(AND(NOT(ISBLANK(E511)),E511&lt;&gt;"(blank)"),IFERROR(IF(INDEX(HostBuild[],MATCH(E511,HostBuild[Alias],0),COLUMN(HostBuild[Status]))&lt;&gt;0,INDEX(HostBuild[],MATCH(E511,HostBuild[Alias],0),COLUMN(HostBuild[Status])),""),""),"")</f>
        <v/>
      </c>
      <c r="C511" s="425" t="str">
        <f>IF(AND(NOT(ISBLANK(E511)),E511&lt;&gt;"(blank)"),IFERROR(IF(INDEX(HostBuild[],MATCH(E511,HostBuild[Alias],0),COLUMN(HostBuild[CTI Target Completion]))&lt;&gt;0,INDEX(HostBuild[],MATCH(E511,HostBuild[Alias],0),COLUMN(HostBuild[CTI Target Completion])),""),""),"")</f>
        <v/>
      </c>
      <c r="D511" s="262" t="str">
        <f>IF(AND(NOT(ISBLANK(E511)),E511&lt;&gt;"(blank)"),IFERROR(IF(INDEX(HostBuild[],MATCH(E511,HostBuild[Alias],0),COLUMN(HostBuild[Description]))&lt;&gt;0,INDEX(HostBuild[],MATCH(E511,HostBuild[Alias],0),COLUMN(HostBuild[Description])),""),""),"")</f>
        <v/>
      </c>
    </row>
    <row r="512" spans="1:4">
      <c r="A512" s="3" t="str">
        <f>IF(AND(NOT(ISBLANK(E512)),E512&lt;&gt;"(blank)"),IFERROR(IF(INDEX(HostBuild[],MATCH(E512,HostBuild[Alias],0),COLUMN(HostBuild[Hostname]))&lt;&gt;0,INDEX(HostBuild[],MATCH(E512,HostBuild[Alias],0),COLUMN(HostBuild[Hostname])),""),""),"")</f>
        <v/>
      </c>
      <c r="B512" s="424" t="str">
        <f>IF(AND(NOT(ISBLANK(E512)),E512&lt;&gt;"(blank)"),IFERROR(IF(INDEX(HostBuild[],MATCH(E512,HostBuild[Alias],0),COLUMN(HostBuild[Status]))&lt;&gt;0,INDEX(HostBuild[],MATCH(E512,HostBuild[Alias],0),COLUMN(HostBuild[Status])),""),""),"")</f>
        <v/>
      </c>
      <c r="C512" s="425" t="str">
        <f>IF(AND(NOT(ISBLANK(E512)),E512&lt;&gt;"(blank)"),IFERROR(IF(INDEX(HostBuild[],MATCH(E512,HostBuild[Alias],0),COLUMN(HostBuild[CTI Target Completion]))&lt;&gt;0,INDEX(HostBuild[],MATCH(E512,HostBuild[Alias],0),COLUMN(HostBuild[CTI Target Completion])),""),""),"")</f>
        <v/>
      </c>
      <c r="D512" s="262" t="str">
        <f>IF(AND(NOT(ISBLANK(E512)),E512&lt;&gt;"(blank)"),IFERROR(IF(INDEX(HostBuild[],MATCH(E512,HostBuild[Alias],0),COLUMN(HostBuild[Description]))&lt;&gt;0,INDEX(HostBuild[],MATCH(E512,HostBuild[Alias],0),COLUMN(HostBuild[Description])),""),""),"")</f>
        <v/>
      </c>
    </row>
    <row r="513" spans="1:4">
      <c r="A513" s="3" t="str">
        <f>IF(AND(NOT(ISBLANK(E513)),E513&lt;&gt;"(blank)"),IFERROR(IF(INDEX(HostBuild[],MATCH(E513,HostBuild[Alias],0),COLUMN(HostBuild[Hostname]))&lt;&gt;0,INDEX(HostBuild[],MATCH(E513,HostBuild[Alias],0),COLUMN(HostBuild[Hostname])),""),""),"")</f>
        <v/>
      </c>
      <c r="B513" s="424" t="str">
        <f>IF(AND(NOT(ISBLANK(E513)),E513&lt;&gt;"(blank)"),IFERROR(IF(INDEX(HostBuild[],MATCH(E513,HostBuild[Alias],0),COLUMN(HostBuild[Status]))&lt;&gt;0,INDEX(HostBuild[],MATCH(E513,HostBuild[Alias],0),COLUMN(HostBuild[Status])),""),""),"")</f>
        <v/>
      </c>
      <c r="C513" s="425" t="str">
        <f>IF(AND(NOT(ISBLANK(E513)),E513&lt;&gt;"(blank)"),IFERROR(IF(INDEX(HostBuild[],MATCH(E513,HostBuild[Alias],0),COLUMN(HostBuild[CTI Target Completion]))&lt;&gt;0,INDEX(HostBuild[],MATCH(E513,HostBuild[Alias],0),COLUMN(HostBuild[CTI Target Completion])),""),""),"")</f>
        <v/>
      </c>
      <c r="D513" s="262" t="str">
        <f>IF(AND(NOT(ISBLANK(E513)),E513&lt;&gt;"(blank)"),IFERROR(IF(INDEX(HostBuild[],MATCH(E513,HostBuild[Alias],0),COLUMN(HostBuild[Description]))&lt;&gt;0,INDEX(HostBuild[],MATCH(E513,HostBuild[Alias],0),COLUMN(HostBuild[Description])),""),""),"")</f>
        <v/>
      </c>
    </row>
    <row r="514" spans="1:4">
      <c r="A514" s="3" t="str">
        <f>IF(AND(NOT(ISBLANK(E514)),E514&lt;&gt;"(blank)"),IFERROR(IF(INDEX(HostBuild[],MATCH(E514,HostBuild[Alias],0),COLUMN(HostBuild[Hostname]))&lt;&gt;0,INDEX(HostBuild[],MATCH(E514,HostBuild[Alias],0),COLUMN(HostBuild[Hostname])),""),""),"")</f>
        <v/>
      </c>
      <c r="B514" s="424" t="str">
        <f>IF(AND(NOT(ISBLANK(E514)),E514&lt;&gt;"(blank)"),IFERROR(IF(INDEX(HostBuild[],MATCH(E514,HostBuild[Alias],0),COLUMN(HostBuild[Status]))&lt;&gt;0,INDEX(HostBuild[],MATCH(E514,HostBuild[Alias],0),COLUMN(HostBuild[Status])),""),""),"")</f>
        <v/>
      </c>
      <c r="C514" s="425" t="str">
        <f>IF(AND(NOT(ISBLANK(E514)),E514&lt;&gt;"(blank)"),IFERROR(IF(INDEX(HostBuild[],MATCH(E514,HostBuild[Alias],0),COLUMN(HostBuild[CTI Target Completion]))&lt;&gt;0,INDEX(HostBuild[],MATCH(E514,HostBuild[Alias],0),COLUMN(HostBuild[CTI Target Completion])),""),""),"")</f>
        <v/>
      </c>
      <c r="D514" s="262" t="str">
        <f>IF(AND(NOT(ISBLANK(E514)),E514&lt;&gt;"(blank)"),IFERROR(IF(INDEX(HostBuild[],MATCH(E514,HostBuild[Alias],0),COLUMN(HostBuild[Description]))&lt;&gt;0,INDEX(HostBuild[],MATCH(E514,HostBuild[Alias],0),COLUMN(HostBuild[Description])),""),""),"")</f>
        <v/>
      </c>
    </row>
    <row r="515" spans="1:4">
      <c r="A515" s="3" t="str">
        <f>IF(AND(NOT(ISBLANK(E515)),E515&lt;&gt;"(blank)"),IFERROR(IF(INDEX(HostBuild[],MATCH(E515,HostBuild[Alias],0),COLUMN(HostBuild[Hostname]))&lt;&gt;0,INDEX(HostBuild[],MATCH(E515,HostBuild[Alias],0),COLUMN(HostBuild[Hostname])),""),""),"")</f>
        <v/>
      </c>
      <c r="B515" s="424" t="str">
        <f>IF(AND(NOT(ISBLANK(E515)),E515&lt;&gt;"(blank)"),IFERROR(IF(INDEX(HostBuild[],MATCH(E515,HostBuild[Alias],0),COLUMN(HostBuild[Status]))&lt;&gt;0,INDEX(HostBuild[],MATCH(E515,HostBuild[Alias],0),COLUMN(HostBuild[Status])),""),""),"")</f>
        <v/>
      </c>
      <c r="C515" s="425" t="str">
        <f>IF(AND(NOT(ISBLANK(E515)),E515&lt;&gt;"(blank)"),IFERROR(IF(INDEX(HostBuild[],MATCH(E515,HostBuild[Alias],0),COLUMN(HostBuild[CTI Target Completion]))&lt;&gt;0,INDEX(HostBuild[],MATCH(E515,HostBuild[Alias],0),COLUMN(HostBuild[CTI Target Completion])),""),""),"")</f>
        <v/>
      </c>
      <c r="D515" s="262" t="str">
        <f>IF(AND(NOT(ISBLANK(E515)),E515&lt;&gt;"(blank)"),IFERROR(IF(INDEX(HostBuild[],MATCH(E515,HostBuild[Alias],0),COLUMN(HostBuild[Description]))&lt;&gt;0,INDEX(HostBuild[],MATCH(E515,HostBuild[Alias],0),COLUMN(HostBuild[Description])),""),""),"")</f>
        <v/>
      </c>
    </row>
    <row r="516" spans="1:4">
      <c r="A516" s="3" t="str">
        <f>IF(AND(NOT(ISBLANK(E516)),E516&lt;&gt;"(blank)"),IFERROR(IF(INDEX(HostBuild[],MATCH(E516,HostBuild[Alias],0),COLUMN(HostBuild[Hostname]))&lt;&gt;0,INDEX(HostBuild[],MATCH(E516,HostBuild[Alias],0),COLUMN(HostBuild[Hostname])),""),""),"")</f>
        <v/>
      </c>
      <c r="B516" s="424" t="str">
        <f>IF(AND(NOT(ISBLANK(E516)),E516&lt;&gt;"(blank)"),IFERROR(IF(INDEX(HostBuild[],MATCH(E516,HostBuild[Alias],0),COLUMN(HostBuild[Status]))&lt;&gt;0,INDEX(HostBuild[],MATCH(E516,HostBuild[Alias],0),COLUMN(HostBuild[Status])),""),""),"")</f>
        <v/>
      </c>
      <c r="C516" s="425" t="str">
        <f>IF(AND(NOT(ISBLANK(E516)),E516&lt;&gt;"(blank)"),IFERROR(IF(INDEX(HostBuild[],MATCH(E516,HostBuild[Alias],0),COLUMN(HostBuild[CTI Target Completion]))&lt;&gt;0,INDEX(HostBuild[],MATCH(E516,HostBuild[Alias],0),COLUMN(HostBuild[CTI Target Completion])),""),""),"")</f>
        <v/>
      </c>
      <c r="D516" s="262" t="str">
        <f>IF(AND(NOT(ISBLANK(E516)),E516&lt;&gt;"(blank)"),IFERROR(IF(INDEX(HostBuild[],MATCH(E516,HostBuild[Alias],0),COLUMN(HostBuild[Description]))&lt;&gt;0,INDEX(HostBuild[],MATCH(E516,HostBuild[Alias],0),COLUMN(HostBuild[Description])),""),""),"")</f>
        <v/>
      </c>
    </row>
    <row r="517" spans="1:4">
      <c r="A517" s="3" t="str">
        <f>IF(AND(NOT(ISBLANK(E517)),E517&lt;&gt;"(blank)"),IFERROR(IF(INDEX(HostBuild[],MATCH(E517,HostBuild[Alias],0),COLUMN(HostBuild[Hostname]))&lt;&gt;0,INDEX(HostBuild[],MATCH(E517,HostBuild[Alias],0),COLUMN(HostBuild[Hostname])),""),""),"")</f>
        <v/>
      </c>
      <c r="B517" s="424" t="str">
        <f>IF(AND(NOT(ISBLANK(E517)),E517&lt;&gt;"(blank)"),IFERROR(IF(INDEX(HostBuild[],MATCH(E517,HostBuild[Alias],0),COLUMN(HostBuild[Status]))&lt;&gt;0,INDEX(HostBuild[],MATCH(E517,HostBuild[Alias],0),COLUMN(HostBuild[Status])),""),""),"")</f>
        <v/>
      </c>
      <c r="C517" s="425" t="str">
        <f>IF(AND(NOT(ISBLANK(E517)),E517&lt;&gt;"(blank)"),IFERROR(IF(INDEX(HostBuild[],MATCH(E517,HostBuild[Alias],0),COLUMN(HostBuild[CTI Target Completion]))&lt;&gt;0,INDEX(HostBuild[],MATCH(E517,HostBuild[Alias],0),COLUMN(HostBuild[CTI Target Completion])),""),""),"")</f>
        <v/>
      </c>
      <c r="D517" s="262" t="str">
        <f>IF(AND(NOT(ISBLANK(E517)),E517&lt;&gt;"(blank)"),IFERROR(IF(INDEX(HostBuild[],MATCH(E517,HostBuild[Alias],0),COLUMN(HostBuild[Description]))&lt;&gt;0,INDEX(HostBuild[],MATCH(E517,HostBuild[Alias],0),COLUMN(HostBuild[Description])),""),""),"")</f>
        <v/>
      </c>
    </row>
    <row r="518" spans="1:4">
      <c r="A518" s="3" t="str">
        <f>IF(AND(NOT(ISBLANK(E518)),E518&lt;&gt;"(blank)"),IFERROR(IF(INDEX(HostBuild[],MATCH(E518,HostBuild[Alias],0),COLUMN(HostBuild[Hostname]))&lt;&gt;0,INDEX(HostBuild[],MATCH(E518,HostBuild[Alias],0),COLUMN(HostBuild[Hostname])),""),""),"")</f>
        <v/>
      </c>
      <c r="B518" s="424" t="str">
        <f>IF(AND(NOT(ISBLANK(E518)),E518&lt;&gt;"(blank)"),IFERROR(IF(INDEX(HostBuild[],MATCH(E518,HostBuild[Alias],0),COLUMN(HostBuild[Status]))&lt;&gt;0,INDEX(HostBuild[],MATCH(E518,HostBuild[Alias],0),COLUMN(HostBuild[Status])),""),""),"")</f>
        <v/>
      </c>
      <c r="C518" s="425" t="str">
        <f>IF(AND(NOT(ISBLANK(E518)),E518&lt;&gt;"(blank)"),IFERROR(IF(INDEX(HostBuild[],MATCH(E518,HostBuild[Alias],0),COLUMN(HostBuild[CTI Target Completion]))&lt;&gt;0,INDEX(HostBuild[],MATCH(E518,HostBuild[Alias],0),COLUMN(HostBuild[CTI Target Completion])),""),""),"")</f>
        <v/>
      </c>
      <c r="D518" s="262" t="str">
        <f>IF(AND(NOT(ISBLANK(E518)),E518&lt;&gt;"(blank)"),IFERROR(IF(INDEX(HostBuild[],MATCH(E518,HostBuild[Alias],0),COLUMN(HostBuild[Description]))&lt;&gt;0,INDEX(HostBuild[],MATCH(E518,HostBuild[Alias],0),COLUMN(HostBuild[Description])),""),""),"")</f>
        <v/>
      </c>
    </row>
    <row r="519" spans="1:4">
      <c r="A519" s="3" t="str">
        <f>IF(AND(NOT(ISBLANK(E519)),E519&lt;&gt;"(blank)"),IFERROR(IF(INDEX(HostBuild[],MATCH(E519,HostBuild[Alias],0),COLUMN(HostBuild[Hostname]))&lt;&gt;0,INDEX(HostBuild[],MATCH(E519,HostBuild[Alias],0),COLUMN(HostBuild[Hostname])),""),""),"")</f>
        <v/>
      </c>
      <c r="B519" s="424" t="str">
        <f>IF(AND(NOT(ISBLANK(E519)),E519&lt;&gt;"(blank)"),IFERROR(IF(INDEX(HostBuild[],MATCH(E519,HostBuild[Alias],0),COLUMN(HostBuild[Status]))&lt;&gt;0,INDEX(HostBuild[],MATCH(E519,HostBuild[Alias],0),COLUMN(HostBuild[Status])),""),""),"")</f>
        <v/>
      </c>
      <c r="C519" s="425" t="str">
        <f>IF(AND(NOT(ISBLANK(E519)),E519&lt;&gt;"(blank)"),IFERROR(IF(INDEX(HostBuild[],MATCH(E519,HostBuild[Alias],0),COLUMN(HostBuild[CTI Target Completion]))&lt;&gt;0,INDEX(HostBuild[],MATCH(E519,HostBuild[Alias],0),COLUMN(HostBuild[CTI Target Completion])),""),""),"")</f>
        <v/>
      </c>
      <c r="D519" s="262" t="str">
        <f>IF(AND(NOT(ISBLANK(E519)),E519&lt;&gt;"(blank)"),IFERROR(IF(INDEX(HostBuild[],MATCH(E519,HostBuild[Alias],0),COLUMN(HostBuild[Description]))&lt;&gt;0,INDEX(HostBuild[],MATCH(E519,HostBuild[Alias],0),COLUMN(HostBuild[Description])),""),""),"")</f>
        <v/>
      </c>
    </row>
    <row r="520" spans="1:4">
      <c r="A520" s="3" t="str">
        <f>IF(AND(NOT(ISBLANK(E520)),E520&lt;&gt;"(blank)"),IFERROR(IF(INDEX(HostBuild[],MATCH(E520,HostBuild[Alias],0),COLUMN(HostBuild[Hostname]))&lt;&gt;0,INDEX(HostBuild[],MATCH(E520,HostBuild[Alias],0),COLUMN(HostBuild[Hostname])),""),""),"")</f>
        <v/>
      </c>
      <c r="B520" s="424" t="str">
        <f>IF(AND(NOT(ISBLANK(E520)),E520&lt;&gt;"(blank)"),IFERROR(IF(INDEX(HostBuild[],MATCH(E520,HostBuild[Alias],0),COLUMN(HostBuild[Status]))&lt;&gt;0,INDEX(HostBuild[],MATCH(E520,HostBuild[Alias],0),COLUMN(HostBuild[Status])),""),""),"")</f>
        <v/>
      </c>
      <c r="C520" s="425" t="str">
        <f>IF(AND(NOT(ISBLANK(E520)),E520&lt;&gt;"(blank)"),IFERROR(IF(INDEX(HostBuild[],MATCH(E520,HostBuild[Alias],0),COLUMN(HostBuild[CTI Target Completion]))&lt;&gt;0,INDEX(HostBuild[],MATCH(E520,HostBuild[Alias],0),COLUMN(HostBuild[CTI Target Completion])),""),""),"")</f>
        <v/>
      </c>
      <c r="D520" s="262" t="str">
        <f>IF(AND(NOT(ISBLANK(E520)),E520&lt;&gt;"(blank)"),IFERROR(IF(INDEX(HostBuild[],MATCH(E520,HostBuild[Alias],0),COLUMN(HostBuild[Description]))&lt;&gt;0,INDEX(HostBuild[],MATCH(E520,HostBuild[Alias],0),COLUMN(HostBuild[Description])),""),""),"")</f>
        <v/>
      </c>
    </row>
    <row r="521" spans="1:4">
      <c r="A521" s="3" t="str">
        <f>IF(AND(NOT(ISBLANK(E521)),E521&lt;&gt;"(blank)"),IFERROR(IF(INDEX(HostBuild[],MATCH(E521,HostBuild[Alias],0),COLUMN(HostBuild[Hostname]))&lt;&gt;0,INDEX(HostBuild[],MATCH(E521,HostBuild[Alias],0),COLUMN(HostBuild[Hostname])),""),""),"")</f>
        <v/>
      </c>
      <c r="B521" s="424" t="str">
        <f>IF(AND(NOT(ISBLANK(E521)),E521&lt;&gt;"(blank)"),IFERROR(IF(INDEX(HostBuild[],MATCH(E521,HostBuild[Alias],0),COLUMN(HostBuild[Status]))&lt;&gt;0,INDEX(HostBuild[],MATCH(E521,HostBuild[Alias],0),COLUMN(HostBuild[Status])),""),""),"")</f>
        <v/>
      </c>
      <c r="C521" s="425" t="str">
        <f>IF(AND(NOT(ISBLANK(E521)),E521&lt;&gt;"(blank)"),IFERROR(IF(INDEX(HostBuild[],MATCH(E521,HostBuild[Alias],0),COLUMN(HostBuild[CTI Target Completion]))&lt;&gt;0,INDEX(HostBuild[],MATCH(E521,HostBuild[Alias],0),COLUMN(HostBuild[CTI Target Completion])),""),""),"")</f>
        <v/>
      </c>
      <c r="D521" s="262" t="str">
        <f>IF(AND(NOT(ISBLANK(E521)),E521&lt;&gt;"(blank)"),IFERROR(IF(INDEX(HostBuild[],MATCH(E521,HostBuild[Alias],0),COLUMN(HostBuild[Description]))&lt;&gt;0,INDEX(HostBuild[],MATCH(E521,HostBuild[Alias],0),COLUMN(HostBuild[Description])),""),""),"")</f>
        <v/>
      </c>
    </row>
    <row r="522" spans="1:4">
      <c r="A522" s="3" t="str">
        <f>IF(AND(NOT(ISBLANK(E522)),E522&lt;&gt;"(blank)"),IFERROR(IF(INDEX(HostBuild[],MATCH(E522,HostBuild[Alias],0),COLUMN(HostBuild[Hostname]))&lt;&gt;0,INDEX(HostBuild[],MATCH(E522,HostBuild[Alias],0),COLUMN(HostBuild[Hostname])),""),""),"")</f>
        <v/>
      </c>
      <c r="B522" s="424" t="str">
        <f>IF(AND(NOT(ISBLANK(E522)),E522&lt;&gt;"(blank)"),IFERROR(IF(INDEX(HostBuild[],MATCH(E522,HostBuild[Alias],0),COLUMN(HostBuild[Status]))&lt;&gt;0,INDEX(HostBuild[],MATCH(E522,HostBuild[Alias],0),COLUMN(HostBuild[Status])),""),""),"")</f>
        <v/>
      </c>
      <c r="C522" s="425" t="str">
        <f>IF(AND(NOT(ISBLANK(E522)),E522&lt;&gt;"(blank)"),IFERROR(IF(INDEX(HostBuild[],MATCH(E522,HostBuild[Alias],0),COLUMN(HostBuild[CTI Target Completion]))&lt;&gt;0,INDEX(HostBuild[],MATCH(E522,HostBuild[Alias],0),COLUMN(HostBuild[CTI Target Completion])),""),""),"")</f>
        <v/>
      </c>
      <c r="D522" s="262" t="str">
        <f>IF(AND(NOT(ISBLANK(E522)),E522&lt;&gt;"(blank)"),IFERROR(IF(INDEX(HostBuild[],MATCH(E522,HostBuild[Alias],0),COLUMN(HostBuild[Description]))&lt;&gt;0,INDEX(HostBuild[],MATCH(E522,HostBuild[Alias],0),COLUMN(HostBuild[Description])),""),""),"")</f>
        <v/>
      </c>
    </row>
    <row r="523" spans="1:4">
      <c r="A523" s="3" t="str">
        <f>IF(AND(NOT(ISBLANK(E523)),E523&lt;&gt;"(blank)"),IFERROR(IF(INDEX(HostBuild[],MATCH(E523,HostBuild[Alias],0),COLUMN(HostBuild[Hostname]))&lt;&gt;0,INDEX(HostBuild[],MATCH(E523,HostBuild[Alias],0),COLUMN(HostBuild[Hostname])),""),""),"")</f>
        <v/>
      </c>
      <c r="B523" s="424" t="str">
        <f>IF(AND(NOT(ISBLANK(E523)),E523&lt;&gt;"(blank)"),IFERROR(IF(INDEX(HostBuild[],MATCH(E523,HostBuild[Alias],0),COLUMN(HostBuild[Status]))&lt;&gt;0,INDEX(HostBuild[],MATCH(E523,HostBuild[Alias],0),COLUMN(HostBuild[Status])),""),""),"")</f>
        <v/>
      </c>
      <c r="C523" s="425" t="str">
        <f>IF(AND(NOT(ISBLANK(E523)),E523&lt;&gt;"(blank)"),IFERROR(IF(INDEX(HostBuild[],MATCH(E523,HostBuild[Alias],0),COLUMN(HostBuild[CTI Target Completion]))&lt;&gt;0,INDEX(HostBuild[],MATCH(E523,HostBuild[Alias],0),COLUMN(HostBuild[CTI Target Completion])),""),""),"")</f>
        <v/>
      </c>
      <c r="D523" s="262" t="str">
        <f>IF(AND(NOT(ISBLANK(E523)),E523&lt;&gt;"(blank)"),IFERROR(IF(INDEX(HostBuild[],MATCH(E523,HostBuild[Alias],0),COLUMN(HostBuild[Description]))&lt;&gt;0,INDEX(HostBuild[],MATCH(E523,HostBuild[Alias],0),COLUMN(HostBuild[Description])),""),""),"")</f>
        <v/>
      </c>
    </row>
    <row r="524" spans="1:4">
      <c r="A524" s="3" t="str">
        <f>IF(AND(NOT(ISBLANK(E524)),E524&lt;&gt;"(blank)"),IFERROR(IF(INDEX(HostBuild[],MATCH(E524,HostBuild[Alias],0),COLUMN(HostBuild[Hostname]))&lt;&gt;0,INDEX(HostBuild[],MATCH(E524,HostBuild[Alias],0),COLUMN(HostBuild[Hostname])),""),""),"")</f>
        <v/>
      </c>
      <c r="B524" s="424" t="str">
        <f>IF(AND(NOT(ISBLANK(E524)),E524&lt;&gt;"(blank)"),IFERROR(IF(INDEX(HostBuild[],MATCH(E524,HostBuild[Alias],0),COLUMN(HostBuild[Status]))&lt;&gt;0,INDEX(HostBuild[],MATCH(E524,HostBuild[Alias],0),COLUMN(HostBuild[Status])),""),""),"")</f>
        <v/>
      </c>
      <c r="C524" s="425" t="str">
        <f>IF(AND(NOT(ISBLANK(E524)),E524&lt;&gt;"(blank)"),IFERROR(IF(INDEX(HostBuild[],MATCH(E524,HostBuild[Alias],0),COLUMN(HostBuild[CTI Target Completion]))&lt;&gt;0,INDEX(HostBuild[],MATCH(E524,HostBuild[Alias],0),COLUMN(HostBuild[CTI Target Completion])),""),""),"")</f>
        <v/>
      </c>
      <c r="D524" s="262" t="str">
        <f>IF(AND(NOT(ISBLANK(E524)),E524&lt;&gt;"(blank)"),IFERROR(IF(INDEX(HostBuild[],MATCH(E524,HostBuild[Alias],0),COLUMN(HostBuild[Description]))&lt;&gt;0,INDEX(HostBuild[],MATCH(E524,HostBuild[Alias],0),COLUMN(HostBuild[Description])),""),""),"")</f>
        <v/>
      </c>
    </row>
    <row r="525" spans="1:4">
      <c r="A525" s="3" t="str">
        <f>IF(AND(NOT(ISBLANK(E525)),E525&lt;&gt;"(blank)"),IFERROR(IF(INDEX(HostBuild[],MATCH(E525,HostBuild[Alias],0),COLUMN(HostBuild[Hostname]))&lt;&gt;0,INDEX(HostBuild[],MATCH(E525,HostBuild[Alias],0),COLUMN(HostBuild[Hostname])),""),""),"")</f>
        <v/>
      </c>
      <c r="B525" s="424" t="str">
        <f>IF(AND(NOT(ISBLANK(E525)),E525&lt;&gt;"(blank)"),IFERROR(IF(INDEX(HostBuild[],MATCH(E525,HostBuild[Alias],0),COLUMN(HostBuild[Status]))&lt;&gt;0,INDEX(HostBuild[],MATCH(E525,HostBuild[Alias],0),COLUMN(HostBuild[Status])),""),""),"")</f>
        <v/>
      </c>
      <c r="C525" s="425" t="str">
        <f>IF(AND(NOT(ISBLANK(E525)),E525&lt;&gt;"(blank)"),IFERROR(IF(INDEX(HostBuild[],MATCH(E525,HostBuild[Alias],0),COLUMN(HostBuild[CTI Target Completion]))&lt;&gt;0,INDEX(HostBuild[],MATCH(E525,HostBuild[Alias],0),COLUMN(HostBuild[CTI Target Completion])),""),""),"")</f>
        <v/>
      </c>
      <c r="D525" s="262" t="str">
        <f>IF(AND(NOT(ISBLANK(E525)),E525&lt;&gt;"(blank)"),IFERROR(IF(INDEX(HostBuild[],MATCH(E525,HostBuild[Alias],0),COLUMN(HostBuild[Description]))&lt;&gt;0,INDEX(HostBuild[],MATCH(E525,HostBuild[Alias],0),COLUMN(HostBuild[Description])),""),""),"")</f>
        <v/>
      </c>
    </row>
    <row r="526" spans="1:4">
      <c r="A526" s="3" t="str">
        <f>IF(AND(NOT(ISBLANK(E526)),E526&lt;&gt;"(blank)"),IFERROR(IF(INDEX(HostBuild[],MATCH(E526,HostBuild[Alias],0),COLUMN(HostBuild[Hostname]))&lt;&gt;0,INDEX(HostBuild[],MATCH(E526,HostBuild[Alias],0),COLUMN(HostBuild[Hostname])),""),""),"")</f>
        <v/>
      </c>
      <c r="B526" s="424" t="str">
        <f>IF(AND(NOT(ISBLANK(E526)),E526&lt;&gt;"(blank)"),IFERROR(IF(INDEX(HostBuild[],MATCH(E526,HostBuild[Alias],0),COLUMN(HostBuild[Status]))&lt;&gt;0,INDEX(HostBuild[],MATCH(E526,HostBuild[Alias],0),COLUMN(HostBuild[Status])),""),""),"")</f>
        <v/>
      </c>
      <c r="C526" s="425" t="str">
        <f>IF(AND(NOT(ISBLANK(E526)),E526&lt;&gt;"(blank)"),IFERROR(IF(INDEX(HostBuild[],MATCH(E526,HostBuild[Alias],0),COLUMN(HostBuild[CTI Target Completion]))&lt;&gt;0,INDEX(HostBuild[],MATCH(E526,HostBuild[Alias],0),COLUMN(HostBuild[CTI Target Completion])),""),""),"")</f>
        <v/>
      </c>
      <c r="D526" s="262" t="str">
        <f>IF(AND(NOT(ISBLANK(E526)),E526&lt;&gt;"(blank)"),IFERROR(IF(INDEX(HostBuild[],MATCH(E526,HostBuild[Alias],0),COLUMN(HostBuild[Description]))&lt;&gt;0,INDEX(HostBuild[],MATCH(E526,HostBuild[Alias],0),COLUMN(HostBuild[Description])),""),""),"")</f>
        <v/>
      </c>
    </row>
    <row r="527" spans="1:4">
      <c r="A527" s="3" t="str">
        <f>IF(AND(NOT(ISBLANK(E527)),E527&lt;&gt;"(blank)"),IFERROR(IF(INDEX(HostBuild[],MATCH(E527,HostBuild[Alias],0),COLUMN(HostBuild[Hostname]))&lt;&gt;0,INDEX(HostBuild[],MATCH(E527,HostBuild[Alias],0),COLUMN(HostBuild[Hostname])),""),""),"")</f>
        <v/>
      </c>
      <c r="B527" s="424" t="str">
        <f>IF(AND(NOT(ISBLANK(E527)),E527&lt;&gt;"(blank)"),IFERROR(IF(INDEX(HostBuild[],MATCH(E527,HostBuild[Alias],0),COLUMN(HostBuild[Status]))&lt;&gt;0,INDEX(HostBuild[],MATCH(E527,HostBuild[Alias],0),COLUMN(HostBuild[Status])),""),""),"")</f>
        <v/>
      </c>
      <c r="C527" s="425" t="str">
        <f>IF(AND(NOT(ISBLANK(E527)),E527&lt;&gt;"(blank)"),IFERROR(IF(INDEX(HostBuild[],MATCH(E527,HostBuild[Alias],0),COLUMN(HostBuild[CTI Target Completion]))&lt;&gt;0,INDEX(HostBuild[],MATCH(E527,HostBuild[Alias],0),COLUMN(HostBuild[CTI Target Completion])),""),""),"")</f>
        <v/>
      </c>
      <c r="D527" s="262" t="str">
        <f>IF(AND(NOT(ISBLANK(E527)),E527&lt;&gt;"(blank)"),IFERROR(IF(INDEX(HostBuild[],MATCH(E527,HostBuild[Alias],0),COLUMN(HostBuild[Description]))&lt;&gt;0,INDEX(HostBuild[],MATCH(E527,HostBuild[Alias],0),COLUMN(HostBuild[Description])),""),""),"")</f>
        <v/>
      </c>
    </row>
    <row r="528" spans="1:4">
      <c r="A528" s="3" t="str">
        <f>IF(AND(NOT(ISBLANK(E528)),E528&lt;&gt;"(blank)"),IFERROR(IF(INDEX(HostBuild[],MATCH(E528,HostBuild[Alias],0),COLUMN(HostBuild[Hostname]))&lt;&gt;0,INDEX(HostBuild[],MATCH(E528,HostBuild[Alias],0),COLUMN(HostBuild[Hostname])),""),""),"")</f>
        <v/>
      </c>
      <c r="B528" s="424" t="str">
        <f>IF(AND(NOT(ISBLANK(E528)),E528&lt;&gt;"(blank)"),IFERROR(IF(INDEX(HostBuild[],MATCH(E528,HostBuild[Alias],0),COLUMN(HostBuild[Status]))&lt;&gt;0,INDEX(HostBuild[],MATCH(E528,HostBuild[Alias],0),COLUMN(HostBuild[Status])),""),""),"")</f>
        <v/>
      </c>
      <c r="C528" s="425" t="str">
        <f>IF(AND(NOT(ISBLANK(E528)),E528&lt;&gt;"(blank)"),IFERROR(IF(INDEX(HostBuild[],MATCH(E528,HostBuild[Alias],0),COLUMN(HostBuild[CTI Target Completion]))&lt;&gt;0,INDEX(HostBuild[],MATCH(E528,HostBuild[Alias],0),COLUMN(HostBuild[CTI Target Completion])),""),""),"")</f>
        <v/>
      </c>
      <c r="D528" s="262" t="str">
        <f>IF(AND(NOT(ISBLANK(E528)),E528&lt;&gt;"(blank)"),IFERROR(IF(INDEX(HostBuild[],MATCH(E528,HostBuild[Alias],0),COLUMN(HostBuild[Description]))&lt;&gt;0,INDEX(HostBuild[],MATCH(E528,HostBuild[Alias],0),COLUMN(HostBuild[Description])),""),""),"")</f>
        <v/>
      </c>
    </row>
    <row r="529" spans="1:4">
      <c r="A529" s="3" t="str">
        <f>IF(AND(NOT(ISBLANK(E529)),E529&lt;&gt;"(blank)"),IFERROR(IF(INDEX(HostBuild[],MATCH(E529,HostBuild[Alias],0),COLUMN(HostBuild[Hostname]))&lt;&gt;0,INDEX(HostBuild[],MATCH(E529,HostBuild[Alias],0),COLUMN(HostBuild[Hostname])),""),""),"")</f>
        <v/>
      </c>
      <c r="B529" s="424" t="str">
        <f>IF(AND(NOT(ISBLANK(E529)),E529&lt;&gt;"(blank)"),IFERROR(IF(INDEX(HostBuild[],MATCH(E529,HostBuild[Alias],0),COLUMN(HostBuild[Status]))&lt;&gt;0,INDEX(HostBuild[],MATCH(E529,HostBuild[Alias],0),COLUMN(HostBuild[Status])),""),""),"")</f>
        <v/>
      </c>
      <c r="C529" s="425" t="str">
        <f>IF(AND(NOT(ISBLANK(E529)),E529&lt;&gt;"(blank)"),IFERROR(IF(INDEX(HostBuild[],MATCH(E529,HostBuild[Alias],0),COLUMN(HostBuild[CTI Target Completion]))&lt;&gt;0,INDEX(HostBuild[],MATCH(E529,HostBuild[Alias],0),COLUMN(HostBuild[CTI Target Completion])),""),""),"")</f>
        <v/>
      </c>
      <c r="D529" s="262" t="str">
        <f>IF(AND(NOT(ISBLANK(E529)),E529&lt;&gt;"(blank)"),IFERROR(IF(INDEX(HostBuild[],MATCH(E529,HostBuild[Alias],0),COLUMN(HostBuild[Description]))&lt;&gt;0,INDEX(HostBuild[],MATCH(E529,HostBuild[Alias],0),COLUMN(HostBuild[Description])),""),""),"")</f>
        <v/>
      </c>
    </row>
    <row r="530" spans="1:4">
      <c r="A530" s="3" t="str">
        <f>IF(AND(NOT(ISBLANK(E530)),E530&lt;&gt;"(blank)"),IFERROR(IF(INDEX(HostBuild[],MATCH(E530,HostBuild[Alias],0),COLUMN(HostBuild[Hostname]))&lt;&gt;0,INDEX(HostBuild[],MATCH(E530,HostBuild[Alias],0),COLUMN(HostBuild[Hostname])),""),""),"")</f>
        <v/>
      </c>
      <c r="B530" s="424" t="str">
        <f>IF(AND(NOT(ISBLANK(E530)),E530&lt;&gt;"(blank)"),IFERROR(IF(INDEX(HostBuild[],MATCH(E530,HostBuild[Alias],0),COLUMN(HostBuild[Status]))&lt;&gt;0,INDEX(HostBuild[],MATCH(E530,HostBuild[Alias],0),COLUMN(HostBuild[Status])),""),""),"")</f>
        <v/>
      </c>
      <c r="C530" s="425" t="str">
        <f>IF(AND(NOT(ISBLANK(E530)),E530&lt;&gt;"(blank)"),IFERROR(IF(INDEX(HostBuild[],MATCH(E530,HostBuild[Alias],0),COLUMN(HostBuild[CTI Target Completion]))&lt;&gt;0,INDEX(HostBuild[],MATCH(E530,HostBuild[Alias],0),COLUMN(HostBuild[CTI Target Completion])),""),""),"")</f>
        <v/>
      </c>
      <c r="D530" s="262" t="str">
        <f>IF(AND(NOT(ISBLANK(E530)),E530&lt;&gt;"(blank)"),IFERROR(IF(INDEX(HostBuild[],MATCH(E530,HostBuild[Alias],0),COLUMN(HostBuild[Description]))&lt;&gt;0,INDEX(HostBuild[],MATCH(E530,HostBuild[Alias],0),COLUMN(HostBuild[Description])),""),""),"")</f>
        <v/>
      </c>
    </row>
    <row r="531" spans="1:4">
      <c r="A531" s="3" t="str">
        <f>IF(AND(NOT(ISBLANK(E531)),E531&lt;&gt;"(blank)"),IFERROR(IF(INDEX(HostBuild[],MATCH(E531,HostBuild[Alias],0),COLUMN(HostBuild[Hostname]))&lt;&gt;0,INDEX(HostBuild[],MATCH(E531,HostBuild[Alias],0),COLUMN(HostBuild[Hostname])),""),""),"")</f>
        <v/>
      </c>
      <c r="B531" s="424" t="str">
        <f>IF(AND(NOT(ISBLANK(E531)),E531&lt;&gt;"(blank)"),IFERROR(IF(INDEX(HostBuild[],MATCH(E531,HostBuild[Alias],0),COLUMN(HostBuild[Status]))&lt;&gt;0,INDEX(HostBuild[],MATCH(E531,HostBuild[Alias],0),COLUMN(HostBuild[Status])),""),""),"")</f>
        <v/>
      </c>
      <c r="C531" s="425" t="str">
        <f>IF(AND(NOT(ISBLANK(E531)),E531&lt;&gt;"(blank)"),IFERROR(IF(INDEX(HostBuild[],MATCH(E531,HostBuild[Alias],0),COLUMN(HostBuild[CTI Target Completion]))&lt;&gt;0,INDEX(HostBuild[],MATCH(E531,HostBuild[Alias],0),COLUMN(HostBuild[CTI Target Completion])),""),""),"")</f>
        <v/>
      </c>
      <c r="D531" s="262" t="str">
        <f>IF(AND(NOT(ISBLANK(E531)),E531&lt;&gt;"(blank)"),IFERROR(IF(INDEX(HostBuild[],MATCH(E531,HostBuild[Alias],0),COLUMN(HostBuild[Description]))&lt;&gt;0,INDEX(HostBuild[],MATCH(E531,HostBuild[Alias],0),COLUMN(HostBuild[Description])),""),""),"")</f>
        <v/>
      </c>
    </row>
    <row r="532" spans="1:4">
      <c r="A532" s="3" t="str">
        <f>IF(AND(NOT(ISBLANK(E532)),E532&lt;&gt;"(blank)"),IFERROR(IF(INDEX(HostBuild[],MATCH(E532,HostBuild[Alias],0),COLUMN(HostBuild[Hostname]))&lt;&gt;0,INDEX(HostBuild[],MATCH(E532,HostBuild[Alias],0),COLUMN(HostBuild[Hostname])),""),""),"")</f>
        <v/>
      </c>
      <c r="B532" s="424" t="str">
        <f>IF(AND(NOT(ISBLANK(E532)),E532&lt;&gt;"(blank)"),IFERROR(IF(INDEX(HostBuild[],MATCH(E532,HostBuild[Alias],0),COLUMN(HostBuild[Status]))&lt;&gt;0,INDEX(HostBuild[],MATCH(E532,HostBuild[Alias],0),COLUMN(HostBuild[Status])),""),""),"")</f>
        <v/>
      </c>
      <c r="C532" s="425" t="str">
        <f>IF(AND(NOT(ISBLANK(E532)),E532&lt;&gt;"(blank)"),IFERROR(IF(INDEX(HostBuild[],MATCH(E532,HostBuild[Alias],0),COLUMN(HostBuild[CTI Target Completion]))&lt;&gt;0,INDEX(HostBuild[],MATCH(E532,HostBuild[Alias],0),COLUMN(HostBuild[CTI Target Completion])),""),""),"")</f>
        <v/>
      </c>
      <c r="D532" s="262" t="str">
        <f>IF(AND(NOT(ISBLANK(E532)),E532&lt;&gt;"(blank)"),IFERROR(IF(INDEX(HostBuild[],MATCH(E532,HostBuild[Alias],0),COLUMN(HostBuild[Description]))&lt;&gt;0,INDEX(HostBuild[],MATCH(E532,HostBuild[Alias],0),COLUMN(HostBuild[Description])),""),""),"")</f>
        <v/>
      </c>
    </row>
    <row r="533" spans="1:4">
      <c r="A533" s="3" t="str">
        <f>IF(AND(NOT(ISBLANK(E533)),E533&lt;&gt;"(blank)"),IFERROR(IF(INDEX(HostBuild[],MATCH(E533,HostBuild[Alias],0),COLUMN(HostBuild[Hostname]))&lt;&gt;0,INDEX(HostBuild[],MATCH(E533,HostBuild[Alias],0),COLUMN(HostBuild[Hostname])),""),""),"")</f>
        <v/>
      </c>
      <c r="B533" s="424" t="str">
        <f>IF(AND(NOT(ISBLANK(E533)),E533&lt;&gt;"(blank)"),IFERROR(IF(INDEX(HostBuild[],MATCH(E533,HostBuild[Alias],0),COLUMN(HostBuild[Status]))&lt;&gt;0,INDEX(HostBuild[],MATCH(E533,HostBuild[Alias],0),COLUMN(HostBuild[Status])),""),""),"")</f>
        <v/>
      </c>
      <c r="C533" s="425" t="str">
        <f>IF(AND(NOT(ISBLANK(E533)),E533&lt;&gt;"(blank)"),IFERROR(IF(INDEX(HostBuild[],MATCH(E533,HostBuild[Alias],0),COLUMN(HostBuild[CTI Target Completion]))&lt;&gt;0,INDEX(HostBuild[],MATCH(E533,HostBuild[Alias],0),COLUMN(HostBuild[CTI Target Completion])),""),""),"")</f>
        <v/>
      </c>
      <c r="D533" s="262" t="str">
        <f>IF(AND(NOT(ISBLANK(E533)),E533&lt;&gt;"(blank)"),IFERROR(IF(INDEX(HostBuild[],MATCH(E533,HostBuild[Alias],0),COLUMN(HostBuild[Description]))&lt;&gt;0,INDEX(HostBuild[],MATCH(E533,HostBuild[Alias],0),COLUMN(HostBuild[Description])),""),""),"")</f>
        <v/>
      </c>
    </row>
    <row r="534" spans="1:4">
      <c r="A534" s="3" t="str">
        <f>IF(AND(NOT(ISBLANK(E534)),E534&lt;&gt;"(blank)"),IFERROR(IF(INDEX(HostBuild[],MATCH(E534,HostBuild[Alias],0),COLUMN(HostBuild[Hostname]))&lt;&gt;0,INDEX(HostBuild[],MATCH(E534,HostBuild[Alias],0),COLUMN(HostBuild[Hostname])),""),""),"")</f>
        <v/>
      </c>
      <c r="B534" s="424" t="str">
        <f>IF(AND(NOT(ISBLANK(E534)),E534&lt;&gt;"(blank)"),IFERROR(IF(INDEX(HostBuild[],MATCH(E534,HostBuild[Alias],0),COLUMN(HostBuild[Status]))&lt;&gt;0,INDEX(HostBuild[],MATCH(E534,HostBuild[Alias],0),COLUMN(HostBuild[Status])),""),""),"")</f>
        <v/>
      </c>
      <c r="C534" s="425" t="str">
        <f>IF(AND(NOT(ISBLANK(E534)),E534&lt;&gt;"(blank)"),IFERROR(IF(INDEX(HostBuild[],MATCH(E534,HostBuild[Alias],0),COLUMN(HostBuild[CTI Target Completion]))&lt;&gt;0,INDEX(HostBuild[],MATCH(E534,HostBuild[Alias],0),COLUMN(HostBuild[CTI Target Completion])),""),""),"")</f>
        <v/>
      </c>
      <c r="D534" s="262" t="str">
        <f>IF(AND(NOT(ISBLANK(E534)),E534&lt;&gt;"(blank)"),IFERROR(IF(INDEX(HostBuild[],MATCH(E534,HostBuild[Alias],0),COLUMN(HostBuild[Description]))&lt;&gt;0,INDEX(HostBuild[],MATCH(E534,HostBuild[Alias],0),COLUMN(HostBuild[Description])),""),""),"")</f>
        <v/>
      </c>
    </row>
    <row r="535" spans="1:4">
      <c r="A535" s="3" t="str">
        <f>IF(AND(NOT(ISBLANK(E535)),E535&lt;&gt;"(blank)"),IFERROR(IF(INDEX(HostBuild[],MATCH(E535,HostBuild[Alias],0),COLUMN(HostBuild[Hostname]))&lt;&gt;0,INDEX(HostBuild[],MATCH(E535,HostBuild[Alias],0),COLUMN(HostBuild[Hostname])),""),""),"")</f>
        <v/>
      </c>
      <c r="B535" s="424" t="str">
        <f>IF(AND(NOT(ISBLANK(E535)),E535&lt;&gt;"(blank)"),IFERROR(IF(INDEX(HostBuild[],MATCH(E535,HostBuild[Alias],0),COLUMN(HostBuild[Status]))&lt;&gt;0,INDEX(HostBuild[],MATCH(E535,HostBuild[Alias],0),COLUMN(HostBuild[Status])),""),""),"")</f>
        <v/>
      </c>
      <c r="C535" s="425" t="str">
        <f>IF(AND(NOT(ISBLANK(E535)),E535&lt;&gt;"(blank)"),IFERROR(IF(INDEX(HostBuild[],MATCH(E535,HostBuild[Alias],0),COLUMN(HostBuild[CTI Target Completion]))&lt;&gt;0,INDEX(HostBuild[],MATCH(E535,HostBuild[Alias],0),COLUMN(HostBuild[CTI Target Completion])),""),""),"")</f>
        <v/>
      </c>
      <c r="D535" s="262" t="str">
        <f>IF(AND(NOT(ISBLANK(E535)),E535&lt;&gt;"(blank)"),IFERROR(IF(INDEX(HostBuild[],MATCH(E535,HostBuild[Alias],0),COLUMN(HostBuild[Description]))&lt;&gt;0,INDEX(HostBuild[],MATCH(E535,HostBuild[Alias],0),COLUMN(HostBuild[Description])),""),""),"")</f>
        <v/>
      </c>
    </row>
    <row r="536" spans="1:4">
      <c r="A536" s="3" t="str">
        <f>IF(AND(NOT(ISBLANK(E536)),E536&lt;&gt;"(blank)"),IFERROR(IF(INDEX(HostBuild[],MATCH(E536,HostBuild[Alias],0),COLUMN(HostBuild[Hostname]))&lt;&gt;0,INDEX(HostBuild[],MATCH(E536,HostBuild[Alias],0),COLUMN(HostBuild[Hostname])),""),""),"")</f>
        <v/>
      </c>
      <c r="B536" s="424" t="str">
        <f>IF(AND(NOT(ISBLANK(E536)),E536&lt;&gt;"(blank)"),IFERROR(IF(INDEX(HostBuild[],MATCH(E536,HostBuild[Alias],0),COLUMN(HostBuild[Status]))&lt;&gt;0,INDEX(HostBuild[],MATCH(E536,HostBuild[Alias],0),COLUMN(HostBuild[Status])),""),""),"")</f>
        <v/>
      </c>
      <c r="C536" s="425" t="str">
        <f>IF(AND(NOT(ISBLANK(E536)),E536&lt;&gt;"(blank)"),IFERROR(IF(INDEX(HostBuild[],MATCH(E536,HostBuild[Alias],0),COLUMN(HostBuild[CTI Target Completion]))&lt;&gt;0,INDEX(HostBuild[],MATCH(E536,HostBuild[Alias],0),COLUMN(HostBuild[CTI Target Completion])),""),""),"")</f>
        <v/>
      </c>
      <c r="D536" s="262" t="str">
        <f>IF(AND(NOT(ISBLANK(E536)),E536&lt;&gt;"(blank)"),IFERROR(IF(INDEX(HostBuild[],MATCH(E536,HostBuild[Alias],0),COLUMN(HostBuild[Description]))&lt;&gt;0,INDEX(HostBuild[],MATCH(E536,HostBuild[Alias],0),COLUMN(HostBuild[Description])),""),""),"")</f>
        <v/>
      </c>
    </row>
    <row r="537" spans="1:4">
      <c r="A537" s="3" t="str">
        <f>IF(AND(NOT(ISBLANK(E537)),E537&lt;&gt;"(blank)"),IFERROR(IF(INDEX(HostBuild[],MATCH(E537,HostBuild[Alias],0),COLUMN(HostBuild[Hostname]))&lt;&gt;0,INDEX(HostBuild[],MATCH(E537,HostBuild[Alias],0),COLUMN(HostBuild[Hostname])),""),""),"")</f>
        <v/>
      </c>
      <c r="B537" s="424" t="str">
        <f>IF(AND(NOT(ISBLANK(E537)),E537&lt;&gt;"(blank)"),IFERROR(IF(INDEX(HostBuild[],MATCH(E537,HostBuild[Alias],0),COLUMN(HostBuild[Status]))&lt;&gt;0,INDEX(HostBuild[],MATCH(E537,HostBuild[Alias],0),COLUMN(HostBuild[Status])),""),""),"")</f>
        <v/>
      </c>
      <c r="C537" s="425" t="str">
        <f>IF(AND(NOT(ISBLANK(E537)),E537&lt;&gt;"(blank)"),IFERROR(IF(INDEX(HostBuild[],MATCH(E537,HostBuild[Alias],0),COLUMN(HostBuild[CTI Target Completion]))&lt;&gt;0,INDEX(HostBuild[],MATCH(E537,HostBuild[Alias],0),COLUMN(HostBuild[CTI Target Completion])),""),""),"")</f>
        <v/>
      </c>
      <c r="D537" s="262" t="str">
        <f>IF(AND(NOT(ISBLANK(E537)),E537&lt;&gt;"(blank)"),IFERROR(IF(INDEX(HostBuild[],MATCH(E537,HostBuild[Alias],0),COLUMN(HostBuild[Description]))&lt;&gt;0,INDEX(HostBuild[],MATCH(E537,HostBuild[Alias],0),COLUMN(HostBuild[Description])),""),""),"")</f>
        <v/>
      </c>
    </row>
    <row r="538" spans="1:4">
      <c r="A538" s="3" t="str">
        <f>IF(AND(NOT(ISBLANK(E538)),E538&lt;&gt;"(blank)"),IFERROR(IF(INDEX(HostBuild[],MATCH(E538,HostBuild[Alias],0),COLUMN(HostBuild[Hostname]))&lt;&gt;0,INDEX(HostBuild[],MATCH(E538,HostBuild[Alias],0),COLUMN(HostBuild[Hostname])),""),""),"")</f>
        <v/>
      </c>
      <c r="B538" s="424" t="str">
        <f>IF(AND(NOT(ISBLANK(E538)),E538&lt;&gt;"(blank)"),IFERROR(IF(INDEX(HostBuild[],MATCH(E538,HostBuild[Alias],0),COLUMN(HostBuild[Status]))&lt;&gt;0,INDEX(HostBuild[],MATCH(E538,HostBuild[Alias],0),COLUMN(HostBuild[Status])),""),""),"")</f>
        <v/>
      </c>
      <c r="C538" s="425" t="str">
        <f>IF(AND(NOT(ISBLANK(E538)),E538&lt;&gt;"(blank)"),IFERROR(IF(INDEX(HostBuild[],MATCH(E538,HostBuild[Alias],0),COLUMN(HostBuild[CTI Target Completion]))&lt;&gt;0,INDEX(HostBuild[],MATCH(E538,HostBuild[Alias],0),COLUMN(HostBuild[CTI Target Completion])),""),""),"")</f>
        <v/>
      </c>
      <c r="D538" s="262" t="str">
        <f>IF(AND(NOT(ISBLANK(E538)),E538&lt;&gt;"(blank)"),IFERROR(IF(INDEX(HostBuild[],MATCH(E538,HostBuild[Alias],0),COLUMN(HostBuild[Description]))&lt;&gt;0,INDEX(HostBuild[],MATCH(E538,HostBuild[Alias],0),COLUMN(HostBuild[Description])),""),""),"")</f>
        <v/>
      </c>
    </row>
    <row r="539" spans="1:4">
      <c r="A539" s="3" t="str">
        <f>IF(AND(NOT(ISBLANK(E539)),E539&lt;&gt;"(blank)"),IFERROR(IF(INDEX(HostBuild[],MATCH(E539,HostBuild[Alias],0),COLUMN(HostBuild[Hostname]))&lt;&gt;0,INDEX(HostBuild[],MATCH(E539,HostBuild[Alias],0),COLUMN(HostBuild[Hostname])),""),""),"")</f>
        <v/>
      </c>
      <c r="B539" s="424" t="str">
        <f>IF(AND(NOT(ISBLANK(E539)),E539&lt;&gt;"(blank)"),IFERROR(IF(INDEX(HostBuild[],MATCH(E539,HostBuild[Alias],0),COLUMN(HostBuild[Status]))&lt;&gt;0,INDEX(HostBuild[],MATCH(E539,HostBuild[Alias],0),COLUMN(HostBuild[Status])),""),""),"")</f>
        <v/>
      </c>
      <c r="C539" s="425" t="str">
        <f>IF(AND(NOT(ISBLANK(E539)),E539&lt;&gt;"(blank)"),IFERROR(IF(INDEX(HostBuild[],MATCH(E539,HostBuild[Alias],0),COLUMN(HostBuild[CTI Target Completion]))&lt;&gt;0,INDEX(HostBuild[],MATCH(E539,HostBuild[Alias],0),COLUMN(HostBuild[CTI Target Completion])),""),""),"")</f>
        <v/>
      </c>
      <c r="D539" s="262" t="str">
        <f>IF(AND(NOT(ISBLANK(E539)),E539&lt;&gt;"(blank)"),IFERROR(IF(INDEX(HostBuild[],MATCH(E539,HostBuild[Alias],0),COLUMN(HostBuild[Description]))&lt;&gt;0,INDEX(HostBuild[],MATCH(E539,HostBuild[Alias],0),COLUMN(HostBuild[Description])),""),""),"")</f>
        <v/>
      </c>
    </row>
    <row r="540" spans="1:4">
      <c r="A540" s="3" t="str">
        <f>IF(AND(NOT(ISBLANK(E540)),E540&lt;&gt;"(blank)"),IFERROR(IF(INDEX(HostBuild[],MATCH(E540,HostBuild[Alias],0),COLUMN(HostBuild[Hostname]))&lt;&gt;0,INDEX(HostBuild[],MATCH(E540,HostBuild[Alias],0),COLUMN(HostBuild[Hostname])),""),""),"")</f>
        <v/>
      </c>
      <c r="B540" s="424" t="str">
        <f>IF(AND(NOT(ISBLANK(E540)),E540&lt;&gt;"(blank)"),IFERROR(IF(INDEX(HostBuild[],MATCH(E540,HostBuild[Alias],0),COLUMN(HostBuild[Status]))&lt;&gt;0,INDEX(HostBuild[],MATCH(E540,HostBuild[Alias],0),COLUMN(HostBuild[Status])),""),""),"")</f>
        <v/>
      </c>
      <c r="C540" s="425" t="str">
        <f>IF(AND(NOT(ISBLANK(E540)),E540&lt;&gt;"(blank)"),IFERROR(IF(INDEX(HostBuild[],MATCH(E540,HostBuild[Alias],0),COLUMN(HostBuild[CTI Target Completion]))&lt;&gt;0,INDEX(HostBuild[],MATCH(E540,HostBuild[Alias],0),COLUMN(HostBuild[CTI Target Completion])),""),""),"")</f>
        <v/>
      </c>
      <c r="D540" s="262" t="str">
        <f>IF(AND(NOT(ISBLANK(E540)),E540&lt;&gt;"(blank)"),IFERROR(IF(INDEX(HostBuild[],MATCH(E540,HostBuild[Alias],0),COLUMN(HostBuild[Description]))&lt;&gt;0,INDEX(HostBuild[],MATCH(E540,HostBuild[Alias],0),COLUMN(HostBuild[Description])),""),""),"")</f>
        <v/>
      </c>
    </row>
    <row r="541" spans="1:4">
      <c r="A541" s="3" t="str">
        <f>IF(AND(NOT(ISBLANK(E541)),E541&lt;&gt;"(blank)"),IFERROR(IF(INDEX(HostBuild[],MATCH(E541,HostBuild[Alias],0),COLUMN(HostBuild[Hostname]))&lt;&gt;0,INDEX(HostBuild[],MATCH(E541,HostBuild[Alias],0),COLUMN(HostBuild[Hostname])),""),""),"")</f>
        <v/>
      </c>
      <c r="B541" s="424" t="str">
        <f>IF(AND(NOT(ISBLANK(E541)),E541&lt;&gt;"(blank)"),IFERROR(IF(INDEX(HostBuild[],MATCH(E541,HostBuild[Alias],0),COLUMN(HostBuild[Status]))&lt;&gt;0,INDEX(HostBuild[],MATCH(E541,HostBuild[Alias],0),COLUMN(HostBuild[Status])),""),""),"")</f>
        <v/>
      </c>
      <c r="C541" s="425" t="str">
        <f>IF(AND(NOT(ISBLANK(E541)),E541&lt;&gt;"(blank)"),IFERROR(IF(INDEX(HostBuild[],MATCH(E541,HostBuild[Alias],0),COLUMN(HostBuild[CTI Target Completion]))&lt;&gt;0,INDEX(HostBuild[],MATCH(E541,HostBuild[Alias],0),COLUMN(HostBuild[CTI Target Completion])),""),""),"")</f>
        <v/>
      </c>
      <c r="D541" s="262" t="str">
        <f>IF(AND(NOT(ISBLANK(E541)),E541&lt;&gt;"(blank)"),IFERROR(IF(INDEX(HostBuild[],MATCH(E541,HostBuild[Alias],0),COLUMN(HostBuild[Description]))&lt;&gt;0,INDEX(HostBuild[],MATCH(E541,HostBuild[Alias],0),COLUMN(HostBuild[Description])),""),""),"")</f>
        <v/>
      </c>
    </row>
    <row r="542" spans="1:4">
      <c r="A542" s="3" t="str">
        <f>IF(AND(NOT(ISBLANK(E542)),E542&lt;&gt;"(blank)"),IFERROR(IF(INDEX(HostBuild[],MATCH(E542,HostBuild[Alias],0),COLUMN(HostBuild[Hostname]))&lt;&gt;0,INDEX(HostBuild[],MATCH(E542,HostBuild[Alias],0),COLUMN(HostBuild[Hostname])),""),""),"")</f>
        <v/>
      </c>
      <c r="B542" s="424" t="str">
        <f>IF(AND(NOT(ISBLANK(E542)),E542&lt;&gt;"(blank)"),IFERROR(IF(INDEX(HostBuild[],MATCH(E542,HostBuild[Alias],0),COLUMN(HostBuild[Status]))&lt;&gt;0,INDEX(HostBuild[],MATCH(E542,HostBuild[Alias],0),COLUMN(HostBuild[Status])),""),""),"")</f>
        <v/>
      </c>
      <c r="C542" s="425" t="str">
        <f>IF(AND(NOT(ISBLANK(E542)),E542&lt;&gt;"(blank)"),IFERROR(IF(INDEX(HostBuild[],MATCH(E542,HostBuild[Alias],0),COLUMN(HostBuild[CTI Target Completion]))&lt;&gt;0,INDEX(HostBuild[],MATCH(E542,HostBuild[Alias],0),COLUMN(HostBuild[CTI Target Completion])),""),""),"")</f>
        <v/>
      </c>
      <c r="D542" s="262" t="str">
        <f>IF(AND(NOT(ISBLANK(E542)),E542&lt;&gt;"(blank)"),IFERROR(IF(INDEX(HostBuild[],MATCH(E542,HostBuild[Alias],0),COLUMN(HostBuild[Description]))&lt;&gt;0,INDEX(HostBuild[],MATCH(E542,HostBuild[Alias],0),COLUMN(HostBuild[Description])),""),""),"")</f>
        <v/>
      </c>
    </row>
    <row r="543" spans="1:4">
      <c r="A543" s="3" t="str">
        <f>IF(AND(NOT(ISBLANK(E543)),E543&lt;&gt;"(blank)"),IFERROR(IF(INDEX(HostBuild[],MATCH(E543,HostBuild[Alias],0),COLUMN(HostBuild[Hostname]))&lt;&gt;0,INDEX(HostBuild[],MATCH(E543,HostBuild[Alias],0),COLUMN(HostBuild[Hostname])),""),""),"")</f>
        <v/>
      </c>
      <c r="B543" s="424" t="str">
        <f>IF(AND(NOT(ISBLANK(E543)),E543&lt;&gt;"(blank)"),IFERROR(IF(INDEX(HostBuild[],MATCH(E543,HostBuild[Alias],0),COLUMN(HostBuild[Status]))&lt;&gt;0,INDEX(HostBuild[],MATCH(E543,HostBuild[Alias],0),COLUMN(HostBuild[Status])),""),""),"")</f>
        <v/>
      </c>
      <c r="C543" s="425" t="str">
        <f>IF(AND(NOT(ISBLANK(E543)),E543&lt;&gt;"(blank)"),IFERROR(IF(INDEX(HostBuild[],MATCH(E543,HostBuild[Alias],0),COLUMN(HostBuild[CTI Target Completion]))&lt;&gt;0,INDEX(HostBuild[],MATCH(E543,HostBuild[Alias],0),COLUMN(HostBuild[CTI Target Completion])),""),""),"")</f>
        <v/>
      </c>
      <c r="D543" s="262" t="str">
        <f>IF(AND(NOT(ISBLANK(E543)),E543&lt;&gt;"(blank)"),IFERROR(IF(INDEX(HostBuild[],MATCH(E543,HostBuild[Alias],0),COLUMN(HostBuild[Description]))&lt;&gt;0,INDEX(HostBuild[],MATCH(E543,HostBuild[Alias],0),COLUMN(HostBuild[Description])),""),""),"")</f>
        <v/>
      </c>
    </row>
    <row r="544" spans="1:4">
      <c r="A544" s="3" t="str">
        <f>IF(AND(NOT(ISBLANK(E544)),E544&lt;&gt;"(blank)"),IFERROR(IF(INDEX(HostBuild[],MATCH(E544,HostBuild[Alias],0),COLUMN(HostBuild[Hostname]))&lt;&gt;0,INDEX(HostBuild[],MATCH(E544,HostBuild[Alias],0),COLUMN(HostBuild[Hostname])),""),""),"")</f>
        <v/>
      </c>
      <c r="B544" s="424" t="str">
        <f>IF(AND(NOT(ISBLANK(E544)),E544&lt;&gt;"(blank)"),IFERROR(IF(INDEX(HostBuild[],MATCH(E544,HostBuild[Alias],0),COLUMN(HostBuild[Status]))&lt;&gt;0,INDEX(HostBuild[],MATCH(E544,HostBuild[Alias],0),COLUMN(HostBuild[Status])),""),""),"")</f>
        <v/>
      </c>
      <c r="C544" s="425" t="str">
        <f>IF(AND(NOT(ISBLANK(E544)),E544&lt;&gt;"(blank)"),IFERROR(IF(INDEX(HostBuild[],MATCH(E544,HostBuild[Alias],0),COLUMN(HostBuild[CTI Target Completion]))&lt;&gt;0,INDEX(HostBuild[],MATCH(E544,HostBuild[Alias],0),COLUMN(HostBuild[CTI Target Completion])),""),""),"")</f>
        <v/>
      </c>
      <c r="D544" s="262" t="str">
        <f>IF(AND(NOT(ISBLANK(E544)),E544&lt;&gt;"(blank)"),IFERROR(IF(INDEX(HostBuild[],MATCH(E544,HostBuild[Alias],0),COLUMN(HostBuild[Description]))&lt;&gt;0,INDEX(HostBuild[],MATCH(E544,HostBuild[Alias],0),COLUMN(HostBuild[Description])),""),""),"")</f>
        <v/>
      </c>
    </row>
    <row r="545" spans="1:4">
      <c r="A545" s="3" t="str">
        <f>IF(AND(NOT(ISBLANK(E545)),E545&lt;&gt;"(blank)"),IFERROR(IF(INDEX(HostBuild[],MATCH(E545,HostBuild[Alias],0),COLUMN(HostBuild[Hostname]))&lt;&gt;0,INDEX(HostBuild[],MATCH(E545,HostBuild[Alias],0),COLUMN(HostBuild[Hostname])),""),""),"")</f>
        <v/>
      </c>
      <c r="B545" s="424" t="str">
        <f>IF(AND(NOT(ISBLANK(E545)),E545&lt;&gt;"(blank)"),IFERROR(IF(INDEX(HostBuild[],MATCH(E545,HostBuild[Alias],0),COLUMN(HostBuild[Status]))&lt;&gt;0,INDEX(HostBuild[],MATCH(E545,HostBuild[Alias],0),COLUMN(HostBuild[Status])),""),""),"")</f>
        <v/>
      </c>
      <c r="C545" s="425" t="str">
        <f>IF(AND(NOT(ISBLANK(E545)),E545&lt;&gt;"(blank)"),IFERROR(IF(INDEX(HostBuild[],MATCH(E545,HostBuild[Alias],0),COLUMN(HostBuild[CTI Target Completion]))&lt;&gt;0,INDEX(HostBuild[],MATCH(E545,HostBuild[Alias],0),COLUMN(HostBuild[CTI Target Completion])),""),""),"")</f>
        <v/>
      </c>
      <c r="D545" s="262" t="str">
        <f>IF(AND(NOT(ISBLANK(E545)),E545&lt;&gt;"(blank)"),IFERROR(IF(INDEX(HostBuild[],MATCH(E545,HostBuild[Alias],0),COLUMN(HostBuild[Description]))&lt;&gt;0,INDEX(HostBuild[],MATCH(E545,HostBuild[Alias],0),COLUMN(HostBuild[Description])),""),""),"")</f>
        <v/>
      </c>
    </row>
    <row r="546" spans="1:4">
      <c r="A546" s="3" t="str">
        <f>IF(AND(NOT(ISBLANK(E546)),E546&lt;&gt;"(blank)"),IFERROR(IF(INDEX(HostBuild[],MATCH(E546,HostBuild[Alias],0),COLUMN(HostBuild[Hostname]))&lt;&gt;0,INDEX(HostBuild[],MATCH(E546,HostBuild[Alias],0),COLUMN(HostBuild[Hostname])),""),""),"")</f>
        <v/>
      </c>
      <c r="B546" s="424" t="str">
        <f>IF(AND(NOT(ISBLANK(E546)),E546&lt;&gt;"(blank)"),IFERROR(IF(INDEX(HostBuild[],MATCH(E546,HostBuild[Alias],0),COLUMN(HostBuild[Status]))&lt;&gt;0,INDEX(HostBuild[],MATCH(E546,HostBuild[Alias],0),COLUMN(HostBuild[Status])),""),""),"")</f>
        <v/>
      </c>
      <c r="C546" s="425" t="str">
        <f>IF(AND(NOT(ISBLANK(E546)),E546&lt;&gt;"(blank)"),IFERROR(IF(INDEX(HostBuild[],MATCH(E546,HostBuild[Alias],0),COLUMN(HostBuild[CTI Target Completion]))&lt;&gt;0,INDEX(HostBuild[],MATCH(E546,HostBuild[Alias],0),COLUMN(HostBuild[CTI Target Completion])),""),""),"")</f>
        <v/>
      </c>
      <c r="D546" s="262" t="str">
        <f>IF(AND(NOT(ISBLANK(E546)),E546&lt;&gt;"(blank)"),IFERROR(IF(INDEX(HostBuild[],MATCH(E546,HostBuild[Alias],0),COLUMN(HostBuild[Description]))&lt;&gt;0,INDEX(HostBuild[],MATCH(E546,HostBuild[Alias],0),COLUMN(HostBuild[Description])),""),""),"")</f>
        <v/>
      </c>
    </row>
    <row r="547" spans="1:4">
      <c r="A547" s="3" t="str">
        <f>IF(AND(NOT(ISBLANK(E547)),E547&lt;&gt;"(blank)"),IFERROR(IF(INDEX(HostBuild[],MATCH(E547,HostBuild[Alias],0),COLUMN(HostBuild[Hostname]))&lt;&gt;0,INDEX(HostBuild[],MATCH(E547,HostBuild[Alias],0),COLUMN(HostBuild[Hostname])),""),""),"")</f>
        <v/>
      </c>
      <c r="B547" s="424" t="str">
        <f>IF(AND(NOT(ISBLANK(E547)),E547&lt;&gt;"(blank)"),IFERROR(IF(INDEX(HostBuild[],MATCH(E547,HostBuild[Alias],0),COLUMN(HostBuild[Status]))&lt;&gt;0,INDEX(HostBuild[],MATCH(E547,HostBuild[Alias],0),COLUMN(HostBuild[Status])),""),""),"")</f>
        <v/>
      </c>
      <c r="C547" s="425" t="str">
        <f>IF(AND(NOT(ISBLANK(E547)),E547&lt;&gt;"(blank)"),IFERROR(IF(INDEX(HostBuild[],MATCH(E547,HostBuild[Alias],0),COLUMN(HostBuild[CTI Target Completion]))&lt;&gt;0,INDEX(HostBuild[],MATCH(E547,HostBuild[Alias],0),COLUMN(HostBuild[CTI Target Completion])),""),""),"")</f>
        <v/>
      </c>
      <c r="D547" s="262" t="str">
        <f>IF(AND(NOT(ISBLANK(E547)),E547&lt;&gt;"(blank)"),IFERROR(IF(INDEX(HostBuild[],MATCH(E547,HostBuild[Alias],0),COLUMN(HostBuild[Description]))&lt;&gt;0,INDEX(HostBuild[],MATCH(E547,HostBuild[Alias],0),COLUMN(HostBuild[Description])),""),""),"")</f>
        <v/>
      </c>
    </row>
    <row r="548" spans="1:4">
      <c r="A548" s="3" t="str">
        <f>IF(AND(NOT(ISBLANK(E548)),E548&lt;&gt;"(blank)"),IFERROR(IF(INDEX(HostBuild[],MATCH(E548,HostBuild[Alias],0),COLUMN(HostBuild[Hostname]))&lt;&gt;0,INDEX(HostBuild[],MATCH(E548,HostBuild[Alias],0),COLUMN(HostBuild[Hostname])),""),""),"")</f>
        <v/>
      </c>
      <c r="B548" s="424" t="str">
        <f>IF(AND(NOT(ISBLANK(E548)),E548&lt;&gt;"(blank)"),IFERROR(IF(INDEX(HostBuild[],MATCH(E548,HostBuild[Alias],0),COLUMN(HostBuild[Status]))&lt;&gt;0,INDEX(HostBuild[],MATCH(E548,HostBuild[Alias],0),COLUMN(HostBuild[Status])),""),""),"")</f>
        <v/>
      </c>
      <c r="C548" s="425" t="str">
        <f>IF(AND(NOT(ISBLANK(E548)),E548&lt;&gt;"(blank)"),IFERROR(IF(INDEX(HostBuild[],MATCH(E548,HostBuild[Alias],0),COLUMN(HostBuild[CTI Target Completion]))&lt;&gt;0,INDEX(HostBuild[],MATCH(E548,HostBuild[Alias],0),COLUMN(HostBuild[CTI Target Completion])),""),""),"")</f>
        <v/>
      </c>
      <c r="D548" s="262" t="str">
        <f>IF(AND(NOT(ISBLANK(E548)),E548&lt;&gt;"(blank)"),IFERROR(IF(INDEX(HostBuild[],MATCH(E548,HostBuild[Alias],0),COLUMN(HostBuild[Description]))&lt;&gt;0,INDEX(HostBuild[],MATCH(E548,HostBuild[Alias],0),COLUMN(HostBuild[Description])),""),""),"")</f>
        <v/>
      </c>
    </row>
    <row r="549" spans="1:4">
      <c r="A549" s="3" t="str">
        <f>IF(AND(NOT(ISBLANK(E549)),E549&lt;&gt;"(blank)"),IFERROR(IF(INDEX(HostBuild[],MATCH(E549,HostBuild[Alias],0),COLUMN(HostBuild[Hostname]))&lt;&gt;0,INDEX(HostBuild[],MATCH(E549,HostBuild[Alias],0),COLUMN(HostBuild[Hostname])),""),""),"")</f>
        <v/>
      </c>
      <c r="B549" s="424" t="str">
        <f>IF(AND(NOT(ISBLANK(E549)),E549&lt;&gt;"(blank)"),IFERROR(IF(INDEX(HostBuild[],MATCH(E549,HostBuild[Alias],0),COLUMN(HostBuild[Status]))&lt;&gt;0,INDEX(HostBuild[],MATCH(E549,HostBuild[Alias],0),COLUMN(HostBuild[Status])),""),""),"")</f>
        <v/>
      </c>
      <c r="C549" s="425" t="str">
        <f>IF(AND(NOT(ISBLANK(E549)),E549&lt;&gt;"(blank)"),IFERROR(IF(INDEX(HostBuild[],MATCH(E549,HostBuild[Alias],0),COLUMN(HostBuild[CTI Target Completion]))&lt;&gt;0,INDEX(HostBuild[],MATCH(E549,HostBuild[Alias],0),COLUMN(HostBuild[CTI Target Completion])),""),""),"")</f>
        <v/>
      </c>
      <c r="D549" s="262" t="str">
        <f>IF(AND(NOT(ISBLANK(E549)),E549&lt;&gt;"(blank)"),IFERROR(IF(INDEX(HostBuild[],MATCH(E549,HostBuild[Alias],0),COLUMN(HostBuild[Description]))&lt;&gt;0,INDEX(HostBuild[],MATCH(E549,HostBuild[Alias],0),COLUMN(HostBuild[Description])),""),""),"")</f>
        <v/>
      </c>
    </row>
    <row r="550" spans="1:4">
      <c r="A550" s="3" t="str">
        <f>IF(AND(NOT(ISBLANK(E550)),E550&lt;&gt;"(blank)"),IFERROR(IF(INDEX(HostBuild[],MATCH(E550,HostBuild[Alias],0),COLUMN(HostBuild[Hostname]))&lt;&gt;0,INDEX(HostBuild[],MATCH(E550,HostBuild[Alias],0),COLUMN(HostBuild[Hostname])),""),""),"")</f>
        <v/>
      </c>
      <c r="B550" s="424" t="str">
        <f>IF(AND(NOT(ISBLANK(E550)),E550&lt;&gt;"(blank)"),IFERROR(IF(INDEX(HostBuild[],MATCH(E550,HostBuild[Alias],0),COLUMN(HostBuild[Status]))&lt;&gt;0,INDEX(HostBuild[],MATCH(E550,HostBuild[Alias],0),COLUMN(HostBuild[Status])),""),""),"")</f>
        <v/>
      </c>
      <c r="C550" s="425" t="str">
        <f>IF(AND(NOT(ISBLANK(E550)),E550&lt;&gt;"(blank)"),IFERROR(IF(INDEX(HostBuild[],MATCH(E550,HostBuild[Alias],0),COLUMN(HostBuild[CTI Target Completion]))&lt;&gt;0,INDEX(HostBuild[],MATCH(E550,HostBuild[Alias],0),COLUMN(HostBuild[CTI Target Completion])),""),""),"")</f>
        <v/>
      </c>
      <c r="D550" s="262" t="str">
        <f>IF(AND(NOT(ISBLANK(E550)),E550&lt;&gt;"(blank)"),IFERROR(IF(INDEX(HostBuild[],MATCH(E550,HostBuild[Alias],0),COLUMN(HostBuild[Description]))&lt;&gt;0,INDEX(HostBuild[],MATCH(E550,HostBuild[Alias],0),COLUMN(HostBuild[Description])),""),""),"")</f>
        <v/>
      </c>
    </row>
    <row r="551" spans="1:4">
      <c r="A551" s="3" t="str">
        <f>IF(AND(NOT(ISBLANK(E551)),E551&lt;&gt;"(blank)"),IFERROR(IF(INDEX(HostBuild[],MATCH(E551,HostBuild[Alias],0),COLUMN(HostBuild[Hostname]))&lt;&gt;0,INDEX(HostBuild[],MATCH(E551,HostBuild[Alias],0),COLUMN(HostBuild[Hostname])),""),""),"")</f>
        <v/>
      </c>
      <c r="B551" s="424" t="str">
        <f>IF(AND(NOT(ISBLANK(E551)),E551&lt;&gt;"(blank)"),IFERROR(IF(INDEX(HostBuild[],MATCH(E551,HostBuild[Alias],0),COLUMN(HostBuild[Status]))&lt;&gt;0,INDEX(HostBuild[],MATCH(E551,HostBuild[Alias],0),COLUMN(HostBuild[Status])),""),""),"")</f>
        <v/>
      </c>
      <c r="C551" s="425" t="str">
        <f>IF(AND(NOT(ISBLANK(E551)),E551&lt;&gt;"(blank)"),IFERROR(IF(INDEX(HostBuild[],MATCH(E551,HostBuild[Alias],0),COLUMN(HostBuild[CTI Target Completion]))&lt;&gt;0,INDEX(HostBuild[],MATCH(E551,HostBuild[Alias],0),COLUMN(HostBuild[CTI Target Completion])),""),""),"")</f>
        <v/>
      </c>
      <c r="D551" s="262" t="str">
        <f>IF(AND(NOT(ISBLANK(E551)),E551&lt;&gt;"(blank)"),IFERROR(IF(INDEX(HostBuild[],MATCH(E551,HostBuild[Alias],0),COLUMN(HostBuild[Description]))&lt;&gt;0,INDEX(HostBuild[],MATCH(E551,HostBuild[Alias],0),COLUMN(HostBuild[Description])),""),""),"")</f>
        <v/>
      </c>
    </row>
    <row r="552" spans="1:4">
      <c r="A552" s="3" t="str">
        <f>IF(AND(NOT(ISBLANK(E552)),E552&lt;&gt;"(blank)"),IFERROR(IF(INDEX(HostBuild[],MATCH(E552,HostBuild[Alias],0),COLUMN(HostBuild[Hostname]))&lt;&gt;0,INDEX(HostBuild[],MATCH(E552,HostBuild[Alias],0),COLUMN(HostBuild[Hostname])),""),""),"")</f>
        <v/>
      </c>
      <c r="B552" s="424" t="str">
        <f>IF(AND(NOT(ISBLANK(E552)),E552&lt;&gt;"(blank)"),IFERROR(IF(INDEX(HostBuild[],MATCH(E552,HostBuild[Alias],0),COLUMN(HostBuild[Status]))&lt;&gt;0,INDEX(HostBuild[],MATCH(E552,HostBuild[Alias],0),COLUMN(HostBuild[Status])),""),""),"")</f>
        <v/>
      </c>
      <c r="C552" s="425" t="str">
        <f>IF(AND(NOT(ISBLANK(E552)),E552&lt;&gt;"(blank)"),IFERROR(IF(INDEX(HostBuild[],MATCH(E552,HostBuild[Alias],0),COLUMN(HostBuild[CTI Target Completion]))&lt;&gt;0,INDEX(HostBuild[],MATCH(E552,HostBuild[Alias],0),COLUMN(HostBuild[CTI Target Completion])),""),""),"")</f>
        <v/>
      </c>
      <c r="D552" s="262" t="str">
        <f>IF(AND(NOT(ISBLANK(E552)),E552&lt;&gt;"(blank)"),IFERROR(IF(INDEX(HostBuild[],MATCH(E552,HostBuild[Alias],0),COLUMN(HostBuild[Description]))&lt;&gt;0,INDEX(HostBuild[],MATCH(E552,HostBuild[Alias],0),COLUMN(HostBuild[Description])),""),""),"")</f>
        <v/>
      </c>
    </row>
    <row r="553" spans="1:4">
      <c r="A553" s="3" t="str">
        <f>IF(AND(NOT(ISBLANK(E553)),E553&lt;&gt;"(blank)"),IFERROR(IF(INDEX(HostBuild[],MATCH(E553,HostBuild[Alias],0),COLUMN(HostBuild[Hostname]))&lt;&gt;0,INDEX(HostBuild[],MATCH(E553,HostBuild[Alias],0),COLUMN(HostBuild[Hostname])),""),""),"")</f>
        <v/>
      </c>
      <c r="B553" s="424" t="str">
        <f>IF(AND(NOT(ISBLANK(E553)),E553&lt;&gt;"(blank)"),IFERROR(IF(INDEX(HostBuild[],MATCH(E553,HostBuild[Alias],0),COLUMN(HostBuild[Status]))&lt;&gt;0,INDEX(HostBuild[],MATCH(E553,HostBuild[Alias],0),COLUMN(HostBuild[Status])),""),""),"")</f>
        <v/>
      </c>
      <c r="C553" s="425" t="str">
        <f>IF(AND(NOT(ISBLANK(E553)),E553&lt;&gt;"(blank)"),IFERROR(IF(INDEX(HostBuild[],MATCH(E553,HostBuild[Alias],0),COLUMN(HostBuild[CTI Target Completion]))&lt;&gt;0,INDEX(HostBuild[],MATCH(E553,HostBuild[Alias],0),COLUMN(HostBuild[CTI Target Completion])),""),""),"")</f>
        <v/>
      </c>
      <c r="D553" s="262" t="str">
        <f>IF(AND(NOT(ISBLANK(E553)),E553&lt;&gt;"(blank)"),IFERROR(IF(INDEX(HostBuild[],MATCH(E553,HostBuild[Alias],0),COLUMN(HostBuild[Description]))&lt;&gt;0,INDEX(HostBuild[],MATCH(E553,HostBuild[Alias],0),COLUMN(HostBuild[Description])),""),""),"")</f>
        <v/>
      </c>
    </row>
    <row r="554" spans="1:4">
      <c r="A554" s="3" t="str">
        <f>IF(AND(NOT(ISBLANK(E554)),E554&lt;&gt;"(blank)"),IFERROR(IF(INDEX(HostBuild[],MATCH(E554,HostBuild[Alias],0),COLUMN(HostBuild[Hostname]))&lt;&gt;0,INDEX(HostBuild[],MATCH(E554,HostBuild[Alias],0),COLUMN(HostBuild[Hostname])),""),""),"")</f>
        <v/>
      </c>
      <c r="B554" s="424" t="str">
        <f>IF(AND(NOT(ISBLANK(E554)),E554&lt;&gt;"(blank)"),IFERROR(IF(INDEX(HostBuild[],MATCH(E554,HostBuild[Alias],0),COLUMN(HostBuild[Status]))&lt;&gt;0,INDEX(HostBuild[],MATCH(E554,HostBuild[Alias],0),COLUMN(HostBuild[Status])),""),""),"")</f>
        <v/>
      </c>
      <c r="C554" s="425" t="str">
        <f>IF(AND(NOT(ISBLANK(E554)),E554&lt;&gt;"(blank)"),IFERROR(IF(INDEX(HostBuild[],MATCH(E554,HostBuild[Alias],0),COLUMN(HostBuild[CTI Target Completion]))&lt;&gt;0,INDEX(HostBuild[],MATCH(E554,HostBuild[Alias],0),COLUMN(HostBuild[CTI Target Completion])),""),""),"")</f>
        <v/>
      </c>
      <c r="D554" s="262" t="str">
        <f>IF(AND(NOT(ISBLANK(E554)),E554&lt;&gt;"(blank)"),IFERROR(IF(INDEX(HostBuild[],MATCH(E554,HostBuild[Alias],0),COLUMN(HostBuild[Description]))&lt;&gt;0,INDEX(HostBuild[],MATCH(E554,HostBuild[Alias],0),COLUMN(HostBuild[Description])),""),""),"")</f>
        <v/>
      </c>
    </row>
    <row r="555" spans="1:4">
      <c r="A555" s="3" t="str">
        <f>IF(AND(NOT(ISBLANK(E555)),E555&lt;&gt;"(blank)"),IFERROR(IF(INDEX(HostBuild[],MATCH(E555,HostBuild[Alias],0),COLUMN(HostBuild[Hostname]))&lt;&gt;0,INDEX(HostBuild[],MATCH(E555,HostBuild[Alias],0),COLUMN(HostBuild[Hostname])),""),""),"")</f>
        <v/>
      </c>
      <c r="B555" s="424" t="str">
        <f>IF(AND(NOT(ISBLANK(E555)),E555&lt;&gt;"(blank)"),IFERROR(IF(INDEX(HostBuild[],MATCH(E555,HostBuild[Alias],0),COLUMN(HostBuild[Status]))&lt;&gt;0,INDEX(HostBuild[],MATCH(E555,HostBuild[Alias],0),COLUMN(HostBuild[Status])),""),""),"")</f>
        <v/>
      </c>
      <c r="C555" s="425" t="str">
        <f>IF(AND(NOT(ISBLANK(E555)),E555&lt;&gt;"(blank)"),IFERROR(IF(INDEX(HostBuild[],MATCH(E555,HostBuild[Alias],0),COLUMN(HostBuild[CTI Target Completion]))&lt;&gt;0,INDEX(HostBuild[],MATCH(E555,HostBuild[Alias],0),COLUMN(HostBuild[CTI Target Completion])),""),""),"")</f>
        <v/>
      </c>
      <c r="D555" s="262" t="str">
        <f>IF(AND(NOT(ISBLANK(E555)),E555&lt;&gt;"(blank)"),IFERROR(IF(INDEX(HostBuild[],MATCH(E555,HostBuild[Alias],0),COLUMN(HostBuild[Description]))&lt;&gt;0,INDEX(HostBuild[],MATCH(E555,HostBuild[Alias],0),COLUMN(HostBuild[Description])),""),""),"")</f>
        <v/>
      </c>
    </row>
    <row r="556" spans="1:4">
      <c r="A556" s="3" t="str">
        <f>IF(AND(NOT(ISBLANK(E556)),E556&lt;&gt;"(blank)"),IFERROR(IF(INDEX(HostBuild[],MATCH(E556,HostBuild[Alias],0),COLUMN(HostBuild[Hostname]))&lt;&gt;0,INDEX(HostBuild[],MATCH(E556,HostBuild[Alias],0),COLUMN(HostBuild[Hostname])),""),""),"")</f>
        <v/>
      </c>
      <c r="B556" s="424" t="str">
        <f>IF(AND(NOT(ISBLANK(E556)),E556&lt;&gt;"(blank)"),IFERROR(IF(INDEX(HostBuild[],MATCH(E556,HostBuild[Alias],0),COLUMN(HostBuild[Status]))&lt;&gt;0,INDEX(HostBuild[],MATCH(E556,HostBuild[Alias],0),COLUMN(HostBuild[Status])),""),""),"")</f>
        <v/>
      </c>
      <c r="C556" s="425" t="str">
        <f>IF(AND(NOT(ISBLANK(E556)),E556&lt;&gt;"(blank)"),IFERROR(IF(INDEX(HostBuild[],MATCH(E556,HostBuild[Alias],0),COLUMN(HostBuild[CTI Target Completion]))&lt;&gt;0,INDEX(HostBuild[],MATCH(E556,HostBuild[Alias],0),COLUMN(HostBuild[CTI Target Completion])),""),""),"")</f>
        <v/>
      </c>
      <c r="D556" s="262" t="str">
        <f>IF(AND(NOT(ISBLANK(E556)),E556&lt;&gt;"(blank)"),IFERROR(IF(INDEX(HostBuild[],MATCH(E556,HostBuild[Alias],0),COLUMN(HostBuild[Description]))&lt;&gt;0,INDEX(HostBuild[],MATCH(E556,HostBuild[Alias],0),COLUMN(HostBuild[Description])),""),""),"")</f>
        <v/>
      </c>
    </row>
    <row r="557" spans="1:4">
      <c r="A557" s="3" t="str">
        <f>IF(AND(NOT(ISBLANK(E557)),E557&lt;&gt;"(blank)"),IFERROR(IF(INDEX(HostBuild[],MATCH(E557,HostBuild[Alias],0),COLUMN(HostBuild[Hostname]))&lt;&gt;0,INDEX(HostBuild[],MATCH(E557,HostBuild[Alias],0),COLUMN(HostBuild[Hostname])),""),""),"")</f>
        <v/>
      </c>
      <c r="B557" s="424" t="str">
        <f>IF(AND(NOT(ISBLANK(E557)),E557&lt;&gt;"(blank)"),IFERROR(IF(INDEX(HostBuild[],MATCH(E557,HostBuild[Alias],0),COLUMN(HostBuild[Status]))&lt;&gt;0,INDEX(HostBuild[],MATCH(E557,HostBuild[Alias],0),COLUMN(HostBuild[Status])),""),""),"")</f>
        <v/>
      </c>
      <c r="C557" s="425" t="str">
        <f>IF(AND(NOT(ISBLANK(E557)),E557&lt;&gt;"(blank)"),IFERROR(IF(INDEX(HostBuild[],MATCH(E557,HostBuild[Alias],0),COLUMN(HostBuild[CTI Target Completion]))&lt;&gt;0,INDEX(HostBuild[],MATCH(E557,HostBuild[Alias],0),COLUMN(HostBuild[CTI Target Completion])),""),""),"")</f>
        <v/>
      </c>
      <c r="D557" s="262" t="str">
        <f>IF(AND(NOT(ISBLANK(E557)),E557&lt;&gt;"(blank)"),IFERROR(IF(INDEX(HostBuild[],MATCH(E557,HostBuild[Alias],0),COLUMN(HostBuild[Description]))&lt;&gt;0,INDEX(HostBuild[],MATCH(E557,HostBuild[Alias],0),COLUMN(HostBuild[Description])),""),""),"")</f>
        <v/>
      </c>
    </row>
    <row r="558" spans="1:4">
      <c r="A558" s="3" t="str">
        <f>IF(AND(NOT(ISBLANK(E558)),E558&lt;&gt;"(blank)"),IFERROR(IF(INDEX(HostBuild[],MATCH(E558,HostBuild[Alias],0),COLUMN(HostBuild[Hostname]))&lt;&gt;0,INDEX(HostBuild[],MATCH(E558,HostBuild[Alias],0),COLUMN(HostBuild[Hostname])),""),""),"")</f>
        <v/>
      </c>
      <c r="B558" s="424" t="str">
        <f>IF(AND(NOT(ISBLANK(E558)),E558&lt;&gt;"(blank)"),IFERROR(IF(INDEX(HostBuild[],MATCH(E558,HostBuild[Alias],0),COLUMN(HostBuild[Status]))&lt;&gt;0,INDEX(HostBuild[],MATCH(E558,HostBuild[Alias],0),COLUMN(HostBuild[Status])),""),""),"")</f>
        <v/>
      </c>
      <c r="C558" s="425" t="str">
        <f>IF(AND(NOT(ISBLANK(E558)),E558&lt;&gt;"(blank)"),IFERROR(IF(INDEX(HostBuild[],MATCH(E558,HostBuild[Alias],0),COLUMN(HostBuild[CTI Target Completion]))&lt;&gt;0,INDEX(HostBuild[],MATCH(E558,HostBuild[Alias],0),COLUMN(HostBuild[CTI Target Completion])),""),""),"")</f>
        <v/>
      </c>
      <c r="D558" s="262" t="str">
        <f>IF(AND(NOT(ISBLANK(E558)),E558&lt;&gt;"(blank)"),IFERROR(IF(INDEX(HostBuild[],MATCH(E558,HostBuild[Alias],0),COLUMN(HostBuild[Description]))&lt;&gt;0,INDEX(HostBuild[],MATCH(E558,HostBuild[Alias],0),COLUMN(HostBuild[Description])),""),""),"")</f>
        <v/>
      </c>
    </row>
    <row r="559" spans="1:4">
      <c r="A559" s="3" t="str">
        <f>IF(AND(NOT(ISBLANK(E559)),E559&lt;&gt;"(blank)"),IFERROR(IF(INDEX(HostBuild[],MATCH(E559,HostBuild[Alias],0),COLUMN(HostBuild[Hostname]))&lt;&gt;0,INDEX(HostBuild[],MATCH(E559,HostBuild[Alias],0),COLUMN(HostBuild[Hostname])),""),""),"")</f>
        <v/>
      </c>
      <c r="B559" s="424" t="str">
        <f>IF(AND(NOT(ISBLANK(E559)),E559&lt;&gt;"(blank)"),IFERROR(IF(INDEX(HostBuild[],MATCH(E559,HostBuild[Alias],0),COLUMN(HostBuild[Status]))&lt;&gt;0,INDEX(HostBuild[],MATCH(E559,HostBuild[Alias],0),COLUMN(HostBuild[Status])),""),""),"")</f>
        <v/>
      </c>
      <c r="C559" s="425" t="str">
        <f>IF(AND(NOT(ISBLANK(E559)),E559&lt;&gt;"(blank)"),IFERROR(IF(INDEX(HostBuild[],MATCH(E559,HostBuild[Alias],0),COLUMN(HostBuild[CTI Target Completion]))&lt;&gt;0,INDEX(HostBuild[],MATCH(E559,HostBuild[Alias],0),COLUMN(HostBuild[CTI Target Completion])),""),""),"")</f>
        <v/>
      </c>
      <c r="D559" s="262" t="str">
        <f>IF(AND(NOT(ISBLANK(E559)),E559&lt;&gt;"(blank)"),IFERROR(IF(INDEX(HostBuild[],MATCH(E559,HostBuild[Alias],0),COLUMN(HostBuild[Description]))&lt;&gt;0,INDEX(HostBuild[],MATCH(E559,HostBuild[Alias],0),COLUMN(HostBuild[Description])),""),""),"")</f>
        <v/>
      </c>
    </row>
    <row r="560" spans="1:4">
      <c r="A560" s="3" t="str">
        <f>IF(AND(NOT(ISBLANK(E560)),E560&lt;&gt;"(blank)"),IFERROR(IF(INDEX(HostBuild[],MATCH(E560,HostBuild[Alias],0),COLUMN(HostBuild[Hostname]))&lt;&gt;0,INDEX(HostBuild[],MATCH(E560,HostBuild[Alias],0),COLUMN(HostBuild[Hostname])),""),""),"")</f>
        <v/>
      </c>
      <c r="B560" s="424" t="str">
        <f>IF(AND(NOT(ISBLANK(E560)),E560&lt;&gt;"(blank)"),IFERROR(IF(INDEX(HostBuild[],MATCH(E560,HostBuild[Alias],0),COLUMN(HostBuild[Status]))&lt;&gt;0,INDEX(HostBuild[],MATCH(E560,HostBuild[Alias],0),COLUMN(HostBuild[Status])),""),""),"")</f>
        <v/>
      </c>
      <c r="C560" s="425" t="str">
        <f>IF(AND(NOT(ISBLANK(E560)),E560&lt;&gt;"(blank)"),IFERROR(IF(INDEX(HostBuild[],MATCH(E560,HostBuild[Alias],0),COLUMN(HostBuild[CTI Target Completion]))&lt;&gt;0,INDEX(HostBuild[],MATCH(E560,HostBuild[Alias],0),COLUMN(HostBuild[CTI Target Completion])),""),""),"")</f>
        <v/>
      </c>
      <c r="D560" s="262" t="str">
        <f>IF(AND(NOT(ISBLANK(E560)),E560&lt;&gt;"(blank)"),IFERROR(IF(INDEX(HostBuild[],MATCH(E560,HostBuild[Alias],0),COLUMN(HostBuild[Description]))&lt;&gt;0,INDEX(HostBuild[],MATCH(E560,HostBuild[Alias],0),COLUMN(HostBuild[Description])),""),""),"")</f>
        <v/>
      </c>
    </row>
    <row r="561" spans="1:4">
      <c r="A561" s="3" t="str">
        <f>IF(AND(NOT(ISBLANK(E561)),E561&lt;&gt;"(blank)"),IFERROR(IF(INDEX(HostBuild[],MATCH(E561,HostBuild[Alias],0),COLUMN(HostBuild[Hostname]))&lt;&gt;0,INDEX(HostBuild[],MATCH(E561,HostBuild[Alias],0),COLUMN(HostBuild[Hostname])),""),""),"")</f>
        <v/>
      </c>
      <c r="B561" s="424" t="str">
        <f>IF(AND(NOT(ISBLANK(E561)),E561&lt;&gt;"(blank)"),IFERROR(IF(INDEX(HostBuild[],MATCH(E561,HostBuild[Alias],0),COLUMN(HostBuild[Status]))&lt;&gt;0,INDEX(HostBuild[],MATCH(E561,HostBuild[Alias],0),COLUMN(HostBuild[Status])),""),""),"")</f>
        <v/>
      </c>
      <c r="C561" s="425" t="str">
        <f>IF(AND(NOT(ISBLANK(E561)),E561&lt;&gt;"(blank)"),IFERROR(IF(INDEX(HostBuild[],MATCH(E561,HostBuild[Alias],0),COLUMN(HostBuild[CTI Target Completion]))&lt;&gt;0,INDEX(HostBuild[],MATCH(E561,HostBuild[Alias],0),COLUMN(HostBuild[CTI Target Completion])),""),""),"")</f>
        <v/>
      </c>
      <c r="D561" s="262" t="str">
        <f>IF(AND(NOT(ISBLANK(E561)),E561&lt;&gt;"(blank)"),IFERROR(IF(INDEX(HostBuild[],MATCH(E561,HostBuild[Alias],0),COLUMN(HostBuild[Description]))&lt;&gt;0,INDEX(HostBuild[],MATCH(E561,HostBuild[Alias],0),COLUMN(HostBuild[Description])),""),""),"")</f>
        <v/>
      </c>
    </row>
    <row r="562" spans="1:4">
      <c r="A562" s="3" t="str">
        <f>IF(AND(NOT(ISBLANK(E562)),E562&lt;&gt;"(blank)"),IFERROR(IF(INDEX(HostBuild[],MATCH(E562,HostBuild[Alias],0),COLUMN(HostBuild[Hostname]))&lt;&gt;0,INDEX(HostBuild[],MATCH(E562,HostBuild[Alias],0),COLUMN(HostBuild[Hostname])),""),""),"")</f>
        <v/>
      </c>
      <c r="B562" s="424" t="str">
        <f>IF(AND(NOT(ISBLANK(E562)),E562&lt;&gt;"(blank)"),IFERROR(IF(INDEX(HostBuild[],MATCH(E562,HostBuild[Alias],0),COLUMN(HostBuild[Status]))&lt;&gt;0,INDEX(HostBuild[],MATCH(E562,HostBuild[Alias],0),COLUMN(HostBuild[Status])),""),""),"")</f>
        <v/>
      </c>
      <c r="C562" s="425" t="str">
        <f>IF(AND(NOT(ISBLANK(E562)),E562&lt;&gt;"(blank)"),IFERROR(IF(INDEX(HostBuild[],MATCH(E562,HostBuild[Alias],0),COLUMN(HostBuild[CTI Target Completion]))&lt;&gt;0,INDEX(HostBuild[],MATCH(E562,HostBuild[Alias],0),COLUMN(HostBuild[CTI Target Completion])),""),""),"")</f>
        <v/>
      </c>
      <c r="D562" s="262" t="str">
        <f>IF(AND(NOT(ISBLANK(E562)),E562&lt;&gt;"(blank)"),IFERROR(IF(INDEX(HostBuild[],MATCH(E562,HostBuild[Alias],0),COLUMN(HostBuild[Description]))&lt;&gt;0,INDEX(HostBuild[],MATCH(E562,HostBuild[Alias],0),COLUMN(HostBuild[Description])),""),""),"")</f>
        <v/>
      </c>
    </row>
    <row r="563" spans="1:4">
      <c r="A563" s="3" t="str">
        <f>IF(AND(NOT(ISBLANK(E563)),E563&lt;&gt;"(blank)"),IFERROR(IF(INDEX(HostBuild[],MATCH(E563,HostBuild[Alias],0),COLUMN(HostBuild[Hostname]))&lt;&gt;0,INDEX(HostBuild[],MATCH(E563,HostBuild[Alias],0),COLUMN(HostBuild[Hostname])),""),""),"")</f>
        <v/>
      </c>
      <c r="B563" s="424" t="str">
        <f>IF(AND(NOT(ISBLANK(E563)),E563&lt;&gt;"(blank)"),IFERROR(IF(INDEX(HostBuild[],MATCH(E563,HostBuild[Alias],0),COLUMN(HostBuild[Status]))&lt;&gt;0,INDEX(HostBuild[],MATCH(E563,HostBuild[Alias],0),COLUMN(HostBuild[Status])),""),""),"")</f>
        <v/>
      </c>
      <c r="C563" s="425" t="str">
        <f>IF(AND(NOT(ISBLANK(E563)),E563&lt;&gt;"(blank)"),IFERROR(IF(INDEX(HostBuild[],MATCH(E563,HostBuild[Alias],0),COLUMN(HostBuild[CTI Target Completion]))&lt;&gt;0,INDEX(HostBuild[],MATCH(E563,HostBuild[Alias],0),COLUMN(HostBuild[CTI Target Completion])),""),""),"")</f>
        <v/>
      </c>
      <c r="D563" s="262" t="str">
        <f>IF(AND(NOT(ISBLANK(E563)),E563&lt;&gt;"(blank)"),IFERROR(IF(INDEX(HostBuild[],MATCH(E563,HostBuild[Alias],0),COLUMN(HostBuild[Description]))&lt;&gt;0,INDEX(HostBuild[],MATCH(E563,HostBuild[Alias],0),COLUMN(HostBuild[Description])),""),""),"")</f>
        <v/>
      </c>
    </row>
    <row r="564" spans="1:4">
      <c r="A564" s="3" t="str">
        <f>IF(AND(NOT(ISBLANK(E564)),E564&lt;&gt;"(blank)"),IFERROR(IF(INDEX(HostBuild[],MATCH(E564,HostBuild[Alias],0),COLUMN(HostBuild[Hostname]))&lt;&gt;0,INDEX(HostBuild[],MATCH(E564,HostBuild[Alias],0),COLUMN(HostBuild[Hostname])),""),""),"")</f>
        <v/>
      </c>
      <c r="B564" s="424" t="str">
        <f>IF(AND(NOT(ISBLANK(E564)),E564&lt;&gt;"(blank)"),IFERROR(IF(INDEX(HostBuild[],MATCH(E564,HostBuild[Alias],0),COLUMN(HostBuild[Status]))&lt;&gt;0,INDEX(HostBuild[],MATCH(E564,HostBuild[Alias],0),COLUMN(HostBuild[Status])),""),""),"")</f>
        <v/>
      </c>
      <c r="C564" s="425" t="str">
        <f>IF(AND(NOT(ISBLANK(E564)),E564&lt;&gt;"(blank)"),IFERROR(IF(INDEX(HostBuild[],MATCH(E564,HostBuild[Alias],0),COLUMN(HostBuild[CTI Target Completion]))&lt;&gt;0,INDEX(HostBuild[],MATCH(E564,HostBuild[Alias],0),COLUMN(HostBuild[CTI Target Completion])),""),""),"")</f>
        <v/>
      </c>
      <c r="D564" s="262" t="str">
        <f>IF(AND(NOT(ISBLANK(E564)),E564&lt;&gt;"(blank)"),IFERROR(IF(INDEX(HostBuild[],MATCH(E564,HostBuild[Alias],0),COLUMN(HostBuild[Description]))&lt;&gt;0,INDEX(HostBuild[],MATCH(E564,HostBuild[Alias],0),COLUMN(HostBuild[Description])),""),""),"")</f>
        <v/>
      </c>
    </row>
    <row r="565" spans="1:4">
      <c r="A565" s="3" t="str">
        <f>IF(AND(NOT(ISBLANK(E565)),E565&lt;&gt;"(blank)"),IFERROR(IF(INDEX(HostBuild[],MATCH(E565,HostBuild[Alias],0),COLUMN(HostBuild[Hostname]))&lt;&gt;0,INDEX(HostBuild[],MATCH(E565,HostBuild[Alias],0),COLUMN(HostBuild[Hostname])),""),""),"")</f>
        <v/>
      </c>
      <c r="B565" s="424" t="str">
        <f>IF(AND(NOT(ISBLANK(E565)),E565&lt;&gt;"(blank)"),IFERROR(IF(INDEX(HostBuild[],MATCH(E565,HostBuild[Alias],0),COLUMN(HostBuild[Status]))&lt;&gt;0,INDEX(HostBuild[],MATCH(E565,HostBuild[Alias],0),COLUMN(HostBuild[Status])),""),""),"")</f>
        <v/>
      </c>
      <c r="C565" s="425" t="str">
        <f>IF(AND(NOT(ISBLANK(E565)),E565&lt;&gt;"(blank)"),IFERROR(IF(INDEX(HostBuild[],MATCH(E565,HostBuild[Alias],0),COLUMN(HostBuild[CTI Target Completion]))&lt;&gt;0,INDEX(HostBuild[],MATCH(E565,HostBuild[Alias],0),COLUMN(HostBuild[CTI Target Completion])),""),""),"")</f>
        <v/>
      </c>
      <c r="D565" s="262" t="str">
        <f>IF(AND(NOT(ISBLANK(E565)),E565&lt;&gt;"(blank)"),IFERROR(IF(INDEX(HostBuild[],MATCH(E565,HostBuild[Alias],0),COLUMN(HostBuild[Description]))&lt;&gt;0,INDEX(HostBuild[],MATCH(E565,HostBuild[Alias],0),COLUMN(HostBuild[Description])),""),""),"")</f>
        <v/>
      </c>
    </row>
    <row r="566" spans="1:4">
      <c r="A566" s="3" t="str">
        <f>IF(AND(NOT(ISBLANK(E566)),E566&lt;&gt;"(blank)"),IFERROR(IF(INDEX(HostBuild[],MATCH(E566,HostBuild[Alias],0),COLUMN(HostBuild[Hostname]))&lt;&gt;0,INDEX(HostBuild[],MATCH(E566,HostBuild[Alias],0),COLUMN(HostBuild[Hostname])),""),""),"")</f>
        <v/>
      </c>
      <c r="B566" s="424" t="str">
        <f>IF(AND(NOT(ISBLANK(E566)),E566&lt;&gt;"(blank)"),IFERROR(IF(INDEX(HostBuild[],MATCH(E566,HostBuild[Alias],0),COLUMN(HostBuild[Status]))&lt;&gt;0,INDEX(HostBuild[],MATCH(E566,HostBuild[Alias],0),COLUMN(HostBuild[Status])),""),""),"")</f>
        <v/>
      </c>
      <c r="C566" s="425" t="str">
        <f>IF(AND(NOT(ISBLANK(E566)),E566&lt;&gt;"(blank)"),IFERROR(IF(INDEX(HostBuild[],MATCH(E566,HostBuild[Alias],0),COLUMN(HostBuild[CTI Target Completion]))&lt;&gt;0,INDEX(HostBuild[],MATCH(E566,HostBuild[Alias],0),COLUMN(HostBuild[CTI Target Completion])),""),""),"")</f>
        <v/>
      </c>
      <c r="D566" s="262" t="str">
        <f>IF(AND(NOT(ISBLANK(E566)),E566&lt;&gt;"(blank)"),IFERROR(IF(INDEX(HostBuild[],MATCH(E566,HostBuild[Alias],0),COLUMN(HostBuild[Description]))&lt;&gt;0,INDEX(HostBuild[],MATCH(E566,HostBuild[Alias],0),COLUMN(HostBuild[Description])),""),""),"")</f>
        <v/>
      </c>
    </row>
    <row r="567" spans="1:4">
      <c r="A567" s="3" t="str">
        <f>IF(AND(NOT(ISBLANK(E567)),E567&lt;&gt;"(blank)"),IFERROR(IF(INDEX(HostBuild[],MATCH(E567,HostBuild[Alias],0),COLUMN(HostBuild[Hostname]))&lt;&gt;0,INDEX(HostBuild[],MATCH(E567,HostBuild[Alias],0),COLUMN(HostBuild[Hostname])),""),""),"")</f>
        <v/>
      </c>
      <c r="B567" s="424" t="str">
        <f>IF(AND(NOT(ISBLANK(E567)),E567&lt;&gt;"(blank)"),IFERROR(IF(INDEX(HostBuild[],MATCH(E567,HostBuild[Alias],0),COLUMN(HostBuild[Status]))&lt;&gt;0,INDEX(HostBuild[],MATCH(E567,HostBuild[Alias],0),COLUMN(HostBuild[Status])),""),""),"")</f>
        <v/>
      </c>
      <c r="C567" s="425" t="str">
        <f>IF(AND(NOT(ISBLANK(E567)),E567&lt;&gt;"(blank)"),IFERROR(IF(INDEX(HostBuild[],MATCH(E567,HostBuild[Alias],0),COLUMN(HostBuild[CTI Target Completion]))&lt;&gt;0,INDEX(HostBuild[],MATCH(E567,HostBuild[Alias],0),COLUMN(HostBuild[CTI Target Completion])),""),""),"")</f>
        <v/>
      </c>
      <c r="D567" s="262" t="str">
        <f>IF(AND(NOT(ISBLANK(E567)),E567&lt;&gt;"(blank)"),IFERROR(IF(INDEX(HostBuild[],MATCH(E567,HostBuild[Alias],0),COLUMN(HostBuild[Description]))&lt;&gt;0,INDEX(HostBuild[],MATCH(E567,HostBuild[Alias],0),COLUMN(HostBuild[Description])),""),""),"")</f>
        <v/>
      </c>
    </row>
    <row r="568" spans="1:4">
      <c r="A568" s="3" t="str">
        <f>IF(AND(NOT(ISBLANK(E568)),E568&lt;&gt;"(blank)"),IFERROR(IF(INDEX(HostBuild[],MATCH(E568,HostBuild[Alias],0),COLUMN(HostBuild[Hostname]))&lt;&gt;0,INDEX(HostBuild[],MATCH(E568,HostBuild[Alias],0),COLUMN(HostBuild[Hostname])),""),""),"")</f>
        <v/>
      </c>
      <c r="B568" s="424" t="str">
        <f>IF(AND(NOT(ISBLANK(E568)),E568&lt;&gt;"(blank)"),IFERROR(IF(INDEX(HostBuild[],MATCH(E568,HostBuild[Alias],0),COLUMN(HostBuild[Status]))&lt;&gt;0,INDEX(HostBuild[],MATCH(E568,HostBuild[Alias],0),COLUMN(HostBuild[Status])),""),""),"")</f>
        <v/>
      </c>
      <c r="C568" s="425" t="str">
        <f>IF(AND(NOT(ISBLANK(E568)),E568&lt;&gt;"(blank)"),IFERROR(IF(INDEX(HostBuild[],MATCH(E568,HostBuild[Alias],0),COLUMN(HostBuild[CTI Target Completion]))&lt;&gt;0,INDEX(HostBuild[],MATCH(E568,HostBuild[Alias],0),COLUMN(HostBuild[CTI Target Completion])),""),""),"")</f>
        <v/>
      </c>
      <c r="D568" s="262" t="str">
        <f>IF(AND(NOT(ISBLANK(E568)),E568&lt;&gt;"(blank)"),IFERROR(IF(INDEX(HostBuild[],MATCH(E568,HostBuild[Alias],0),COLUMN(HostBuild[Description]))&lt;&gt;0,INDEX(HostBuild[],MATCH(E568,HostBuild[Alias],0),COLUMN(HostBuild[Description])),""),""),"")</f>
        <v/>
      </c>
    </row>
    <row r="569" spans="1:4">
      <c r="A569" s="3" t="str">
        <f>IF(AND(NOT(ISBLANK(E569)),E569&lt;&gt;"(blank)"),IFERROR(IF(INDEX(HostBuild[],MATCH(E569,HostBuild[Alias],0),COLUMN(HostBuild[Hostname]))&lt;&gt;0,INDEX(HostBuild[],MATCH(E569,HostBuild[Alias],0),COLUMN(HostBuild[Hostname])),""),""),"")</f>
        <v/>
      </c>
      <c r="B569" s="424" t="str">
        <f>IF(AND(NOT(ISBLANK(E569)),E569&lt;&gt;"(blank)"),IFERROR(IF(INDEX(HostBuild[],MATCH(E569,HostBuild[Alias],0),COLUMN(HostBuild[Status]))&lt;&gt;0,INDEX(HostBuild[],MATCH(E569,HostBuild[Alias],0),COLUMN(HostBuild[Status])),""),""),"")</f>
        <v/>
      </c>
      <c r="C569" s="425" t="str">
        <f>IF(AND(NOT(ISBLANK(E569)),E569&lt;&gt;"(blank)"),IFERROR(IF(INDEX(HostBuild[],MATCH(E569,HostBuild[Alias],0),COLUMN(HostBuild[CTI Target Completion]))&lt;&gt;0,INDEX(HostBuild[],MATCH(E569,HostBuild[Alias],0),COLUMN(HostBuild[CTI Target Completion])),""),""),"")</f>
        <v/>
      </c>
      <c r="D569" s="262" t="str">
        <f>IF(AND(NOT(ISBLANK(E569)),E569&lt;&gt;"(blank)"),IFERROR(IF(INDEX(HostBuild[],MATCH(E569,HostBuild[Alias],0),COLUMN(HostBuild[Description]))&lt;&gt;0,INDEX(HostBuild[],MATCH(E569,HostBuild[Alias],0),COLUMN(HostBuild[Description])),""),""),"")</f>
        <v/>
      </c>
    </row>
    <row r="570" spans="1:4">
      <c r="A570" s="3" t="str">
        <f>IF(AND(NOT(ISBLANK(E570)),E570&lt;&gt;"(blank)"),IFERROR(IF(INDEX(HostBuild[],MATCH(E570,HostBuild[Alias],0),COLUMN(HostBuild[Hostname]))&lt;&gt;0,INDEX(HostBuild[],MATCH(E570,HostBuild[Alias],0),COLUMN(HostBuild[Hostname])),""),""),"")</f>
        <v/>
      </c>
      <c r="B570" s="424" t="str">
        <f>IF(AND(NOT(ISBLANK(E570)),E570&lt;&gt;"(blank)"),IFERROR(IF(INDEX(HostBuild[],MATCH(E570,HostBuild[Alias],0),COLUMN(HostBuild[Status]))&lt;&gt;0,INDEX(HostBuild[],MATCH(E570,HostBuild[Alias],0),COLUMN(HostBuild[Status])),""),""),"")</f>
        <v/>
      </c>
      <c r="C570" s="425" t="str">
        <f>IF(AND(NOT(ISBLANK(E570)),E570&lt;&gt;"(blank)"),IFERROR(IF(INDEX(HostBuild[],MATCH(E570,HostBuild[Alias],0),COLUMN(HostBuild[CTI Target Completion]))&lt;&gt;0,INDEX(HostBuild[],MATCH(E570,HostBuild[Alias],0),COLUMN(HostBuild[CTI Target Completion])),""),""),"")</f>
        <v/>
      </c>
      <c r="D570" s="262" t="str">
        <f>IF(AND(NOT(ISBLANK(E570)),E570&lt;&gt;"(blank)"),IFERROR(IF(INDEX(HostBuild[],MATCH(E570,HostBuild[Alias],0),COLUMN(HostBuild[Description]))&lt;&gt;0,INDEX(HostBuild[],MATCH(E570,HostBuild[Alias],0),COLUMN(HostBuild[Description])),""),""),"")</f>
        <v/>
      </c>
    </row>
    <row r="571" spans="1:4">
      <c r="A571" s="3" t="str">
        <f>IF(AND(NOT(ISBLANK(E571)),E571&lt;&gt;"(blank)"),IFERROR(IF(INDEX(HostBuild[],MATCH(E571,HostBuild[Alias],0),COLUMN(HostBuild[Hostname]))&lt;&gt;0,INDEX(HostBuild[],MATCH(E571,HostBuild[Alias],0),COLUMN(HostBuild[Hostname])),""),""),"")</f>
        <v/>
      </c>
      <c r="B571" s="424" t="str">
        <f>IF(AND(NOT(ISBLANK(E571)),E571&lt;&gt;"(blank)"),IFERROR(IF(INDEX(HostBuild[],MATCH(E571,HostBuild[Alias],0),COLUMN(HostBuild[Status]))&lt;&gt;0,INDEX(HostBuild[],MATCH(E571,HostBuild[Alias],0),COLUMN(HostBuild[Status])),""),""),"")</f>
        <v/>
      </c>
      <c r="C571" s="425" t="str">
        <f>IF(AND(NOT(ISBLANK(E571)),E571&lt;&gt;"(blank)"),IFERROR(IF(INDEX(HostBuild[],MATCH(E571,HostBuild[Alias],0),COLUMN(HostBuild[CTI Target Completion]))&lt;&gt;0,INDEX(HostBuild[],MATCH(E571,HostBuild[Alias],0),COLUMN(HostBuild[CTI Target Completion])),""),""),"")</f>
        <v/>
      </c>
      <c r="D571" s="262" t="str">
        <f>IF(AND(NOT(ISBLANK(E571)),E571&lt;&gt;"(blank)"),IFERROR(IF(INDEX(HostBuild[],MATCH(E571,HostBuild[Alias],0),COLUMN(HostBuild[Description]))&lt;&gt;0,INDEX(HostBuild[],MATCH(E571,HostBuild[Alias],0),COLUMN(HostBuild[Description])),""),""),"")</f>
        <v/>
      </c>
    </row>
    <row r="572" spans="1:4">
      <c r="A572" s="3" t="str">
        <f>IF(AND(NOT(ISBLANK(E572)),E572&lt;&gt;"(blank)"),IFERROR(IF(INDEX(HostBuild[],MATCH(E572,HostBuild[Alias],0),COLUMN(HostBuild[Hostname]))&lt;&gt;0,INDEX(HostBuild[],MATCH(E572,HostBuild[Alias],0),COLUMN(HostBuild[Hostname])),""),""),"")</f>
        <v/>
      </c>
      <c r="B572" s="424" t="str">
        <f>IF(AND(NOT(ISBLANK(E572)),E572&lt;&gt;"(blank)"),IFERROR(IF(INDEX(HostBuild[],MATCH(E572,HostBuild[Alias],0),COLUMN(HostBuild[Status]))&lt;&gt;0,INDEX(HostBuild[],MATCH(E572,HostBuild[Alias],0),COLUMN(HostBuild[Status])),""),""),"")</f>
        <v/>
      </c>
      <c r="C572" s="425" t="str">
        <f>IF(AND(NOT(ISBLANK(E572)),E572&lt;&gt;"(blank)"),IFERROR(IF(INDEX(HostBuild[],MATCH(E572,HostBuild[Alias],0),COLUMN(HostBuild[CTI Target Completion]))&lt;&gt;0,INDEX(HostBuild[],MATCH(E572,HostBuild[Alias],0),COLUMN(HostBuild[CTI Target Completion])),""),""),"")</f>
        <v/>
      </c>
      <c r="D572" s="262" t="str">
        <f>IF(AND(NOT(ISBLANK(E572)),E572&lt;&gt;"(blank)"),IFERROR(IF(INDEX(HostBuild[],MATCH(E572,HostBuild[Alias],0),COLUMN(HostBuild[Description]))&lt;&gt;0,INDEX(HostBuild[],MATCH(E572,HostBuild[Alias],0),COLUMN(HostBuild[Description])),""),""),"")</f>
        <v/>
      </c>
    </row>
    <row r="573" spans="1:4">
      <c r="A573" s="3" t="str">
        <f>IF(AND(NOT(ISBLANK(E573)),E573&lt;&gt;"(blank)"),IFERROR(IF(INDEX(HostBuild[],MATCH(E573,HostBuild[Alias],0),COLUMN(HostBuild[Hostname]))&lt;&gt;0,INDEX(HostBuild[],MATCH(E573,HostBuild[Alias],0),COLUMN(HostBuild[Hostname])),""),""),"")</f>
        <v/>
      </c>
      <c r="B573" s="424" t="str">
        <f>IF(AND(NOT(ISBLANK(E573)),E573&lt;&gt;"(blank)"),IFERROR(IF(INDEX(HostBuild[],MATCH(E573,HostBuild[Alias],0),COLUMN(HostBuild[Status]))&lt;&gt;0,INDEX(HostBuild[],MATCH(E573,HostBuild[Alias],0),COLUMN(HostBuild[Status])),""),""),"")</f>
        <v/>
      </c>
      <c r="C573" s="425" t="str">
        <f>IF(AND(NOT(ISBLANK(E573)),E573&lt;&gt;"(blank)"),IFERROR(IF(INDEX(HostBuild[],MATCH(E573,HostBuild[Alias],0),COLUMN(HostBuild[CTI Target Completion]))&lt;&gt;0,INDEX(HostBuild[],MATCH(E573,HostBuild[Alias],0),COLUMN(HostBuild[CTI Target Completion])),""),""),"")</f>
        <v/>
      </c>
      <c r="D573" s="262" t="str">
        <f>IF(AND(NOT(ISBLANK(E573)),E573&lt;&gt;"(blank)"),IFERROR(IF(INDEX(HostBuild[],MATCH(E573,HostBuild[Alias],0),COLUMN(HostBuild[Description]))&lt;&gt;0,INDEX(HostBuild[],MATCH(E573,HostBuild[Alias],0),COLUMN(HostBuild[Description])),""),""),"")</f>
        <v/>
      </c>
    </row>
    <row r="574" spans="1:4">
      <c r="A574" s="3" t="str">
        <f>IF(AND(NOT(ISBLANK(E574)),E574&lt;&gt;"(blank)"),IFERROR(IF(INDEX(HostBuild[],MATCH(E574,HostBuild[Alias],0),COLUMN(HostBuild[Hostname]))&lt;&gt;0,INDEX(HostBuild[],MATCH(E574,HostBuild[Alias],0),COLUMN(HostBuild[Hostname])),""),""),"")</f>
        <v/>
      </c>
      <c r="B574" s="424" t="str">
        <f>IF(AND(NOT(ISBLANK(E574)),E574&lt;&gt;"(blank)"),IFERROR(IF(INDEX(HostBuild[],MATCH(E574,HostBuild[Alias],0),COLUMN(HostBuild[Status]))&lt;&gt;0,INDEX(HostBuild[],MATCH(E574,HostBuild[Alias],0),COLUMN(HostBuild[Status])),""),""),"")</f>
        <v/>
      </c>
      <c r="C574" s="425" t="str">
        <f>IF(AND(NOT(ISBLANK(E574)),E574&lt;&gt;"(blank)"),IFERROR(IF(INDEX(HostBuild[],MATCH(E574,HostBuild[Alias],0),COLUMN(HostBuild[CTI Target Completion]))&lt;&gt;0,INDEX(HostBuild[],MATCH(E574,HostBuild[Alias],0),COLUMN(HostBuild[CTI Target Completion])),""),""),"")</f>
        <v/>
      </c>
      <c r="D574" s="262" t="str">
        <f>IF(AND(NOT(ISBLANK(E574)),E574&lt;&gt;"(blank)"),IFERROR(IF(INDEX(HostBuild[],MATCH(E574,HostBuild[Alias],0),COLUMN(HostBuild[Description]))&lt;&gt;0,INDEX(HostBuild[],MATCH(E574,HostBuild[Alias],0),COLUMN(HostBuild[Description])),""),""),"")</f>
        <v/>
      </c>
    </row>
    <row r="575" spans="1:4">
      <c r="A575" s="3" t="str">
        <f>IF(AND(NOT(ISBLANK(E575)),E575&lt;&gt;"(blank)"),IFERROR(IF(INDEX(HostBuild[],MATCH(E575,HostBuild[Alias],0),COLUMN(HostBuild[Hostname]))&lt;&gt;0,INDEX(HostBuild[],MATCH(E575,HostBuild[Alias],0),COLUMN(HostBuild[Hostname])),""),""),"")</f>
        <v/>
      </c>
      <c r="B575" s="424" t="str">
        <f>IF(AND(NOT(ISBLANK(E575)),E575&lt;&gt;"(blank)"),IFERROR(IF(INDEX(HostBuild[],MATCH(E575,HostBuild[Alias],0),COLUMN(HostBuild[Status]))&lt;&gt;0,INDEX(HostBuild[],MATCH(E575,HostBuild[Alias],0),COLUMN(HostBuild[Status])),""),""),"")</f>
        <v/>
      </c>
      <c r="C575" s="425" t="str">
        <f>IF(AND(NOT(ISBLANK(E575)),E575&lt;&gt;"(blank)"),IFERROR(IF(INDEX(HostBuild[],MATCH(E575,HostBuild[Alias],0),COLUMN(HostBuild[CTI Target Completion]))&lt;&gt;0,INDEX(HostBuild[],MATCH(E575,HostBuild[Alias],0),COLUMN(HostBuild[CTI Target Completion])),""),""),"")</f>
        <v/>
      </c>
      <c r="D575" s="262" t="str">
        <f>IF(AND(NOT(ISBLANK(E575)),E575&lt;&gt;"(blank)"),IFERROR(IF(INDEX(HostBuild[],MATCH(E575,HostBuild[Alias],0),COLUMN(HostBuild[Description]))&lt;&gt;0,INDEX(HostBuild[],MATCH(E575,HostBuild[Alias],0),COLUMN(HostBuild[Description])),""),""),"")</f>
        <v/>
      </c>
    </row>
    <row r="576" spans="1:4">
      <c r="A576" s="3" t="str">
        <f>IF(AND(NOT(ISBLANK(E576)),E576&lt;&gt;"(blank)"),IFERROR(IF(INDEX(HostBuild[],MATCH(E576,HostBuild[Alias],0),COLUMN(HostBuild[Hostname]))&lt;&gt;0,INDEX(HostBuild[],MATCH(E576,HostBuild[Alias],0),COLUMN(HostBuild[Hostname])),""),""),"")</f>
        <v/>
      </c>
      <c r="B576" s="424" t="str">
        <f>IF(AND(NOT(ISBLANK(E576)),E576&lt;&gt;"(blank)"),IFERROR(IF(INDEX(HostBuild[],MATCH(E576,HostBuild[Alias],0),COLUMN(HostBuild[Status]))&lt;&gt;0,INDEX(HostBuild[],MATCH(E576,HostBuild[Alias],0),COLUMN(HostBuild[Status])),""),""),"")</f>
        <v/>
      </c>
      <c r="C576" s="425" t="str">
        <f>IF(AND(NOT(ISBLANK(E576)),E576&lt;&gt;"(blank)"),IFERROR(IF(INDEX(HostBuild[],MATCH(E576,HostBuild[Alias],0),COLUMN(HostBuild[CTI Target Completion]))&lt;&gt;0,INDEX(HostBuild[],MATCH(E576,HostBuild[Alias],0),COLUMN(HostBuild[CTI Target Completion])),""),""),"")</f>
        <v/>
      </c>
      <c r="D576" s="262" t="str">
        <f>IF(AND(NOT(ISBLANK(E576)),E576&lt;&gt;"(blank)"),IFERROR(IF(INDEX(HostBuild[],MATCH(E576,HostBuild[Alias],0),COLUMN(HostBuild[Description]))&lt;&gt;0,INDEX(HostBuild[],MATCH(E576,HostBuild[Alias],0),COLUMN(HostBuild[Description])),""),""),"")</f>
        <v/>
      </c>
    </row>
    <row r="577" spans="1:4">
      <c r="A577" s="3" t="str">
        <f>IF(AND(NOT(ISBLANK(E577)),E577&lt;&gt;"(blank)"),IFERROR(IF(INDEX(HostBuild[],MATCH(E577,HostBuild[Alias],0),COLUMN(HostBuild[Hostname]))&lt;&gt;0,INDEX(HostBuild[],MATCH(E577,HostBuild[Alias],0),COLUMN(HostBuild[Hostname])),""),""),"")</f>
        <v/>
      </c>
      <c r="B577" s="424" t="str">
        <f>IF(AND(NOT(ISBLANK(E577)),E577&lt;&gt;"(blank)"),IFERROR(IF(INDEX(HostBuild[],MATCH(E577,HostBuild[Alias],0),COLUMN(HostBuild[Status]))&lt;&gt;0,INDEX(HostBuild[],MATCH(E577,HostBuild[Alias],0),COLUMN(HostBuild[Status])),""),""),"")</f>
        <v/>
      </c>
      <c r="C577" s="425" t="str">
        <f>IF(AND(NOT(ISBLANK(E577)),E577&lt;&gt;"(blank)"),IFERROR(IF(INDEX(HostBuild[],MATCH(E577,HostBuild[Alias],0),COLUMN(HostBuild[CTI Target Completion]))&lt;&gt;0,INDEX(HostBuild[],MATCH(E577,HostBuild[Alias],0),COLUMN(HostBuild[CTI Target Completion])),""),""),"")</f>
        <v/>
      </c>
      <c r="D577" s="262" t="str">
        <f>IF(AND(NOT(ISBLANK(E577)),E577&lt;&gt;"(blank)"),IFERROR(IF(INDEX(HostBuild[],MATCH(E577,HostBuild[Alias],0),COLUMN(HostBuild[Description]))&lt;&gt;0,INDEX(HostBuild[],MATCH(E577,HostBuild[Alias],0),COLUMN(HostBuild[Description])),""),""),"")</f>
        <v/>
      </c>
    </row>
    <row r="578" spans="1:4">
      <c r="A578" s="3" t="str">
        <f>IF(AND(NOT(ISBLANK(E578)),E578&lt;&gt;"(blank)"),IFERROR(IF(INDEX(HostBuild[],MATCH(E578,HostBuild[Alias],0),COLUMN(HostBuild[Hostname]))&lt;&gt;0,INDEX(HostBuild[],MATCH(E578,HostBuild[Alias],0),COLUMN(HostBuild[Hostname])),""),""),"")</f>
        <v/>
      </c>
      <c r="B578" s="424" t="str">
        <f>IF(AND(NOT(ISBLANK(E578)),E578&lt;&gt;"(blank)"),IFERROR(IF(INDEX(HostBuild[],MATCH(E578,HostBuild[Alias],0),COLUMN(HostBuild[Status]))&lt;&gt;0,INDEX(HostBuild[],MATCH(E578,HostBuild[Alias],0),COLUMN(HostBuild[Status])),""),""),"")</f>
        <v/>
      </c>
      <c r="C578" s="425" t="str">
        <f>IF(AND(NOT(ISBLANK(E578)),E578&lt;&gt;"(blank)"),IFERROR(IF(INDEX(HostBuild[],MATCH(E578,HostBuild[Alias],0),COLUMN(HostBuild[CTI Target Completion]))&lt;&gt;0,INDEX(HostBuild[],MATCH(E578,HostBuild[Alias],0),COLUMN(HostBuild[CTI Target Completion])),""),""),"")</f>
        <v/>
      </c>
      <c r="D578" s="262" t="str">
        <f>IF(AND(NOT(ISBLANK(E578)),E578&lt;&gt;"(blank)"),IFERROR(IF(INDEX(HostBuild[],MATCH(E578,HostBuild[Alias],0),COLUMN(HostBuild[Description]))&lt;&gt;0,INDEX(HostBuild[],MATCH(E578,HostBuild[Alias],0),COLUMN(HostBuild[Description])),""),""),"")</f>
        <v/>
      </c>
    </row>
    <row r="579" spans="1:4">
      <c r="A579" s="3" t="str">
        <f>IF(AND(NOT(ISBLANK(E579)),E579&lt;&gt;"(blank)"),IFERROR(IF(INDEX(HostBuild[],MATCH(E579,HostBuild[Alias],0),COLUMN(HostBuild[Hostname]))&lt;&gt;0,INDEX(HostBuild[],MATCH(E579,HostBuild[Alias],0),COLUMN(HostBuild[Hostname])),""),""),"")</f>
        <v/>
      </c>
      <c r="B579" s="424" t="str">
        <f>IF(AND(NOT(ISBLANK(E579)),E579&lt;&gt;"(blank)"),IFERROR(IF(INDEX(HostBuild[],MATCH(E579,HostBuild[Alias],0),COLUMN(HostBuild[Status]))&lt;&gt;0,INDEX(HostBuild[],MATCH(E579,HostBuild[Alias],0),COLUMN(HostBuild[Status])),""),""),"")</f>
        <v/>
      </c>
      <c r="C579" s="425" t="str">
        <f>IF(AND(NOT(ISBLANK(E579)),E579&lt;&gt;"(blank)"),IFERROR(IF(INDEX(HostBuild[],MATCH(E579,HostBuild[Alias],0),COLUMN(HostBuild[CTI Target Completion]))&lt;&gt;0,INDEX(HostBuild[],MATCH(E579,HostBuild[Alias],0),COLUMN(HostBuild[CTI Target Completion])),""),""),"")</f>
        <v/>
      </c>
      <c r="D579" s="262" t="str">
        <f>IF(AND(NOT(ISBLANK(E579)),E579&lt;&gt;"(blank)"),IFERROR(IF(INDEX(HostBuild[],MATCH(E579,HostBuild[Alias],0),COLUMN(HostBuild[Description]))&lt;&gt;0,INDEX(HostBuild[],MATCH(E579,HostBuild[Alias],0),COLUMN(HostBuild[Description])),""),""),"")</f>
        <v/>
      </c>
    </row>
    <row r="580" spans="1:4">
      <c r="A580" s="3" t="str">
        <f>IF(AND(NOT(ISBLANK(E580)),E580&lt;&gt;"(blank)"),IFERROR(IF(INDEX(HostBuild[],MATCH(E580,HostBuild[Alias],0),COLUMN(HostBuild[Hostname]))&lt;&gt;0,INDEX(HostBuild[],MATCH(E580,HostBuild[Alias],0),COLUMN(HostBuild[Hostname])),""),""),"")</f>
        <v/>
      </c>
      <c r="B580" s="424" t="str">
        <f>IF(AND(NOT(ISBLANK(E580)),E580&lt;&gt;"(blank)"),IFERROR(IF(INDEX(HostBuild[],MATCH(E580,HostBuild[Alias],0),COLUMN(HostBuild[Status]))&lt;&gt;0,INDEX(HostBuild[],MATCH(E580,HostBuild[Alias],0),COLUMN(HostBuild[Status])),""),""),"")</f>
        <v/>
      </c>
      <c r="C580" s="425" t="str">
        <f>IF(AND(NOT(ISBLANK(E580)),E580&lt;&gt;"(blank)"),IFERROR(IF(INDEX(HostBuild[],MATCH(E580,HostBuild[Alias],0),COLUMN(HostBuild[CTI Target Completion]))&lt;&gt;0,INDEX(HostBuild[],MATCH(E580,HostBuild[Alias],0),COLUMN(HostBuild[CTI Target Completion])),""),""),"")</f>
        <v/>
      </c>
      <c r="D580" s="262" t="str">
        <f>IF(AND(NOT(ISBLANK(E580)),E580&lt;&gt;"(blank)"),IFERROR(IF(INDEX(HostBuild[],MATCH(E580,HostBuild[Alias],0),COLUMN(HostBuild[Description]))&lt;&gt;0,INDEX(HostBuild[],MATCH(E580,HostBuild[Alias],0),COLUMN(HostBuild[Description])),""),""),"")</f>
        <v/>
      </c>
    </row>
    <row r="581" spans="1:4">
      <c r="A581" s="3" t="str">
        <f>IF(AND(NOT(ISBLANK(E581)),E581&lt;&gt;"(blank)"),IFERROR(IF(INDEX(HostBuild[],MATCH(E581,HostBuild[Alias],0),COLUMN(HostBuild[Hostname]))&lt;&gt;0,INDEX(HostBuild[],MATCH(E581,HostBuild[Alias],0),COLUMN(HostBuild[Hostname])),""),""),"")</f>
        <v/>
      </c>
      <c r="B581" s="424" t="str">
        <f>IF(AND(NOT(ISBLANK(E581)),E581&lt;&gt;"(blank)"),IFERROR(IF(INDEX(HostBuild[],MATCH(E581,HostBuild[Alias],0),COLUMN(HostBuild[Status]))&lt;&gt;0,INDEX(HostBuild[],MATCH(E581,HostBuild[Alias],0),COLUMN(HostBuild[Status])),""),""),"")</f>
        <v/>
      </c>
      <c r="C581" s="425" t="str">
        <f>IF(AND(NOT(ISBLANK(E581)),E581&lt;&gt;"(blank)"),IFERROR(IF(INDEX(HostBuild[],MATCH(E581,HostBuild[Alias],0),COLUMN(HostBuild[CTI Target Completion]))&lt;&gt;0,INDEX(HostBuild[],MATCH(E581,HostBuild[Alias],0),COLUMN(HostBuild[CTI Target Completion])),""),""),"")</f>
        <v/>
      </c>
      <c r="D581" s="262" t="str">
        <f>IF(AND(NOT(ISBLANK(E581)),E581&lt;&gt;"(blank)"),IFERROR(IF(INDEX(HostBuild[],MATCH(E581,HostBuild[Alias],0),COLUMN(HostBuild[Description]))&lt;&gt;0,INDEX(HostBuild[],MATCH(E581,HostBuild[Alias],0),COLUMN(HostBuild[Description])),""),""),"")</f>
        <v/>
      </c>
    </row>
    <row r="582" spans="1:4">
      <c r="A582" s="3" t="str">
        <f>IF(AND(NOT(ISBLANK(E582)),E582&lt;&gt;"(blank)"),IFERROR(IF(INDEX(HostBuild[],MATCH(E582,HostBuild[Alias],0),COLUMN(HostBuild[Hostname]))&lt;&gt;0,INDEX(HostBuild[],MATCH(E582,HostBuild[Alias],0),COLUMN(HostBuild[Hostname])),""),""),"")</f>
        <v/>
      </c>
      <c r="B582" s="424" t="str">
        <f>IF(AND(NOT(ISBLANK(E582)),E582&lt;&gt;"(blank)"),IFERROR(IF(INDEX(HostBuild[],MATCH(E582,HostBuild[Alias],0),COLUMN(HostBuild[Status]))&lt;&gt;0,INDEX(HostBuild[],MATCH(E582,HostBuild[Alias],0),COLUMN(HostBuild[Status])),""),""),"")</f>
        <v/>
      </c>
      <c r="C582" s="425" t="str">
        <f>IF(AND(NOT(ISBLANK(E582)),E582&lt;&gt;"(blank)"),IFERROR(IF(INDEX(HostBuild[],MATCH(E582,HostBuild[Alias],0),COLUMN(HostBuild[CTI Target Completion]))&lt;&gt;0,INDEX(HostBuild[],MATCH(E582,HostBuild[Alias],0),COLUMN(HostBuild[CTI Target Completion])),""),""),"")</f>
        <v/>
      </c>
      <c r="D582" s="262" t="str">
        <f>IF(AND(NOT(ISBLANK(E582)),E582&lt;&gt;"(blank)"),IFERROR(IF(INDEX(HostBuild[],MATCH(E582,HostBuild[Alias],0),COLUMN(HostBuild[Description]))&lt;&gt;0,INDEX(HostBuild[],MATCH(E582,HostBuild[Alias],0),COLUMN(HostBuild[Description])),""),""),"")</f>
        <v/>
      </c>
    </row>
    <row r="583" spans="1:4">
      <c r="A583" s="3" t="str">
        <f>IF(AND(NOT(ISBLANK(E583)),E583&lt;&gt;"(blank)"),IFERROR(IF(INDEX(HostBuild[],MATCH(E583,HostBuild[Alias],0),COLUMN(HostBuild[Hostname]))&lt;&gt;0,INDEX(HostBuild[],MATCH(E583,HostBuild[Alias],0),COLUMN(HostBuild[Hostname])),""),""),"")</f>
        <v/>
      </c>
      <c r="B583" s="424" t="str">
        <f>IF(AND(NOT(ISBLANK(E583)),E583&lt;&gt;"(blank)"),IFERROR(IF(INDEX(HostBuild[],MATCH(E583,HostBuild[Alias],0),COLUMN(HostBuild[Status]))&lt;&gt;0,INDEX(HostBuild[],MATCH(E583,HostBuild[Alias],0),COLUMN(HostBuild[Status])),""),""),"")</f>
        <v/>
      </c>
      <c r="C583" s="425" t="str">
        <f>IF(AND(NOT(ISBLANK(E583)),E583&lt;&gt;"(blank)"),IFERROR(IF(INDEX(HostBuild[],MATCH(E583,HostBuild[Alias],0),COLUMN(HostBuild[CTI Target Completion]))&lt;&gt;0,INDEX(HostBuild[],MATCH(E583,HostBuild[Alias],0),COLUMN(HostBuild[CTI Target Completion])),""),""),"")</f>
        <v/>
      </c>
      <c r="D583" s="262" t="str">
        <f>IF(AND(NOT(ISBLANK(E583)),E583&lt;&gt;"(blank)"),IFERROR(IF(INDEX(HostBuild[],MATCH(E583,HostBuild[Alias],0),COLUMN(HostBuild[Description]))&lt;&gt;0,INDEX(HostBuild[],MATCH(E583,HostBuild[Alias],0),COLUMN(HostBuild[Description])),""),""),"")</f>
        <v/>
      </c>
    </row>
    <row r="584" spans="1:4">
      <c r="A584" s="3" t="str">
        <f>IF(AND(NOT(ISBLANK(E584)),E584&lt;&gt;"(blank)"),IFERROR(IF(INDEX(HostBuild[],MATCH(E584,HostBuild[Alias],0),COLUMN(HostBuild[Hostname]))&lt;&gt;0,INDEX(HostBuild[],MATCH(E584,HostBuild[Alias],0),COLUMN(HostBuild[Hostname])),""),""),"")</f>
        <v/>
      </c>
      <c r="B584" s="424" t="str">
        <f>IF(AND(NOT(ISBLANK(E584)),E584&lt;&gt;"(blank)"),IFERROR(IF(INDEX(HostBuild[],MATCH(E584,HostBuild[Alias],0),COLUMN(HostBuild[Status]))&lt;&gt;0,INDEX(HostBuild[],MATCH(E584,HostBuild[Alias],0),COLUMN(HostBuild[Status])),""),""),"")</f>
        <v/>
      </c>
      <c r="C584" s="425" t="str">
        <f>IF(AND(NOT(ISBLANK(E584)),E584&lt;&gt;"(blank)"),IFERROR(IF(INDEX(HostBuild[],MATCH(E584,HostBuild[Alias],0),COLUMN(HostBuild[CTI Target Completion]))&lt;&gt;0,INDEX(HostBuild[],MATCH(E584,HostBuild[Alias],0),COLUMN(HostBuild[CTI Target Completion])),""),""),"")</f>
        <v/>
      </c>
      <c r="D584" s="262" t="str">
        <f>IF(AND(NOT(ISBLANK(E584)),E584&lt;&gt;"(blank)"),IFERROR(IF(INDEX(HostBuild[],MATCH(E584,HostBuild[Alias],0),COLUMN(HostBuild[Description]))&lt;&gt;0,INDEX(HostBuild[],MATCH(E584,HostBuild[Alias],0),COLUMN(HostBuild[Description])),""),""),"")</f>
        <v/>
      </c>
    </row>
    <row r="585" spans="1:4">
      <c r="A585" s="3" t="str">
        <f>IF(AND(NOT(ISBLANK(E585)),E585&lt;&gt;"(blank)"),IFERROR(IF(INDEX(HostBuild[],MATCH(E585,HostBuild[Alias],0),COLUMN(HostBuild[Hostname]))&lt;&gt;0,INDEX(HostBuild[],MATCH(E585,HostBuild[Alias],0),COLUMN(HostBuild[Hostname])),""),""),"")</f>
        <v/>
      </c>
      <c r="B585" s="424" t="str">
        <f>IF(AND(NOT(ISBLANK(E585)),E585&lt;&gt;"(blank)"),IFERROR(IF(INDEX(HostBuild[],MATCH(E585,HostBuild[Alias],0),COLUMN(HostBuild[Status]))&lt;&gt;0,INDEX(HostBuild[],MATCH(E585,HostBuild[Alias],0),COLUMN(HostBuild[Status])),""),""),"")</f>
        <v/>
      </c>
      <c r="C585" s="425" t="str">
        <f>IF(AND(NOT(ISBLANK(E585)),E585&lt;&gt;"(blank)"),IFERROR(IF(INDEX(HostBuild[],MATCH(E585,HostBuild[Alias],0),COLUMN(HostBuild[CTI Target Completion]))&lt;&gt;0,INDEX(HostBuild[],MATCH(E585,HostBuild[Alias],0),COLUMN(HostBuild[CTI Target Completion])),""),""),"")</f>
        <v/>
      </c>
      <c r="D585" s="262" t="str">
        <f>IF(AND(NOT(ISBLANK(E585)),E585&lt;&gt;"(blank)"),IFERROR(IF(INDEX(HostBuild[],MATCH(E585,HostBuild[Alias],0),COLUMN(HostBuild[Description]))&lt;&gt;0,INDEX(HostBuild[],MATCH(E585,HostBuild[Alias],0),COLUMN(HostBuild[Description])),""),""),"")</f>
        <v/>
      </c>
    </row>
    <row r="586" spans="1:4">
      <c r="A586" s="3" t="str">
        <f>IF(AND(NOT(ISBLANK(E586)),E586&lt;&gt;"(blank)"),IFERROR(IF(INDEX(HostBuild[],MATCH(E586,HostBuild[Alias],0),COLUMN(HostBuild[Hostname]))&lt;&gt;0,INDEX(HostBuild[],MATCH(E586,HostBuild[Alias],0),COLUMN(HostBuild[Hostname])),""),""),"")</f>
        <v/>
      </c>
      <c r="B586" s="424" t="str">
        <f>IF(AND(NOT(ISBLANK(E586)),E586&lt;&gt;"(blank)"),IFERROR(IF(INDEX(HostBuild[],MATCH(E586,HostBuild[Alias],0),COLUMN(HostBuild[Status]))&lt;&gt;0,INDEX(HostBuild[],MATCH(E586,HostBuild[Alias],0),COLUMN(HostBuild[Status])),""),""),"")</f>
        <v/>
      </c>
      <c r="C586" s="425" t="str">
        <f>IF(AND(NOT(ISBLANK(E586)),E586&lt;&gt;"(blank)"),IFERROR(IF(INDEX(HostBuild[],MATCH(E586,HostBuild[Alias],0),COLUMN(HostBuild[CTI Target Completion]))&lt;&gt;0,INDEX(HostBuild[],MATCH(E586,HostBuild[Alias],0),COLUMN(HostBuild[CTI Target Completion])),""),""),"")</f>
        <v/>
      </c>
      <c r="D586" s="262" t="str">
        <f>IF(AND(NOT(ISBLANK(E586)),E586&lt;&gt;"(blank)"),IFERROR(IF(INDEX(HostBuild[],MATCH(E586,HostBuild[Alias],0),COLUMN(HostBuild[Description]))&lt;&gt;0,INDEX(HostBuild[],MATCH(E586,HostBuild[Alias],0),COLUMN(HostBuild[Description])),""),""),"")</f>
        <v/>
      </c>
    </row>
    <row r="587" spans="1:4">
      <c r="A587" s="3" t="str">
        <f>IF(AND(NOT(ISBLANK(E587)),E587&lt;&gt;"(blank)"),IFERROR(IF(INDEX(HostBuild[],MATCH(E587,HostBuild[Alias],0),COLUMN(HostBuild[Hostname]))&lt;&gt;0,INDEX(HostBuild[],MATCH(E587,HostBuild[Alias],0),COLUMN(HostBuild[Hostname])),""),""),"")</f>
        <v/>
      </c>
      <c r="B587" s="424" t="str">
        <f>IF(AND(NOT(ISBLANK(E587)),E587&lt;&gt;"(blank)"),IFERROR(IF(INDEX(HostBuild[],MATCH(E587,HostBuild[Alias],0),COLUMN(HostBuild[Status]))&lt;&gt;0,INDEX(HostBuild[],MATCH(E587,HostBuild[Alias],0),COLUMN(HostBuild[Status])),""),""),"")</f>
        <v/>
      </c>
      <c r="C587" s="425" t="str">
        <f>IF(AND(NOT(ISBLANK(E587)),E587&lt;&gt;"(blank)"),IFERROR(IF(INDEX(HostBuild[],MATCH(E587,HostBuild[Alias],0),COLUMN(HostBuild[CTI Target Completion]))&lt;&gt;0,INDEX(HostBuild[],MATCH(E587,HostBuild[Alias],0),COLUMN(HostBuild[CTI Target Completion])),""),""),"")</f>
        <v/>
      </c>
      <c r="D587" s="262" t="str">
        <f>IF(AND(NOT(ISBLANK(E587)),E587&lt;&gt;"(blank)"),IFERROR(IF(INDEX(HostBuild[],MATCH(E587,HostBuild[Alias],0),COLUMN(HostBuild[Description]))&lt;&gt;0,INDEX(HostBuild[],MATCH(E587,HostBuild[Alias],0),COLUMN(HostBuild[Description])),""),""),"")</f>
        <v/>
      </c>
    </row>
    <row r="588" spans="1:4">
      <c r="A588" s="3" t="str">
        <f>IF(AND(NOT(ISBLANK(E588)),E588&lt;&gt;"(blank)"),IFERROR(IF(INDEX(HostBuild[],MATCH(E588,HostBuild[Alias],0),COLUMN(HostBuild[Hostname]))&lt;&gt;0,INDEX(HostBuild[],MATCH(E588,HostBuild[Alias],0),COLUMN(HostBuild[Hostname])),""),""),"")</f>
        <v/>
      </c>
      <c r="B588" s="424" t="str">
        <f>IF(AND(NOT(ISBLANK(E588)),E588&lt;&gt;"(blank)"),IFERROR(IF(INDEX(HostBuild[],MATCH(E588,HostBuild[Alias],0),COLUMN(HostBuild[Status]))&lt;&gt;0,INDEX(HostBuild[],MATCH(E588,HostBuild[Alias],0),COLUMN(HostBuild[Status])),""),""),"")</f>
        <v/>
      </c>
      <c r="C588" s="425" t="str">
        <f>IF(AND(NOT(ISBLANK(E588)),E588&lt;&gt;"(blank)"),IFERROR(IF(INDEX(HostBuild[],MATCH(E588,HostBuild[Alias],0),COLUMN(HostBuild[CTI Target Completion]))&lt;&gt;0,INDEX(HostBuild[],MATCH(E588,HostBuild[Alias],0),COLUMN(HostBuild[CTI Target Completion])),""),""),"")</f>
        <v/>
      </c>
      <c r="D588" s="262" t="str">
        <f>IF(AND(NOT(ISBLANK(E588)),E588&lt;&gt;"(blank)"),IFERROR(IF(INDEX(HostBuild[],MATCH(E588,HostBuild[Alias],0),COLUMN(HostBuild[Description]))&lt;&gt;0,INDEX(HostBuild[],MATCH(E588,HostBuild[Alias],0),COLUMN(HostBuild[Description])),""),""),"")</f>
        <v/>
      </c>
    </row>
    <row r="589" spans="1:4">
      <c r="A589" s="3" t="str">
        <f>IF(AND(NOT(ISBLANK(E589)),E589&lt;&gt;"(blank)"),IFERROR(IF(INDEX(HostBuild[],MATCH(E589,HostBuild[Alias],0),COLUMN(HostBuild[Hostname]))&lt;&gt;0,INDEX(HostBuild[],MATCH(E589,HostBuild[Alias],0),COLUMN(HostBuild[Hostname])),""),""),"")</f>
        <v/>
      </c>
      <c r="B589" s="424" t="str">
        <f>IF(AND(NOT(ISBLANK(E589)),E589&lt;&gt;"(blank)"),IFERROR(IF(INDEX(HostBuild[],MATCH(E589,HostBuild[Alias],0),COLUMN(HostBuild[Status]))&lt;&gt;0,INDEX(HostBuild[],MATCH(E589,HostBuild[Alias],0),COLUMN(HostBuild[Status])),""),""),"")</f>
        <v/>
      </c>
      <c r="C589" s="425" t="str">
        <f>IF(AND(NOT(ISBLANK(E589)),E589&lt;&gt;"(blank)"),IFERROR(IF(INDEX(HostBuild[],MATCH(E589,HostBuild[Alias],0),COLUMN(HostBuild[CTI Target Completion]))&lt;&gt;0,INDEX(HostBuild[],MATCH(E589,HostBuild[Alias],0),COLUMN(HostBuild[CTI Target Completion])),""),""),"")</f>
        <v/>
      </c>
      <c r="D589" s="262" t="str">
        <f>IF(AND(NOT(ISBLANK(E589)),E589&lt;&gt;"(blank)"),IFERROR(IF(INDEX(HostBuild[],MATCH(E589,HostBuild[Alias],0),COLUMN(HostBuild[Description]))&lt;&gt;0,INDEX(HostBuild[],MATCH(E589,HostBuild[Alias],0),COLUMN(HostBuild[Description])),""),""),"")</f>
        <v/>
      </c>
    </row>
    <row r="590" spans="1:4">
      <c r="A590" s="3" t="str">
        <f>IF(AND(NOT(ISBLANK(E590)),E590&lt;&gt;"(blank)"),IFERROR(IF(INDEX(HostBuild[],MATCH(E590,HostBuild[Alias],0),COLUMN(HostBuild[Hostname]))&lt;&gt;0,INDEX(HostBuild[],MATCH(E590,HostBuild[Alias],0),COLUMN(HostBuild[Hostname])),""),""),"")</f>
        <v/>
      </c>
      <c r="B590" s="424" t="str">
        <f>IF(AND(NOT(ISBLANK(E590)),E590&lt;&gt;"(blank)"),IFERROR(IF(INDEX(HostBuild[],MATCH(E590,HostBuild[Alias],0),COLUMN(HostBuild[Status]))&lt;&gt;0,INDEX(HostBuild[],MATCH(E590,HostBuild[Alias],0),COLUMN(HostBuild[Status])),""),""),"")</f>
        <v/>
      </c>
      <c r="C590" s="425" t="str">
        <f>IF(AND(NOT(ISBLANK(E590)),E590&lt;&gt;"(blank)"),IFERROR(IF(INDEX(HostBuild[],MATCH(E590,HostBuild[Alias],0),COLUMN(HostBuild[CTI Target Completion]))&lt;&gt;0,INDEX(HostBuild[],MATCH(E590,HostBuild[Alias],0),COLUMN(HostBuild[CTI Target Completion])),""),""),"")</f>
        <v/>
      </c>
      <c r="D590" s="262" t="str">
        <f>IF(AND(NOT(ISBLANK(E590)),E590&lt;&gt;"(blank)"),IFERROR(IF(INDEX(HostBuild[],MATCH(E590,HostBuild[Alias],0),COLUMN(HostBuild[Description]))&lt;&gt;0,INDEX(HostBuild[],MATCH(E590,HostBuild[Alias],0),COLUMN(HostBuild[Description])),""),""),"")</f>
        <v/>
      </c>
    </row>
    <row r="591" spans="1:4">
      <c r="A591" s="3" t="str">
        <f>IF(AND(NOT(ISBLANK(E591)),E591&lt;&gt;"(blank)"),IFERROR(IF(INDEX(HostBuild[],MATCH(E591,HostBuild[Alias],0),COLUMN(HostBuild[Hostname]))&lt;&gt;0,INDEX(HostBuild[],MATCH(E591,HostBuild[Alias],0),COLUMN(HostBuild[Hostname])),""),""),"")</f>
        <v/>
      </c>
      <c r="B591" s="424" t="str">
        <f>IF(AND(NOT(ISBLANK(E591)),E591&lt;&gt;"(blank)"),IFERROR(IF(INDEX(HostBuild[],MATCH(E591,HostBuild[Alias],0),COLUMN(HostBuild[Status]))&lt;&gt;0,INDEX(HostBuild[],MATCH(E591,HostBuild[Alias],0),COLUMN(HostBuild[Status])),""),""),"")</f>
        <v/>
      </c>
      <c r="C591" s="425" t="str">
        <f>IF(AND(NOT(ISBLANK(E591)),E591&lt;&gt;"(blank)"),IFERROR(IF(INDEX(HostBuild[],MATCH(E591,HostBuild[Alias],0),COLUMN(HostBuild[CTI Target Completion]))&lt;&gt;0,INDEX(HostBuild[],MATCH(E591,HostBuild[Alias],0),COLUMN(HostBuild[CTI Target Completion])),""),""),"")</f>
        <v/>
      </c>
      <c r="D591" s="262" t="str">
        <f>IF(AND(NOT(ISBLANK(E591)),E591&lt;&gt;"(blank)"),IFERROR(IF(INDEX(HostBuild[],MATCH(E591,HostBuild[Alias],0),COLUMN(HostBuild[Description]))&lt;&gt;0,INDEX(HostBuild[],MATCH(E591,HostBuild[Alias],0),COLUMN(HostBuild[Description])),""),""),"")</f>
        <v/>
      </c>
    </row>
    <row r="592" spans="1:4">
      <c r="A592" s="3" t="str">
        <f>IF(AND(NOT(ISBLANK(E592)),E592&lt;&gt;"(blank)"),IFERROR(IF(INDEX(HostBuild[],MATCH(E592,HostBuild[Alias],0),COLUMN(HostBuild[Hostname]))&lt;&gt;0,INDEX(HostBuild[],MATCH(E592,HostBuild[Alias],0),COLUMN(HostBuild[Hostname])),""),""),"")</f>
        <v/>
      </c>
      <c r="B592" s="424" t="str">
        <f>IF(AND(NOT(ISBLANK(E592)),E592&lt;&gt;"(blank)"),IFERROR(IF(INDEX(HostBuild[],MATCH(E592,HostBuild[Alias],0),COLUMN(HostBuild[Status]))&lt;&gt;0,INDEX(HostBuild[],MATCH(E592,HostBuild[Alias],0),COLUMN(HostBuild[Status])),""),""),"")</f>
        <v/>
      </c>
      <c r="C592" s="425" t="str">
        <f>IF(AND(NOT(ISBLANK(E592)),E592&lt;&gt;"(blank)"),IFERROR(IF(INDEX(HostBuild[],MATCH(E592,HostBuild[Alias],0),COLUMN(HostBuild[CTI Target Completion]))&lt;&gt;0,INDEX(HostBuild[],MATCH(E592,HostBuild[Alias],0),COLUMN(HostBuild[CTI Target Completion])),""),""),"")</f>
        <v/>
      </c>
      <c r="D592" s="262" t="str">
        <f>IF(AND(NOT(ISBLANK(E592)),E592&lt;&gt;"(blank)"),IFERROR(IF(INDEX(HostBuild[],MATCH(E592,HostBuild[Alias],0),COLUMN(HostBuild[Description]))&lt;&gt;0,INDEX(HostBuild[],MATCH(E592,HostBuild[Alias],0),COLUMN(HostBuild[Description])),""),""),"")</f>
        <v/>
      </c>
    </row>
    <row r="593" spans="1:4">
      <c r="A593" s="3" t="str">
        <f>IF(AND(NOT(ISBLANK(E593)),E593&lt;&gt;"(blank)"),IFERROR(IF(INDEX(HostBuild[],MATCH(E593,HostBuild[Alias],0),COLUMN(HostBuild[Hostname]))&lt;&gt;0,INDEX(HostBuild[],MATCH(E593,HostBuild[Alias],0),COLUMN(HostBuild[Hostname])),""),""),"")</f>
        <v/>
      </c>
      <c r="B593" s="424" t="str">
        <f>IF(AND(NOT(ISBLANK(E593)),E593&lt;&gt;"(blank)"),IFERROR(IF(INDEX(HostBuild[],MATCH(E593,HostBuild[Alias],0),COLUMN(HostBuild[Status]))&lt;&gt;0,INDEX(HostBuild[],MATCH(E593,HostBuild[Alias],0),COLUMN(HostBuild[Status])),""),""),"")</f>
        <v/>
      </c>
      <c r="C593" s="425" t="str">
        <f>IF(AND(NOT(ISBLANK(E593)),E593&lt;&gt;"(blank)"),IFERROR(IF(INDEX(HostBuild[],MATCH(E593,HostBuild[Alias],0),COLUMN(HostBuild[CTI Target Completion]))&lt;&gt;0,INDEX(HostBuild[],MATCH(E593,HostBuild[Alias],0),COLUMN(HostBuild[CTI Target Completion])),""),""),"")</f>
        <v/>
      </c>
      <c r="D593" s="262" t="str">
        <f>IF(AND(NOT(ISBLANK(E593)),E593&lt;&gt;"(blank)"),IFERROR(IF(INDEX(HostBuild[],MATCH(E593,HostBuild[Alias],0),COLUMN(HostBuild[Description]))&lt;&gt;0,INDEX(HostBuild[],MATCH(E593,HostBuild[Alias],0),COLUMN(HostBuild[Description])),""),""),"")</f>
        <v/>
      </c>
    </row>
    <row r="594" spans="1:4">
      <c r="A594" s="3" t="str">
        <f>IF(AND(NOT(ISBLANK(E594)),E594&lt;&gt;"(blank)"),IFERROR(IF(INDEX(HostBuild[],MATCH(E594,HostBuild[Alias],0),COLUMN(HostBuild[Hostname]))&lt;&gt;0,INDEX(HostBuild[],MATCH(E594,HostBuild[Alias],0),COLUMN(HostBuild[Hostname])),""),""),"")</f>
        <v/>
      </c>
      <c r="B594" s="424" t="str">
        <f>IF(AND(NOT(ISBLANK(E594)),E594&lt;&gt;"(blank)"),IFERROR(IF(INDEX(HostBuild[],MATCH(E594,HostBuild[Alias],0),COLUMN(HostBuild[Status]))&lt;&gt;0,INDEX(HostBuild[],MATCH(E594,HostBuild[Alias],0),COLUMN(HostBuild[Status])),""),""),"")</f>
        <v/>
      </c>
      <c r="C594" s="425" t="str">
        <f>IF(AND(NOT(ISBLANK(E594)),E594&lt;&gt;"(blank)"),IFERROR(IF(INDEX(HostBuild[],MATCH(E594,HostBuild[Alias],0),COLUMN(HostBuild[CTI Target Completion]))&lt;&gt;0,INDEX(HostBuild[],MATCH(E594,HostBuild[Alias],0),COLUMN(HostBuild[CTI Target Completion])),""),""),"")</f>
        <v/>
      </c>
      <c r="D594" s="262" t="str">
        <f>IF(AND(NOT(ISBLANK(E594)),E594&lt;&gt;"(blank)"),IFERROR(IF(INDEX(HostBuild[],MATCH(E594,HostBuild[Alias],0),COLUMN(HostBuild[Description]))&lt;&gt;0,INDEX(HostBuild[],MATCH(E594,HostBuild[Alias],0),COLUMN(HostBuild[Description])),""),""),"")</f>
        <v/>
      </c>
    </row>
    <row r="595" spans="1:4">
      <c r="A595" s="3" t="str">
        <f>IF(AND(NOT(ISBLANK(E595)),E595&lt;&gt;"(blank)"),IFERROR(IF(INDEX(HostBuild[],MATCH(E595,HostBuild[Alias],0),COLUMN(HostBuild[Hostname]))&lt;&gt;0,INDEX(HostBuild[],MATCH(E595,HostBuild[Alias],0),COLUMN(HostBuild[Hostname])),""),""),"")</f>
        <v/>
      </c>
      <c r="B595" s="424" t="str">
        <f>IF(AND(NOT(ISBLANK(E595)),E595&lt;&gt;"(blank)"),IFERROR(IF(INDEX(HostBuild[],MATCH(E595,HostBuild[Alias],0),COLUMN(HostBuild[Status]))&lt;&gt;0,INDEX(HostBuild[],MATCH(E595,HostBuild[Alias],0),COLUMN(HostBuild[Status])),""),""),"")</f>
        <v/>
      </c>
      <c r="C595" s="425" t="str">
        <f>IF(AND(NOT(ISBLANK(E595)),E595&lt;&gt;"(blank)"),IFERROR(IF(INDEX(HostBuild[],MATCH(E595,HostBuild[Alias],0),COLUMN(HostBuild[CTI Target Completion]))&lt;&gt;0,INDEX(HostBuild[],MATCH(E595,HostBuild[Alias],0),COLUMN(HostBuild[CTI Target Completion])),""),""),"")</f>
        <v/>
      </c>
      <c r="D595" s="262" t="str">
        <f>IF(AND(NOT(ISBLANK(E595)),E595&lt;&gt;"(blank)"),IFERROR(IF(INDEX(HostBuild[],MATCH(E595,HostBuild[Alias],0),COLUMN(HostBuild[Description]))&lt;&gt;0,INDEX(HostBuild[],MATCH(E595,HostBuild[Alias],0),COLUMN(HostBuild[Description])),""),""),"")</f>
        <v/>
      </c>
    </row>
    <row r="596" spans="1:4">
      <c r="A596" s="3" t="str">
        <f>IF(AND(NOT(ISBLANK(E596)),E596&lt;&gt;"(blank)"),IFERROR(IF(INDEX(HostBuild[],MATCH(E596,HostBuild[Alias],0),COLUMN(HostBuild[Hostname]))&lt;&gt;0,INDEX(HostBuild[],MATCH(E596,HostBuild[Alias],0),COLUMN(HostBuild[Hostname])),""),""),"")</f>
        <v/>
      </c>
      <c r="B596" s="424" t="str">
        <f>IF(AND(NOT(ISBLANK(E596)),E596&lt;&gt;"(blank)"),IFERROR(IF(INDEX(HostBuild[],MATCH(E596,HostBuild[Alias],0),COLUMN(HostBuild[Status]))&lt;&gt;0,INDEX(HostBuild[],MATCH(E596,HostBuild[Alias],0),COLUMN(HostBuild[Status])),""),""),"")</f>
        <v/>
      </c>
      <c r="C596" s="425" t="str">
        <f>IF(AND(NOT(ISBLANK(E596)),E596&lt;&gt;"(blank)"),IFERROR(IF(INDEX(HostBuild[],MATCH(E596,HostBuild[Alias],0),COLUMN(HostBuild[CTI Target Completion]))&lt;&gt;0,INDEX(HostBuild[],MATCH(E596,HostBuild[Alias],0),COLUMN(HostBuild[CTI Target Completion])),""),""),"")</f>
        <v/>
      </c>
      <c r="D596" s="262" t="str">
        <f>IF(AND(NOT(ISBLANK(E596)),E596&lt;&gt;"(blank)"),IFERROR(IF(INDEX(HostBuild[],MATCH(E596,HostBuild[Alias],0),COLUMN(HostBuild[Description]))&lt;&gt;0,INDEX(HostBuild[],MATCH(E596,HostBuild[Alias],0),COLUMN(HostBuild[Description])),""),""),"")</f>
        <v/>
      </c>
    </row>
    <row r="597" spans="1:4">
      <c r="A597" s="3" t="str">
        <f>IF(AND(NOT(ISBLANK(E597)),E597&lt;&gt;"(blank)"),IFERROR(IF(INDEX(HostBuild[],MATCH(E597,HostBuild[Alias],0),COLUMN(HostBuild[Hostname]))&lt;&gt;0,INDEX(HostBuild[],MATCH(E597,HostBuild[Alias],0),COLUMN(HostBuild[Hostname])),""),""),"")</f>
        <v/>
      </c>
      <c r="B597" s="424" t="str">
        <f>IF(AND(NOT(ISBLANK(E597)),E597&lt;&gt;"(blank)"),IFERROR(IF(INDEX(HostBuild[],MATCH(E597,HostBuild[Alias],0),COLUMN(HostBuild[Status]))&lt;&gt;0,INDEX(HostBuild[],MATCH(E597,HostBuild[Alias],0),COLUMN(HostBuild[Status])),""),""),"")</f>
        <v/>
      </c>
      <c r="C597" s="425" t="str">
        <f>IF(AND(NOT(ISBLANK(E597)),E597&lt;&gt;"(blank)"),IFERROR(IF(INDEX(HostBuild[],MATCH(E597,HostBuild[Alias],0),COLUMN(HostBuild[CTI Target Completion]))&lt;&gt;0,INDEX(HostBuild[],MATCH(E597,HostBuild[Alias],0),COLUMN(HostBuild[CTI Target Completion])),""),""),"")</f>
        <v/>
      </c>
      <c r="D597" s="262" t="str">
        <f>IF(AND(NOT(ISBLANK(E597)),E597&lt;&gt;"(blank)"),IFERROR(IF(INDEX(HostBuild[],MATCH(E597,HostBuild[Alias],0),COLUMN(HostBuild[Description]))&lt;&gt;0,INDEX(HostBuild[],MATCH(E597,HostBuild[Alias],0),COLUMN(HostBuild[Description])),""),""),"")</f>
        <v/>
      </c>
    </row>
    <row r="598" spans="1:4">
      <c r="A598" s="3" t="str">
        <f>IF(AND(NOT(ISBLANK(E598)),E598&lt;&gt;"(blank)"),IFERROR(IF(INDEX(HostBuild[],MATCH(E598,HostBuild[Alias],0),COLUMN(HostBuild[Hostname]))&lt;&gt;0,INDEX(HostBuild[],MATCH(E598,HostBuild[Alias],0),COLUMN(HostBuild[Hostname])),""),""),"")</f>
        <v/>
      </c>
      <c r="B598" s="424" t="str">
        <f>IF(AND(NOT(ISBLANK(E598)),E598&lt;&gt;"(blank)"),IFERROR(IF(INDEX(HostBuild[],MATCH(E598,HostBuild[Alias],0),COLUMN(HostBuild[Status]))&lt;&gt;0,INDEX(HostBuild[],MATCH(E598,HostBuild[Alias],0),COLUMN(HostBuild[Status])),""),""),"")</f>
        <v/>
      </c>
      <c r="C598" s="425" t="str">
        <f>IF(AND(NOT(ISBLANK(E598)),E598&lt;&gt;"(blank)"),IFERROR(IF(INDEX(HostBuild[],MATCH(E598,HostBuild[Alias],0),COLUMN(HostBuild[CTI Target Completion]))&lt;&gt;0,INDEX(HostBuild[],MATCH(E598,HostBuild[Alias],0),COLUMN(HostBuild[CTI Target Completion])),""),""),"")</f>
        <v/>
      </c>
      <c r="D598" s="262" t="str">
        <f>IF(AND(NOT(ISBLANK(E598)),E598&lt;&gt;"(blank)"),IFERROR(IF(INDEX(HostBuild[],MATCH(E598,HostBuild[Alias],0),COLUMN(HostBuild[Description]))&lt;&gt;0,INDEX(HostBuild[],MATCH(E598,HostBuild[Alias],0),COLUMN(HostBuild[Description])),""),""),"")</f>
        <v/>
      </c>
    </row>
    <row r="599" spans="1:4">
      <c r="A599" s="3" t="str">
        <f>IF(AND(NOT(ISBLANK(E599)),E599&lt;&gt;"(blank)"),IFERROR(IF(INDEX(HostBuild[],MATCH(E599,HostBuild[Alias],0),COLUMN(HostBuild[Hostname]))&lt;&gt;0,INDEX(HostBuild[],MATCH(E599,HostBuild[Alias],0),COLUMN(HostBuild[Hostname])),""),""),"")</f>
        <v/>
      </c>
      <c r="B599" s="424" t="str">
        <f>IF(AND(NOT(ISBLANK(E599)),E599&lt;&gt;"(blank)"),IFERROR(IF(INDEX(HostBuild[],MATCH(E599,HostBuild[Alias],0),COLUMN(HostBuild[Status]))&lt;&gt;0,INDEX(HostBuild[],MATCH(E599,HostBuild[Alias],0),COLUMN(HostBuild[Status])),""),""),"")</f>
        <v/>
      </c>
      <c r="C599" s="425" t="str">
        <f>IF(AND(NOT(ISBLANK(E599)),E599&lt;&gt;"(blank)"),IFERROR(IF(INDEX(HostBuild[],MATCH(E599,HostBuild[Alias],0),COLUMN(HostBuild[CTI Target Completion]))&lt;&gt;0,INDEX(HostBuild[],MATCH(E599,HostBuild[Alias],0),COLUMN(HostBuild[CTI Target Completion])),""),""),"")</f>
        <v/>
      </c>
      <c r="D599" s="262" t="str">
        <f>IF(AND(NOT(ISBLANK(E599)),E599&lt;&gt;"(blank)"),IFERROR(IF(INDEX(HostBuild[],MATCH(E599,HostBuild[Alias],0),COLUMN(HostBuild[Description]))&lt;&gt;0,INDEX(HostBuild[],MATCH(E599,HostBuild[Alias],0),COLUMN(HostBuild[Description])),""),""),"")</f>
        <v/>
      </c>
    </row>
    <row r="600" spans="1:4">
      <c r="A600" s="3" t="str">
        <f>IF(AND(NOT(ISBLANK(E600)),E600&lt;&gt;"(blank)"),IFERROR(IF(INDEX(HostBuild[],MATCH(E600,HostBuild[Alias],0),COLUMN(HostBuild[Hostname]))&lt;&gt;0,INDEX(HostBuild[],MATCH(E600,HostBuild[Alias],0),COLUMN(HostBuild[Hostname])),""),""),"")</f>
        <v/>
      </c>
      <c r="B600" s="424" t="str">
        <f>IF(AND(NOT(ISBLANK(E600)),E600&lt;&gt;"(blank)"),IFERROR(IF(INDEX(HostBuild[],MATCH(E600,HostBuild[Alias],0),COLUMN(HostBuild[Status]))&lt;&gt;0,INDEX(HostBuild[],MATCH(E600,HostBuild[Alias],0),COLUMN(HostBuild[Status])),""),""),"")</f>
        <v/>
      </c>
      <c r="C600" s="425" t="str">
        <f>IF(AND(NOT(ISBLANK(E600)),E600&lt;&gt;"(blank)"),IFERROR(IF(INDEX(HostBuild[],MATCH(E600,HostBuild[Alias],0),COLUMN(HostBuild[CTI Target Completion]))&lt;&gt;0,INDEX(HostBuild[],MATCH(E600,HostBuild[Alias],0),COLUMN(HostBuild[CTI Target Completion])),""),""),"")</f>
        <v/>
      </c>
      <c r="D600" s="262" t="str">
        <f>IF(AND(NOT(ISBLANK(E600)),E600&lt;&gt;"(blank)"),IFERROR(IF(INDEX(HostBuild[],MATCH(E600,HostBuild[Alias],0),COLUMN(HostBuild[Description]))&lt;&gt;0,INDEX(HostBuild[],MATCH(E600,HostBuild[Alias],0),COLUMN(HostBuild[Description])),""),""),"")</f>
        <v/>
      </c>
    </row>
    <row r="601" spans="1:4">
      <c r="A601" s="3" t="str">
        <f>IF(AND(NOT(ISBLANK(E601)),E601&lt;&gt;"(blank)"),IFERROR(IF(INDEX(HostBuild[],MATCH(E601,HostBuild[Alias],0),COLUMN(HostBuild[Hostname]))&lt;&gt;0,INDEX(HostBuild[],MATCH(E601,HostBuild[Alias],0),COLUMN(HostBuild[Hostname])),""),""),"")</f>
        <v/>
      </c>
      <c r="B601" s="424" t="str">
        <f>IF(AND(NOT(ISBLANK(E601)),E601&lt;&gt;"(blank)"),IFERROR(IF(INDEX(HostBuild[],MATCH(E601,HostBuild[Alias],0),COLUMN(HostBuild[Status]))&lt;&gt;0,INDEX(HostBuild[],MATCH(E601,HostBuild[Alias],0),COLUMN(HostBuild[Status])),""),""),"")</f>
        <v/>
      </c>
      <c r="C601" s="425" t="str">
        <f>IF(AND(NOT(ISBLANK(E601)),E601&lt;&gt;"(blank)"),IFERROR(IF(INDEX(HostBuild[],MATCH(E601,HostBuild[Alias],0),COLUMN(HostBuild[CTI Target Completion]))&lt;&gt;0,INDEX(HostBuild[],MATCH(E601,HostBuild[Alias],0),COLUMN(HostBuild[CTI Target Completion])),""),""),"")</f>
        <v/>
      </c>
      <c r="D601" s="262" t="str">
        <f>IF(AND(NOT(ISBLANK(E601)),E601&lt;&gt;"(blank)"),IFERROR(IF(INDEX(HostBuild[],MATCH(E601,HostBuild[Alias],0),COLUMN(HostBuild[Description]))&lt;&gt;0,INDEX(HostBuild[],MATCH(E601,HostBuild[Alias],0),COLUMN(HostBuild[Description])),""),""),"")</f>
        <v/>
      </c>
    </row>
    <row r="602" spans="1:4">
      <c r="A602" s="3" t="str">
        <f>IF(AND(NOT(ISBLANK(E602)),E602&lt;&gt;"(blank)"),IFERROR(IF(INDEX(HostBuild[],MATCH(E602,HostBuild[Alias],0),COLUMN(HostBuild[Hostname]))&lt;&gt;0,INDEX(HostBuild[],MATCH(E602,HostBuild[Alias],0),COLUMN(HostBuild[Hostname])),""),""),"")</f>
        <v/>
      </c>
      <c r="B602" s="424" t="str">
        <f>IF(AND(NOT(ISBLANK(E602)),E602&lt;&gt;"(blank)"),IFERROR(IF(INDEX(HostBuild[],MATCH(E602,HostBuild[Alias],0),COLUMN(HostBuild[Status]))&lt;&gt;0,INDEX(HostBuild[],MATCH(E602,HostBuild[Alias],0),COLUMN(HostBuild[Status])),""),""),"")</f>
        <v/>
      </c>
      <c r="C602" s="425" t="str">
        <f>IF(AND(NOT(ISBLANK(E602)),E602&lt;&gt;"(blank)"),IFERROR(IF(INDEX(HostBuild[],MATCH(E602,HostBuild[Alias],0),COLUMN(HostBuild[CTI Target Completion]))&lt;&gt;0,INDEX(HostBuild[],MATCH(E602,HostBuild[Alias],0),COLUMN(HostBuild[CTI Target Completion])),""),""),"")</f>
        <v/>
      </c>
      <c r="D602" s="262" t="str">
        <f>IF(AND(NOT(ISBLANK(E602)),E602&lt;&gt;"(blank)"),IFERROR(IF(INDEX(HostBuild[],MATCH(E602,HostBuild[Alias],0),COLUMN(HostBuild[Description]))&lt;&gt;0,INDEX(HostBuild[],MATCH(E602,HostBuild[Alias],0),COLUMN(HostBuild[Description])),""),""),"")</f>
        <v/>
      </c>
    </row>
    <row r="603" spans="1:4">
      <c r="A603" s="3" t="str">
        <f>IF(AND(NOT(ISBLANK(E603)),E603&lt;&gt;"(blank)"),IFERROR(IF(INDEX(HostBuild[],MATCH(E603,HostBuild[Alias],0),COLUMN(HostBuild[Hostname]))&lt;&gt;0,INDEX(HostBuild[],MATCH(E603,HostBuild[Alias],0),COLUMN(HostBuild[Hostname])),""),""),"")</f>
        <v/>
      </c>
      <c r="B603" s="424" t="str">
        <f>IF(AND(NOT(ISBLANK(E603)),E603&lt;&gt;"(blank)"),IFERROR(IF(INDEX(HostBuild[],MATCH(E603,HostBuild[Alias],0),COLUMN(HostBuild[Status]))&lt;&gt;0,INDEX(HostBuild[],MATCH(E603,HostBuild[Alias],0),COLUMN(HostBuild[Status])),""),""),"")</f>
        <v/>
      </c>
      <c r="C603" s="425" t="str">
        <f>IF(AND(NOT(ISBLANK(E603)),E603&lt;&gt;"(blank)"),IFERROR(IF(INDEX(HostBuild[],MATCH(E603,HostBuild[Alias],0),COLUMN(HostBuild[CTI Target Completion]))&lt;&gt;0,INDEX(HostBuild[],MATCH(E603,HostBuild[Alias],0),COLUMN(HostBuild[CTI Target Completion])),""),""),"")</f>
        <v/>
      </c>
      <c r="D603" s="262" t="str">
        <f>IF(AND(NOT(ISBLANK(E603)),E603&lt;&gt;"(blank)"),IFERROR(IF(INDEX(HostBuild[],MATCH(E603,HostBuild[Alias],0),COLUMN(HostBuild[Description]))&lt;&gt;0,INDEX(HostBuild[],MATCH(E603,HostBuild[Alias],0),COLUMN(HostBuild[Description])),""),""),"")</f>
        <v/>
      </c>
    </row>
    <row r="604" spans="1:4">
      <c r="A604" s="3" t="str">
        <f>IF(AND(NOT(ISBLANK(E604)),E604&lt;&gt;"(blank)"),IFERROR(IF(INDEX(HostBuild[],MATCH(E604,HostBuild[Alias],0),COLUMN(HostBuild[Hostname]))&lt;&gt;0,INDEX(HostBuild[],MATCH(E604,HostBuild[Alias],0),COLUMN(HostBuild[Hostname])),""),""),"")</f>
        <v/>
      </c>
      <c r="B604" s="424" t="str">
        <f>IF(AND(NOT(ISBLANK(E604)),E604&lt;&gt;"(blank)"),IFERROR(IF(INDEX(HostBuild[],MATCH(E604,HostBuild[Alias],0),COLUMN(HostBuild[Status]))&lt;&gt;0,INDEX(HostBuild[],MATCH(E604,HostBuild[Alias],0),COLUMN(HostBuild[Status])),""),""),"")</f>
        <v/>
      </c>
      <c r="C604" s="425" t="str">
        <f>IF(AND(NOT(ISBLANK(E604)),E604&lt;&gt;"(blank)"),IFERROR(IF(INDEX(HostBuild[],MATCH(E604,HostBuild[Alias],0),COLUMN(HostBuild[CTI Target Completion]))&lt;&gt;0,INDEX(HostBuild[],MATCH(E604,HostBuild[Alias],0),COLUMN(HostBuild[CTI Target Completion])),""),""),"")</f>
        <v/>
      </c>
      <c r="D604" s="262" t="str">
        <f>IF(AND(NOT(ISBLANK(E604)),E604&lt;&gt;"(blank)"),IFERROR(IF(INDEX(HostBuild[],MATCH(E604,HostBuild[Alias],0),COLUMN(HostBuild[Description]))&lt;&gt;0,INDEX(HostBuild[],MATCH(E604,HostBuild[Alias],0),COLUMN(HostBuild[Description])),""),""),"")</f>
        <v/>
      </c>
    </row>
    <row r="605" spans="1:4">
      <c r="A605" s="3" t="str">
        <f>IF(AND(NOT(ISBLANK(E605)),E605&lt;&gt;"(blank)"),IFERROR(IF(INDEX(HostBuild[],MATCH(E605,HostBuild[Alias],0),COLUMN(HostBuild[Hostname]))&lt;&gt;0,INDEX(HostBuild[],MATCH(E605,HostBuild[Alias],0),COLUMN(HostBuild[Hostname])),""),""),"")</f>
        <v/>
      </c>
      <c r="B605" s="424" t="str">
        <f>IF(AND(NOT(ISBLANK(E605)),E605&lt;&gt;"(blank)"),IFERROR(IF(INDEX(HostBuild[],MATCH(E605,HostBuild[Alias],0),COLUMN(HostBuild[Status]))&lt;&gt;0,INDEX(HostBuild[],MATCH(E605,HostBuild[Alias],0),COLUMN(HostBuild[Status])),""),""),"")</f>
        <v/>
      </c>
      <c r="C605" s="425" t="str">
        <f>IF(AND(NOT(ISBLANK(E605)),E605&lt;&gt;"(blank)"),IFERROR(IF(INDEX(HostBuild[],MATCH(E605,HostBuild[Alias],0),COLUMN(HostBuild[CTI Target Completion]))&lt;&gt;0,INDEX(HostBuild[],MATCH(E605,HostBuild[Alias],0),COLUMN(HostBuild[CTI Target Completion])),""),""),"")</f>
        <v/>
      </c>
      <c r="D605" s="262" t="str">
        <f>IF(AND(NOT(ISBLANK(E605)),E605&lt;&gt;"(blank)"),IFERROR(IF(INDEX(HostBuild[],MATCH(E605,HostBuild[Alias],0),COLUMN(HostBuild[Description]))&lt;&gt;0,INDEX(HostBuild[],MATCH(E605,HostBuild[Alias],0),COLUMN(HostBuild[Description])),""),""),"")</f>
        <v/>
      </c>
    </row>
    <row r="606" spans="1:4">
      <c r="A606" s="3" t="str">
        <f>IF(AND(NOT(ISBLANK(E606)),E606&lt;&gt;"(blank)"),IFERROR(IF(INDEX(HostBuild[],MATCH(E606,HostBuild[Alias],0),COLUMN(HostBuild[Hostname]))&lt;&gt;0,INDEX(HostBuild[],MATCH(E606,HostBuild[Alias],0),COLUMN(HostBuild[Hostname])),""),""),"")</f>
        <v/>
      </c>
      <c r="B606" s="424" t="str">
        <f>IF(AND(NOT(ISBLANK(E606)),E606&lt;&gt;"(blank)"),IFERROR(IF(INDEX(HostBuild[],MATCH(E606,HostBuild[Alias],0),COLUMN(HostBuild[Status]))&lt;&gt;0,INDEX(HostBuild[],MATCH(E606,HostBuild[Alias],0),COLUMN(HostBuild[Status])),""),""),"")</f>
        <v/>
      </c>
      <c r="C606" s="425" t="str">
        <f>IF(AND(NOT(ISBLANK(E606)),E606&lt;&gt;"(blank)"),IFERROR(IF(INDEX(HostBuild[],MATCH(E606,HostBuild[Alias],0),COLUMN(HostBuild[CTI Target Completion]))&lt;&gt;0,INDEX(HostBuild[],MATCH(E606,HostBuild[Alias],0),COLUMN(HostBuild[CTI Target Completion])),""),""),"")</f>
        <v/>
      </c>
      <c r="D606" s="262" t="str">
        <f>IF(AND(NOT(ISBLANK(E606)),E606&lt;&gt;"(blank)"),IFERROR(IF(INDEX(HostBuild[],MATCH(E606,HostBuild[Alias],0),COLUMN(HostBuild[Description]))&lt;&gt;0,INDEX(HostBuild[],MATCH(E606,HostBuild[Alias],0),COLUMN(HostBuild[Description])),""),""),"")</f>
        <v/>
      </c>
    </row>
    <row r="607" spans="1:4">
      <c r="A607" s="3" t="str">
        <f>IF(AND(NOT(ISBLANK(E607)),E607&lt;&gt;"(blank)"),IFERROR(IF(INDEX(HostBuild[],MATCH(E607,HostBuild[Alias],0),COLUMN(HostBuild[Hostname]))&lt;&gt;0,INDEX(HostBuild[],MATCH(E607,HostBuild[Alias],0),COLUMN(HostBuild[Hostname])),""),""),"")</f>
        <v/>
      </c>
      <c r="B607" s="424" t="str">
        <f>IF(AND(NOT(ISBLANK(E607)),E607&lt;&gt;"(blank)"),IFERROR(IF(INDEX(HostBuild[],MATCH(E607,HostBuild[Alias],0),COLUMN(HostBuild[Status]))&lt;&gt;0,INDEX(HostBuild[],MATCH(E607,HostBuild[Alias],0),COLUMN(HostBuild[Status])),""),""),"")</f>
        <v/>
      </c>
      <c r="C607" s="425" t="str">
        <f>IF(AND(NOT(ISBLANK(E607)),E607&lt;&gt;"(blank)"),IFERROR(IF(INDEX(HostBuild[],MATCH(E607,HostBuild[Alias],0),COLUMN(HostBuild[CTI Target Completion]))&lt;&gt;0,INDEX(HostBuild[],MATCH(E607,HostBuild[Alias],0),COLUMN(HostBuild[CTI Target Completion])),""),""),"")</f>
        <v/>
      </c>
      <c r="D607" s="262" t="str">
        <f>IF(AND(NOT(ISBLANK(E607)),E607&lt;&gt;"(blank)"),IFERROR(IF(INDEX(HostBuild[],MATCH(E607,HostBuild[Alias],0),COLUMN(HostBuild[Description]))&lt;&gt;0,INDEX(HostBuild[],MATCH(E607,HostBuild[Alias],0),COLUMN(HostBuild[Description])),""),""),"")</f>
        <v/>
      </c>
    </row>
    <row r="608" spans="1:4">
      <c r="A608" s="3" t="str">
        <f>IF(AND(NOT(ISBLANK(E608)),E608&lt;&gt;"(blank)"),IFERROR(IF(INDEX(HostBuild[],MATCH(E608,HostBuild[Alias],0),COLUMN(HostBuild[Hostname]))&lt;&gt;0,INDEX(HostBuild[],MATCH(E608,HostBuild[Alias],0),COLUMN(HostBuild[Hostname])),""),""),"")</f>
        <v/>
      </c>
      <c r="B608" s="424" t="str">
        <f>IF(AND(NOT(ISBLANK(E608)),E608&lt;&gt;"(blank)"),IFERROR(IF(INDEX(HostBuild[],MATCH(E608,HostBuild[Alias],0),COLUMN(HostBuild[Status]))&lt;&gt;0,INDEX(HostBuild[],MATCH(E608,HostBuild[Alias],0),COLUMN(HostBuild[Status])),""),""),"")</f>
        <v/>
      </c>
      <c r="C608" s="425" t="str">
        <f>IF(AND(NOT(ISBLANK(E608)),E608&lt;&gt;"(blank)"),IFERROR(IF(INDEX(HostBuild[],MATCH(E608,HostBuild[Alias],0),COLUMN(HostBuild[CTI Target Completion]))&lt;&gt;0,INDEX(HostBuild[],MATCH(E608,HostBuild[Alias],0),COLUMN(HostBuild[CTI Target Completion])),""),""),"")</f>
        <v/>
      </c>
      <c r="D608" s="262" t="str">
        <f>IF(AND(NOT(ISBLANK(E608)),E608&lt;&gt;"(blank)"),IFERROR(IF(INDEX(HostBuild[],MATCH(E608,HostBuild[Alias],0),COLUMN(HostBuild[Description]))&lt;&gt;0,INDEX(HostBuild[],MATCH(E608,HostBuild[Alias],0),COLUMN(HostBuild[Description])),""),""),"")</f>
        <v/>
      </c>
    </row>
    <row r="609" spans="1:4">
      <c r="A609" s="3" t="str">
        <f>IF(AND(NOT(ISBLANK(E609)),E609&lt;&gt;"(blank)"),IFERROR(IF(INDEX(HostBuild[],MATCH(E609,HostBuild[Alias],0),COLUMN(HostBuild[Hostname]))&lt;&gt;0,INDEX(HostBuild[],MATCH(E609,HostBuild[Alias],0),COLUMN(HostBuild[Hostname])),""),""),"")</f>
        <v/>
      </c>
      <c r="B609" s="424" t="str">
        <f>IF(AND(NOT(ISBLANK(E609)),E609&lt;&gt;"(blank)"),IFERROR(IF(INDEX(HostBuild[],MATCH(E609,HostBuild[Alias],0),COLUMN(HostBuild[Status]))&lt;&gt;0,INDEX(HostBuild[],MATCH(E609,HostBuild[Alias],0),COLUMN(HostBuild[Status])),""),""),"")</f>
        <v/>
      </c>
      <c r="C609" s="425" t="str">
        <f>IF(AND(NOT(ISBLANK(E609)),E609&lt;&gt;"(blank)"),IFERROR(IF(INDEX(HostBuild[],MATCH(E609,HostBuild[Alias],0),COLUMN(HostBuild[CTI Target Completion]))&lt;&gt;0,INDEX(HostBuild[],MATCH(E609,HostBuild[Alias],0),COLUMN(HostBuild[CTI Target Completion])),""),""),"")</f>
        <v/>
      </c>
      <c r="D609" s="262" t="str">
        <f>IF(AND(NOT(ISBLANK(E609)),E609&lt;&gt;"(blank)"),IFERROR(IF(INDEX(HostBuild[],MATCH(E609,HostBuild[Alias],0),COLUMN(HostBuild[Description]))&lt;&gt;0,INDEX(HostBuild[],MATCH(E609,HostBuild[Alias],0),COLUMN(HostBuild[Description])),""),""),"")</f>
        <v/>
      </c>
    </row>
    <row r="610" spans="1:4">
      <c r="A610" s="3" t="str">
        <f>IF(AND(NOT(ISBLANK(E610)),E610&lt;&gt;"(blank)"),IFERROR(IF(INDEX(HostBuild[],MATCH(E610,HostBuild[Alias],0),COLUMN(HostBuild[Hostname]))&lt;&gt;0,INDEX(HostBuild[],MATCH(E610,HostBuild[Alias],0),COLUMN(HostBuild[Hostname])),""),""),"")</f>
        <v/>
      </c>
      <c r="B610" s="424" t="str">
        <f>IF(AND(NOT(ISBLANK(E610)),E610&lt;&gt;"(blank)"),IFERROR(IF(INDEX(HostBuild[],MATCH(E610,HostBuild[Alias],0),COLUMN(HostBuild[Status]))&lt;&gt;0,INDEX(HostBuild[],MATCH(E610,HostBuild[Alias],0),COLUMN(HostBuild[Status])),""),""),"")</f>
        <v/>
      </c>
      <c r="C610" s="425" t="str">
        <f>IF(AND(NOT(ISBLANK(E610)),E610&lt;&gt;"(blank)"),IFERROR(IF(INDEX(HostBuild[],MATCH(E610,HostBuild[Alias],0),COLUMN(HostBuild[CTI Target Completion]))&lt;&gt;0,INDEX(HostBuild[],MATCH(E610,HostBuild[Alias],0),COLUMN(HostBuild[CTI Target Completion])),""),""),"")</f>
        <v/>
      </c>
      <c r="D610" s="262" t="str">
        <f>IF(AND(NOT(ISBLANK(E610)),E610&lt;&gt;"(blank)"),IFERROR(IF(INDEX(HostBuild[],MATCH(E610,HostBuild[Alias],0),COLUMN(HostBuild[Description]))&lt;&gt;0,INDEX(HostBuild[],MATCH(E610,HostBuild[Alias],0),COLUMN(HostBuild[Description])),""),""),"")</f>
        <v/>
      </c>
    </row>
    <row r="611" spans="1:4">
      <c r="A611" s="3" t="str">
        <f>IF(AND(NOT(ISBLANK(E611)),E611&lt;&gt;"(blank)"),IFERROR(IF(INDEX(HostBuild[],MATCH(E611,HostBuild[Alias],0),COLUMN(HostBuild[Hostname]))&lt;&gt;0,INDEX(HostBuild[],MATCH(E611,HostBuild[Alias],0),COLUMN(HostBuild[Hostname])),""),""),"")</f>
        <v/>
      </c>
      <c r="B611" s="424" t="str">
        <f>IF(AND(NOT(ISBLANK(E611)),E611&lt;&gt;"(blank)"),IFERROR(IF(INDEX(HostBuild[],MATCH(E611,HostBuild[Alias],0),COLUMN(HostBuild[Status]))&lt;&gt;0,INDEX(HostBuild[],MATCH(E611,HostBuild[Alias],0),COLUMN(HostBuild[Status])),""),""),"")</f>
        <v/>
      </c>
      <c r="C611" s="425" t="str">
        <f>IF(AND(NOT(ISBLANK(E611)),E611&lt;&gt;"(blank)"),IFERROR(IF(INDEX(HostBuild[],MATCH(E611,HostBuild[Alias],0),COLUMN(HostBuild[CTI Target Completion]))&lt;&gt;0,INDEX(HostBuild[],MATCH(E611,HostBuild[Alias],0),COLUMN(HostBuild[CTI Target Completion])),""),""),"")</f>
        <v/>
      </c>
      <c r="D611" s="262" t="str">
        <f>IF(AND(NOT(ISBLANK(E611)),E611&lt;&gt;"(blank)"),IFERROR(IF(INDEX(HostBuild[],MATCH(E611,HostBuild[Alias],0),COLUMN(HostBuild[Description]))&lt;&gt;0,INDEX(HostBuild[],MATCH(E611,HostBuild[Alias],0),COLUMN(HostBuild[Description])),""),""),"")</f>
        <v/>
      </c>
    </row>
    <row r="612" spans="1:4">
      <c r="A612" s="3" t="str">
        <f>IF(AND(NOT(ISBLANK(E612)),E612&lt;&gt;"(blank)"),IFERROR(IF(INDEX(HostBuild[],MATCH(E612,HostBuild[Alias],0),COLUMN(HostBuild[Hostname]))&lt;&gt;0,INDEX(HostBuild[],MATCH(E612,HostBuild[Alias],0),COLUMN(HostBuild[Hostname])),""),""),"")</f>
        <v/>
      </c>
      <c r="B612" s="424" t="str">
        <f>IF(AND(NOT(ISBLANK(E612)),E612&lt;&gt;"(blank)"),IFERROR(IF(INDEX(HostBuild[],MATCH(E612,HostBuild[Alias],0),COLUMN(HostBuild[Status]))&lt;&gt;0,INDEX(HostBuild[],MATCH(E612,HostBuild[Alias],0),COLUMN(HostBuild[Status])),""),""),"")</f>
        <v/>
      </c>
      <c r="C612" s="425" t="str">
        <f>IF(AND(NOT(ISBLANK(E612)),E612&lt;&gt;"(blank)"),IFERROR(IF(INDEX(HostBuild[],MATCH(E612,HostBuild[Alias],0),COLUMN(HostBuild[CTI Target Completion]))&lt;&gt;0,INDEX(HostBuild[],MATCH(E612,HostBuild[Alias],0),COLUMN(HostBuild[CTI Target Completion])),""),""),"")</f>
        <v/>
      </c>
      <c r="D612" s="262" t="str">
        <f>IF(AND(NOT(ISBLANK(E612)),E612&lt;&gt;"(blank)"),IFERROR(IF(INDEX(HostBuild[],MATCH(E612,HostBuild[Alias],0),COLUMN(HostBuild[Description]))&lt;&gt;0,INDEX(HostBuild[],MATCH(E612,HostBuild[Alias],0),COLUMN(HostBuild[Description])),""),""),"")</f>
        <v/>
      </c>
    </row>
    <row r="613" spans="1:4">
      <c r="A613" s="3" t="str">
        <f>IF(AND(NOT(ISBLANK(E613)),E613&lt;&gt;"(blank)"),IFERROR(IF(INDEX(HostBuild[],MATCH(E613,HostBuild[Alias],0),COLUMN(HostBuild[Hostname]))&lt;&gt;0,INDEX(HostBuild[],MATCH(E613,HostBuild[Alias],0),COLUMN(HostBuild[Hostname])),""),""),"")</f>
        <v/>
      </c>
      <c r="B613" s="424" t="str">
        <f>IF(AND(NOT(ISBLANK(E613)),E613&lt;&gt;"(blank)"),IFERROR(IF(INDEX(HostBuild[],MATCH(E613,HostBuild[Alias],0),COLUMN(HostBuild[Status]))&lt;&gt;0,INDEX(HostBuild[],MATCH(E613,HostBuild[Alias],0),COLUMN(HostBuild[Status])),""),""),"")</f>
        <v/>
      </c>
      <c r="C613" s="425" t="str">
        <f>IF(AND(NOT(ISBLANK(E613)),E613&lt;&gt;"(blank)"),IFERROR(IF(INDEX(HostBuild[],MATCH(E613,HostBuild[Alias],0),COLUMN(HostBuild[CTI Target Completion]))&lt;&gt;0,INDEX(HostBuild[],MATCH(E613,HostBuild[Alias],0),COLUMN(HostBuild[CTI Target Completion])),""),""),"")</f>
        <v/>
      </c>
      <c r="D613" s="262" t="str">
        <f>IF(AND(NOT(ISBLANK(E613)),E613&lt;&gt;"(blank)"),IFERROR(IF(INDEX(HostBuild[],MATCH(E613,HostBuild[Alias],0),COLUMN(HostBuild[Description]))&lt;&gt;0,INDEX(HostBuild[],MATCH(E613,HostBuild[Alias],0),COLUMN(HostBuild[Description])),""),""),"")</f>
        <v/>
      </c>
    </row>
    <row r="614" spans="1:4">
      <c r="A614" s="3" t="str">
        <f>IF(AND(NOT(ISBLANK(E614)),E614&lt;&gt;"(blank)"),IFERROR(IF(INDEX(HostBuild[],MATCH(E614,HostBuild[Alias],0),COLUMN(HostBuild[Hostname]))&lt;&gt;0,INDEX(HostBuild[],MATCH(E614,HostBuild[Alias],0),COLUMN(HostBuild[Hostname])),""),""),"")</f>
        <v/>
      </c>
      <c r="B614" s="424" t="str">
        <f>IF(AND(NOT(ISBLANK(E614)),E614&lt;&gt;"(blank)"),IFERROR(IF(INDEX(HostBuild[],MATCH(E614,HostBuild[Alias],0),COLUMN(HostBuild[Status]))&lt;&gt;0,INDEX(HostBuild[],MATCH(E614,HostBuild[Alias],0),COLUMN(HostBuild[Status])),""),""),"")</f>
        <v/>
      </c>
      <c r="C614" s="425" t="str">
        <f>IF(AND(NOT(ISBLANK(E614)),E614&lt;&gt;"(blank)"),IFERROR(IF(INDEX(HostBuild[],MATCH(E614,HostBuild[Alias],0),COLUMN(HostBuild[CTI Target Completion]))&lt;&gt;0,INDEX(HostBuild[],MATCH(E614,HostBuild[Alias],0),COLUMN(HostBuild[CTI Target Completion])),""),""),"")</f>
        <v/>
      </c>
      <c r="D614" s="262" t="str">
        <f>IF(AND(NOT(ISBLANK(E614)),E614&lt;&gt;"(blank)"),IFERROR(IF(INDEX(HostBuild[],MATCH(E614,HostBuild[Alias],0),COLUMN(HostBuild[Description]))&lt;&gt;0,INDEX(HostBuild[],MATCH(E614,HostBuild[Alias],0),COLUMN(HostBuild[Description])),""),""),"")</f>
        <v/>
      </c>
    </row>
    <row r="615" spans="1:4">
      <c r="A615" s="3" t="str">
        <f>IF(AND(NOT(ISBLANK(E615)),E615&lt;&gt;"(blank)"),IFERROR(IF(INDEX(HostBuild[],MATCH(E615,HostBuild[Alias],0),COLUMN(HostBuild[Hostname]))&lt;&gt;0,INDEX(HostBuild[],MATCH(E615,HostBuild[Alias],0),COLUMN(HostBuild[Hostname])),""),""),"")</f>
        <v/>
      </c>
      <c r="B615" s="424" t="str">
        <f>IF(AND(NOT(ISBLANK(E615)),E615&lt;&gt;"(blank)"),IFERROR(IF(INDEX(HostBuild[],MATCH(E615,HostBuild[Alias],0),COLUMN(HostBuild[Status]))&lt;&gt;0,INDEX(HostBuild[],MATCH(E615,HostBuild[Alias],0),COLUMN(HostBuild[Status])),""),""),"")</f>
        <v/>
      </c>
      <c r="C615" s="425" t="str">
        <f>IF(AND(NOT(ISBLANK(E615)),E615&lt;&gt;"(blank)"),IFERROR(IF(INDEX(HostBuild[],MATCH(E615,HostBuild[Alias],0),COLUMN(HostBuild[CTI Target Completion]))&lt;&gt;0,INDEX(HostBuild[],MATCH(E615,HostBuild[Alias],0),COLUMN(HostBuild[CTI Target Completion])),""),""),"")</f>
        <v/>
      </c>
      <c r="D615" s="262" t="str">
        <f>IF(AND(NOT(ISBLANK(E615)),E615&lt;&gt;"(blank)"),IFERROR(IF(INDEX(HostBuild[],MATCH(E615,HostBuild[Alias],0),COLUMN(HostBuild[Description]))&lt;&gt;0,INDEX(HostBuild[],MATCH(E615,HostBuild[Alias],0),COLUMN(HostBuild[Description])),""),""),"")</f>
        <v/>
      </c>
    </row>
    <row r="616" spans="1:4">
      <c r="A616" s="3" t="str">
        <f>IF(AND(NOT(ISBLANK(E616)),E616&lt;&gt;"(blank)"),IFERROR(IF(INDEX(HostBuild[],MATCH(E616,HostBuild[Alias],0),COLUMN(HostBuild[Hostname]))&lt;&gt;0,INDEX(HostBuild[],MATCH(E616,HostBuild[Alias],0),COLUMN(HostBuild[Hostname])),""),""),"")</f>
        <v/>
      </c>
      <c r="B616" s="424" t="str">
        <f>IF(AND(NOT(ISBLANK(E616)),E616&lt;&gt;"(blank)"),IFERROR(IF(INDEX(HostBuild[],MATCH(E616,HostBuild[Alias],0),COLUMN(HostBuild[Status]))&lt;&gt;0,INDEX(HostBuild[],MATCH(E616,HostBuild[Alias],0),COLUMN(HostBuild[Status])),""),""),"")</f>
        <v/>
      </c>
      <c r="C616" s="425" t="str">
        <f>IF(AND(NOT(ISBLANK(E616)),E616&lt;&gt;"(blank)"),IFERROR(IF(INDEX(HostBuild[],MATCH(E616,HostBuild[Alias],0),COLUMN(HostBuild[CTI Target Completion]))&lt;&gt;0,INDEX(HostBuild[],MATCH(E616,HostBuild[Alias],0),COLUMN(HostBuild[CTI Target Completion])),""),""),"")</f>
        <v/>
      </c>
      <c r="D616" s="262" t="str">
        <f>IF(AND(NOT(ISBLANK(E616)),E616&lt;&gt;"(blank)"),IFERROR(IF(INDEX(HostBuild[],MATCH(E616,HostBuild[Alias],0),COLUMN(HostBuild[Description]))&lt;&gt;0,INDEX(HostBuild[],MATCH(E616,HostBuild[Alias],0),COLUMN(HostBuild[Description])),""),""),"")</f>
        <v/>
      </c>
    </row>
    <row r="617" spans="1:4">
      <c r="A617" s="3" t="str">
        <f>IF(AND(NOT(ISBLANK(E617)),E617&lt;&gt;"(blank)"),IFERROR(IF(INDEX(HostBuild[],MATCH(E617,HostBuild[Alias],0),COLUMN(HostBuild[Hostname]))&lt;&gt;0,INDEX(HostBuild[],MATCH(E617,HostBuild[Alias],0),COLUMN(HostBuild[Hostname])),""),""),"")</f>
        <v/>
      </c>
      <c r="B617" s="424" t="str">
        <f>IF(AND(NOT(ISBLANK(E617)),E617&lt;&gt;"(blank)"),IFERROR(IF(INDEX(HostBuild[],MATCH(E617,HostBuild[Alias],0),COLUMN(HostBuild[Status]))&lt;&gt;0,INDEX(HostBuild[],MATCH(E617,HostBuild[Alias],0),COLUMN(HostBuild[Status])),""),""),"")</f>
        <v/>
      </c>
      <c r="C617" s="425" t="str">
        <f>IF(AND(NOT(ISBLANK(E617)),E617&lt;&gt;"(blank)"),IFERROR(IF(INDEX(HostBuild[],MATCH(E617,HostBuild[Alias],0),COLUMN(HostBuild[CTI Target Completion]))&lt;&gt;0,INDEX(HostBuild[],MATCH(E617,HostBuild[Alias],0),COLUMN(HostBuild[CTI Target Completion])),""),""),"")</f>
        <v/>
      </c>
      <c r="D617" s="262" t="str">
        <f>IF(AND(NOT(ISBLANK(E617)),E617&lt;&gt;"(blank)"),IFERROR(IF(INDEX(HostBuild[],MATCH(E617,HostBuild[Alias],0),COLUMN(HostBuild[Description]))&lt;&gt;0,INDEX(HostBuild[],MATCH(E617,HostBuild[Alias],0),COLUMN(HostBuild[Description])),""),""),"")</f>
        <v/>
      </c>
    </row>
    <row r="618" spans="1:4">
      <c r="A618" s="3" t="str">
        <f>IF(AND(NOT(ISBLANK(E618)),E618&lt;&gt;"(blank)"),IFERROR(IF(INDEX(HostBuild[],MATCH(E618,HostBuild[Alias],0),COLUMN(HostBuild[Hostname]))&lt;&gt;0,INDEX(HostBuild[],MATCH(E618,HostBuild[Alias],0),COLUMN(HostBuild[Hostname])),""),""),"")</f>
        <v/>
      </c>
      <c r="B618" s="424" t="str">
        <f>IF(AND(NOT(ISBLANK(E618)),E618&lt;&gt;"(blank)"),IFERROR(IF(INDEX(HostBuild[],MATCH(E618,HostBuild[Alias],0),COLUMN(HostBuild[Status]))&lt;&gt;0,INDEX(HostBuild[],MATCH(E618,HostBuild[Alias],0),COLUMN(HostBuild[Status])),""),""),"")</f>
        <v/>
      </c>
      <c r="C618" s="425" t="str">
        <f>IF(AND(NOT(ISBLANK(E618)),E618&lt;&gt;"(blank)"),IFERROR(IF(INDEX(HostBuild[],MATCH(E618,HostBuild[Alias],0),COLUMN(HostBuild[CTI Target Completion]))&lt;&gt;0,INDEX(HostBuild[],MATCH(E618,HostBuild[Alias],0),COLUMN(HostBuild[CTI Target Completion])),""),""),"")</f>
        <v/>
      </c>
      <c r="D618" s="262" t="str">
        <f>IF(AND(NOT(ISBLANK(E618)),E618&lt;&gt;"(blank)"),IFERROR(IF(INDEX(HostBuild[],MATCH(E618,HostBuild[Alias],0),COLUMN(HostBuild[Description]))&lt;&gt;0,INDEX(HostBuild[],MATCH(E618,HostBuild[Alias],0),COLUMN(HostBuild[Description])),""),""),"")</f>
        <v/>
      </c>
    </row>
    <row r="619" spans="1:4">
      <c r="A619" s="3" t="str">
        <f>IF(AND(NOT(ISBLANK(E619)),E619&lt;&gt;"(blank)"),IFERROR(IF(INDEX(HostBuild[],MATCH(E619,HostBuild[Alias],0),COLUMN(HostBuild[Hostname]))&lt;&gt;0,INDEX(HostBuild[],MATCH(E619,HostBuild[Alias],0),COLUMN(HostBuild[Hostname])),""),""),"")</f>
        <v/>
      </c>
      <c r="B619" s="424" t="str">
        <f>IF(AND(NOT(ISBLANK(E619)),E619&lt;&gt;"(blank)"),IFERROR(IF(INDEX(HostBuild[],MATCH(E619,HostBuild[Alias],0),COLUMN(HostBuild[Status]))&lt;&gt;0,INDEX(HostBuild[],MATCH(E619,HostBuild[Alias],0),COLUMN(HostBuild[Status])),""),""),"")</f>
        <v/>
      </c>
      <c r="C619" s="425" t="str">
        <f>IF(AND(NOT(ISBLANK(E619)),E619&lt;&gt;"(blank)"),IFERROR(IF(INDEX(HostBuild[],MATCH(E619,HostBuild[Alias],0),COLUMN(HostBuild[CTI Target Completion]))&lt;&gt;0,INDEX(HostBuild[],MATCH(E619,HostBuild[Alias],0),COLUMN(HostBuild[CTI Target Completion])),""),""),"")</f>
        <v/>
      </c>
      <c r="D619" s="262" t="str">
        <f>IF(AND(NOT(ISBLANK(E619)),E619&lt;&gt;"(blank)"),IFERROR(IF(INDEX(HostBuild[],MATCH(E619,HostBuild[Alias],0),COLUMN(HostBuild[Description]))&lt;&gt;0,INDEX(HostBuild[],MATCH(E619,HostBuild[Alias],0),COLUMN(HostBuild[Description])),""),""),"")</f>
        <v/>
      </c>
    </row>
    <row r="620" spans="1:4">
      <c r="A620" s="3" t="str">
        <f>IF(AND(NOT(ISBLANK(E620)),E620&lt;&gt;"(blank)"),IFERROR(IF(INDEX(HostBuild[],MATCH(E620,HostBuild[Alias],0),COLUMN(HostBuild[Hostname]))&lt;&gt;0,INDEX(HostBuild[],MATCH(E620,HostBuild[Alias],0),COLUMN(HostBuild[Hostname])),""),""),"")</f>
        <v/>
      </c>
      <c r="B620" s="424" t="str">
        <f>IF(AND(NOT(ISBLANK(E620)),E620&lt;&gt;"(blank)"),IFERROR(IF(INDEX(HostBuild[],MATCH(E620,HostBuild[Alias],0),COLUMN(HostBuild[Status]))&lt;&gt;0,INDEX(HostBuild[],MATCH(E620,HostBuild[Alias],0),COLUMN(HostBuild[Status])),""),""),"")</f>
        <v/>
      </c>
      <c r="C620" s="425" t="str">
        <f>IF(AND(NOT(ISBLANK(E620)),E620&lt;&gt;"(blank)"),IFERROR(IF(INDEX(HostBuild[],MATCH(E620,HostBuild[Alias],0),COLUMN(HostBuild[CTI Target Completion]))&lt;&gt;0,INDEX(HostBuild[],MATCH(E620,HostBuild[Alias],0),COLUMN(HostBuild[CTI Target Completion])),""),""),"")</f>
        <v/>
      </c>
      <c r="D620" s="262" t="str">
        <f>IF(AND(NOT(ISBLANK(E620)),E620&lt;&gt;"(blank)"),IFERROR(IF(INDEX(HostBuild[],MATCH(E620,HostBuild[Alias],0),COLUMN(HostBuild[Description]))&lt;&gt;0,INDEX(HostBuild[],MATCH(E620,HostBuild[Alias],0),COLUMN(HostBuild[Description])),""),""),"")</f>
        <v/>
      </c>
    </row>
    <row r="621" spans="1:4">
      <c r="A621" s="3" t="str">
        <f>IF(AND(NOT(ISBLANK(E621)),E621&lt;&gt;"(blank)"),IFERROR(IF(INDEX(HostBuild[],MATCH(E621,HostBuild[Alias],0),COLUMN(HostBuild[Hostname]))&lt;&gt;0,INDEX(HostBuild[],MATCH(E621,HostBuild[Alias],0),COLUMN(HostBuild[Hostname])),""),""),"")</f>
        <v/>
      </c>
      <c r="B621" s="424" t="str">
        <f>IF(AND(NOT(ISBLANK(E621)),E621&lt;&gt;"(blank)"),IFERROR(IF(INDEX(HostBuild[],MATCH(E621,HostBuild[Alias],0),COLUMN(HostBuild[Status]))&lt;&gt;0,INDEX(HostBuild[],MATCH(E621,HostBuild[Alias],0),COLUMN(HostBuild[Status])),""),""),"")</f>
        <v/>
      </c>
      <c r="C621" s="425" t="str">
        <f>IF(AND(NOT(ISBLANK(E621)),E621&lt;&gt;"(blank)"),IFERROR(IF(INDEX(HostBuild[],MATCH(E621,HostBuild[Alias],0),COLUMN(HostBuild[CTI Target Completion]))&lt;&gt;0,INDEX(HostBuild[],MATCH(E621,HostBuild[Alias],0),COLUMN(HostBuild[CTI Target Completion])),""),""),"")</f>
        <v/>
      </c>
      <c r="D621" s="262" t="str">
        <f>IF(AND(NOT(ISBLANK(E621)),E621&lt;&gt;"(blank)"),IFERROR(IF(INDEX(HostBuild[],MATCH(E621,HostBuild[Alias],0),COLUMN(HostBuild[Description]))&lt;&gt;0,INDEX(HostBuild[],MATCH(E621,HostBuild[Alias],0),COLUMN(HostBuild[Description])),""),""),"")</f>
        <v/>
      </c>
    </row>
    <row r="622" spans="1:4">
      <c r="A622" s="3" t="str">
        <f>IF(AND(NOT(ISBLANK(E622)),E622&lt;&gt;"(blank)"),IFERROR(IF(INDEX(HostBuild[],MATCH(E622,HostBuild[Alias],0),COLUMN(HostBuild[Hostname]))&lt;&gt;0,INDEX(HostBuild[],MATCH(E622,HostBuild[Alias],0),COLUMN(HostBuild[Hostname])),""),""),"")</f>
        <v/>
      </c>
      <c r="B622" s="424" t="str">
        <f>IF(AND(NOT(ISBLANK(E622)),E622&lt;&gt;"(blank)"),IFERROR(IF(INDEX(HostBuild[],MATCH(E622,HostBuild[Alias],0),COLUMN(HostBuild[Status]))&lt;&gt;0,INDEX(HostBuild[],MATCH(E622,HostBuild[Alias],0),COLUMN(HostBuild[Status])),""),""),"")</f>
        <v/>
      </c>
      <c r="C622" s="425" t="str">
        <f>IF(AND(NOT(ISBLANK(E622)),E622&lt;&gt;"(blank)"),IFERROR(IF(INDEX(HostBuild[],MATCH(E622,HostBuild[Alias],0),COLUMN(HostBuild[CTI Target Completion]))&lt;&gt;0,INDEX(HostBuild[],MATCH(E622,HostBuild[Alias],0),COLUMN(HostBuild[CTI Target Completion])),""),""),"")</f>
        <v/>
      </c>
      <c r="D622" s="262" t="str">
        <f>IF(AND(NOT(ISBLANK(E622)),E622&lt;&gt;"(blank)"),IFERROR(IF(INDEX(HostBuild[],MATCH(E622,HostBuild[Alias],0),COLUMN(HostBuild[Description]))&lt;&gt;0,INDEX(HostBuild[],MATCH(E622,HostBuild[Alias],0),COLUMN(HostBuild[Description])),""),""),"")</f>
        <v/>
      </c>
    </row>
    <row r="623" spans="1:4">
      <c r="A623" s="3" t="str">
        <f>IF(AND(NOT(ISBLANK(E623)),E623&lt;&gt;"(blank)"),IFERROR(IF(INDEX(HostBuild[],MATCH(E623,HostBuild[Alias],0),COLUMN(HostBuild[Hostname]))&lt;&gt;0,INDEX(HostBuild[],MATCH(E623,HostBuild[Alias],0),COLUMN(HostBuild[Hostname])),""),""),"")</f>
        <v/>
      </c>
      <c r="B623" s="424" t="str">
        <f>IF(AND(NOT(ISBLANK(E623)),E623&lt;&gt;"(blank)"),IFERROR(IF(INDEX(HostBuild[],MATCH(E623,HostBuild[Alias],0),COLUMN(HostBuild[Status]))&lt;&gt;0,INDEX(HostBuild[],MATCH(E623,HostBuild[Alias],0),COLUMN(HostBuild[Status])),""),""),"")</f>
        <v/>
      </c>
      <c r="C623" s="425" t="str">
        <f>IF(AND(NOT(ISBLANK(E623)),E623&lt;&gt;"(blank)"),IFERROR(IF(INDEX(HostBuild[],MATCH(E623,HostBuild[Alias],0),COLUMN(HostBuild[CTI Target Completion]))&lt;&gt;0,INDEX(HostBuild[],MATCH(E623,HostBuild[Alias],0),COLUMN(HostBuild[CTI Target Completion])),""),""),"")</f>
        <v/>
      </c>
      <c r="D623" s="262" t="str">
        <f>IF(AND(NOT(ISBLANK(E623)),E623&lt;&gt;"(blank)"),IFERROR(IF(INDEX(HostBuild[],MATCH(E623,HostBuild[Alias],0),COLUMN(HostBuild[Description]))&lt;&gt;0,INDEX(HostBuild[],MATCH(E623,HostBuild[Alias],0),COLUMN(HostBuild[Description])),""),""),"")</f>
        <v/>
      </c>
    </row>
    <row r="624" spans="1:4">
      <c r="A624" s="3" t="str">
        <f>IF(AND(NOT(ISBLANK(E624)),E624&lt;&gt;"(blank)"),IFERROR(IF(INDEX(HostBuild[],MATCH(E624,HostBuild[Alias],0),COLUMN(HostBuild[Hostname]))&lt;&gt;0,INDEX(HostBuild[],MATCH(E624,HostBuild[Alias],0),COLUMN(HostBuild[Hostname])),""),""),"")</f>
        <v/>
      </c>
      <c r="B624" s="424" t="str">
        <f>IF(AND(NOT(ISBLANK(E624)),E624&lt;&gt;"(blank)"),IFERROR(IF(INDEX(HostBuild[],MATCH(E624,HostBuild[Alias],0),COLUMN(HostBuild[Status]))&lt;&gt;0,INDEX(HostBuild[],MATCH(E624,HostBuild[Alias],0),COLUMN(HostBuild[Status])),""),""),"")</f>
        <v/>
      </c>
      <c r="C624" s="425" t="str">
        <f>IF(AND(NOT(ISBLANK(E624)),E624&lt;&gt;"(blank)"),IFERROR(IF(INDEX(HostBuild[],MATCH(E624,HostBuild[Alias],0),COLUMN(HostBuild[CTI Target Completion]))&lt;&gt;0,INDEX(HostBuild[],MATCH(E624,HostBuild[Alias],0),COLUMN(HostBuild[CTI Target Completion])),""),""),"")</f>
        <v/>
      </c>
      <c r="D624" s="262" t="str">
        <f>IF(AND(NOT(ISBLANK(E624)),E624&lt;&gt;"(blank)"),IFERROR(IF(INDEX(HostBuild[],MATCH(E624,HostBuild[Alias],0),COLUMN(HostBuild[Description]))&lt;&gt;0,INDEX(HostBuild[],MATCH(E624,HostBuild[Alias],0),COLUMN(HostBuild[Description])),""),""),"")</f>
        <v/>
      </c>
    </row>
    <row r="625" spans="1:4">
      <c r="A625" s="3" t="str">
        <f>IF(AND(NOT(ISBLANK(E625)),E625&lt;&gt;"(blank)"),IFERROR(IF(INDEX(HostBuild[],MATCH(E625,HostBuild[Alias],0),COLUMN(HostBuild[Hostname]))&lt;&gt;0,INDEX(HostBuild[],MATCH(E625,HostBuild[Alias],0),COLUMN(HostBuild[Hostname])),""),""),"")</f>
        <v/>
      </c>
      <c r="B625" s="424" t="str">
        <f>IF(AND(NOT(ISBLANK(E625)),E625&lt;&gt;"(blank)"),IFERROR(IF(INDEX(HostBuild[],MATCH(E625,HostBuild[Alias],0),COLUMN(HostBuild[Status]))&lt;&gt;0,INDEX(HostBuild[],MATCH(E625,HostBuild[Alias],0),COLUMN(HostBuild[Status])),""),""),"")</f>
        <v/>
      </c>
      <c r="C625" s="425" t="str">
        <f>IF(AND(NOT(ISBLANK(E625)),E625&lt;&gt;"(blank)"),IFERROR(IF(INDEX(HostBuild[],MATCH(E625,HostBuild[Alias],0),COLUMN(HostBuild[CTI Target Completion]))&lt;&gt;0,INDEX(HostBuild[],MATCH(E625,HostBuild[Alias],0),COLUMN(HostBuild[CTI Target Completion])),""),""),"")</f>
        <v/>
      </c>
      <c r="D625" s="262" t="str">
        <f>IF(AND(NOT(ISBLANK(E625)),E625&lt;&gt;"(blank)"),IFERROR(IF(INDEX(HostBuild[],MATCH(E625,HostBuild[Alias],0),COLUMN(HostBuild[Description]))&lt;&gt;0,INDEX(HostBuild[],MATCH(E625,HostBuild[Alias],0),COLUMN(HostBuild[Description])),""),""),"")</f>
        <v/>
      </c>
    </row>
    <row r="626" spans="1:4">
      <c r="A626" s="3" t="str">
        <f>IF(AND(NOT(ISBLANK(E626)),E626&lt;&gt;"(blank)"),IFERROR(IF(INDEX(HostBuild[],MATCH(E626,HostBuild[Alias],0),COLUMN(HostBuild[Hostname]))&lt;&gt;0,INDEX(HostBuild[],MATCH(E626,HostBuild[Alias],0),COLUMN(HostBuild[Hostname])),""),""),"")</f>
        <v/>
      </c>
      <c r="B626" s="424" t="str">
        <f>IF(AND(NOT(ISBLANK(E626)),E626&lt;&gt;"(blank)"),IFERROR(IF(INDEX(HostBuild[],MATCH(E626,HostBuild[Alias],0),COLUMN(HostBuild[Status]))&lt;&gt;0,INDEX(HostBuild[],MATCH(E626,HostBuild[Alias],0),COLUMN(HostBuild[Status])),""),""),"")</f>
        <v/>
      </c>
      <c r="C626" s="425" t="str">
        <f>IF(AND(NOT(ISBLANK(E626)),E626&lt;&gt;"(blank)"),IFERROR(IF(INDEX(HostBuild[],MATCH(E626,HostBuild[Alias],0),COLUMN(HostBuild[CTI Target Completion]))&lt;&gt;0,INDEX(HostBuild[],MATCH(E626,HostBuild[Alias],0),COLUMN(HostBuild[CTI Target Completion])),""),""),"")</f>
        <v/>
      </c>
      <c r="D626" s="262" t="str">
        <f>IF(AND(NOT(ISBLANK(E626)),E626&lt;&gt;"(blank)"),IFERROR(IF(INDEX(HostBuild[],MATCH(E626,HostBuild[Alias],0),COLUMN(HostBuild[Description]))&lt;&gt;0,INDEX(HostBuild[],MATCH(E626,HostBuild[Alias],0),COLUMN(HostBuild[Description])),""),""),"")</f>
        <v/>
      </c>
    </row>
    <row r="627" spans="1:4">
      <c r="A627" s="3" t="str">
        <f>IF(AND(NOT(ISBLANK(E627)),E627&lt;&gt;"(blank)"),IFERROR(IF(INDEX(HostBuild[],MATCH(E627,HostBuild[Alias],0),COLUMN(HostBuild[Hostname]))&lt;&gt;0,INDEX(HostBuild[],MATCH(E627,HostBuild[Alias],0),COLUMN(HostBuild[Hostname])),""),""),"")</f>
        <v/>
      </c>
      <c r="B627" s="424" t="str">
        <f>IF(AND(NOT(ISBLANK(E627)),E627&lt;&gt;"(blank)"),IFERROR(IF(INDEX(HostBuild[],MATCH(E627,HostBuild[Alias],0),COLUMN(HostBuild[Status]))&lt;&gt;0,INDEX(HostBuild[],MATCH(E627,HostBuild[Alias],0),COLUMN(HostBuild[Status])),""),""),"")</f>
        <v/>
      </c>
      <c r="C627" s="425" t="str">
        <f>IF(AND(NOT(ISBLANK(E627)),E627&lt;&gt;"(blank)"),IFERROR(IF(INDEX(HostBuild[],MATCH(E627,HostBuild[Alias],0),COLUMN(HostBuild[CTI Target Completion]))&lt;&gt;0,INDEX(HostBuild[],MATCH(E627,HostBuild[Alias],0),COLUMN(HostBuild[CTI Target Completion])),""),""),"")</f>
        <v/>
      </c>
      <c r="D627" s="262" t="str">
        <f>IF(AND(NOT(ISBLANK(E627)),E627&lt;&gt;"(blank)"),IFERROR(IF(INDEX(HostBuild[],MATCH(E627,HostBuild[Alias],0),COLUMN(HostBuild[Description]))&lt;&gt;0,INDEX(HostBuild[],MATCH(E627,HostBuild[Alias],0),COLUMN(HostBuild[Description])),""),""),"")</f>
        <v/>
      </c>
    </row>
    <row r="628" spans="1:4">
      <c r="A628" s="3" t="str">
        <f>IF(AND(NOT(ISBLANK(E628)),E628&lt;&gt;"(blank)"),IFERROR(IF(INDEX(HostBuild[],MATCH(E628,HostBuild[Alias],0),COLUMN(HostBuild[Hostname]))&lt;&gt;0,INDEX(HostBuild[],MATCH(E628,HostBuild[Alias],0),COLUMN(HostBuild[Hostname])),""),""),"")</f>
        <v/>
      </c>
      <c r="B628" s="424" t="str">
        <f>IF(AND(NOT(ISBLANK(E628)),E628&lt;&gt;"(blank)"),IFERROR(IF(INDEX(HostBuild[],MATCH(E628,HostBuild[Alias],0),COLUMN(HostBuild[Status]))&lt;&gt;0,INDEX(HostBuild[],MATCH(E628,HostBuild[Alias],0),COLUMN(HostBuild[Status])),""),""),"")</f>
        <v/>
      </c>
      <c r="C628" s="425" t="str">
        <f>IF(AND(NOT(ISBLANK(E628)),E628&lt;&gt;"(blank)"),IFERROR(IF(INDEX(HostBuild[],MATCH(E628,HostBuild[Alias],0),COLUMN(HostBuild[CTI Target Completion]))&lt;&gt;0,INDEX(HostBuild[],MATCH(E628,HostBuild[Alias],0),COLUMN(HostBuild[CTI Target Completion])),""),""),"")</f>
        <v/>
      </c>
      <c r="D628" s="262" t="str">
        <f>IF(AND(NOT(ISBLANK(E628)),E628&lt;&gt;"(blank)"),IFERROR(IF(INDEX(HostBuild[],MATCH(E628,HostBuild[Alias],0),COLUMN(HostBuild[Description]))&lt;&gt;0,INDEX(HostBuild[],MATCH(E628,HostBuild[Alias],0),COLUMN(HostBuild[Description])),""),""),"")</f>
        <v/>
      </c>
    </row>
    <row r="629" spans="1:4">
      <c r="A629" s="3" t="str">
        <f>IF(AND(NOT(ISBLANK(E629)),E629&lt;&gt;"(blank)"),IFERROR(IF(INDEX(HostBuild[],MATCH(E629,HostBuild[Alias],0),COLUMN(HostBuild[Hostname]))&lt;&gt;0,INDEX(HostBuild[],MATCH(E629,HostBuild[Alias],0),COLUMN(HostBuild[Hostname])),""),""),"")</f>
        <v/>
      </c>
      <c r="B629" s="424" t="str">
        <f>IF(AND(NOT(ISBLANK(E629)),E629&lt;&gt;"(blank)"),IFERROR(IF(INDEX(HostBuild[],MATCH(E629,HostBuild[Alias],0),COLUMN(HostBuild[Status]))&lt;&gt;0,INDEX(HostBuild[],MATCH(E629,HostBuild[Alias],0),COLUMN(HostBuild[Status])),""),""),"")</f>
        <v/>
      </c>
      <c r="C629" s="425" t="str">
        <f>IF(AND(NOT(ISBLANK(E629)),E629&lt;&gt;"(blank)"),IFERROR(IF(INDEX(HostBuild[],MATCH(E629,HostBuild[Alias],0),COLUMN(HostBuild[CTI Target Completion]))&lt;&gt;0,INDEX(HostBuild[],MATCH(E629,HostBuild[Alias],0),COLUMN(HostBuild[CTI Target Completion])),""),""),"")</f>
        <v/>
      </c>
      <c r="D629" s="262" t="str">
        <f>IF(AND(NOT(ISBLANK(E629)),E629&lt;&gt;"(blank)"),IFERROR(IF(INDEX(HostBuild[],MATCH(E629,HostBuild[Alias],0),COLUMN(HostBuild[Description]))&lt;&gt;0,INDEX(HostBuild[],MATCH(E629,HostBuild[Alias],0),COLUMN(HostBuild[Description])),""),""),"")</f>
        <v/>
      </c>
    </row>
    <row r="630" spans="1:4">
      <c r="A630" s="3" t="str">
        <f>IF(AND(NOT(ISBLANK(E630)),E630&lt;&gt;"(blank)"),IFERROR(IF(INDEX(HostBuild[],MATCH(E630,HostBuild[Alias],0),COLUMN(HostBuild[Hostname]))&lt;&gt;0,INDEX(HostBuild[],MATCH(E630,HostBuild[Alias],0),COLUMN(HostBuild[Hostname])),""),""),"")</f>
        <v/>
      </c>
      <c r="B630" s="424" t="str">
        <f>IF(AND(NOT(ISBLANK(E630)),E630&lt;&gt;"(blank)"),IFERROR(IF(INDEX(HostBuild[],MATCH(E630,HostBuild[Alias],0),COLUMN(HostBuild[Status]))&lt;&gt;0,INDEX(HostBuild[],MATCH(E630,HostBuild[Alias],0),COLUMN(HostBuild[Status])),""),""),"")</f>
        <v/>
      </c>
      <c r="C630" s="425" t="str">
        <f>IF(AND(NOT(ISBLANK(E630)),E630&lt;&gt;"(blank)"),IFERROR(IF(INDEX(HostBuild[],MATCH(E630,HostBuild[Alias],0),COLUMN(HostBuild[CTI Target Completion]))&lt;&gt;0,INDEX(HostBuild[],MATCH(E630,HostBuild[Alias],0),COLUMN(HostBuild[CTI Target Completion])),""),""),"")</f>
        <v/>
      </c>
      <c r="D630" s="262" t="str">
        <f>IF(AND(NOT(ISBLANK(E630)),E630&lt;&gt;"(blank)"),IFERROR(IF(INDEX(HostBuild[],MATCH(E630,HostBuild[Alias],0),COLUMN(HostBuild[Description]))&lt;&gt;0,INDEX(HostBuild[],MATCH(E630,HostBuild[Alias],0),COLUMN(HostBuild[Description])),""),""),"")</f>
        <v/>
      </c>
    </row>
    <row r="631" spans="1:4">
      <c r="A631" s="3" t="str">
        <f>IF(AND(NOT(ISBLANK(E631)),E631&lt;&gt;"(blank)"),IFERROR(IF(INDEX(HostBuild[],MATCH(E631,HostBuild[Alias],0),COLUMN(HostBuild[Hostname]))&lt;&gt;0,INDEX(HostBuild[],MATCH(E631,HostBuild[Alias],0),COLUMN(HostBuild[Hostname])),""),""),"")</f>
        <v/>
      </c>
      <c r="B631" s="424" t="str">
        <f>IF(AND(NOT(ISBLANK(E631)),E631&lt;&gt;"(blank)"),IFERROR(IF(INDEX(HostBuild[],MATCH(E631,HostBuild[Alias],0),COLUMN(HostBuild[Status]))&lt;&gt;0,INDEX(HostBuild[],MATCH(E631,HostBuild[Alias],0),COLUMN(HostBuild[Status])),""),""),"")</f>
        <v/>
      </c>
      <c r="C631" s="425" t="str">
        <f>IF(AND(NOT(ISBLANK(E631)),E631&lt;&gt;"(blank)"),IFERROR(IF(INDEX(HostBuild[],MATCH(E631,HostBuild[Alias],0),COLUMN(HostBuild[CTI Target Completion]))&lt;&gt;0,INDEX(HostBuild[],MATCH(E631,HostBuild[Alias],0),COLUMN(HostBuild[CTI Target Completion])),""),""),"")</f>
        <v/>
      </c>
      <c r="D631" s="262" t="str">
        <f>IF(AND(NOT(ISBLANK(E631)),E631&lt;&gt;"(blank)"),IFERROR(IF(INDEX(HostBuild[],MATCH(E631,HostBuild[Alias],0),COLUMN(HostBuild[Description]))&lt;&gt;0,INDEX(HostBuild[],MATCH(E631,HostBuild[Alias],0),COLUMN(HostBuild[Description])),""),""),"")</f>
        <v/>
      </c>
    </row>
    <row r="632" spans="1:4">
      <c r="A632" s="3" t="str">
        <f>IF(AND(NOT(ISBLANK(E632)),E632&lt;&gt;"(blank)"),IFERROR(IF(INDEX(HostBuild[],MATCH(E632,HostBuild[Alias],0),COLUMN(HostBuild[Hostname]))&lt;&gt;0,INDEX(HostBuild[],MATCH(E632,HostBuild[Alias],0),COLUMN(HostBuild[Hostname])),""),""),"")</f>
        <v/>
      </c>
      <c r="B632" s="424" t="str">
        <f>IF(AND(NOT(ISBLANK(E632)),E632&lt;&gt;"(blank)"),IFERROR(IF(INDEX(HostBuild[],MATCH(E632,HostBuild[Alias],0),COLUMN(HostBuild[Status]))&lt;&gt;0,INDEX(HostBuild[],MATCH(E632,HostBuild[Alias],0),COLUMN(HostBuild[Status])),""),""),"")</f>
        <v/>
      </c>
      <c r="C632" s="425" t="str">
        <f>IF(AND(NOT(ISBLANK(E632)),E632&lt;&gt;"(blank)"),IFERROR(IF(INDEX(HostBuild[],MATCH(E632,HostBuild[Alias],0),COLUMN(HostBuild[CTI Target Completion]))&lt;&gt;0,INDEX(HostBuild[],MATCH(E632,HostBuild[Alias],0),COLUMN(HostBuild[CTI Target Completion])),""),""),"")</f>
        <v/>
      </c>
      <c r="D632" s="262" t="str">
        <f>IF(AND(NOT(ISBLANK(E632)),E632&lt;&gt;"(blank)"),IFERROR(IF(INDEX(HostBuild[],MATCH(E632,HostBuild[Alias],0),COLUMN(HostBuild[Description]))&lt;&gt;0,INDEX(HostBuild[],MATCH(E632,HostBuild[Alias],0),COLUMN(HostBuild[Description])),""),""),"")</f>
        <v/>
      </c>
    </row>
    <row r="633" spans="1:4">
      <c r="A633" s="3" t="str">
        <f>IF(AND(NOT(ISBLANK(E633)),E633&lt;&gt;"(blank)"),IFERROR(IF(INDEX(HostBuild[],MATCH(E633,HostBuild[Alias],0),COLUMN(HostBuild[Hostname]))&lt;&gt;0,INDEX(HostBuild[],MATCH(E633,HostBuild[Alias],0),COLUMN(HostBuild[Hostname])),""),""),"")</f>
        <v/>
      </c>
      <c r="B633" s="424" t="str">
        <f>IF(AND(NOT(ISBLANK(E633)),E633&lt;&gt;"(blank)"),IFERROR(IF(INDEX(HostBuild[],MATCH(E633,HostBuild[Alias],0),COLUMN(HostBuild[Status]))&lt;&gt;0,INDEX(HostBuild[],MATCH(E633,HostBuild[Alias],0),COLUMN(HostBuild[Status])),""),""),"")</f>
        <v/>
      </c>
      <c r="C633" s="425" t="str">
        <f>IF(AND(NOT(ISBLANK(E633)),E633&lt;&gt;"(blank)"),IFERROR(IF(INDEX(HostBuild[],MATCH(E633,HostBuild[Alias],0),COLUMN(HostBuild[CTI Target Completion]))&lt;&gt;0,INDEX(HostBuild[],MATCH(E633,HostBuild[Alias],0),COLUMN(HostBuild[CTI Target Completion])),""),""),"")</f>
        <v/>
      </c>
      <c r="D633" s="262" t="str">
        <f>IF(AND(NOT(ISBLANK(E633)),E633&lt;&gt;"(blank)"),IFERROR(IF(INDEX(HostBuild[],MATCH(E633,HostBuild[Alias],0),COLUMN(HostBuild[Description]))&lt;&gt;0,INDEX(HostBuild[],MATCH(E633,HostBuild[Alias],0),COLUMN(HostBuild[Description])),""),""),"")</f>
        <v/>
      </c>
    </row>
    <row r="634" spans="1:4">
      <c r="A634" s="3" t="str">
        <f>IF(AND(NOT(ISBLANK(E634)),E634&lt;&gt;"(blank)"),IFERROR(IF(INDEX(HostBuild[],MATCH(E634,HostBuild[Alias],0),COLUMN(HostBuild[Hostname]))&lt;&gt;0,INDEX(HostBuild[],MATCH(E634,HostBuild[Alias],0),COLUMN(HostBuild[Hostname])),""),""),"")</f>
        <v/>
      </c>
      <c r="B634" s="424" t="str">
        <f>IF(AND(NOT(ISBLANK(E634)),E634&lt;&gt;"(blank)"),IFERROR(IF(INDEX(HostBuild[],MATCH(E634,HostBuild[Alias],0),COLUMN(HostBuild[Status]))&lt;&gt;0,INDEX(HostBuild[],MATCH(E634,HostBuild[Alias],0),COLUMN(HostBuild[Status])),""),""),"")</f>
        <v/>
      </c>
      <c r="C634" s="425" t="str">
        <f>IF(AND(NOT(ISBLANK(E634)),E634&lt;&gt;"(blank)"),IFERROR(IF(INDEX(HostBuild[],MATCH(E634,HostBuild[Alias],0),COLUMN(HostBuild[CTI Target Completion]))&lt;&gt;0,INDEX(HostBuild[],MATCH(E634,HostBuild[Alias],0),COLUMN(HostBuild[CTI Target Completion])),""),""),"")</f>
        <v/>
      </c>
      <c r="D634" s="262" t="str">
        <f>IF(AND(NOT(ISBLANK(E634)),E634&lt;&gt;"(blank)"),IFERROR(IF(INDEX(HostBuild[],MATCH(E634,HostBuild[Alias],0),COLUMN(HostBuild[Description]))&lt;&gt;0,INDEX(HostBuild[],MATCH(E634,HostBuild[Alias],0),COLUMN(HostBuild[Description])),""),""),"")</f>
        <v/>
      </c>
    </row>
    <row r="635" spans="1:4">
      <c r="A635" s="3" t="str">
        <f>IF(AND(NOT(ISBLANK(E635)),E635&lt;&gt;"(blank)"),IFERROR(IF(INDEX(HostBuild[],MATCH(E635,HostBuild[Alias],0),COLUMN(HostBuild[Hostname]))&lt;&gt;0,INDEX(HostBuild[],MATCH(E635,HostBuild[Alias],0),COLUMN(HostBuild[Hostname])),""),""),"")</f>
        <v/>
      </c>
      <c r="B635" s="424" t="str">
        <f>IF(AND(NOT(ISBLANK(E635)),E635&lt;&gt;"(blank)"),IFERROR(IF(INDEX(HostBuild[],MATCH(E635,HostBuild[Alias],0),COLUMN(HostBuild[Status]))&lt;&gt;0,INDEX(HostBuild[],MATCH(E635,HostBuild[Alias],0),COLUMN(HostBuild[Status])),""),""),"")</f>
        <v/>
      </c>
      <c r="C635" s="425" t="str">
        <f>IF(AND(NOT(ISBLANK(E635)),E635&lt;&gt;"(blank)"),IFERROR(IF(INDEX(HostBuild[],MATCH(E635,HostBuild[Alias],0),COLUMN(HostBuild[CTI Target Completion]))&lt;&gt;0,INDEX(HostBuild[],MATCH(E635,HostBuild[Alias],0),COLUMN(HostBuild[CTI Target Completion])),""),""),"")</f>
        <v/>
      </c>
      <c r="D635" s="262" t="str">
        <f>IF(AND(NOT(ISBLANK(E635)),E635&lt;&gt;"(blank)"),IFERROR(IF(INDEX(HostBuild[],MATCH(E635,HostBuild[Alias],0),COLUMN(HostBuild[Description]))&lt;&gt;0,INDEX(HostBuild[],MATCH(E635,HostBuild[Alias],0),COLUMN(HostBuild[Description])),""),""),"")</f>
        <v/>
      </c>
    </row>
    <row r="636" spans="1:4">
      <c r="A636" s="3" t="str">
        <f>IF(AND(NOT(ISBLANK(E636)),E636&lt;&gt;"(blank)"),IFERROR(IF(INDEX(HostBuild[],MATCH(E636,HostBuild[Alias],0),COLUMN(HostBuild[Hostname]))&lt;&gt;0,INDEX(HostBuild[],MATCH(E636,HostBuild[Alias],0),COLUMN(HostBuild[Hostname])),""),""),"")</f>
        <v/>
      </c>
      <c r="B636" s="424" t="str">
        <f>IF(AND(NOT(ISBLANK(E636)),E636&lt;&gt;"(blank)"),IFERROR(IF(INDEX(HostBuild[],MATCH(E636,HostBuild[Alias],0),COLUMN(HostBuild[Status]))&lt;&gt;0,INDEX(HostBuild[],MATCH(E636,HostBuild[Alias],0),COLUMN(HostBuild[Status])),""),""),"")</f>
        <v/>
      </c>
      <c r="C636" s="425" t="str">
        <f>IF(AND(NOT(ISBLANK(E636)),E636&lt;&gt;"(blank)"),IFERROR(IF(INDEX(HostBuild[],MATCH(E636,HostBuild[Alias],0),COLUMN(HostBuild[CTI Target Completion]))&lt;&gt;0,INDEX(HostBuild[],MATCH(E636,HostBuild[Alias],0),COLUMN(HostBuild[CTI Target Completion])),""),""),"")</f>
        <v/>
      </c>
      <c r="D636" s="262" t="str">
        <f>IF(AND(NOT(ISBLANK(E636)),E636&lt;&gt;"(blank)"),IFERROR(IF(INDEX(HostBuild[],MATCH(E636,HostBuild[Alias],0),COLUMN(HostBuild[Description]))&lt;&gt;0,INDEX(HostBuild[],MATCH(E636,HostBuild[Alias],0),COLUMN(HostBuild[Description])),""),""),"")</f>
        <v/>
      </c>
    </row>
    <row r="637" spans="1:4">
      <c r="A637" s="3" t="str">
        <f>IF(AND(NOT(ISBLANK(E637)),E637&lt;&gt;"(blank)"),IFERROR(IF(INDEX(HostBuild[],MATCH(E637,HostBuild[Alias],0),COLUMN(HostBuild[Hostname]))&lt;&gt;0,INDEX(HostBuild[],MATCH(E637,HostBuild[Alias],0),COLUMN(HostBuild[Hostname])),""),""),"")</f>
        <v/>
      </c>
      <c r="B637" s="424" t="str">
        <f>IF(AND(NOT(ISBLANK(E637)),E637&lt;&gt;"(blank)"),IFERROR(IF(INDEX(HostBuild[],MATCH(E637,HostBuild[Alias],0),COLUMN(HostBuild[Status]))&lt;&gt;0,INDEX(HostBuild[],MATCH(E637,HostBuild[Alias],0),COLUMN(HostBuild[Status])),""),""),"")</f>
        <v/>
      </c>
      <c r="C637" s="425" t="str">
        <f>IF(AND(NOT(ISBLANK(E637)),E637&lt;&gt;"(blank)"),IFERROR(IF(INDEX(HostBuild[],MATCH(E637,HostBuild[Alias],0),COLUMN(HostBuild[CTI Target Completion]))&lt;&gt;0,INDEX(HostBuild[],MATCH(E637,HostBuild[Alias],0),COLUMN(HostBuild[CTI Target Completion])),""),""),"")</f>
        <v/>
      </c>
      <c r="D637" s="262" t="str">
        <f>IF(AND(NOT(ISBLANK(E637)),E637&lt;&gt;"(blank)"),IFERROR(IF(INDEX(HostBuild[],MATCH(E637,HostBuild[Alias],0),COLUMN(HostBuild[Description]))&lt;&gt;0,INDEX(HostBuild[],MATCH(E637,HostBuild[Alias],0),COLUMN(HostBuild[Description])),""),""),"")</f>
        <v/>
      </c>
    </row>
    <row r="638" spans="1:4">
      <c r="A638" s="3" t="str">
        <f>IF(AND(NOT(ISBLANK(E638)),E638&lt;&gt;"(blank)"),IFERROR(IF(INDEX(HostBuild[],MATCH(E638,HostBuild[Alias],0),COLUMN(HostBuild[Hostname]))&lt;&gt;0,INDEX(HostBuild[],MATCH(E638,HostBuild[Alias],0),COLUMN(HostBuild[Hostname])),""),""),"")</f>
        <v/>
      </c>
      <c r="B638" s="424" t="str">
        <f>IF(AND(NOT(ISBLANK(E638)),E638&lt;&gt;"(blank)"),IFERROR(IF(INDEX(HostBuild[],MATCH(E638,HostBuild[Alias],0),COLUMN(HostBuild[Status]))&lt;&gt;0,INDEX(HostBuild[],MATCH(E638,HostBuild[Alias],0),COLUMN(HostBuild[Status])),""),""),"")</f>
        <v/>
      </c>
      <c r="C638" s="425" t="str">
        <f>IF(AND(NOT(ISBLANK(E638)),E638&lt;&gt;"(blank)"),IFERROR(IF(INDEX(HostBuild[],MATCH(E638,HostBuild[Alias],0),COLUMN(HostBuild[CTI Target Completion]))&lt;&gt;0,INDEX(HostBuild[],MATCH(E638,HostBuild[Alias],0),COLUMN(HostBuild[CTI Target Completion])),""),""),"")</f>
        <v/>
      </c>
      <c r="D638" s="262" t="str">
        <f>IF(AND(NOT(ISBLANK(E638)),E638&lt;&gt;"(blank)"),IFERROR(IF(INDEX(HostBuild[],MATCH(E638,HostBuild[Alias],0),COLUMN(HostBuild[Description]))&lt;&gt;0,INDEX(HostBuild[],MATCH(E638,HostBuild[Alias],0),COLUMN(HostBuild[Description])),""),""),"")</f>
        <v/>
      </c>
    </row>
    <row r="639" spans="1:4">
      <c r="A639" s="3" t="str">
        <f>IF(AND(NOT(ISBLANK(E639)),E639&lt;&gt;"(blank)"),IFERROR(IF(INDEX(HostBuild[],MATCH(E639,HostBuild[Alias],0),COLUMN(HostBuild[Hostname]))&lt;&gt;0,INDEX(HostBuild[],MATCH(E639,HostBuild[Alias],0),COLUMN(HostBuild[Hostname])),""),""),"")</f>
        <v/>
      </c>
      <c r="B639" s="424" t="str">
        <f>IF(AND(NOT(ISBLANK(E639)),E639&lt;&gt;"(blank)"),IFERROR(IF(INDEX(HostBuild[],MATCH(E639,HostBuild[Alias],0),COLUMN(HostBuild[Status]))&lt;&gt;0,INDEX(HostBuild[],MATCH(E639,HostBuild[Alias],0),COLUMN(HostBuild[Status])),""),""),"")</f>
        <v/>
      </c>
      <c r="C639" s="425" t="str">
        <f>IF(AND(NOT(ISBLANK(E639)),E639&lt;&gt;"(blank)"),IFERROR(IF(INDEX(HostBuild[],MATCH(E639,HostBuild[Alias],0),COLUMN(HostBuild[CTI Target Completion]))&lt;&gt;0,INDEX(HostBuild[],MATCH(E639,HostBuild[Alias],0),COLUMN(HostBuild[CTI Target Completion])),""),""),"")</f>
        <v/>
      </c>
      <c r="D639" s="262" t="str">
        <f>IF(AND(NOT(ISBLANK(E639)),E639&lt;&gt;"(blank)"),IFERROR(IF(INDEX(HostBuild[],MATCH(E639,HostBuild[Alias],0),COLUMN(HostBuild[Description]))&lt;&gt;0,INDEX(HostBuild[],MATCH(E639,HostBuild[Alias],0),COLUMN(HostBuild[Description])),""),""),"")</f>
        <v/>
      </c>
    </row>
    <row r="640" spans="1:4">
      <c r="A640" s="3" t="str">
        <f>IF(AND(NOT(ISBLANK(E640)),E640&lt;&gt;"(blank)"),IFERROR(IF(INDEX(HostBuild[],MATCH(E640,HostBuild[Alias],0),COLUMN(HostBuild[Hostname]))&lt;&gt;0,INDEX(HostBuild[],MATCH(E640,HostBuild[Alias],0),COLUMN(HostBuild[Hostname])),""),""),"")</f>
        <v/>
      </c>
      <c r="B640" s="424" t="str">
        <f>IF(AND(NOT(ISBLANK(E640)),E640&lt;&gt;"(blank)"),IFERROR(IF(INDEX(HostBuild[],MATCH(E640,HostBuild[Alias],0),COLUMN(HostBuild[Status]))&lt;&gt;0,INDEX(HostBuild[],MATCH(E640,HostBuild[Alias],0),COLUMN(HostBuild[Status])),""),""),"")</f>
        <v/>
      </c>
      <c r="C640" s="425" t="str">
        <f>IF(AND(NOT(ISBLANK(E640)),E640&lt;&gt;"(blank)"),IFERROR(IF(INDEX(HostBuild[],MATCH(E640,HostBuild[Alias],0),COLUMN(HostBuild[CTI Target Completion]))&lt;&gt;0,INDEX(HostBuild[],MATCH(E640,HostBuild[Alias],0),COLUMN(HostBuild[CTI Target Completion])),""),""),"")</f>
        <v/>
      </c>
      <c r="D640" s="262" t="str">
        <f>IF(AND(NOT(ISBLANK(E640)),E640&lt;&gt;"(blank)"),IFERROR(IF(INDEX(HostBuild[],MATCH(E640,HostBuild[Alias],0),COLUMN(HostBuild[Description]))&lt;&gt;0,INDEX(HostBuild[],MATCH(E640,HostBuild[Alias],0),COLUMN(HostBuild[Description])),""),""),"")</f>
        <v/>
      </c>
    </row>
    <row r="641" spans="1:4">
      <c r="A641" s="3" t="str">
        <f>IF(AND(NOT(ISBLANK(E641)),E641&lt;&gt;"(blank)"),IFERROR(IF(INDEX(HostBuild[],MATCH(E641,HostBuild[Alias],0),COLUMN(HostBuild[Hostname]))&lt;&gt;0,INDEX(HostBuild[],MATCH(E641,HostBuild[Alias],0),COLUMN(HostBuild[Hostname])),""),""),"")</f>
        <v/>
      </c>
      <c r="B641" s="424" t="str">
        <f>IF(AND(NOT(ISBLANK(E641)),E641&lt;&gt;"(blank)"),IFERROR(IF(INDEX(HostBuild[],MATCH(E641,HostBuild[Alias],0),COLUMN(HostBuild[Status]))&lt;&gt;0,INDEX(HostBuild[],MATCH(E641,HostBuild[Alias],0),COLUMN(HostBuild[Status])),""),""),"")</f>
        <v/>
      </c>
      <c r="C641" s="425" t="str">
        <f>IF(AND(NOT(ISBLANK(E641)),E641&lt;&gt;"(blank)"),IFERROR(IF(INDEX(HostBuild[],MATCH(E641,HostBuild[Alias],0),COLUMN(HostBuild[CTI Target Completion]))&lt;&gt;0,INDEX(HostBuild[],MATCH(E641,HostBuild[Alias],0),COLUMN(HostBuild[CTI Target Completion])),""),""),"")</f>
        <v/>
      </c>
      <c r="D641" s="262" t="str">
        <f>IF(AND(NOT(ISBLANK(E641)),E641&lt;&gt;"(blank)"),IFERROR(IF(INDEX(HostBuild[],MATCH(E641,HostBuild[Alias],0),COLUMN(HostBuild[Description]))&lt;&gt;0,INDEX(HostBuild[],MATCH(E641,HostBuild[Alias],0),COLUMN(HostBuild[Description])),""),""),"")</f>
        <v/>
      </c>
    </row>
    <row r="642" spans="1:4">
      <c r="A642" s="3" t="str">
        <f>IF(AND(NOT(ISBLANK(E642)),E642&lt;&gt;"(blank)"),IFERROR(IF(INDEX(HostBuild[],MATCH(E642,HostBuild[Alias],0),COLUMN(HostBuild[Hostname]))&lt;&gt;0,INDEX(HostBuild[],MATCH(E642,HostBuild[Alias],0),COLUMN(HostBuild[Hostname])),""),""),"")</f>
        <v/>
      </c>
      <c r="B642" s="424" t="str">
        <f>IF(AND(NOT(ISBLANK(E642)),E642&lt;&gt;"(blank)"),IFERROR(IF(INDEX(HostBuild[],MATCH(E642,HostBuild[Alias],0),COLUMN(HostBuild[Status]))&lt;&gt;0,INDEX(HostBuild[],MATCH(E642,HostBuild[Alias],0),COLUMN(HostBuild[Status])),""),""),"")</f>
        <v/>
      </c>
      <c r="C642" s="425" t="str">
        <f>IF(AND(NOT(ISBLANK(E642)),E642&lt;&gt;"(blank)"),IFERROR(IF(INDEX(HostBuild[],MATCH(E642,HostBuild[Alias],0),COLUMN(HostBuild[CTI Target Completion]))&lt;&gt;0,INDEX(HostBuild[],MATCH(E642,HostBuild[Alias],0),COLUMN(HostBuild[CTI Target Completion])),""),""),"")</f>
        <v/>
      </c>
      <c r="D642" s="262" t="str">
        <f>IF(AND(NOT(ISBLANK(E642)),E642&lt;&gt;"(blank)"),IFERROR(IF(INDEX(HostBuild[],MATCH(E642,HostBuild[Alias],0),COLUMN(HostBuild[Description]))&lt;&gt;0,INDEX(HostBuild[],MATCH(E642,HostBuild[Alias],0),COLUMN(HostBuild[Description])),""),""),"")</f>
        <v/>
      </c>
    </row>
    <row r="643" spans="1:4">
      <c r="A643" s="3" t="str">
        <f>IF(AND(NOT(ISBLANK(E643)),E643&lt;&gt;"(blank)"),IFERROR(IF(INDEX(HostBuild[],MATCH(E643,HostBuild[Alias],0),COLUMN(HostBuild[Hostname]))&lt;&gt;0,INDEX(HostBuild[],MATCH(E643,HostBuild[Alias],0),COLUMN(HostBuild[Hostname])),""),""),"")</f>
        <v/>
      </c>
      <c r="B643" s="424" t="str">
        <f>IF(AND(NOT(ISBLANK(E643)),E643&lt;&gt;"(blank)"),IFERROR(IF(INDEX(HostBuild[],MATCH(E643,HostBuild[Alias],0),COLUMN(HostBuild[Status]))&lt;&gt;0,INDEX(HostBuild[],MATCH(E643,HostBuild[Alias],0),COLUMN(HostBuild[Status])),""),""),"")</f>
        <v/>
      </c>
      <c r="C643" s="425" t="str">
        <f>IF(AND(NOT(ISBLANK(E643)),E643&lt;&gt;"(blank)"),IFERROR(IF(INDEX(HostBuild[],MATCH(E643,HostBuild[Alias],0),COLUMN(HostBuild[CTI Target Completion]))&lt;&gt;0,INDEX(HostBuild[],MATCH(E643,HostBuild[Alias],0),COLUMN(HostBuild[CTI Target Completion])),""),""),"")</f>
        <v/>
      </c>
      <c r="D643" s="262" t="str">
        <f>IF(AND(NOT(ISBLANK(E643)),E643&lt;&gt;"(blank)"),IFERROR(IF(INDEX(HostBuild[],MATCH(E643,HostBuild[Alias],0),COLUMN(HostBuild[Description]))&lt;&gt;0,INDEX(HostBuild[],MATCH(E643,HostBuild[Alias],0),COLUMN(HostBuild[Description])),""),""),"")</f>
        <v/>
      </c>
    </row>
    <row r="644" spans="1:4">
      <c r="A644" s="3" t="str">
        <f>IF(AND(NOT(ISBLANK(E644)),E644&lt;&gt;"(blank)"),IFERROR(IF(INDEX(HostBuild[],MATCH(E644,HostBuild[Alias],0),COLUMN(HostBuild[Hostname]))&lt;&gt;0,INDEX(HostBuild[],MATCH(E644,HostBuild[Alias],0),COLUMN(HostBuild[Hostname])),""),""),"")</f>
        <v/>
      </c>
      <c r="B644" s="424" t="str">
        <f>IF(AND(NOT(ISBLANK(E644)),E644&lt;&gt;"(blank)"),IFERROR(IF(INDEX(HostBuild[],MATCH(E644,HostBuild[Alias],0),COLUMN(HostBuild[Status]))&lt;&gt;0,INDEX(HostBuild[],MATCH(E644,HostBuild[Alias],0),COLUMN(HostBuild[Status])),""),""),"")</f>
        <v/>
      </c>
      <c r="C644" s="425" t="str">
        <f>IF(AND(NOT(ISBLANK(E644)),E644&lt;&gt;"(blank)"),IFERROR(IF(INDEX(HostBuild[],MATCH(E644,HostBuild[Alias],0),COLUMN(HostBuild[CTI Target Completion]))&lt;&gt;0,INDEX(HostBuild[],MATCH(E644,HostBuild[Alias],0),COLUMN(HostBuild[CTI Target Completion])),""),""),"")</f>
        <v/>
      </c>
      <c r="D644" s="262" t="str">
        <f>IF(AND(NOT(ISBLANK(E644)),E644&lt;&gt;"(blank)"),IFERROR(IF(INDEX(HostBuild[],MATCH(E644,HostBuild[Alias],0),COLUMN(HostBuild[Description]))&lt;&gt;0,INDEX(HostBuild[],MATCH(E644,HostBuild[Alias],0),COLUMN(HostBuild[Description])),""),""),"")</f>
        <v/>
      </c>
    </row>
    <row r="645" spans="1:4">
      <c r="A645" s="3" t="str">
        <f>IF(AND(NOT(ISBLANK(E645)),E645&lt;&gt;"(blank)"),IFERROR(IF(INDEX(HostBuild[],MATCH(E645,HostBuild[Alias],0),COLUMN(HostBuild[Hostname]))&lt;&gt;0,INDEX(HostBuild[],MATCH(E645,HostBuild[Alias],0),COLUMN(HostBuild[Hostname])),""),""),"")</f>
        <v/>
      </c>
      <c r="B645" s="424" t="str">
        <f>IF(AND(NOT(ISBLANK(E645)),E645&lt;&gt;"(blank)"),IFERROR(IF(INDEX(HostBuild[],MATCH(E645,HostBuild[Alias],0),COLUMN(HostBuild[Status]))&lt;&gt;0,INDEX(HostBuild[],MATCH(E645,HostBuild[Alias],0),COLUMN(HostBuild[Status])),""),""),"")</f>
        <v/>
      </c>
      <c r="C645" s="425" t="str">
        <f>IF(AND(NOT(ISBLANK(E645)),E645&lt;&gt;"(blank)"),IFERROR(IF(INDEX(HostBuild[],MATCH(E645,HostBuild[Alias],0),COLUMN(HostBuild[CTI Target Completion]))&lt;&gt;0,INDEX(HostBuild[],MATCH(E645,HostBuild[Alias],0),COLUMN(HostBuild[CTI Target Completion])),""),""),"")</f>
        <v/>
      </c>
      <c r="D645" s="262" t="str">
        <f>IF(AND(NOT(ISBLANK(E645)),E645&lt;&gt;"(blank)"),IFERROR(IF(INDEX(HostBuild[],MATCH(E645,HostBuild[Alias],0),COLUMN(HostBuild[Description]))&lt;&gt;0,INDEX(HostBuild[],MATCH(E645,HostBuild[Alias],0),COLUMN(HostBuild[Description])),""),""),"")</f>
        <v/>
      </c>
    </row>
    <row r="646" spans="1:4">
      <c r="A646" s="3" t="str">
        <f>IF(AND(NOT(ISBLANK(E646)),E646&lt;&gt;"(blank)"),IFERROR(IF(INDEX(HostBuild[],MATCH(E646,HostBuild[Alias],0),COLUMN(HostBuild[Hostname]))&lt;&gt;0,INDEX(HostBuild[],MATCH(E646,HostBuild[Alias],0),COLUMN(HostBuild[Hostname])),""),""),"")</f>
        <v/>
      </c>
      <c r="B646" s="424" t="str">
        <f>IF(AND(NOT(ISBLANK(E646)),E646&lt;&gt;"(blank)"),IFERROR(IF(INDEX(HostBuild[],MATCH(E646,HostBuild[Alias],0),COLUMN(HostBuild[Status]))&lt;&gt;0,INDEX(HostBuild[],MATCH(E646,HostBuild[Alias],0),COLUMN(HostBuild[Status])),""),""),"")</f>
        <v/>
      </c>
      <c r="C646" s="425" t="str">
        <f>IF(AND(NOT(ISBLANK(E646)),E646&lt;&gt;"(blank)"),IFERROR(IF(INDEX(HostBuild[],MATCH(E646,HostBuild[Alias],0),COLUMN(HostBuild[CTI Target Completion]))&lt;&gt;0,INDEX(HostBuild[],MATCH(E646,HostBuild[Alias],0),COLUMN(HostBuild[CTI Target Completion])),""),""),"")</f>
        <v/>
      </c>
      <c r="D646" s="262" t="str">
        <f>IF(AND(NOT(ISBLANK(E646)),E646&lt;&gt;"(blank)"),IFERROR(IF(INDEX(HostBuild[],MATCH(E646,HostBuild[Alias],0),COLUMN(HostBuild[Description]))&lt;&gt;0,INDEX(HostBuild[],MATCH(E646,HostBuild[Alias],0),COLUMN(HostBuild[Description])),""),""),"")</f>
        <v/>
      </c>
    </row>
    <row r="647" spans="1:4">
      <c r="A647" s="3" t="str">
        <f>IF(AND(NOT(ISBLANK(E647)),E647&lt;&gt;"(blank)"),IFERROR(IF(INDEX(HostBuild[],MATCH(E647,HostBuild[Alias],0),COLUMN(HostBuild[Hostname]))&lt;&gt;0,INDEX(HostBuild[],MATCH(E647,HostBuild[Alias],0),COLUMN(HostBuild[Hostname])),""),""),"")</f>
        <v/>
      </c>
      <c r="B647" s="424" t="str">
        <f>IF(AND(NOT(ISBLANK(E647)),E647&lt;&gt;"(blank)"),IFERROR(IF(INDEX(HostBuild[],MATCH(E647,HostBuild[Alias],0),COLUMN(HostBuild[Status]))&lt;&gt;0,INDEX(HostBuild[],MATCH(E647,HostBuild[Alias],0),COLUMN(HostBuild[Status])),""),""),"")</f>
        <v/>
      </c>
      <c r="C647" s="425" t="str">
        <f>IF(AND(NOT(ISBLANK(E647)),E647&lt;&gt;"(blank)"),IFERROR(IF(INDEX(HostBuild[],MATCH(E647,HostBuild[Alias],0),COLUMN(HostBuild[CTI Target Completion]))&lt;&gt;0,INDEX(HostBuild[],MATCH(E647,HostBuild[Alias],0),COLUMN(HostBuild[CTI Target Completion])),""),""),"")</f>
        <v/>
      </c>
      <c r="D647" s="262" t="str">
        <f>IF(AND(NOT(ISBLANK(E647)),E647&lt;&gt;"(blank)"),IFERROR(IF(INDEX(HostBuild[],MATCH(E647,HostBuild[Alias],0),COLUMN(HostBuild[Description]))&lt;&gt;0,INDEX(HostBuild[],MATCH(E647,HostBuild[Alias],0),COLUMN(HostBuild[Description])),""),""),"")</f>
        <v/>
      </c>
    </row>
    <row r="648" spans="1:4">
      <c r="A648" s="3" t="str">
        <f>IF(AND(NOT(ISBLANK(E648)),E648&lt;&gt;"(blank)"),IFERROR(IF(INDEX(HostBuild[],MATCH(E648,HostBuild[Alias],0),COLUMN(HostBuild[Hostname]))&lt;&gt;0,INDEX(HostBuild[],MATCH(E648,HostBuild[Alias],0),COLUMN(HostBuild[Hostname])),""),""),"")</f>
        <v/>
      </c>
      <c r="B648" s="424" t="str">
        <f>IF(AND(NOT(ISBLANK(E648)),E648&lt;&gt;"(blank)"),IFERROR(IF(INDEX(HostBuild[],MATCH(E648,HostBuild[Alias],0),COLUMN(HostBuild[Status]))&lt;&gt;0,INDEX(HostBuild[],MATCH(E648,HostBuild[Alias],0),COLUMN(HostBuild[Status])),""),""),"")</f>
        <v/>
      </c>
      <c r="C648" s="425" t="str">
        <f>IF(AND(NOT(ISBLANK(E648)),E648&lt;&gt;"(blank)"),IFERROR(IF(INDEX(HostBuild[],MATCH(E648,HostBuild[Alias],0),COLUMN(HostBuild[CTI Target Completion]))&lt;&gt;0,INDEX(HostBuild[],MATCH(E648,HostBuild[Alias],0),COLUMN(HostBuild[CTI Target Completion])),""),""),"")</f>
        <v/>
      </c>
      <c r="D648" s="262" t="str">
        <f>IF(AND(NOT(ISBLANK(E648)),E648&lt;&gt;"(blank)"),IFERROR(IF(INDEX(HostBuild[],MATCH(E648,HostBuild[Alias],0),COLUMN(HostBuild[Description]))&lt;&gt;0,INDEX(HostBuild[],MATCH(E648,HostBuild[Alias],0),COLUMN(HostBuild[Description])),""),""),"")</f>
        <v/>
      </c>
    </row>
    <row r="649" spans="1:4">
      <c r="A649" s="3" t="str">
        <f>IF(AND(NOT(ISBLANK(E649)),E649&lt;&gt;"(blank)"),IFERROR(IF(INDEX(HostBuild[],MATCH(E649,HostBuild[Alias],0),COLUMN(HostBuild[Hostname]))&lt;&gt;0,INDEX(HostBuild[],MATCH(E649,HostBuild[Alias],0),COLUMN(HostBuild[Hostname])),""),""),"")</f>
        <v/>
      </c>
      <c r="B649" s="424" t="str">
        <f>IF(AND(NOT(ISBLANK(E649)),E649&lt;&gt;"(blank)"),IFERROR(IF(INDEX(HostBuild[],MATCH(E649,HostBuild[Alias],0),COLUMN(HostBuild[Status]))&lt;&gt;0,INDEX(HostBuild[],MATCH(E649,HostBuild[Alias],0),COLUMN(HostBuild[Status])),""),""),"")</f>
        <v/>
      </c>
      <c r="C649" s="425" t="str">
        <f>IF(AND(NOT(ISBLANK(E649)),E649&lt;&gt;"(blank)"),IFERROR(IF(INDEX(HostBuild[],MATCH(E649,HostBuild[Alias],0),COLUMN(HostBuild[CTI Target Completion]))&lt;&gt;0,INDEX(HostBuild[],MATCH(E649,HostBuild[Alias],0),COLUMN(HostBuild[CTI Target Completion])),""),""),"")</f>
        <v/>
      </c>
      <c r="D649" s="262" t="str">
        <f>IF(AND(NOT(ISBLANK(E649)),E649&lt;&gt;"(blank)"),IFERROR(IF(INDEX(HostBuild[],MATCH(E649,HostBuild[Alias],0),COLUMN(HostBuild[Description]))&lt;&gt;0,INDEX(HostBuild[],MATCH(E649,HostBuild[Alias],0),COLUMN(HostBuild[Description])),""),""),"")</f>
        <v/>
      </c>
    </row>
    <row r="650" spans="1:4">
      <c r="A650" s="3" t="str">
        <f>IF(AND(NOT(ISBLANK(E650)),E650&lt;&gt;"(blank)"),IFERROR(IF(INDEX(HostBuild[],MATCH(E650,HostBuild[Alias],0),COLUMN(HostBuild[Hostname]))&lt;&gt;0,INDEX(HostBuild[],MATCH(E650,HostBuild[Alias],0),COLUMN(HostBuild[Hostname])),""),""),"")</f>
        <v/>
      </c>
      <c r="B650" s="424" t="str">
        <f>IF(AND(NOT(ISBLANK(E650)),E650&lt;&gt;"(blank)"),IFERROR(IF(INDEX(HostBuild[],MATCH(E650,HostBuild[Alias],0),COLUMN(HostBuild[Status]))&lt;&gt;0,INDEX(HostBuild[],MATCH(E650,HostBuild[Alias],0),COLUMN(HostBuild[Status])),""),""),"")</f>
        <v/>
      </c>
      <c r="C650" s="425" t="str">
        <f>IF(AND(NOT(ISBLANK(E650)),E650&lt;&gt;"(blank)"),IFERROR(IF(INDEX(HostBuild[],MATCH(E650,HostBuild[Alias],0),COLUMN(HostBuild[CTI Target Completion]))&lt;&gt;0,INDEX(HostBuild[],MATCH(E650,HostBuild[Alias],0),COLUMN(HostBuild[CTI Target Completion])),""),""),"")</f>
        <v/>
      </c>
      <c r="D650" s="262" t="str">
        <f>IF(AND(NOT(ISBLANK(E650)),E650&lt;&gt;"(blank)"),IFERROR(IF(INDEX(HostBuild[],MATCH(E650,HostBuild[Alias],0),COLUMN(HostBuild[Description]))&lt;&gt;0,INDEX(HostBuild[],MATCH(E650,HostBuild[Alias],0),COLUMN(HostBuild[Description])),""),""),"")</f>
        <v/>
      </c>
    </row>
    <row r="651" spans="1:4">
      <c r="A651" s="3" t="str">
        <f>IF(AND(NOT(ISBLANK(E651)),E651&lt;&gt;"(blank)"),IFERROR(IF(INDEX(HostBuild[],MATCH(E651,HostBuild[Alias],0),COLUMN(HostBuild[Hostname]))&lt;&gt;0,INDEX(HostBuild[],MATCH(E651,HostBuild[Alias],0),COLUMN(HostBuild[Hostname])),""),""),"")</f>
        <v/>
      </c>
      <c r="B651" s="424" t="str">
        <f>IF(AND(NOT(ISBLANK(E651)),E651&lt;&gt;"(blank)"),IFERROR(IF(INDEX(HostBuild[],MATCH(E651,HostBuild[Alias],0),COLUMN(HostBuild[Status]))&lt;&gt;0,INDEX(HostBuild[],MATCH(E651,HostBuild[Alias],0),COLUMN(HostBuild[Status])),""),""),"")</f>
        <v/>
      </c>
      <c r="C651" s="425" t="str">
        <f>IF(AND(NOT(ISBLANK(E651)),E651&lt;&gt;"(blank)"),IFERROR(IF(INDEX(HostBuild[],MATCH(E651,HostBuild[Alias],0),COLUMN(HostBuild[CTI Target Completion]))&lt;&gt;0,INDEX(HostBuild[],MATCH(E651,HostBuild[Alias],0),COLUMN(HostBuild[CTI Target Completion])),""),""),"")</f>
        <v/>
      </c>
      <c r="D651" s="262" t="str">
        <f>IF(AND(NOT(ISBLANK(E651)),E651&lt;&gt;"(blank)"),IFERROR(IF(INDEX(HostBuild[],MATCH(E651,HostBuild[Alias],0),COLUMN(HostBuild[Description]))&lt;&gt;0,INDEX(HostBuild[],MATCH(E651,HostBuild[Alias],0),COLUMN(HostBuild[Description])),""),""),"")</f>
        <v/>
      </c>
    </row>
    <row r="652" spans="1:4">
      <c r="A652" s="3" t="str">
        <f>IF(AND(NOT(ISBLANK(E652)),E652&lt;&gt;"(blank)"),IFERROR(IF(INDEX(HostBuild[],MATCH(E652,HostBuild[Alias],0),COLUMN(HostBuild[Hostname]))&lt;&gt;0,INDEX(HostBuild[],MATCH(E652,HostBuild[Alias],0),COLUMN(HostBuild[Hostname])),""),""),"")</f>
        <v/>
      </c>
      <c r="B652" s="424" t="str">
        <f>IF(AND(NOT(ISBLANK(E652)),E652&lt;&gt;"(blank)"),IFERROR(IF(INDEX(HostBuild[],MATCH(E652,HostBuild[Alias],0),COLUMN(HostBuild[Status]))&lt;&gt;0,INDEX(HostBuild[],MATCH(E652,HostBuild[Alias],0),COLUMN(HostBuild[Status])),""),""),"")</f>
        <v/>
      </c>
      <c r="C652" s="425" t="str">
        <f>IF(AND(NOT(ISBLANK(E652)),E652&lt;&gt;"(blank)"),IFERROR(IF(INDEX(HostBuild[],MATCH(E652,HostBuild[Alias],0),COLUMN(HostBuild[CTI Target Completion]))&lt;&gt;0,INDEX(HostBuild[],MATCH(E652,HostBuild[Alias],0),COLUMN(HostBuild[CTI Target Completion])),""),""),"")</f>
        <v/>
      </c>
      <c r="D652" s="262" t="str">
        <f>IF(AND(NOT(ISBLANK(E652)),E652&lt;&gt;"(blank)"),IFERROR(IF(INDEX(HostBuild[],MATCH(E652,HostBuild[Alias],0),COLUMN(HostBuild[Description]))&lt;&gt;0,INDEX(HostBuild[],MATCH(E652,HostBuild[Alias],0),COLUMN(HostBuild[Description])),""),""),"")</f>
        <v/>
      </c>
    </row>
    <row r="653" spans="1:4">
      <c r="A653" s="3" t="str">
        <f>IF(AND(NOT(ISBLANK(E653)),E653&lt;&gt;"(blank)"),IFERROR(IF(INDEX(HostBuild[],MATCH(E653,HostBuild[Alias],0),COLUMN(HostBuild[Hostname]))&lt;&gt;0,INDEX(HostBuild[],MATCH(E653,HostBuild[Alias],0),COLUMN(HostBuild[Hostname])),""),""),"")</f>
        <v/>
      </c>
      <c r="B653" s="424" t="str">
        <f>IF(AND(NOT(ISBLANK(E653)),E653&lt;&gt;"(blank)"),IFERROR(IF(INDEX(HostBuild[],MATCH(E653,HostBuild[Alias],0),COLUMN(HostBuild[Status]))&lt;&gt;0,INDEX(HostBuild[],MATCH(E653,HostBuild[Alias],0),COLUMN(HostBuild[Status])),""),""),"")</f>
        <v/>
      </c>
      <c r="C653" s="425" t="str">
        <f>IF(AND(NOT(ISBLANK(E653)),E653&lt;&gt;"(blank)"),IFERROR(IF(INDEX(HostBuild[],MATCH(E653,HostBuild[Alias],0),COLUMN(HostBuild[CTI Target Completion]))&lt;&gt;0,INDEX(HostBuild[],MATCH(E653,HostBuild[Alias],0),COLUMN(HostBuild[CTI Target Completion])),""),""),"")</f>
        <v/>
      </c>
      <c r="D653" s="262" t="str">
        <f>IF(AND(NOT(ISBLANK(E653)),E653&lt;&gt;"(blank)"),IFERROR(IF(INDEX(HostBuild[],MATCH(E653,HostBuild[Alias],0),COLUMN(HostBuild[Description]))&lt;&gt;0,INDEX(HostBuild[],MATCH(E653,HostBuild[Alias],0),COLUMN(HostBuild[Description])),""),""),"")</f>
        <v/>
      </c>
    </row>
    <row r="654" spans="1:4">
      <c r="A654" s="3" t="str">
        <f>IF(AND(NOT(ISBLANK(E654)),E654&lt;&gt;"(blank)"),IFERROR(IF(INDEX(HostBuild[],MATCH(E654,HostBuild[Alias],0),COLUMN(HostBuild[Hostname]))&lt;&gt;0,INDEX(HostBuild[],MATCH(E654,HostBuild[Alias],0),COLUMN(HostBuild[Hostname])),""),""),"")</f>
        <v/>
      </c>
      <c r="B654" s="424" t="str">
        <f>IF(AND(NOT(ISBLANK(E654)),E654&lt;&gt;"(blank)"),IFERROR(IF(INDEX(HostBuild[],MATCH(E654,HostBuild[Alias],0),COLUMN(HostBuild[Status]))&lt;&gt;0,INDEX(HostBuild[],MATCH(E654,HostBuild[Alias],0),COLUMN(HostBuild[Status])),""),""),"")</f>
        <v/>
      </c>
      <c r="C654" s="425" t="str">
        <f>IF(AND(NOT(ISBLANK(E654)),E654&lt;&gt;"(blank)"),IFERROR(IF(INDEX(HostBuild[],MATCH(E654,HostBuild[Alias],0),COLUMN(HostBuild[CTI Target Completion]))&lt;&gt;0,INDEX(HostBuild[],MATCH(E654,HostBuild[Alias],0),COLUMN(HostBuild[CTI Target Completion])),""),""),"")</f>
        <v/>
      </c>
      <c r="D654" s="262" t="str">
        <f>IF(AND(NOT(ISBLANK(E654)),E654&lt;&gt;"(blank)"),IFERROR(IF(INDEX(HostBuild[],MATCH(E654,HostBuild[Alias],0),COLUMN(HostBuild[Description]))&lt;&gt;0,INDEX(HostBuild[],MATCH(E654,HostBuild[Alias],0),COLUMN(HostBuild[Description])),""),""),"")</f>
        <v/>
      </c>
    </row>
    <row r="655" spans="1:4">
      <c r="A655" s="3" t="str">
        <f>IF(AND(NOT(ISBLANK(E655)),E655&lt;&gt;"(blank)"),IFERROR(IF(INDEX(HostBuild[],MATCH(E655,HostBuild[Alias],0),COLUMN(HostBuild[Hostname]))&lt;&gt;0,INDEX(HostBuild[],MATCH(E655,HostBuild[Alias],0),COLUMN(HostBuild[Hostname])),""),""),"")</f>
        <v/>
      </c>
      <c r="B655" s="424" t="str">
        <f>IF(AND(NOT(ISBLANK(E655)),E655&lt;&gt;"(blank)"),IFERROR(IF(INDEX(HostBuild[],MATCH(E655,HostBuild[Alias],0),COLUMN(HostBuild[Status]))&lt;&gt;0,INDEX(HostBuild[],MATCH(E655,HostBuild[Alias],0),COLUMN(HostBuild[Status])),""),""),"")</f>
        <v/>
      </c>
      <c r="C655" s="425" t="str">
        <f>IF(AND(NOT(ISBLANK(E655)),E655&lt;&gt;"(blank)"),IFERROR(IF(INDEX(HostBuild[],MATCH(E655,HostBuild[Alias],0),COLUMN(HostBuild[CTI Target Completion]))&lt;&gt;0,INDEX(HostBuild[],MATCH(E655,HostBuild[Alias],0),COLUMN(HostBuild[CTI Target Completion])),""),""),"")</f>
        <v/>
      </c>
      <c r="D655" s="262" t="str">
        <f>IF(AND(NOT(ISBLANK(E655)),E655&lt;&gt;"(blank)"),IFERROR(IF(INDEX(HostBuild[],MATCH(E655,HostBuild[Alias],0),COLUMN(HostBuild[Description]))&lt;&gt;0,INDEX(HostBuild[],MATCH(E655,HostBuild[Alias],0),COLUMN(HostBuild[Description])),""),""),"")</f>
        <v/>
      </c>
    </row>
    <row r="656" spans="1:4">
      <c r="A656" s="3" t="str">
        <f>IF(AND(NOT(ISBLANK(E656)),E656&lt;&gt;"(blank)"),IFERROR(IF(INDEX(HostBuild[],MATCH(E656,HostBuild[Alias],0),COLUMN(HostBuild[Hostname]))&lt;&gt;0,INDEX(HostBuild[],MATCH(E656,HostBuild[Alias],0),COLUMN(HostBuild[Hostname])),""),""),"")</f>
        <v/>
      </c>
      <c r="B656" s="424" t="str">
        <f>IF(AND(NOT(ISBLANK(E656)),E656&lt;&gt;"(blank)"),IFERROR(IF(INDEX(HostBuild[],MATCH(E656,HostBuild[Alias],0),COLUMN(HostBuild[Status]))&lt;&gt;0,INDEX(HostBuild[],MATCH(E656,HostBuild[Alias],0),COLUMN(HostBuild[Status])),""),""),"")</f>
        <v/>
      </c>
      <c r="C656" s="425" t="str">
        <f>IF(AND(NOT(ISBLANK(E656)),E656&lt;&gt;"(blank)"),IFERROR(IF(INDEX(HostBuild[],MATCH(E656,HostBuild[Alias],0),COLUMN(HostBuild[CTI Target Completion]))&lt;&gt;0,INDEX(HostBuild[],MATCH(E656,HostBuild[Alias],0),COLUMN(HostBuild[CTI Target Completion])),""),""),"")</f>
        <v/>
      </c>
      <c r="D656" s="262" t="str">
        <f>IF(AND(NOT(ISBLANK(E656)),E656&lt;&gt;"(blank)"),IFERROR(IF(INDEX(HostBuild[],MATCH(E656,HostBuild[Alias],0),COLUMN(HostBuild[Description]))&lt;&gt;0,INDEX(HostBuild[],MATCH(E656,HostBuild[Alias],0),COLUMN(HostBuild[Description])),""),""),"")</f>
        <v/>
      </c>
    </row>
    <row r="657" spans="1:4">
      <c r="A657" s="3" t="str">
        <f>IF(AND(NOT(ISBLANK(E657)),E657&lt;&gt;"(blank)"),IFERROR(IF(INDEX(HostBuild[],MATCH(E657,HostBuild[Alias],0),COLUMN(HostBuild[Hostname]))&lt;&gt;0,INDEX(HostBuild[],MATCH(E657,HostBuild[Alias],0),COLUMN(HostBuild[Hostname])),""),""),"")</f>
        <v/>
      </c>
      <c r="B657" s="424" t="str">
        <f>IF(AND(NOT(ISBLANK(E657)),E657&lt;&gt;"(blank)"),IFERROR(IF(INDEX(HostBuild[],MATCH(E657,HostBuild[Alias],0),COLUMN(HostBuild[Status]))&lt;&gt;0,INDEX(HostBuild[],MATCH(E657,HostBuild[Alias],0),COLUMN(HostBuild[Status])),""),""),"")</f>
        <v/>
      </c>
      <c r="C657" s="425" t="str">
        <f>IF(AND(NOT(ISBLANK(E657)),E657&lt;&gt;"(blank)"),IFERROR(IF(INDEX(HostBuild[],MATCH(E657,HostBuild[Alias],0),COLUMN(HostBuild[CTI Target Completion]))&lt;&gt;0,INDEX(HostBuild[],MATCH(E657,HostBuild[Alias],0),COLUMN(HostBuild[CTI Target Completion])),""),""),"")</f>
        <v/>
      </c>
      <c r="D657" s="262" t="str">
        <f>IF(AND(NOT(ISBLANK(E657)),E657&lt;&gt;"(blank)"),IFERROR(IF(INDEX(HostBuild[],MATCH(E657,HostBuild[Alias],0),COLUMN(HostBuild[Description]))&lt;&gt;0,INDEX(HostBuild[],MATCH(E657,HostBuild[Alias],0),COLUMN(HostBuild[Description])),""),""),"")</f>
        <v/>
      </c>
    </row>
    <row r="658" spans="1:4">
      <c r="A658" s="3" t="str">
        <f>IF(AND(NOT(ISBLANK(E658)),E658&lt;&gt;"(blank)"),IFERROR(IF(INDEX(HostBuild[],MATCH(E658,HostBuild[Alias],0),COLUMN(HostBuild[Hostname]))&lt;&gt;0,INDEX(HostBuild[],MATCH(E658,HostBuild[Alias],0),COLUMN(HostBuild[Hostname])),""),""),"")</f>
        <v/>
      </c>
      <c r="B658" s="424" t="str">
        <f>IF(AND(NOT(ISBLANK(E658)),E658&lt;&gt;"(blank)"),IFERROR(IF(INDEX(HostBuild[],MATCH(E658,HostBuild[Alias],0),COLUMN(HostBuild[Status]))&lt;&gt;0,INDEX(HostBuild[],MATCH(E658,HostBuild[Alias],0),COLUMN(HostBuild[Status])),""),""),"")</f>
        <v/>
      </c>
      <c r="C658" s="425" t="str">
        <f>IF(AND(NOT(ISBLANK(E658)),E658&lt;&gt;"(blank)"),IFERROR(IF(INDEX(HostBuild[],MATCH(E658,HostBuild[Alias],0),COLUMN(HostBuild[CTI Target Completion]))&lt;&gt;0,INDEX(HostBuild[],MATCH(E658,HostBuild[Alias],0),COLUMN(HostBuild[CTI Target Completion])),""),""),"")</f>
        <v/>
      </c>
      <c r="D658" s="262" t="str">
        <f>IF(AND(NOT(ISBLANK(E658)),E658&lt;&gt;"(blank)"),IFERROR(IF(INDEX(HostBuild[],MATCH(E658,HostBuild[Alias],0),COLUMN(HostBuild[Description]))&lt;&gt;0,INDEX(HostBuild[],MATCH(E658,HostBuild[Alias],0),COLUMN(HostBuild[Description])),""),""),"")</f>
        <v/>
      </c>
    </row>
    <row r="659" spans="1:4">
      <c r="A659" s="3" t="str">
        <f>IF(AND(NOT(ISBLANK(E659)),E659&lt;&gt;"(blank)"),IFERROR(IF(INDEX(HostBuild[],MATCH(E659,HostBuild[Alias],0),COLUMN(HostBuild[Hostname]))&lt;&gt;0,INDEX(HostBuild[],MATCH(E659,HostBuild[Alias],0),COLUMN(HostBuild[Hostname])),""),""),"")</f>
        <v/>
      </c>
      <c r="B659" s="424" t="str">
        <f>IF(AND(NOT(ISBLANK(E659)),E659&lt;&gt;"(blank)"),IFERROR(IF(INDEX(HostBuild[],MATCH(E659,HostBuild[Alias],0),COLUMN(HostBuild[Status]))&lt;&gt;0,INDEX(HostBuild[],MATCH(E659,HostBuild[Alias],0),COLUMN(HostBuild[Status])),""),""),"")</f>
        <v/>
      </c>
      <c r="C659" s="425" t="str">
        <f>IF(AND(NOT(ISBLANK(E659)),E659&lt;&gt;"(blank)"),IFERROR(IF(INDEX(HostBuild[],MATCH(E659,HostBuild[Alias],0),COLUMN(HostBuild[CTI Target Completion]))&lt;&gt;0,INDEX(HostBuild[],MATCH(E659,HostBuild[Alias],0),COLUMN(HostBuild[CTI Target Completion])),""),""),"")</f>
        <v/>
      </c>
      <c r="D659" s="262" t="str">
        <f>IF(AND(NOT(ISBLANK(E659)),E659&lt;&gt;"(blank)"),IFERROR(IF(INDEX(HostBuild[],MATCH(E659,HostBuild[Alias],0),COLUMN(HostBuild[Description]))&lt;&gt;0,INDEX(HostBuild[],MATCH(E659,HostBuild[Alias],0),COLUMN(HostBuild[Description])),""),""),"")</f>
        <v/>
      </c>
    </row>
    <row r="660" spans="1:4">
      <c r="A660" s="3" t="str">
        <f>IF(AND(NOT(ISBLANK(E660)),E660&lt;&gt;"(blank)"),IFERROR(IF(INDEX(HostBuild[],MATCH(E660,HostBuild[Alias],0),COLUMN(HostBuild[Hostname]))&lt;&gt;0,INDEX(HostBuild[],MATCH(E660,HostBuild[Alias],0),COLUMN(HostBuild[Hostname])),""),""),"")</f>
        <v/>
      </c>
      <c r="B660" s="424" t="str">
        <f>IF(AND(NOT(ISBLANK(E660)),E660&lt;&gt;"(blank)"),IFERROR(IF(INDEX(HostBuild[],MATCH(E660,HostBuild[Alias],0),COLUMN(HostBuild[Status]))&lt;&gt;0,INDEX(HostBuild[],MATCH(E660,HostBuild[Alias],0),COLUMN(HostBuild[Status])),""),""),"")</f>
        <v/>
      </c>
      <c r="C660" s="425" t="str">
        <f>IF(AND(NOT(ISBLANK(E660)),E660&lt;&gt;"(blank)"),IFERROR(IF(INDEX(HostBuild[],MATCH(E660,HostBuild[Alias],0),COLUMN(HostBuild[CTI Target Completion]))&lt;&gt;0,INDEX(HostBuild[],MATCH(E660,HostBuild[Alias],0),COLUMN(HostBuild[CTI Target Completion])),""),""),"")</f>
        <v/>
      </c>
      <c r="D660" s="262" t="str">
        <f>IF(AND(NOT(ISBLANK(E660)),E660&lt;&gt;"(blank)"),IFERROR(IF(INDEX(HostBuild[],MATCH(E660,HostBuild[Alias],0),COLUMN(HostBuild[Description]))&lt;&gt;0,INDEX(HostBuild[],MATCH(E660,HostBuild[Alias],0),COLUMN(HostBuild[Description])),""),""),"")</f>
        <v/>
      </c>
    </row>
    <row r="661" spans="1:4">
      <c r="A661" s="3" t="str">
        <f>IF(AND(NOT(ISBLANK(E661)),E661&lt;&gt;"(blank)"),IFERROR(IF(INDEX(HostBuild[],MATCH(E661,HostBuild[Alias],0),COLUMN(HostBuild[Hostname]))&lt;&gt;0,INDEX(HostBuild[],MATCH(E661,HostBuild[Alias],0),COLUMN(HostBuild[Hostname])),""),""),"")</f>
        <v/>
      </c>
      <c r="B661" s="424" t="str">
        <f>IF(AND(NOT(ISBLANK(E661)),E661&lt;&gt;"(blank)"),IFERROR(IF(INDEX(HostBuild[],MATCH(E661,HostBuild[Alias],0),COLUMN(HostBuild[Status]))&lt;&gt;0,INDEX(HostBuild[],MATCH(E661,HostBuild[Alias],0),COLUMN(HostBuild[Status])),""),""),"")</f>
        <v/>
      </c>
      <c r="C661" s="425" t="str">
        <f>IF(AND(NOT(ISBLANK(E661)),E661&lt;&gt;"(blank)"),IFERROR(IF(INDEX(HostBuild[],MATCH(E661,HostBuild[Alias],0),COLUMN(HostBuild[CTI Target Completion]))&lt;&gt;0,INDEX(HostBuild[],MATCH(E661,HostBuild[Alias],0),COLUMN(HostBuild[CTI Target Completion])),""),""),"")</f>
        <v/>
      </c>
      <c r="D661" s="262" t="str">
        <f>IF(AND(NOT(ISBLANK(E661)),E661&lt;&gt;"(blank)"),IFERROR(IF(INDEX(HostBuild[],MATCH(E661,HostBuild[Alias],0),COLUMN(HostBuild[Description]))&lt;&gt;0,INDEX(HostBuild[],MATCH(E661,HostBuild[Alias],0),COLUMN(HostBuild[Description])),""),""),"")</f>
        <v/>
      </c>
    </row>
    <row r="662" spans="1:4">
      <c r="A662" s="3" t="str">
        <f>IF(AND(NOT(ISBLANK(E662)),E662&lt;&gt;"(blank)"),IFERROR(IF(INDEX(HostBuild[],MATCH(E662,HostBuild[Alias],0),COLUMN(HostBuild[Hostname]))&lt;&gt;0,INDEX(HostBuild[],MATCH(E662,HostBuild[Alias],0),COLUMN(HostBuild[Hostname])),""),""),"")</f>
        <v/>
      </c>
      <c r="B662" s="424" t="str">
        <f>IF(AND(NOT(ISBLANK(E662)),E662&lt;&gt;"(blank)"),IFERROR(IF(INDEX(HostBuild[],MATCH(E662,HostBuild[Alias],0),COLUMN(HostBuild[Status]))&lt;&gt;0,INDEX(HostBuild[],MATCH(E662,HostBuild[Alias],0),COLUMN(HostBuild[Status])),""),""),"")</f>
        <v/>
      </c>
      <c r="C662" s="425" t="str">
        <f>IF(AND(NOT(ISBLANK(E662)),E662&lt;&gt;"(blank)"),IFERROR(IF(INDEX(HostBuild[],MATCH(E662,HostBuild[Alias],0),COLUMN(HostBuild[CTI Target Completion]))&lt;&gt;0,INDEX(HostBuild[],MATCH(E662,HostBuild[Alias],0),COLUMN(HostBuild[CTI Target Completion])),""),""),"")</f>
        <v/>
      </c>
      <c r="D662" s="262" t="str">
        <f>IF(AND(NOT(ISBLANK(E662)),E662&lt;&gt;"(blank)"),IFERROR(IF(INDEX(HostBuild[],MATCH(E662,HostBuild[Alias],0),COLUMN(HostBuild[Description]))&lt;&gt;0,INDEX(HostBuild[],MATCH(E662,HostBuild[Alias],0),COLUMN(HostBuild[Description])),""),""),"")</f>
        <v/>
      </c>
    </row>
    <row r="663" spans="1:4">
      <c r="A663" s="3" t="str">
        <f>IF(AND(NOT(ISBLANK(E663)),E663&lt;&gt;"(blank)"),IFERROR(IF(INDEX(HostBuild[],MATCH(E663,HostBuild[Alias],0),COLUMN(HostBuild[Hostname]))&lt;&gt;0,INDEX(HostBuild[],MATCH(E663,HostBuild[Alias],0),COLUMN(HostBuild[Hostname])),""),""),"")</f>
        <v/>
      </c>
      <c r="B663" s="424" t="str">
        <f>IF(AND(NOT(ISBLANK(E663)),E663&lt;&gt;"(blank)"),IFERROR(IF(INDEX(HostBuild[],MATCH(E663,HostBuild[Alias],0),COLUMN(HostBuild[Status]))&lt;&gt;0,INDEX(HostBuild[],MATCH(E663,HostBuild[Alias],0),COLUMN(HostBuild[Status])),""),""),"")</f>
        <v/>
      </c>
      <c r="C663" s="425" t="str">
        <f>IF(AND(NOT(ISBLANK(E663)),E663&lt;&gt;"(blank)"),IFERROR(IF(INDEX(HostBuild[],MATCH(E663,HostBuild[Alias],0),COLUMN(HostBuild[CTI Target Completion]))&lt;&gt;0,INDEX(HostBuild[],MATCH(E663,HostBuild[Alias],0),COLUMN(HostBuild[CTI Target Completion])),""),""),"")</f>
        <v/>
      </c>
      <c r="D663" s="262" t="str">
        <f>IF(AND(NOT(ISBLANK(E663)),E663&lt;&gt;"(blank)"),IFERROR(IF(INDEX(HostBuild[],MATCH(E663,HostBuild[Alias],0),COLUMN(HostBuild[Description]))&lt;&gt;0,INDEX(HostBuild[],MATCH(E663,HostBuild[Alias],0),COLUMN(HostBuild[Description])),""),""),"")</f>
        <v/>
      </c>
    </row>
    <row r="664" spans="1:4">
      <c r="A664" s="3" t="str">
        <f>IF(AND(NOT(ISBLANK(E664)),E664&lt;&gt;"(blank)"),IFERROR(IF(INDEX(HostBuild[],MATCH(E664,HostBuild[Alias],0),COLUMN(HostBuild[Hostname]))&lt;&gt;0,INDEX(HostBuild[],MATCH(E664,HostBuild[Alias],0),COLUMN(HostBuild[Hostname])),""),""),"")</f>
        <v/>
      </c>
      <c r="B664" s="424" t="str">
        <f>IF(AND(NOT(ISBLANK(E664)),E664&lt;&gt;"(blank)"),IFERROR(IF(INDEX(HostBuild[],MATCH(E664,HostBuild[Alias],0),COLUMN(HostBuild[Status]))&lt;&gt;0,INDEX(HostBuild[],MATCH(E664,HostBuild[Alias],0),COLUMN(HostBuild[Status])),""),""),"")</f>
        <v/>
      </c>
      <c r="C664" s="425" t="str">
        <f>IF(AND(NOT(ISBLANK(E664)),E664&lt;&gt;"(blank)"),IFERROR(IF(INDEX(HostBuild[],MATCH(E664,HostBuild[Alias],0),COLUMN(HostBuild[CTI Target Completion]))&lt;&gt;0,INDEX(HostBuild[],MATCH(E664,HostBuild[Alias],0),COLUMN(HostBuild[CTI Target Completion])),""),""),"")</f>
        <v/>
      </c>
      <c r="D664" s="262" t="str">
        <f>IF(AND(NOT(ISBLANK(E664)),E664&lt;&gt;"(blank)"),IFERROR(IF(INDEX(HostBuild[],MATCH(E664,HostBuild[Alias],0),COLUMN(HostBuild[Description]))&lt;&gt;0,INDEX(HostBuild[],MATCH(E664,HostBuild[Alias],0),COLUMN(HostBuild[Description])),""),""),"")</f>
        <v/>
      </c>
    </row>
    <row r="665" spans="1:4">
      <c r="A665" s="3" t="str">
        <f>IF(AND(NOT(ISBLANK(E665)),E665&lt;&gt;"(blank)"),IFERROR(IF(INDEX(HostBuild[],MATCH(E665,HostBuild[Alias],0),COLUMN(HostBuild[Hostname]))&lt;&gt;0,INDEX(HostBuild[],MATCH(E665,HostBuild[Alias],0),COLUMN(HostBuild[Hostname])),""),""),"")</f>
        <v/>
      </c>
      <c r="B665" s="424" t="str">
        <f>IF(AND(NOT(ISBLANK(E665)),E665&lt;&gt;"(blank)"),IFERROR(IF(INDEX(HostBuild[],MATCH(E665,HostBuild[Alias],0),COLUMN(HostBuild[Status]))&lt;&gt;0,INDEX(HostBuild[],MATCH(E665,HostBuild[Alias],0),COLUMN(HostBuild[Status])),""),""),"")</f>
        <v/>
      </c>
      <c r="C665" s="425" t="str">
        <f>IF(AND(NOT(ISBLANK(E665)),E665&lt;&gt;"(blank)"),IFERROR(IF(INDEX(HostBuild[],MATCH(E665,HostBuild[Alias],0),COLUMN(HostBuild[CTI Target Completion]))&lt;&gt;0,INDEX(HostBuild[],MATCH(E665,HostBuild[Alias],0),COLUMN(HostBuild[CTI Target Completion])),""),""),"")</f>
        <v/>
      </c>
      <c r="D665" s="262" t="str">
        <f>IF(AND(NOT(ISBLANK(E665)),E665&lt;&gt;"(blank)"),IFERROR(IF(INDEX(HostBuild[],MATCH(E665,HostBuild[Alias],0),COLUMN(HostBuild[Description]))&lt;&gt;0,INDEX(HostBuild[],MATCH(E665,HostBuild[Alias],0),COLUMN(HostBuild[Description])),""),""),"")</f>
        <v/>
      </c>
    </row>
    <row r="666" spans="1:4">
      <c r="A666" s="3" t="str">
        <f>IF(AND(NOT(ISBLANK(E666)),E666&lt;&gt;"(blank)"),IFERROR(IF(INDEX(HostBuild[],MATCH(E666,HostBuild[Alias],0),COLUMN(HostBuild[Hostname]))&lt;&gt;0,INDEX(HostBuild[],MATCH(E666,HostBuild[Alias],0),COLUMN(HostBuild[Hostname])),""),""),"")</f>
        <v/>
      </c>
      <c r="B666" s="424" t="str">
        <f>IF(AND(NOT(ISBLANK(E666)),E666&lt;&gt;"(blank)"),IFERROR(IF(INDEX(HostBuild[],MATCH(E666,HostBuild[Alias],0),COLUMN(HostBuild[Status]))&lt;&gt;0,INDEX(HostBuild[],MATCH(E666,HostBuild[Alias],0),COLUMN(HostBuild[Status])),""),""),"")</f>
        <v/>
      </c>
      <c r="C666" s="425" t="str">
        <f>IF(AND(NOT(ISBLANK(E666)),E666&lt;&gt;"(blank)"),IFERROR(IF(INDEX(HostBuild[],MATCH(E666,HostBuild[Alias],0),COLUMN(HostBuild[CTI Target Completion]))&lt;&gt;0,INDEX(HostBuild[],MATCH(E666,HostBuild[Alias],0),COLUMN(HostBuild[CTI Target Completion])),""),""),"")</f>
        <v/>
      </c>
      <c r="D666" s="262" t="str">
        <f>IF(AND(NOT(ISBLANK(E666)),E666&lt;&gt;"(blank)"),IFERROR(IF(INDEX(HostBuild[],MATCH(E666,HostBuild[Alias],0),COLUMN(HostBuild[Description]))&lt;&gt;0,INDEX(HostBuild[],MATCH(E666,HostBuild[Alias],0),COLUMN(HostBuild[Description])),""),""),"")</f>
        <v/>
      </c>
    </row>
    <row r="667" spans="1:4">
      <c r="A667" s="3" t="str">
        <f>IF(AND(NOT(ISBLANK(E667)),E667&lt;&gt;"(blank)"),IFERROR(IF(INDEX(HostBuild[],MATCH(E667,HostBuild[Alias],0),COLUMN(HostBuild[Hostname]))&lt;&gt;0,INDEX(HostBuild[],MATCH(E667,HostBuild[Alias],0),COLUMN(HostBuild[Hostname])),""),""),"")</f>
        <v/>
      </c>
      <c r="B667" s="424" t="str">
        <f>IF(AND(NOT(ISBLANK(E667)),E667&lt;&gt;"(blank)"),IFERROR(IF(INDEX(HostBuild[],MATCH(E667,HostBuild[Alias],0),COLUMN(HostBuild[Status]))&lt;&gt;0,INDEX(HostBuild[],MATCH(E667,HostBuild[Alias],0),COLUMN(HostBuild[Status])),""),""),"")</f>
        <v/>
      </c>
      <c r="C667" s="425" t="str">
        <f>IF(AND(NOT(ISBLANK(E667)),E667&lt;&gt;"(blank)"),IFERROR(IF(INDEX(HostBuild[],MATCH(E667,HostBuild[Alias],0),COLUMN(HostBuild[CTI Target Completion]))&lt;&gt;0,INDEX(HostBuild[],MATCH(E667,HostBuild[Alias],0),COLUMN(HostBuild[CTI Target Completion])),""),""),"")</f>
        <v/>
      </c>
      <c r="D667" s="262" t="str">
        <f>IF(AND(NOT(ISBLANK(E667)),E667&lt;&gt;"(blank)"),IFERROR(IF(INDEX(HostBuild[],MATCH(E667,HostBuild[Alias],0),COLUMN(HostBuild[Description]))&lt;&gt;0,INDEX(HostBuild[],MATCH(E667,HostBuild[Alias],0),COLUMN(HostBuild[Description])),""),""),"")</f>
        <v/>
      </c>
    </row>
    <row r="668" spans="1:4">
      <c r="A668" s="3" t="str">
        <f>IF(AND(NOT(ISBLANK(E668)),E668&lt;&gt;"(blank)"),IFERROR(IF(INDEX(HostBuild[],MATCH(E668,HostBuild[Alias],0),COLUMN(HostBuild[Hostname]))&lt;&gt;0,INDEX(HostBuild[],MATCH(E668,HostBuild[Alias],0),COLUMN(HostBuild[Hostname])),""),""),"")</f>
        <v/>
      </c>
      <c r="B668" s="424" t="str">
        <f>IF(AND(NOT(ISBLANK(E668)),E668&lt;&gt;"(blank)"),IFERROR(IF(INDEX(HostBuild[],MATCH(E668,HostBuild[Alias],0),COLUMN(HostBuild[Status]))&lt;&gt;0,INDEX(HostBuild[],MATCH(E668,HostBuild[Alias],0),COLUMN(HostBuild[Status])),""),""),"")</f>
        <v/>
      </c>
      <c r="C668" s="425" t="str">
        <f>IF(AND(NOT(ISBLANK(E668)),E668&lt;&gt;"(blank)"),IFERROR(IF(INDEX(HostBuild[],MATCH(E668,HostBuild[Alias],0),COLUMN(HostBuild[CTI Target Completion]))&lt;&gt;0,INDEX(HostBuild[],MATCH(E668,HostBuild[Alias],0),COLUMN(HostBuild[CTI Target Completion])),""),""),"")</f>
        <v/>
      </c>
      <c r="D668" s="262" t="str">
        <f>IF(AND(NOT(ISBLANK(E668)),E668&lt;&gt;"(blank)"),IFERROR(IF(INDEX(HostBuild[],MATCH(E668,HostBuild[Alias],0),COLUMN(HostBuild[Description]))&lt;&gt;0,INDEX(HostBuild[],MATCH(E668,HostBuild[Alias],0),COLUMN(HostBuild[Description])),""),""),"")</f>
        <v/>
      </c>
    </row>
    <row r="669" spans="1:4">
      <c r="A669" s="3" t="str">
        <f>IF(AND(NOT(ISBLANK(E669)),E669&lt;&gt;"(blank)"),IFERROR(IF(INDEX(HostBuild[],MATCH(E669,HostBuild[Alias],0),COLUMN(HostBuild[Hostname]))&lt;&gt;0,INDEX(HostBuild[],MATCH(E669,HostBuild[Alias],0),COLUMN(HostBuild[Hostname])),""),""),"")</f>
        <v/>
      </c>
      <c r="B669" s="424" t="str">
        <f>IF(AND(NOT(ISBLANK(E669)),E669&lt;&gt;"(blank)"),IFERROR(IF(INDEX(HostBuild[],MATCH(E669,HostBuild[Alias],0),COLUMN(HostBuild[Status]))&lt;&gt;0,INDEX(HostBuild[],MATCH(E669,HostBuild[Alias],0),COLUMN(HostBuild[Status])),""),""),"")</f>
        <v/>
      </c>
      <c r="C669" s="425" t="str">
        <f>IF(AND(NOT(ISBLANK(E669)),E669&lt;&gt;"(blank)"),IFERROR(IF(INDEX(HostBuild[],MATCH(E669,HostBuild[Alias],0),COLUMN(HostBuild[CTI Target Completion]))&lt;&gt;0,INDEX(HostBuild[],MATCH(E669,HostBuild[Alias],0),COLUMN(HostBuild[CTI Target Completion])),""),""),"")</f>
        <v/>
      </c>
      <c r="D669" s="262" t="str">
        <f>IF(AND(NOT(ISBLANK(E669)),E669&lt;&gt;"(blank)"),IFERROR(IF(INDEX(HostBuild[],MATCH(E669,HostBuild[Alias],0),COLUMN(HostBuild[Description]))&lt;&gt;0,INDEX(HostBuild[],MATCH(E669,HostBuild[Alias],0),COLUMN(HostBuild[Description])),""),""),"")</f>
        <v/>
      </c>
    </row>
    <row r="670" spans="1:4">
      <c r="A670" s="3" t="str">
        <f>IF(AND(NOT(ISBLANK(E670)),E670&lt;&gt;"(blank)"),IFERROR(IF(INDEX(HostBuild[],MATCH(E670,HostBuild[Alias],0),COLUMN(HostBuild[Hostname]))&lt;&gt;0,INDEX(HostBuild[],MATCH(E670,HostBuild[Alias],0),COLUMN(HostBuild[Hostname])),""),""),"")</f>
        <v/>
      </c>
      <c r="B670" s="424" t="str">
        <f>IF(AND(NOT(ISBLANK(E670)),E670&lt;&gt;"(blank)"),IFERROR(IF(INDEX(HostBuild[],MATCH(E670,HostBuild[Alias],0),COLUMN(HostBuild[Status]))&lt;&gt;0,INDEX(HostBuild[],MATCH(E670,HostBuild[Alias],0),COLUMN(HostBuild[Status])),""),""),"")</f>
        <v/>
      </c>
      <c r="C670" s="425" t="str">
        <f>IF(AND(NOT(ISBLANK(E670)),E670&lt;&gt;"(blank)"),IFERROR(IF(INDEX(HostBuild[],MATCH(E670,HostBuild[Alias],0),COLUMN(HostBuild[CTI Target Completion]))&lt;&gt;0,INDEX(HostBuild[],MATCH(E670,HostBuild[Alias],0),COLUMN(HostBuild[CTI Target Completion])),""),""),"")</f>
        <v/>
      </c>
      <c r="D670" s="262" t="str">
        <f>IF(AND(NOT(ISBLANK(E670)),E670&lt;&gt;"(blank)"),IFERROR(IF(INDEX(HostBuild[],MATCH(E670,HostBuild[Alias],0),COLUMN(HostBuild[Description]))&lt;&gt;0,INDEX(HostBuild[],MATCH(E670,HostBuild[Alias],0),COLUMN(HostBuild[Description])),""),""),"")</f>
        <v/>
      </c>
    </row>
    <row r="671" spans="1:4">
      <c r="A671" s="3" t="str">
        <f>IF(AND(NOT(ISBLANK(E671)),E671&lt;&gt;"(blank)"),IFERROR(IF(INDEX(HostBuild[],MATCH(E671,HostBuild[Alias],0),COLUMN(HostBuild[Hostname]))&lt;&gt;0,INDEX(HostBuild[],MATCH(E671,HostBuild[Alias],0),COLUMN(HostBuild[Hostname])),""),""),"")</f>
        <v/>
      </c>
      <c r="B671" s="424" t="str">
        <f>IF(AND(NOT(ISBLANK(E671)),E671&lt;&gt;"(blank)"),IFERROR(IF(INDEX(HostBuild[],MATCH(E671,HostBuild[Alias],0),COLUMN(HostBuild[Status]))&lt;&gt;0,INDEX(HostBuild[],MATCH(E671,HostBuild[Alias],0),COLUMN(HostBuild[Status])),""),""),"")</f>
        <v/>
      </c>
      <c r="C671" s="425" t="str">
        <f>IF(AND(NOT(ISBLANK(E671)),E671&lt;&gt;"(blank)"),IFERROR(IF(INDEX(HostBuild[],MATCH(E671,HostBuild[Alias],0),COLUMN(HostBuild[CTI Target Completion]))&lt;&gt;0,INDEX(HostBuild[],MATCH(E671,HostBuild[Alias],0),COLUMN(HostBuild[CTI Target Completion])),""),""),"")</f>
        <v/>
      </c>
      <c r="D671" s="262" t="str">
        <f>IF(AND(NOT(ISBLANK(E671)),E671&lt;&gt;"(blank)"),IFERROR(IF(INDEX(HostBuild[],MATCH(E671,HostBuild[Alias],0),COLUMN(HostBuild[Description]))&lt;&gt;0,INDEX(HostBuild[],MATCH(E671,HostBuild[Alias],0),COLUMN(HostBuild[Description])),""),""),"")</f>
        <v/>
      </c>
    </row>
    <row r="672" spans="1:4">
      <c r="A672" s="3" t="str">
        <f>IF(AND(NOT(ISBLANK(E672)),E672&lt;&gt;"(blank)"),IFERROR(IF(INDEX(HostBuild[],MATCH(E672,HostBuild[Alias],0),COLUMN(HostBuild[Hostname]))&lt;&gt;0,INDEX(HostBuild[],MATCH(E672,HostBuild[Alias],0),COLUMN(HostBuild[Hostname])),""),""),"")</f>
        <v/>
      </c>
      <c r="B672" s="424" t="str">
        <f>IF(AND(NOT(ISBLANK(E672)),E672&lt;&gt;"(blank)"),IFERROR(IF(INDEX(HostBuild[],MATCH(E672,HostBuild[Alias],0),COLUMN(HostBuild[Status]))&lt;&gt;0,INDEX(HostBuild[],MATCH(E672,HostBuild[Alias],0),COLUMN(HostBuild[Status])),""),""),"")</f>
        <v/>
      </c>
      <c r="C672" s="425" t="str">
        <f>IF(AND(NOT(ISBLANK(E672)),E672&lt;&gt;"(blank)"),IFERROR(IF(INDEX(HostBuild[],MATCH(E672,HostBuild[Alias],0),COLUMN(HostBuild[CTI Target Completion]))&lt;&gt;0,INDEX(HostBuild[],MATCH(E672,HostBuild[Alias],0),COLUMN(HostBuild[CTI Target Completion])),""),""),"")</f>
        <v/>
      </c>
      <c r="D672" s="262" t="str">
        <f>IF(AND(NOT(ISBLANK(E672)),E672&lt;&gt;"(blank)"),IFERROR(IF(INDEX(HostBuild[],MATCH(E672,HostBuild[Alias],0),COLUMN(HostBuild[Description]))&lt;&gt;0,INDEX(HostBuild[],MATCH(E672,HostBuild[Alias],0),COLUMN(HostBuild[Description])),""),""),"")</f>
        <v/>
      </c>
    </row>
    <row r="673" spans="1:4">
      <c r="A673" s="3" t="str">
        <f>IF(AND(NOT(ISBLANK(E673)),E673&lt;&gt;"(blank)"),IFERROR(IF(INDEX(HostBuild[],MATCH(E673,HostBuild[Alias],0),COLUMN(HostBuild[Hostname]))&lt;&gt;0,INDEX(HostBuild[],MATCH(E673,HostBuild[Alias],0),COLUMN(HostBuild[Hostname])),""),""),"")</f>
        <v/>
      </c>
      <c r="B673" s="424" t="str">
        <f>IF(AND(NOT(ISBLANK(E673)),E673&lt;&gt;"(blank)"),IFERROR(IF(INDEX(HostBuild[],MATCH(E673,HostBuild[Alias],0),COLUMN(HostBuild[Status]))&lt;&gt;0,INDEX(HostBuild[],MATCH(E673,HostBuild[Alias],0),COLUMN(HostBuild[Status])),""),""),"")</f>
        <v/>
      </c>
      <c r="C673" s="425" t="str">
        <f>IF(AND(NOT(ISBLANK(E673)),E673&lt;&gt;"(blank)"),IFERROR(IF(INDEX(HostBuild[],MATCH(E673,HostBuild[Alias],0),COLUMN(HostBuild[CTI Target Completion]))&lt;&gt;0,INDEX(HostBuild[],MATCH(E673,HostBuild[Alias],0),COLUMN(HostBuild[CTI Target Completion])),""),""),"")</f>
        <v/>
      </c>
      <c r="D673" s="262" t="str">
        <f>IF(AND(NOT(ISBLANK(E673)),E673&lt;&gt;"(blank)"),IFERROR(IF(INDEX(HostBuild[],MATCH(E673,HostBuild[Alias],0),COLUMN(HostBuild[Description]))&lt;&gt;0,INDEX(HostBuild[],MATCH(E673,HostBuild[Alias],0),COLUMN(HostBuild[Description])),""),""),"")</f>
        <v/>
      </c>
    </row>
    <row r="674" spans="1:4">
      <c r="A674" s="3" t="str">
        <f>IF(AND(NOT(ISBLANK(E674)),E674&lt;&gt;"(blank)"),IFERROR(IF(INDEX(HostBuild[],MATCH(E674,HostBuild[Alias],0),COLUMN(HostBuild[Hostname]))&lt;&gt;0,INDEX(HostBuild[],MATCH(E674,HostBuild[Alias],0),COLUMN(HostBuild[Hostname])),""),""),"")</f>
        <v/>
      </c>
      <c r="B674" s="424" t="str">
        <f>IF(AND(NOT(ISBLANK(E674)),E674&lt;&gt;"(blank)"),IFERROR(IF(INDEX(HostBuild[],MATCH(E674,HostBuild[Alias],0),COLUMN(HostBuild[Status]))&lt;&gt;0,INDEX(HostBuild[],MATCH(E674,HostBuild[Alias],0),COLUMN(HostBuild[Status])),""),""),"")</f>
        <v/>
      </c>
      <c r="C674" s="425" t="str">
        <f>IF(AND(NOT(ISBLANK(E674)),E674&lt;&gt;"(blank)"),IFERROR(IF(INDEX(HostBuild[],MATCH(E674,HostBuild[Alias],0),COLUMN(HostBuild[CTI Target Completion]))&lt;&gt;0,INDEX(HostBuild[],MATCH(E674,HostBuild[Alias],0),COLUMN(HostBuild[CTI Target Completion])),""),""),"")</f>
        <v/>
      </c>
      <c r="D674" s="262" t="str">
        <f>IF(AND(NOT(ISBLANK(E674)),E674&lt;&gt;"(blank)"),IFERROR(IF(INDEX(HostBuild[],MATCH(E674,HostBuild[Alias],0),COLUMN(HostBuild[Description]))&lt;&gt;0,INDEX(HostBuild[],MATCH(E674,HostBuild[Alias],0),COLUMN(HostBuild[Description])),""),""),"")</f>
        <v/>
      </c>
    </row>
    <row r="675" spans="1:4">
      <c r="A675" s="3" t="str">
        <f>IF(AND(NOT(ISBLANK(E675)),E675&lt;&gt;"(blank)"),IFERROR(IF(INDEX(HostBuild[],MATCH(E675,HostBuild[Alias],0),COLUMN(HostBuild[Hostname]))&lt;&gt;0,INDEX(HostBuild[],MATCH(E675,HostBuild[Alias],0),COLUMN(HostBuild[Hostname])),""),""),"")</f>
        <v/>
      </c>
      <c r="B675" s="424" t="str">
        <f>IF(AND(NOT(ISBLANK(E675)),E675&lt;&gt;"(blank)"),IFERROR(IF(INDEX(HostBuild[],MATCH(E675,HostBuild[Alias],0),COLUMN(HostBuild[Status]))&lt;&gt;0,INDEX(HostBuild[],MATCH(E675,HostBuild[Alias],0),COLUMN(HostBuild[Status])),""),""),"")</f>
        <v/>
      </c>
      <c r="C675" s="425" t="str">
        <f>IF(AND(NOT(ISBLANK(E675)),E675&lt;&gt;"(blank)"),IFERROR(IF(INDEX(HostBuild[],MATCH(E675,HostBuild[Alias],0),COLUMN(HostBuild[CTI Target Completion]))&lt;&gt;0,INDEX(HostBuild[],MATCH(E675,HostBuild[Alias],0),COLUMN(HostBuild[CTI Target Completion])),""),""),"")</f>
        <v/>
      </c>
      <c r="D675" s="262" t="str">
        <f>IF(AND(NOT(ISBLANK(E675)),E675&lt;&gt;"(blank)"),IFERROR(IF(INDEX(HostBuild[],MATCH(E675,HostBuild[Alias],0),COLUMN(HostBuild[Description]))&lt;&gt;0,INDEX(HostBuild[],MATCH(E675,HostBuild[Alias],0),COLUMN(HostBuild[Description])),""),""),"")</f>
        <v/>
      </c>
    </row>
    <row r="676" spans="1:4">
      <c r="A676" s="3" t="str">
        <f>IF(AND(NOT(ISBLANK(E676)),E676&lt;&gt;"(blank)"),IFERROR(IF(INDEX(HostBuild[],MATCH(E676,HostBuild[Alias],0),COLUMN(HostBuild[Hostname]))&lt;&gt;0,INDEX(HostBuild[],MATCH(E676,HostBuild[Alias],0),COLUMN(HostBuild[Hostname])),""),""),"")</f>
        <v/>
      </c>
      <c r="B676" s="424" t="str">
        <f>IF(AND(NOT(ISBLANK(E676)),E676&lt;&gt;"(blank)"),IFERROR(IF(INDEX(HostBuild[],MATCH(E676,HostBuild[Alias],0),COLUMN(HostBuild[Status]))&lt;&gt;0,INDEX(HostBuild[],MATCH(E676,HostBuild[Alias],0),COLUMN(HostBuild[Status])),""),""),"")</f>
        <v/>
      </c>
      <c r="C676" s="425" t="str">
        <f>IF(AND(NOT(ISBLANK(E676)),E676&lt;&gt;"(blank)"),IFERROR(IF(INDEX(HostBuild[],MATCH(E676,HostBuild[Alias],0),COLUMN(HostBuild[CTI Target Completion]))&lt;&gt;0,INDEX(HostBuild[],MATCH(E676,HostBuild[Alias],0),COLUMN(HostBuild[CTI Target Completion])),""),""),"")</f>
        <v/>
      </c>
      <c r="D676" s="262" t="str">
        <f>IF(AND(NOT(ISBLANK(E676)),E676&lt;&gt;"(blank)"),IFERROR(IF(INDEX(HostBuild[],MATCH(E676,HostBuild[Alias],0),COLUMN(HostBuild[Description]))&lt;&gt;0,INDEX(HostBuild[],MATCH(E676,HostBuild[Alias],0),COLUMN(HostBuild[Description])),""),""),"")</f>
        <v/>
      </c>
    </row>
    <row r="677" spans="1:4">
      <c r="A677" s="3" t="str">
        <f>IF(AND(NOT(ISBLANK(E677)),E677&lt;&gt;"(blank)"),IFERROR(IF(INDEX(HostBuild[],MATCH(E677,HostBuild[Alias],0),COLUMN(HostBuild[Hostname]))&lt;&gt;0,INDEX(HostBuild[],MATCH(E677,HostBuild[Alias],0),COLUMN(HostBuild[Hostname])),""),""),"")</f>
        <v/>
      </c>
      <c r="B677" s="424" t="str">
        <f>IF(AND(NOT(ISBLANK(E677)),E677&lt;&gt;"(blank)"),IFERROR(IF(INDEX(HostBuild[],MATCH(E677,HostBuild[Alias],0),COLUMN(HostBuild[Status]))&lt;&gt;0,INDEX(HostBuild[],MATCH(E677,HostBuild[Alias],0),COLUMN(HostBuild[Status])),""),""),"")</f>
        <v/>
      </c>
      <c r="C677" s="425" t="str">
        <f>IF(AND(NOT(ISBLANK(E677)),E677&lt;&gt;"(blank)"),IFERROR(IF(INDEX(HostBuild[],MATCH(E677,HostBuild[Alias],0),COLUMN(HostBuild[CTI Target Completion]))&lt;&gt;0,INDEX(HostBuild[],MATCH(E677,HostBuild[Alias],0),COLUMN(HostBuild[CTI Target Completion])),""),""),"")</f>
        <v/>
      </c>
      <c r="D677" s="262" t="str">
        <f>IF(AND(NOT(ISBLANK(E677)),E677&lt;&gt;"(blank)"),IFERROR(IF(INDEX(HostBuild[],MATCH(E677,HostBuild[Alias],0),COLUMN(HostBuild[Description]))&lt;&gt;0,INDEX(HostBuild[],MATCH(E677,HostBuild[Alias],0),COLUMN(HostBuild[Description])),""),""),"")</f>
        <v/>
      </c>
    </row>
    <row r="678" spans="1:4">
      <c r="A678" s="3" t="str">
        <f>IF(AND(NOT(ISBLANK(E678)),E678&lt;&gt;"(blank)"),IFERROR(IF(INDEX(HostBuild[],MATCH(E678,HostBuild[Alias],0),COLUMN(HostBuild[Hostname]))&lt;&gt;0,INDEX(HostBuild[],MATCH(E678,HostBuild[Alias],0),COLUMN(HostBuild[Hostname])),""),""),"")</f>
        <v/>
      </c>
      <c r="B678" s="424" t="str">
        <f>IF(AND(NOT(ISBLANK(E678)),E678&lt;&gt;"(blank)"),IFERROR(IF(INDEX(HostBuild[],MATCH(E678,HostBuild[Alias],0),COLUMN(HostBuild[Status]))&lt;&gt;0,INDEX(HostBuild[],MATCH(E678,HostBuild[Alias],0),COLUMN(HostBuild[Status])),""),""),"")</f>
        <v/>
      </c>
      <c r="C678" s="425" t="str">
        <f>IF(AND(NOT(ISBLANK(E678)),E678&lt;&gt;"(blank)"),IFERROR(IF(INDEX(HostBuild[],MATCH(E678,HostBuild[Alias],0),COLUMN(HostBuild[CTI Target Completion]))&lt;&gt;0,INDEX(HostBuild[],MATCH(E678,HostBuild[Alias],0),COLUMN(HostBuild[CTI Target Completion])),""),""),"")</f>
        <v/>
      </c>
      <c r="D678" s="262" t="str">
        <f>IF(AND(NOT(ISBLANK(E678)),E678&lt;&gt;"(blank)"),IFERROR(IF(INDEX(HostBuild[],MATCH(E678,HostBuild[Alias],0),COLUMN(HostBuild[Description]))&lt;&gt;0,INDEX(HostBuild[],MATCH(E678,HostBuild[Alias],0),COLUMN(HostBuild[Description])),""),""),"")</f>
        <v/>
      </c>
    </row>
    <row r="679" spans="1:4">
      <c r="A679" s="3" t="str">
        <f>IF(AND(NOT(ISBLANK(E679)),E679&lt;&gt;"(blank)"),IFERROR(IF(INDEX(HostBuild[],MATCH(E679,HostBuild[Alias],0),COLUMN(HostBuild[Hostname]))&lt;&gt;0,INDEX(HostBuild[],MATCH(E679,HostBuild[Alias],0),COLUMN(HostBuild[Hostname])),""),""),"")</f>
        <v/>
      </c>
      <c r="B679" s="424" t="str">
        <f>IF(AND(NOT(ISBLANK(E679)),E679&lt;&gt;"(blank)"),IFERROR(IF(INDEX(HostBuild[],MATCH(E679,HostBuild[Alias],0),COLUMN(HostBuild[Status]))&lt;&gt;0,INDEX(HostBuild[],MATCH(E679,HostBuild[Alias],0),COLUMN(HostBuild[Status])),""),""),"")</f>
        <v/>
      </c>
      <c r="C679" s="425" t="str">
        <f>IF(AND(NOT(ISBLANK(E679)),E679&lt;&gt;"(blank)"),IFERROR(IF(INDEX(HostBuild[],MATCH(E679,HostBuild[Alias],0),COLUMN(HostBuild[CTI Target Completion]))&lt;&gt;0,INDEX(HostBuild[],MATCH(E679,HostBuild[Alias],0),COLUMN(HostBuild[CTI Target Completion])),""),""),"")</f>
        <v/>
      </c>
      <c r="D679" s="262" t="str">
        <f>IF(AND(NOT(ISBLANK(E679)),E679&lt;&gt;"(blank)"),IFERROR(IF(INDEX(HostBuild[],MATCH(E679,HostBuild[Alias],0),COLUMN(HostBuild[Description]))&lt;&gt;0,INDEX(HostBuild[],MATCH(E679,HostBuild[Alias],0),COLUMN(HostBuild[Description])),""),""),"")</f>
        <v/>
      </c>
    </row>
    <row r="680" spans="1:4">
      <c r="A680" s="3" t="str">
        <f>IF(AND(NOT(ISBLANK(E680)),E680&lt;&gt;"(blank)"),IFERROR(IF(INDEX(HostBuild[],MATCH(E680,HostBuild[Alias],0),COLUMN(HostBuild[Hostname]))&lt;&gt;0,INDEX(HostBuild[],MATCH(E680,HostBuild[Alias],0),COLUMN(HostBuild[Hostname])),""),""),"")</f>
        <v/>
      </c>
      <c r="B680" s="424" t="str">
        <f>IF(AND(NOT(ISBLANK(E680)),E680&lt;&gt;"(blank)"),IFERROR(IF(INDEX(HostBuild[],MATCH(E680,HostBuild[Alias],0),COLUMN(HostBuild[Status]))&lt;&gt;0,INDEX(HostBuild[],MATCH(E680,HostBuild[Alias],0),COLUMN(HostBuild[Status])),""),""),"")</f>
        <v/>
      </c>
      <c r="C680" s="425" t="str">
        <f>IF(AND(NOT(ISBLANK(E680)),E680&lt;&gt;"(blank)"),IFERROR(IF(INDEX(HostBuild[],MATCH(E680,HostBuild[Alias],0),COLUMN(HostBuild[CTI Target Completion]))&lt;&gt;0,INDEX(HostBuild[],MATCH(E680,HostBuild[Alias],0),COLUMN(HostBuild[CTI Target Completion])),""),""),"")</f>
        <v/>
      </c>
      <c r="D680" s="262" t="str">
        <f>IF(AND(NOT(ISBLANK(E680)),E680&lt;&gt;"(blank)"),IFERROR(IF(INDEX(HostBuild[],MATCH(E680,HostBuild[Alias],0),COLUMN(HostBuild[Description]))&lt;&gt;0,INDEX(HostBuild[],MATCH(E680,HostBuild[Alias],0),COLUMN(HostBuild[Description])),""),""),"")</f>
        <v/>
      </c>
    </row>
    <row r="681" spans="1:4">
      <c r="A681" s="3" t="str">
        <f>IF(AND(NOT(ISBLANK(E681)),E681&lt;&gt;"(blank)"),IFERROR(IF(INDEX(HostBuild[],MATCH(E681,HostBuild[Alias],0),COLUMN(HostBuild[Hostname]))&lt;&gt;0,INDEX(HostBuild[],MATCH(E681,HostBuild[Alias],0),COLUMN(HostBuild[Hostname])),""),""),"")</f>
        <v/>
      </c>
      <c r="B681" s="424" t="str">
        <f>IF(AND(NOT(ISBLANK(E681)),E681&lt;&gt;"(blank)"),IFERROR(IF(INDEX(HostBuild[],MATCH(E681,HostBuild[Alias],0),COLUMN(HostBuild[Status]))&lt;&gt;0,INDEX(HostBuild[],MATCH(E681,HostBuild[Alias],0),COLUMN(HostBuild[Status])),""),""),"")</f>
        <v/>
      </c>
      <c r="C681" s="425" t="str">
        <f>IF(AND(NOT(ISBLANK(E681)),E681&lt;&gt;"(blank)"),IFERROR(IF(INDEX(HostBuild[],MATCH(E681,HostBuild[Alias],0),COLUMN(HostBuild[CTI Target Completion]))&lt;&gt;0,INDEX(HostBuild[],MATCH(E681,HostBuild[Alias],0),COLUMN(HostBuild[CTI Target Completion])),""),""),"")</f>
        <v/>
      </c>
      <c r="D681" s="262" t="str">
        <f>IF(AND(NOT(ISBLANK(E681)),E681&lt;&gt;"(blank)"),IFERROR(IF(INDEX(HostBuild[],MATCH(E681,HostBuild[Alias],0),COLUMN(HostBuild[Description]))&lt;&gt;0,INDEX(HostBuild[],MATCH(E681,HostBuild[Alias],0),COLUMN(HostBuild[Description])),""),""),"")</f>
        <v/>
      </c>
    </row>
    <row r="682" spans="1:4">
      <c r="A682" s="3" t="str">
        <f>IF(AND(NOT(ISBLANK(E682)),E682&lt;&gt;"(blank)"),IFERROR(IF(INDEX(HostBuild[],MATCH(E682,HostBuild[Alias],0),COLUMN(HostBuild[Hostname]))&lt;&gt;0,INDEX(HostBuild[],MATCH(E682,HostBuild[Alias],0),COLUMN(HostBuild[Hostname])),""),""),"")</f>
        <v/>
      </c>
      <c r="B682" s="424" t="str">
        <f>IF(AND(NOT(ISBLANK(E682)),E682&lt;&gt;"(blank)"),IFERROR(IF(INDEX(HostBuild[],MATCH(E682,HostBuild[Alias],0),COLUMN(HostBuild[Status]))&lt;&gt;0,INDEX(HostBuild[],MATCH(E682,HostBuild[Alias],0),COLUMN(HostBuild[Status])),""),""),"")</f>
        <v/>
      </c>
      <c r="C682" s="425" t="str">
        <f>IF(AND(NOT(ISBLANK(E682)),E682&lt;&gt;"(blank)"),IFERROR(IF(INDEX(HostBuild[],MATCH(E682,HostBuild[Alias],0),COLUMN(HostBuild[CTI Target Completion]))&lt;&gt;0,INDEX(HostBuild[],MATCH(E682,HostBuild[Alias],0),COLUMN(HostBuild[CTI Target Completion])),""),""),"")</f>
        <v/>
      </c>
      <c r="D682" s="262" t="str">
        <f>IF(AND(NOT(ISBLANK(E682)),E682&lt;&gt;"(blank)"),IFERROR(IF(INDEX(HostBuild[],MATCH(E682,HostBuild[Alias],0),COLUMN(HostBuild[Description]))&lt;&gt;0,INDEX(HostBuild[],MATCH(E682,HostBuild[Alias],0),COLUMN(HostBuild[Description])),""),""),"")</f>
        <v/>
      </c>
    </row>
    <row r="683" spans="1:4">
      <c r="A683" s="3" t="str">
        <f>IF(AND(NOT(ISBLANK(E683)),E683&lt;&gt;"(blank)"),IFERROR(IF(INDEX(HostBuild[],MATCH(E683,HostBuild[Alias],0),COLUMN(HostBuild[Hostname]))&lt;&gt;0,INDEX(HostBuild[],MATCH(E683,HostBuild[Alias],0),COLUMN(HostBuild[Hostname])),""),""),"")</f>
        <v/>
      </c>
      <c r="B683" s="424" t="str">
        <f>IF(AND(NOT(ISBLANK(E683)),E683&lt;&gt;"(blank)"),IFERROR(IF(INDEX(HostBuild[],MATCH(E683,HostBuild[Alias],0),COLUMN(HostBuild[Status]))&lt;&gt;0,INDEX(HostBuild[],MATCH(E683,HostBuild[Alias],0),COLUMN(HostBuild[Status])),""),""),"")</f>
        <v/>
      </c>
      <c r="C683" s="425" t="str">
        <f>IF(AND(NOT(ISBLANK(E683)),E683&lt;&gt;"(blank)"),IFERROR(IF(INDEX(HostBuild[],MATCH(E683,HostBuild[Alias],0),COLUMN(HostBuild[CTI Target Completion]))&lt;&gt;0,INDEX(HostBuild[],MATCH(E683,HostBuild[Alias],0),COLUMN(HostBuild[CTI Target Completion])),""),""),"")</f>
        <v/>
      </c>
      <c r="D683" s="262" t="str">
        <f>IF(AND(NOT(ISBLANK(E683)),E683&lt;&gt;"(blank)"),IFERROR(IF(INDEX(HostBuild[],MATCH(E683,HostBuild[Alias],0),COLUMN(HostBuild[Description]))&lt;&gt;0,INDEX(HostBuild[],MATCH(E683,HostBuild[Alias],0),COLUMN(HostBuild[Description])),""),""),"")</f>
        <v/>
      </c>
    </row>
    <row r="684" spans="1:4">
      <c r="A684" s="3" t="str">
        <f>IF(AND(NOT(ISBLANK(E684)),E684&lt;&gt;"(blank)"),IFERROR(IF(INDEX(HostBuild[],MATCH(E684,HostBuild[Alias],0),COLUMN(HostBuild[Hostname]))&lt;&gt;0,INDEX(HostBuild[],MATCH(E684,HostBuild[Alias],0),COLUMN(HostBuild[Hostname])),""),""),"")</f>
        <v/>
      </c>
      <c r="B684" s="424" t="str">
        <f>IF(AND(NOT(ISBLANK(E684)),E684&lt;&gt;"(blank)"),IFERROR(IF(INDEX(HostBuild[],MATCH(E684,HostBuild[Alias],0),COLUMN(HostBuild[Status]))&lt;&gt;0,INDEX(HostBuild[],MATCH(E684,HostBuild[Alias],0),COLUMN(HostBuild[Status])),""),""),"")</f>
        <v/>
      </c>
      <c r="C684" s="425" t="str">
        <f>IF(AND(NOT(ISBLANK(E684)),E684&lt;&gt;"(blank)"),IFERROR(IF(INDEX(HostBuild[],MATCH(E684,HostBuild[Alias],0),COLUMN(HostBuild[CTI Target Completion]))&lt;&gt;0,INDEX(HostBuild[],MATCH(E684,HostBuild[Alias],0),COLUMN(HostBuild[CTI Target Completion])),""),""),"")</f>
        <v/>
      </c>
      <c r="D684" s="262" t="str">
        <f>IF(AND(NOT(ISBLANK(E684)),E684&lt;&gt;"(blank)"),IFERROR(IF(INDEX(HostBuild[],MATCH(E684,HostBuild[Alias],0),COLUMN(HostBuild[Description]))&lt;&gt;0,INDEX(HostBuild[],MATCH(E684,HostBuild[Alias],0),COLUMN(HostBuild[Description])),""),""),"")</f>
        <v/>
      </c>
    </row>
    <row r="685" spans="1:4">
      <c r="A685" s="3" t="str">
        <f>IF(AND(NOT(ISBLANK(E685)),E685&lt;&gt;"(blank)"),IFERROR(IF(INDEX(HostBuild[],MATCH(E685,HostBuild[Alias],0),COLUMN(HostBuild[Hostname]))&lt;&gt;0,INDEX(HostBuild[],MATCH(E685,HostBuild[Alias],0),COLUMN(HostBuild[Hostname])),""),""),"")</f>
        <v/>
      </c>
      <c r="B685" s="424" t="str">
        <f>IF(AND(NOT(ISBLANK(E685)),E685&lt;&gt;"(blank)"),IFERROR(IF(INDEX(HostBuild[],MATCH(E685,HostBuild[Alias],0),COLUMN(HostBuild[Status]))&lt;&gt;0,INDEX(HostBuild[],MATCH(E685,HostBuild[Alias],0),COLUMN(HostBuild[Status])),""),""),"")</f>
        <v/>
      </c>
      <c r="C685" s="425" t="str">
        <f>IF(AND(NOT(ISBLANK(E685)),E685&lt;&gt;"(blank)"),IFERROR(IF(INDEX(HostBuild[],MATCH(E685,HostBuild[Alias],0),COLUMN(HostBuild[CTI Target Completion]))&lt;&gt;0,INDEX(HostBuild[],MATCH(E685,HostBuild[Alias],0),COLUMN(HostBuild[CTI Target Completion])),""),""),"")</f>
        <v/>
      </c>
      <c r="D685" s="262" t="str">
        <f>IF(AND(NOT(ISBLANK(E685)),E685&lt;&gt;"(blank)"),IFERROR(IF(INDEX(HostBuild[],MATCH(E685,HostBuild[Alias],0),COLUMN(HostBuild[Description]))&lt;&gt;0,INDEX(HostBuild[],MATCH(E685,HostBuild[Alias],0),COLUMN(HostBuild[Description])),""),""),"")</f>
        <v/>
      </c>
    </row>
    <row r="686" spans="1:4">
      <c r="A686" s="3" t="str">
        <f>IF(AND(NOT(ISBLANK(E686)),E686&lt;&gt;"(blank)"),IFERROR(IF(INDEX(HostBuild[],MATCH(E686,HostBuild[Alias],0),COLUMN(HostBuild[Hostname]))&lt;&gt;0,INDEX(HostBuild[],MATCH(E686,HostBuild[Alias],0),COLUMN(HostBuild[Hostname])),""),""),"")</f>
        <v/>
      </c>
      <c r="B686" s="424" t="str">
        <f>IF(AND(NOT(ISBLANK(E686)),E686&lt;&gt;"(blank)"),IFERROR(IF(INDEX(HostBuild[],MATCH(E686,HostBuild[Alias],0),COLUMN(HostBuild[Status]))&lt;&gt;0,INDEX(HostBuild[],MATCH(E686,HostBuild[Alias],0),COLUMN(HostBuild[Status])),""),""),"")</f>
        <v/>
      </c>
      <c r="C686" s="425" t="str">
        <f>IF(AND(NOT(ISBLANK(E686)),E686&lt;&gt;"(blank)"),IFERROR(IF(INDEX(HostBuild[],MATCH(E686,HostBuild[Alias],0),COLUMN(HostBuild[CTI Target Completion]))&lt;&gt;0,INDEX(HostBuild[],MATCH(E686,HostBuild[Alias],0),COLUMN(HostBuild[CTI Target Completion])),""),""),"")</f>
        <v/>
      </c>
      <c r="D686" s="262" t="str">
        <f>IF(AND(NOT(ISBLANK(E686)),E686&lt;&gt;"(blank)"),IFERROR(IF(INDEX(HostBuild[],MATCH(E686,HostBuild[Alias],0),COLUMN(HostBuild[Description]))&lt;&gt;0,INDEX(HostBuild[],MATCH(E686,HostBuild[Alias],0),COLUMN(HostBuild[Description])),""),""),"")</f>
        <v/>
      </c>
    </row>
    <row r="687" spans="1:4">
      <c r="A687" s="3" t="str">
        <f>IF(AND(NOT(ISBLANK(E687)),E687&lt;&gt;"(blank)"),IFERROR(IF(INDEX(HostBuild[],MATCH(E687,HostBuild[Alias],0),COLUMN(HostBuild[Hostname]))&lt;&gt;0,INDEX(HostBuild[],MATCH(E687,HostBuild[Alias],0),COLUMN(HostBuild[Hostname])),""),""),"")</f>
        <v/>
      </c>
      <c r="B687" s="424" t="str">
        <f>IF(AND(NOT(ISBLANK(E687)),E687&lt;&gt;"(blank)"),IFERROR(IF(INDEX(HostBuild[],MATCH(E687,HostBuild[Alias],0),COLUMN(HostBuild[Status]))&lt;&gt;0,INDEX(HostBuild[],MATCH(E687,HostBuild[Alias],0),COLUMN(HostBuild[Status])),""),""),"")</f>
        <v/>
      </c>
      <c r="C687" s="425" t="str">
        <f>IF(AND(NOT(ISBLANK(E687)),E687&lt;&gt;"(blank)"),IFERROR(IF(INDEX(HostBuild[],MATCH(E687,HostBuild[Alias],0),COLUMN(HostBuild[CTI Target Completion]))&lt;&gt;0,INDEX(HostBuild[],MATCH(E687,HostBuild[Alias],0),COLUMN(HostBuild[CTI Target Completion])),""),""),"")</f>
        <v/>
      </c>
      <c r="D687" s="262" t="str">
        <f>IF(AND(NOT(ISBLANK(E687)),E687&lt;&gt;"(blank)"),IFERROR(IF(INDEX(HostBuild[],MATCH(E687,HostBuild[Alias],0),COLUMN(HostBuild[Description]))&lt;&gt;0,INDEX(HostBuild[],MATCH(E687,HostBuild[Alias],0),COLUMN(HostBuild[Description])),""),""),"")</f>
        <v/>
      </c>
    </row>
    <row r="688" spans="1:4">
      <c r="A688" s="3" t="str">
        <f>IF(AND(NOT(ISBLANK(E688)),E688&lt;&gt;"(blank)"),IFERROR(IF(INDEX(HostBuild[],MATCH(E688,HostBuild[Alias],0),COLUMN(HostBuild[Hostname]))&lt;&gt;0,INDEX(HostBuild[],MATCH(E688,HostBuild[Alias],0),COLUMN(HostBuild[Hostname])),""),""),"")</f>
        <v/>
      </c>
      <c r="B688" s="424" t="str">
        <f>IF(AND(NOT(ISBLANK(E688)),E688&lt;&gt;"(blank)"),IFERROR(IF(INDEX(HostBuild[],MATCH(E688,HostBuild[Alias],0),COLUMN(HostBuild[Status]))&lt;&gt;0,INDEX(HostBuild[],MATCH(E688,HostBuild[Alias],0),COLUMN(HostBuild[Status])),""),""),"")</f>
        <v/>
      </c>
      <c r="C688" s="425" t="str">
        <f>IF(AND(NOT(ISBLANK(E688)),E688&lt;&gt;"(blank)"),IFERROR(IF(INDEX(HostBuild[],MATCH(E688,HostBuild[Alias],0),COLUMN(HostBuild[CTI Target Completion]))&lt;&gt;0,INDEX(HostBuild[],MATCH(E688,HostBuild[Alias],0),COLUMN(HostBuild[CTI Target Completion])),""),""),"")</f>
        <v/>
      </c>
      <c r="D688" s="262" t="str">
        <f>IF(AND(NOT(ISBLANK(E688)),E688&lt;&gt;"(blank)"),IFERROR(IF(INDEX(HostBuild[],MATCH(E688,HostBuild[Alias],0),COLUMN(HostBuild[Description]))&lt;&gt;0,INDEX(HostBuild[],MATCH(E688,HostBuild[Alias],0),COLUMN(HostBuild[Description])),""),""),"")</f>
        <v/>
      </c>
    </row>
    <row r="689" spans="1:4">
      <c r="A689" s="3" t="str">
        <f>IF(AND(NOT(ISBLANK(E689)),E689&lt;&gt;"(blank)"),IFERROR(IF(INDEX(HostBuild[],MATCH(E689,HostBuild[Alias],0),COLUMN(HostBuild[Hostname]))&lt;&gt;0,INDEX(HostBuild[],MATCH(E689,HostBuild[Alias],0),COLUMN(HostBuild[Hostname])),""),""),"")</f>
        <v/>
      </c>
      <c r="B689" s="424" t="str">
        <f>IF(AND(NOT(ISBLANK(E689)),E689&lt;&gt;"(blank)"),IFERROR(IF(INDEX(HostBuild[],MATCH(E689,HostBuild[Alias],0),COLUMN(HostBuild[Status]))&lt;&gt;0,INDEX(HostBuild[],MATCH(E689,HostBuild[Alias],0),COLUMN(HostBuild[Status])),""),""),"")</f>
        <v/>
      </c>
      <c r="C689" s="425" t="str">
        <f>IF(AND(NOT(ISBLANK(E689)),E689&lt;&gt;"(blank)"),IFERROR(IF(INDEX(HostBuild[],MATCH(E689,HostBuild[Alias],0),COLUMN(HostBuild[CTI Target Completion]))&lt;&gt;0,INDEX(HostBuild[],MATCH(E689,HostBuild[Alias],0),COLUMN(HostBuild[CTI Target Completion])),""),""),"")</f>
        <v/>
      </c>
      <c r="D689" s="262" t="str">
        <f>IF(AND(NOT(ISBLANK(E689)),E689&lt;&gt;"(blank)"),IFERROR(IF(INDEX(HostBuild[],MATCH(E689,HostBuild[Alias],0),COLUMN(HostBuild[Description]))&lt;&gt;0,INDEX(HostBuild[],MATCH(E689,HostBuild[Alias],0),COLUMN(HostBuild[Description])),""),""),"")</f>
        <v/>
      </c>
    </row>
    <row r="690" spans="1:4">
      <c r="A690" s="3" t="str">
        <f>IF(AND(NOT(ISBLANK(E690)),E690&lt;&gt;"(blank)"),IFERROR(IF(INDEX(HostBuild[],MATCH(E690,HostBuild[Alias],0),COLUMN(HostBuild[Hostname]))&lt;&gt;0,INDEX(HostBuild[],MATCH(E690,HostBuild[Alias],0),COLUMN(HostBuild[Hostname])),""),""),"")</f>
        <v/>
      </c>
      <c r="B690" s="424" t="str">
        <f>IF(AND(NOT(ISBLANK(E690)),E690&lt;&gt;"(blank)"),IFERROR(IF(INDEX(HostBuild[],MATCH(E690,HostBuild[Alias],0),COLUMN(HostBuild[Status]))&lt;&gt;0,INDEX(HostBuild[],MATCH(E690,HostBuild[Alias],0),COLUMN(HostBuild[Status])),""),""),"")</f>
        <v/>
      </c>
      <c r="C690" s="425" t="str">
        <f>IF(AND(NOT(ISBLANK(E690)),E690&lt;&gt;"(blank)"),IFERROR(IF(INDEX(HostBuild[],MATCH(E690,HostBuild[Alias],0),COLUMN(HostBuild[CTI Target Completion]))&lt;&gt;0,INDEX(HostBuild[],MATCH(E690,HostBuild[Alias],0),COLUMN(HostBuild[CTI Target Completion])),""),""),"")</f>
        <v/>
      </c>
      <c r="D690" s="262" t="str">
        <f>IF(AND(NOT(ISBLANK(E690)),E690&lt;&gt;"(blank)"),IFERROR(IF(INDEX(HostBuild[],MATCH(E690,HostBuild[Alias],0),COLUMN(HostBuild[Description]))&lt;&gt;0,INDEX(HostBuild[],MATCH(E690,HostBuild[Alias],0),COLUMN(HostBuild[Description])),""),""),"")</f>
        <v/>
      </c>
    </row>
    <row r="691" spans="1:4">
      <c r="A691" s="3" t="str">
        <f>IF(AND(NOT(ISBLANK(E691)),E691&lt;&gt;"(blank)"),IFERROR(IF(INDEX(HostBuild[],MATCH(E691,HostBuild[Alias],0),COLUMN(HostBuild[Hostname]))&lt;&gt;0,INDEX(HostBuild[],MATCH(E691,HostBuild[Alias],0),COLUMN(HostBuild[Hostname])),""),""),"")</f>
        <v/>
      </c>
      <c r="B691" s="424" t="str">
        <f>IF(AND(NOT(ISBLANK(E691)),E691&lt;&gt;"(blank)"),IFERROR(IF(INDEX(HostBuild[],MATCH(E691,HostBuild[Alias],0),COLUMN(HostBuild[Status]))&lt;&gt;0,INDEX(HostBuild[],MATCH(E691,HostBuild[Alias],0),COLUMN(HostBuild[Status])),""),""),"")</f>
        <v/>
      </c>
      <c r="C691" s="425" t="str">
        <f>IF(AND(NOT(ISBLANK(E691)),E691&lt;&gt;"(blank)"),IFERROR(IF(INDEX(HostBuild[],MATCH(E691,HostBuild[Alias],0),COLUMN(HostBuild[CTI Target Completion]))&lt;&gt;0,INDEX(HostBuild[],MATCH(E691,HostBuild[Alias],0),COLUMN(HostBuild[CTI Target Completion])),""),""),"")</f>
        <v/>
      </c>
      <c r="D691" s="262" t="str">
        <f>IF(AND(NOT(ISBLANK(E691)),E691&lt;&gt;"(blank)"),IFERROR(IF(INDEX(HostBuild[],MATCH(E691,HostBuild[Alias],0),COLUMN(HostBuild[Description]))&lt;&gt;0,INDEX(HostBuild[],MATCH(E691,HostBuild[Alias],0),COLUMN(HostBuild[Description])),""),""),"")</f>
        <v/>
      </c>
    </row>
    <row r="692" spans="1:4">
      <c r="A692" s="3" t="str">
        <f>IF(AND(NOT(ISBLANK(E692)),E692&lt;&gt;"(blank)"),IFERROR(IF(INDEX(HostBuild[],MATCH(E692,HostBuild[Alias],0),COLUMN(HostBuild[Hostname]))&lt;&gt;0,INDEX(HostBuild[],MATCH(E692,HostBuild[Alias],0),COLUMN(HostBuild[Hostname])),""),""),"")</f>
        <v/>
      </c>
      <c r="B692" s="424" t="str">
        <f>IF(AND(NOT(ISBLANK(E692)),E692&lt;&gt;"(blank)"),IFERROR(IF(INDEX(HostBuild[],MATCH(E692,HostBuild[Alias],0),COLUMN(HostBuild[Status]))&lt;&gt;0,INDEX(HostBuild[],MATCH(E692,HostBuild[Alias],0),COLUMN(HostBuild[Status])),""),""),"")</f>
        <v/>
      </c>
      <c r="C692" s="425" t="str">
        <f>IF(AND(NOT(ISBLANK(E692)),E692&lt;&gt;"(blank)"),IFERROR(IF(INDEX(HostBuild[],MATCH(E692,HostBuild[Alias],0),COLUMN(HostBuild[CTI Target Completion]))&lt;&gt;0,INDEX(HostBuild[],MATCH(E692,HostBuild[Alias],0),COLUMN(HostBuild[CTI Target Completion])),""),""),"")</f>
        <v/>
      </c>
      <c r="D692" s="262" t="str">
        <f>IF(AND(NOT(ISBLANK(E692)),E692&lt;&gt;"(blank)"),IFERROR(IF(INDEX(HostBuild[],MATCH(E692,HostBuild[Alias],0),COLUMN(HostBuild[Description]))&lt;&gt;0,INDEX(HostBuild[],MATCH(E692,HostBuild[Alias],0),COLUMN(HostBuild[Description])),""),""),"")</f>
        <v/>
      </c>
    </row>
    <row r="693" spans="1:4">
      <c r="A693" s="3" t="str">
        <f>IF(AND(NOT(ISBLANK(E693)),E693&lt;&gt;"(blank)"),IFERROR(IF(INDEX(HostBuild[],MATCH(E693,HostBuild[Alias],0),COLUMN(HostBuild[Hostname]))&lt;&gt;0,INDEX(HostBuild[],MATCH(E693,HostBuild[Alias],0),COLUMN(HostBuild[Hostname])),""),""),"")</f>
        <v/>
      </c>
      <c r="B693" s="424" t="str">
        <f>IF(AND(NOT(ISBLANK(E693)),E693&lt;&gt;"(blank)"),IFERROR(IF(INDEX(HostBuild[],MATCH(E693,HostBuild[Alias],0),COLUMN(HostBuild[Status]))&lt;&gt;0,INDEX(HostBuild[],MATCH(E693,HostBuild[Alias],0),COLUMN(HostBuild[Status])),""),""),"")</f>
        <v/>
      </c>
      <c r="C693" s="425" t="str">
        <f>IF(AND(NOT(ISBLANK(E693)),E693&lt;&gt;"(blank)"),IFERROR(IF(INDEX(HostBuild[],MATCH(E693,HostBuild[Alias],0),COLUMN(HostBuild[CTI Target Completion]))&lt;&gt;0,INDEX(HostBuild[],MATCH(E693,HostBuild[Alias],0),COLUMN(HostBuild[CTI Target Completion])),""),""),"")</f>
        <v/>
      </c>
      <c r="D693" s="262" t="str">
        <f>IF(AND(NOT(ISBLANK(E693)),E693&lt;&gt;"(blank)"),IFERROR(IF(INDEX(HostBuild[],MATCH(E693,HostBuild[Alias],0),COLUMN(HostBuild[Description]))&lt;&gt;0,INDEX(HostBuild[],MATCH(E693,HostBuild[Alias],0),COLUMN(HostBuild[Description])),""),""),"")</f>
        <v/>
      </c>
    </row>
    <row r="694" spans="1:4">
      <c r="A694" s="3" t="str">
        <f>IF(AND(NOT(ISBLANK(E694)),E694&lt;&gt;"(blank)"),IFERROR(IF(INDEX(HostBuild[],MATCH(E694,HostBuild[Alias],0),COLUMN(HostBuild[Hostname]))&lt;&gt;0,INDEX(HostBuild[],MATCH(E694,HostBuild[Alias],0),COLUMN(HostBuild[Hostname])),""),""),"")</f>
        <v/>
      </c>
      <c r="B694" s="424" t="str">
        <f>IF(AND(NOT(ISBLANK(E694)),E694&lt;&gt;"(blank)"),IFERROR(IF(INDEX(HostBuild[],MATCH(E694,HostBuild[Alias],0),COLUMN(HostBuild[Status]))&lt;&gt;0,INDEX(HostBuild[],MATCH(E694,HostBuild[Alias],0),COLUMN(HostBuild[Status])),""),""),"")</f>
        <v/>
      </c>
      <c r="C694" s="425" t="str">
        <f>IF(AND(NOT(ISBLANK(E694)),E694&lt;&gt;"(blank)"),IFERROR(IF(INDEX(HostBuild[],MATCH(E694,HostBuild[Alias],0),COLUMN(HostBuild[CTI Target Completion]))&lt;&gt;0,INDEX(HostBuild[],MATCH(E694,HostBuild[Alias],0),COLUMN(HostBuild[CTI Target Completion])),""),""),"")</f>
        <v/>
      </c>
      <c r="D694" s="262" t="str">
        <f>IF(AND(NOT(ISBLANK(E694)),E694&lt;&gt;"(blank)"),IFERROR(IF(INDEX(HostBuild[],MATCH(E694,HostBuild[Alias],0),COLUMN(HostBuild[Description]))&lt;&gt;0,INDEX(HostBuild[],MATCH(E694,HostBuild[Alias],0),COLUMN(HostBuild[Description])),""),""),"")</f>
        <v/>
      </c>
    </row>
    <row r="695" spans="1:4">
      <c r="A695" s="3" t="str">
        <f>IF(AND(NOT(ISBLANK(E695)),E695&lt;&gt;"(blank)"),IFERROR(IF(INDEX(HostBuild[],MATCH(E695,HostBuild[Alias],0),COLUMN(HostBuild[Hostname]))&lt;&gt;0,INDEX(HostBuild[],MATCH(E695,HostBuild[Alias],0),COLUMN(HostBuild[Hostname])),""),""),"")</f>
        <v/>
      </c>
      <c r="B695" s="424" t="str">
        <f>IF(AND(NOT(ISBLANK(E695)),E695&lt;&gt;"(blank)"),IFERROR(IF(INDEX(HostBuild[],MATCH(E695,HostBuild[Alias],0),COLUMN(HostBuild[Status]))&lt;&gt;0,INDEX(HostBuild[],MATCH(E695,HostBuild[Alias],0),COLUMN(HostBuild[Status])),""),""),"")</f>
        <v/>
      </c>
      <c r="C695" s="425" t="str">
        <f>IF(AND(NOT(ISBLANK(E695)),E695&lt;&gt;"(blank)"),IFERROR(IF(INDEX(HostBuild[],MATCH(E695,HostBuild[Alias],0),COLUMN(HostBuild[CTI Target Completion]))&lt;&gt;0,INDEX(HostBuild[],MATCH(E695,HostBuild[Alias],0),COLUMN(HostBuild[CTI Target Completion])),""),""),"")</f>
        <v/>
      </c>
      <c r="D695" s="262" t="str">
        <f>IF(AND(NOT(ISBLANK(E695)),E695&lt;&gt;"(blank)"),IFERROR(IF(INDEX(HostBuild[],MATCH(E695,HostBuild[Alias],0),COLUMN(HostBuild[Description]))&lt;&gt;0,INDEX(HostBuild[],MATCH(E695,HostBuild[Alias],0),COLUMN(HostBuild[Description])),""),""),"")</f>
        <v/>
      </c>
    </row>
    <row r="696" spans="1:4">
      <c r="A696" s="3" t="str">
        <f>IF(AND(NOT(ISBLANK(E696)),E696&lt;&gt;"(blank)"),IFERROR(IF(INDEX(HostBuild[],MATCH(E696,HostBuild[Alias],0),COLUMN(HostBuild[Hostname]))&lt;&gt;0,INDEX(HostBuild[],MATCH(E696,HostBuild[Alias],0),COLUMN(HostBuild[Hostname])),""),""),"")</f>
        <v/>
      </c>
      <c r="B696" s="424" t="str">
        <f>IF(AND(NOT(ISBLANK(E696)),E696&lt;&gt;"(blank)"),IFERROR(IF(INDEX(HostBuild[],MATCH(E696,HostBuild[Alias],0),COLUMN(HostBuild[Status]))&lt;&gt;0,INDEX(HostBuild[],MATCH(E696,HostBuild[Alias],0),COLUMN(HostBuild[Status])),""),""),"")</f>
        <v/>
      </c>
      <c r="C696" s="425" t="str">
        <f>IF(AND(NOT(ISBLANK(E696)),E696&lt;&gt;"(blank)"),IFERROR(IF(INDEX(HostBuild[],MATCH(E696,HostBuild[Alias],0),COLUMN(HostBuild[CTI Target Completion]))&lt;&gt;0,INDEX(HostBuild[],MATCH(E696,HostBuild[Alias],0),COLUMN(HostBuild[CTI Target Completion])),""),""),"")</f>
        <v/>
      </c>
      <c r="D696" s="262" t="str">
        <f>IF(AND(NOT(ISBLANK(E696)),E696&lt;&gt;"(blank)"),IFERROR(IF(INDEX(HostBuild[],MATCH(E696,HostBuild[Alias],0),COLUMN(HostBuild[Description]))&lt;&gt;0,INDEX(HostBuild[],MATCH(E696,HostBuild[Alias],0),COLUMN(HostBuild[Description])),""),""),"")</f>
        <v/>
      </c>
    </row>
    <row r="697" spans="1:4">
      <c r="A697" s="3" t="str">
        <f>IF(AND(NOT(ISBLANK(E697)),E697&lt;&gt;"(blank)"),IFERROR(IF(INDEX(HostBuild[],MATCH(E697,HostBuild[Alias],0),COLUMN(HostBuild[Hostname]))&lt;&gt;0,INDEX(HostBuild[],MATCH(E697,HostBuild[Alias],0),COLUMN(HostBuild[Hostname])),""),""),"")</f>
        <v/>
      </c>
      <c r="B697" s="424" t="str">
        <f>IF(AND(NOT(ISBLANK(E697)),E697&lt;&gt;"(blank)"),IFERROR(IF(INDEX(HostBuild[],MATCH(E697,HostBuild[Alias],0),COLUMN(HostBuild[Status]))&lt;&gt;0,INDEX(HostBuild[],MATCH(E697,HostBuild[Alias],0),COLUMN(HostBuild[Status])),""),""),"")</f>
        <v/>
      </c>
      <c r="C697" s="425" t="str">
        <f>IF(AND(NOT(ISBLANK(E697)),E697&lt;&gt;"(blank)"),IFERROR(IF(INDEX(HostBuild[],MATCH(E697,HostBuild[Alias],0),COLUMN(HostBuild[CTI Target Completion]))&lt;&gt;0,INDEX(HostBuild[],MATCH(E697,HostBuild[Alias],0),COLUMN(HostBuild[CTI Target Completion])),""),""),"")</f>
        <v/>
      </c>
      <c r="D697" s="262" t="str">
        <f>IF(AND(NOT(ISBLANK(E697)),E697&lt;&gt;"(blank)"),IFERROR(IF(INDEX(HostBuild[],MATCH(E697,HostBuild[Alias],0),COLUMN(HostBuild[Description]))&lt;&gt;0,INDEX(HostBuild[],MATCH(E697,HostBuild[Alias],0),COLUMN(HostBuild[Description])),""),""),"")</f>
        <v/>
      </c>
    </row>
    <row r="698" spans="1:4">
      <c r="A698" s="3" t="str">
        <f>IF(AND(NOT(ISBLANK(E698)),E698&lt;&gt;"(blank)"),IFERROR(IF(INDEX(HostBuild[],MATCH(E698,HostBuild[Alias],0),COLUMN(HostBuild[Hostname]))&lt;&gt;0,INDEX(HostBuild[],MATCH(E698,HostBuild[Alias],0),COLUMN(HostBuild[Hostname])),""),""),"")</f>
        <v/>
      </c>
      <c r="B698" s="424" t="str">
        <f>IF(AND(NOT(ISBLANK(E698)),E698&lt;&gt;"(blank)"),IFERROR(IF(INDEX(HostBuild[],MATCH(E698,HostBuild[Alias],0),COLUMN(HostBuild[Status]))&lt;&gt;0,INDEX(HostBuild[],MATCH(E698,HostBuild[Alias],0),COLUMN(HostBuild[Status])),""),""),"")</f>
        <v/>
      </c>
      <c r="C698" s="425" t="str">
        <f>IF(AND(NOT(ISBLANK(E698)),E698&lt;&gt;"(blank)"),IFERROR(IF(INDEX(HostBuild[],MATCH(E698,HostBuild[Alias],0),COLUMN(HostBuild[CTI Target Completion]))&lt;&gt;0,INDEX(HostBuild[],MATCH(E698,HostBuild[Alias],0),COLUMN(HostBuild[CTI Target Completion])),""),""),"")</f>
        <v/>
      </c>
      <c r="D698" s="262" t="str">
        <f>IF(AND(NOT(ISBLANK(E698)),E698&lt;&gt;"(blank)"),IFERROR(IF(INDEX(HostBuild[],MATCH(E698,HostBuild[Alias],0),COLUMN(HostBuild[Description]))&lt;&gt;0,INDEX(HostBuild[],MATCH(E698,HostBuild[Alias],0),COLUMN(HostBuild[Description])),""),""),"")</f>
        <v/>
      </c>
    </row>
    <row r="699" spans="1:4">
      <c r="A699" s="3" t="str">
        <f>IF(AND(NOT(ISBLANK(E699)),E699&lt;&gt;"(blank)"),IFERROR(IF(INDEX(HostBuild[],MATCH(E699,HostBuild[Alias],0),COLUMN(HostBuild[Hostname]))&lt;&gt;0,INDEX(HostBuild[],MATCH(E699,HostBuild[Alias],0),COLUMN(HostBuild[Hostname])),""),""),"")</f>
        <v/>
      </c>
      <c r="B699" s="424" t="str">
        <f>IF(AND(NOT(ISBLANK(E699)),E699&lt;&gt;"(blank)"),IFERROR(IF(INDEX(HostBuild[],MATCH(E699,HostBuild[Alias],0),COLUMN(HostBuild[Status]))&lt;&gt;0,INDEX(HostBuild[],MATCH(E699,HostBuild[Alias],0),COLUMN(HostBuild[Status])),""),""),"")</f>
        <v/>
      </c>
      <c r="C699" s="425" t="str">
        <f>IF(AND(NOT(ISBLANK(E699)),E699&lt;&gt;"(blank)"),IFERROR(IF(INDEX(HostBuild[],MATCH(E699,HostBuild[Alias],0),COLUMN(HostBuild[CTI Target Completion]))&lt;&gt;0,INDEX(HostBuild[],MATCH(E699,HostBuild[Alias],0),COLUMN(HostBuild[CTI Target Completion])),""),""),"")</f>
        <v/>
      </c>
      <c r="D699" s="262" t="str">
        <f>IF(AND(NOT(ISBLANK(E699)),E699&lt;&gt;"(blank)"),IFERROR(IF(INDEX(HostBuild[],MATCH(E699,HostBuild[Alias],0),COLUMN(HostBuild[Description]))&lt;&gt;0,INDEX(HostBuild[],MATCH(E699,HostBuild[Alias],0),COLUMN(HostBuild[Description])),""),""),"")</f>
        <v/>
      </c>
    </row>
    <row r="700" spans="1:4">
      <c r="A700" s="3" t="str">
        <f>IF(AND(NOT(ISBLANK(E700)),E700&lt;&gt;"(blank)"),IFERROR(IF(INDEX(HostBuild[],MATCH(E700,HostBuild[Alias],0),COLUMN(HostBuild[Hostname]))&lt;&gt;0,INDEX(HostBuild[],MATCH(E700,HostBuild[Alias],0),COLUMN(HostBuild[Hostname])),""),""),"")</f>
        <v/>
      </c>
      <c r="B700" s="424" t="str">
        <f>IF(AND(NOT(ISBLANK(E700)),E700&lt;&gt;"(blank)"),IFERROR(IF(INDEX(HostBuild[],MATCH(E700,HostBuild[Alias],0),COLUMN(HostBuild[Status]))&lt;&gt;0,INDEX(HostBuild[],MATCH(E700,HostBuild[Alias],0),COLUMN(HostBuild[Status])),""),""),"")</f>
        <v/>
      </c>
      <c r="C700" s="425" t="str">
        <f>IF(AND(NOT(ISBLANK(E700)),E700&lt;&gt;"(blank)"),IFERROR(IF(INDEX(HostBuild[],MATCH(E700,HostBuild[Alias],0),COLUMN(HostBuild[CTI Target Completion]))&lt;&gt;0,INDEX(HostBuild[],MATCH(E700,HostBuild[Alias],0),COLUMN(HostBuild[CTI Target Completion])),""),""),"")</f>
        <v/>
      </c>
      <c r="D700" s="262" t="str">
        <f>IF(AND(NOT(ISBLANK(E700)),E700&lt;&gt;"(blank)"),IFERROR(IF(INDEX(HostBuild[],MATCH(E700,HostBuild[Alias],0),COLUMN(HostBuild[Description]))&lt;&gt;0,INDEX(HostBuild[],MATCH(E700,HostBuild[Alias],0),COLUMN(HostBuild[Description])),""),""),"")</f>
        <v/>
      </c>
    </row>
    <row r="701" spans="1:4">
      <c r="A701" s="3" t="str">
        <f>IF(AND(NOT(ISBLANK(E701)),E701&lt;&gt;"(blank)"),IFERROR(IF(INDEX(HostBuild[],MATCH(E701,HostBuild[Alias],0),COLUMN(HostBuild[Hostname]))&lt;&gt;0,INDEX(HostBuild[],MATCH(E701,HostBuild[Alias],0),COLUMN(HostBuild[Hostname])),""),""),"")</f>
        <v/>
      </c>
      <c r="B701" s="424" t="str">
        <f>IF(AND(NOT(ISBLANK(E701)),E701&lt;&gt;"(blank)"),IFERROR(IF(INDEX(HostBuild[],MATCH(E701,HostBuild[Alias],0),COLUMN(HostBuild[Status]))&lt;&gt;0,INDEX(HostBuild[],MATCH(E701,HostBuild[Alias],0),COLUMN(HostBuild[Status])),""),""),"")</f>
        <v/>
      </c>
      <c r="C701" s="425" t="str">
        <f>IF(AND(NOT(ISBLANK(E701)),E701&lt;&gt;"(blank)"),IFERROR(IF(INDEX(HostBuild[],MATCH(E701,HostBuild[Alias],0),COLUMN(HostBuild[CTI Target Completion]))&lt;&gt;0,INDEX(HostBuild[],MATCH(E701,HostBuild[Alias],0),COLUMN(HostBuild[CTI Target Completion])),""),""),"")</f>
        <v/>
      </c>
      <c r="D701" s="262" t="str">
        <f>IF(AND(NOT(ISBLANK(E701)),E701&lt;&gt;"(blank)"),IFERROR(IF(INDEX(HostBuild[],MATCH(E701,HostBuild[Alias],0),COLUMN(HostBuild[Description]))&lt;&gt;0,INDEX(HostBuild[],MATCH(E701,HostBuild[Alias],0),COLUMN(HostBuild[Description])),""),""),"")</f>
        <v/>
      </c>
    </row>
    <row r="702" spans="1:4">
      <c r="A702" s="3" t="str">
        <f>IF(AND(NOT(ISBLANK(E702)),E702&lt;&gt;"(blank)"),IFERROR(IF(INDEX(HostBuild[],MATCH(E702,HostBuild[Alias],0),COLUMN(HostBuild[Hostname]))&lt;&gt;0,INDEX(HostBuild[],MATCH(E702,HostBuild[Alias],0),COLUMN(HostBuild[Hostname])),""),""),"")</f>
        <v/>
      </c>
      <c r="B702" s="424" t="str">
        <f>IF(AND(NOT(ISBLANK(E702)),E702&lt;&gt;"(blank)"),IFERROR(IF(INDEX(HostBuild[],MATCH(E702,HostBuild[Alias],0),COLUMN(HostBuild[Status]))&lt;&gt;0,INDEX(HostBuild[],MATCH(E702,HostBuild[Alias],0),COLUMN(HostBuild[Status])),""),""),"")</f>
        <v/>
      </c>
      <c r="C702" s="425" t="str">
        <f>IF(AND(NOT(ISBLANK(E702)),E702&lt;&gt;"(blank)"),IFERROR(IF(INDEX(HostBuild[],MATCH(E702,HostBuild[Alias],0),COLUMN(HostBuild[CTI Target Completion]))&lt;&gt;0,INDEX(HostBuild[],MATCH(E702,HostBuild[Alias],0),COLUMN(HostBuild[CTI Target Completion])),""),""),"")</f>
        <v/>
      </c>
      <c r="D702" s="262" t="str">
        <f>IF(AND(NOT(ISBLANK(E702)),E702&lt;&gt;"(blank)"),IFERROR(IF(INDEX(HostBuild[],MATCH(E702,HostBuild[Alias],0),COLUMN(HostBuild[Description]))&lt;&gt;0,INDEX(HostBuild[],MATCH(E702,HostBuild[Alias],0),COLUMN(HostBuild[Description])),""),""),"")</f>
        <v/>
      </c>
    </row>
    <row r="703" spans="1:4">
      <c r="A703" s="3" t="str">
        <f>IF(AND(NOT(ISBLANK(E703)),E703&lt;&gt;"(blank)"),IFERROR(IF(INDEX(HostBuild[],MATCH(E703,HostBuild[Alias],0),COLUMN(HostBuild[Hostname]))&lt;&gt;0,INDEX(HostBuild[],MATCH(E703,HostBuild[Alias],0),COLUMN(HostBuild[Hostname])),""),""),"")</f>
        <v/>
      </c>
      <c r="B703" s="424" t="str">
        <f>IF(AND(NOT(ISBLANK(E703)),E703&lt;&gt;"(blank)"),IFERROR(IF(INDEX(HostBuild[],MATCH(E703,HostBuild[Alias],0),COLUMN(HostBuild[Status]))&lt;&gt;0,INDEX(HostBuild[],MATCH(E703,HostBuild[Alias],0),COLUMN(HostBuild[Status])),""),""),"")</f>
        <v/>
      </c>
      <c r="C703" s="425" t="str">
        <f>IF(AND(NOT(ISBLANK(E703)),E703&lt;&gt;"(blank)"),IFERROR(IF(INDEX(HostBuild[],MATCH(E703,HostBuild[Alias],0),COLUMN(HostBuild[CTI Target Completion]))&lt;&gt;0,INDEX(HostBuild[],MATCH(E703,HostBuild[Alias],0),COLUMN(HostBuild[CTI Target Completion])),""),""),"")</f>
        <v/>
      </c>
      <c r="D703" s="262" t="str">
        <f>IF(AND(NOT(ISBLANK(E703)),E703&lt;&gt;"(blank)"),IFERROR(IF(INDEX(HostBuild[],MATCH(E703,HostBuild[Alias],0),COLUMN(HostBuild[Description]))&lt;&gt;0,INDEX(HostBuild[],MATCH(E703,HostBuild[Alias],0),COLUMN(HostBuild[Description])),""),""),"")</f>
        <v/>
      </c>
    </row>
    <row r="704" spans="1:4">
      <c r="A704" s="3" t="str">
        <f>IF(AND(NOT(ISBLANK(E704)),E704&lt;&gt;"(blank)"),IFERROR(IF(INDEX(HostBuild[],MATCH(E704,HostBuild[Alias],0),COLUMN(HostBuild[Hostname]))&lt;&gt;0,INDEX(HostBuild[],MATCH(E704,HostBuild[Alias],0),COLUMN(HostBuild[Hostname])),""),""),"")</f>
        <v/>
      </c>
      <c r="B704" s="424" t="str">
        <f>IF(AND(NOT(ISBLANK(E704)),E704&lt;&gt;"(blank)"),IFERROR(IF(INDEX(HostBuild[],MATCH(E704,HostBuild[Alias],0),COLUMN(HostBuild[Status]))&lt;&gt;0,INDEX(HostBuild[],MATCH(E704,HostBuild[Alias],0),COLUMN(HostBuild[Status])),""),""),"")</f>
        <v/>
      </c>
      <c r="C704" s="425" t="str">
        <f>IF(AND(NOT(ISBLANK(E704)),E704&lt;&gt;"(blank)"),IFERROR(IF(INDEX(HostBuild[],MATCH(E704,HostBuild[Alias],0),COLUMN(HostBuild[CTI Target Completion]))&lt;&gt;0,INDEX(HostBuild[],MATCH(E704,HostBuild[Alias],0),COLUMN(HostBuild[CTI Target Completion])),""),""),"")</f>
        <v/>
      </c>
      <c r="D704" s="262" t="str">
        <f>IF(AND(NOT(ISBLANK(E704)),E704&lt;&gt;"(blank)"),IFERROR(IF(INDEX(HostBuild[],MATCH(E704,HostBuild[Alias],0),COLUMN(HostBuild[Description]))&lt;&gt;0,INDEX(HostBuild[],MATCH(E704,HostBuild[Alias],0),COLUMN(HostBuild[Description])),""),""),"")</f>
        <v/>
      </c>
    </row>
    <row r="705" spans="1:4">
      <c r="A705" s="3" t="str">
        <f>IF(AND(NOT(ISBLANK(E705)),E705&lt;&gt;"(blank)"),IFERROR(IF(INDEX(HostBuild[],MATCH(E705,HostBuild[Alias],0),COLUMN(HostBuild[Hostname]))&lt;&gt;0,INDEX(HostBuild[],MATCH(E705,HostBuild[Alias],0),COLUMN(HostBuild[Hostname])),""),""),"")</f>
        <v/>
      </c>
      <c r="B705" s="424" t="str">
        <f>IF(AND(NOT(ISBLANK(E705)),E705&lt;&gt;"(blank)"),IFERROR(IF(INDEX(HostBuild[],MATCH(E705,HostBuild[Alias],0),COLUMN(HostBuild[Status]))&lt;&gt;0,INDEX(HostBuild[],MATCH(E705,HostBuild[Alias],0),COLUMN(HostBuild[Status])),""),""),"")</f>
        <v/>
      </c>
      <c r="C705" s="425" t="str">
        <f>IF(AND(NOT(ISBLANK(E705)),E705&lt;&gt;"(blank)"),IFERROR(IF(INDEX(HostBuild[],MATCH(E705,HostBuild[Alias],0),COLUMN(HostBuild[CTI Target Completion]))&lt;&gt;0,INDEX(HostBuild[],MATCH(E705,HostBuild[Alias],0),COLUMN(HostBuild[CTI Target Completion])),""),""),"")</f>
        <v/>
      </c>
      <c r="D705" s="262" t="str">
        <f>IF(AND(NOT(ISBLANK(E705)),E705&lt;&gt;"(blank)"),IFERROR(IF(INDEX(HostBuild[],MATCH(E705,HostBuild[Alias],0),COLUMN(HostBuild[Description]))&lt;&gt;0,INDEX(HostBuild[],MATCH(E705,HostBuild[Alias],0),COLUMN(HostBuild[Description])),""),""),"")</f>
        <v/>
      </c>
    </row>
    <row r="706" spans="1:4">
      <c r="A706" s="3" t="str">
        <f>IF(AND(NOT(ISBLANK(E706)),E706&lt;&gt;"(blank)"),IFERROR(IF(INDEX(HostBuild[],MATCH(E706,HostBuild[Alias],0),COLUMN(HostBuild[Hostname]))&lt;&gt;0,INDEX(HostBuild[],MATCH(E706,HostBuild[Alias],0),COLUMN(HostBuild[Hostname])),""),""),"")</f>
        <v/>
      </c>
      <c r="B706" s="424" t="str">
        <f>IF(AND(NOT(ISBLANK(E706)),E706&lt;&gt;"(blank)"),IFERROR(IF(INDEX(HostBuild[],MATCH(E706,HostBuild[Alias],0),COLUMN(HostBuild[Status]))&lt;&gt;0,INDEX(HostBuild[],MATCH(E706,HostBuild[Alias],0),COLUMN(HostBuild[Status])),""),""),"")</f>
        <v/>
      </c>
      <c r="C706" s="425" t="str">
        <f>IF(AND(NOT(ISBLANK(E706)),E706&lt;&gt;"(blank)"),IFERROR(IF(INDEX(HostBuild[],MATCH(E706,HostBuild[Alias],0),COLUMN(HostBuild[CTI Target Completion]))&lt;&gt;0,INDEX(HostBuild[],MATCH(E706,HostBuild[Alias],0),COLUMN(HostBuild[CTI Target Completion])),""),""),"")</f>
        <v/>
      </c>
      <c r="D706" s="262" t="str">
        <f>IF(AND(NOT(ISBLANK(E706)),E706&lt;&gt;"(blank)"),IFERROR(IF(INDEX(HostBuild[],MATCH(E706,HostBuild[Alias],0),COLUMN(HostBuild[Description]))&lt;&gt;0,INDEX(HostBuild[],MATCH(E706,HostBuild[Alias],0),COLUMN(HostBuild[Description])),""),""),"")</f>
        <v/>
      </c>
    </row>
    <row r="707" spans="1:4">
      <c r="A707" s="3" t="str">
        <f>IF(AND(NOT(ISBLANK(E707)),E707&lt;&gt;"(blank)"),IFERROR(IF(INDEX(HostBuild[],MATCH(E707,HostBuild[Alias],0),COLUMN(HostBuild[Hostname]))&lt;&gt;0,INDEX(HostBuild[],MATCH(E707,HostBuild[Alias],0),COLUMN(HostBuild[Hostname])),""),""),"")</f>
        <v/>
      </c>
      <c r="B707" s="424" t="str">
        <f>IF(AND(NOT(ISBLANK(E707)),E707&lt;&gt;"(blank)"),IFERROR(IF(INDEX(HostBuild[],MATCH(E707,HostBuild[Alias],0),COLUMN(HostBuild[Status]))&lt;&gt;0,INDEX(HostBuild[],MATCH(E707,HostBuild[Alias],0),COLUMN(HostBuild[Status])),""),""),"")</f>
        <v/>
      </c>
      <c r="C707" s="425" t="str">
        <f>IF(AND(NOT(ISBLANK(E707)),E707&lt;&gt;"(blank)"),IFERROR(IF(INDEX(HostBuild[],MATCH(E707,HostBuild[Alias],0),COLUMN(HostBuild[CTI Target Completion]))&lt;&gt;0,INDEX(HostBuild[],MATCH(E707,HostBuild[Alias],0),COLUMN(HostBuild[CTI Target Completion])),""),""),"")</f>
        <v/>
      </c>
      <c r="D707" s="262" t="str">
        <f>IF(AND(NOT(ISBLANK(E707)),E707&lt;&gt;"(blank)"),IFERROR(IF(INDEX(HostBuild[],MATCH(E707,HostBuild[Alias],0),COLUMN(HostBuild[Description]))&lt;&gt;0,INDEX(HostBuild[],MATCH(E707,HostBuild[Alias],0),COLUMN(HostBuild[Description])),""),""),"")</f>
        <v/>
      </c>
    </row>
    <row r="708" spans="1:4">
      <c r="A708" s="3" t="str">
        <f>IF(AND(NOT(ISBLANK(E708)),E708&lt;&gt;"(blank)"),IFERROR(IF(INDEX(HostBuild[],MATCH(E708,HostBuild[Alias],0),COLUMN(HostBuild[Hostname]))&lt;&gt;0,INDEX(HostBuild[],MATCH(E708,HostBuild[Alias],0),COLUMN(HostBuild[Hostname])),""),""),"")</f>
        <v/>
      </c>
      <c r="B708" s="424" t="str">
        <f>IF(AND(NOT(ISBLANK(E708)),E708&lt;&gt;"(blank)"),IFERROR(IF(INDEX(HostBuild[],MATCH(E708,HostBuild[Alias],0),COLUMN(HostBuild[Status]))&lt;&gt;0,INDEX(HostBuild[],MATCH(E708,HostBuild[Alias],0),COLUMN(HostBuild[Status])),""),""),"")</f>
        <v/>
      </c>
      <c r="C708" s="425" t="str">
        <f>IF(AND(NOT(ISBLANK(E708)),E708&lt;&gt;"(blank)"),IFERROR(IF(INDEX(HostBuild[],MATCH(E708,HostBuild[Alias],0),COLUMN(HostBuild[CTI Target Completion]))&lt;&gt;0,INDEX(HostBuild[],MATCH(E708,HostBuild[Alias],0),COLUMN(HostBuild[CTI Target Completion])),""),""),"")</f>
        <v/>
      </c>
      <c r="D708" s="262" t="str">
        <f>IF(AND(NOT(ISBLANK(E708)),E708&lt;&gt;"(blank)"),IFERROR(IF(INDEX(HostBuild[],MATCH(E708,HostBuild[Alias],0),COLUMN(HostBuild[Description]))&lt;&gt;0,INDEX(HostBuild[],MATCH(E708,HostBuild[Alias],0),COLUMN(HostBuild[Description])),""),""),"")</f>
        <v/>
      </c>
    </row>
    <row r="709" spans="1:4">
      <c r="A709" s="3" t="str">
        <f>IF(AND(NOT(ISBLANK(E709)),E709&lt;&gt;"(blank)"),IFERROR(IF(INDEX(HostBuild[],MATCH(E709,HostBuild[Alias],0),COLUMN(HostBuild[Hostname]))&lt;&gt;0,INDEX(HostBuild[],MATCH(E709,HostBuild[Alias],0),COLUMN(HostBuild[Hostname])),""),""),"")</f>
        <v/>
      </c>
      <c r="B709" s="424" t="str">
        <f>IF(AND(NOT(ISBLANK(E709)),E709&lt;&gt;"(blank)"),IFERROR(IF(INDEX(HostBuild[],MATCH(E709,HostBuild[Alias],0),COLUMN(HostBuild[Status]))&lt;&gt;0,INDEX(HostBuild[],MATCH(E709,HostBuild[Alias],0),COLUMN(HostBuild[Status])),""),""),"")</f>
        <v/>
      </c>
      <c r="C709" s="425" t="str">
        <f>IF(AND(NOT(ISBLANK(E709)),E709&lt;&gt;"(blank)"),IFERROR(IF(INDEX(HostBuild[],MATCH(E709,HostBuild[Alias],0),COLUMN(HostBuild[CTI Target Completion]))&lt;&gt;0,INDEX(HostBuild[],MATCH(E709,HostBuild[Alias],0),COLUMN(HostBuild[CTI Target Completion])),""),""),"")</f>
        <v/>
      </c>
      <c r="D709" s="262" t="str">
        <f>IF(AND(NOT(ISBLANK(E709)),E709&lt;&gt;"(blank)"),IFERROR(IF(INDEX(HostBuild[],MATCH(E709,HostBuild[Alias],0),COLUMN(HostBuild[Description]))&lt;&gt;0,INDEX(HostBuild[],MATCH(E709,HostBuild[Alias],0),COLUMN(HostBuild[Description])),""),""),"")</f>
        <v/>
      </c>
    </row>
    <row r="710" spans="1:4">
      <c r="A710" s="3" t="str">
        <f>IF(AND(NOT(ISBLANK(E710)),E710&lt;&gt;"(blank)"),IFERROR(IF(INDEX(HostBuild[],MATCH(E710,HostBuild[Alias],0),COLUMN(HostBuild[Hostname]))&lt;&gt;0,INDEX(HostBuild[],MATCH(E710,HostBuild[Alias],0),COLUMN(HostBuild[Hostname])),""),""),"")</f>
        <v/>
      </c>
      <c r="B710" s="424" t="str">
        <f>IF(AND(NOT(ISBLANK(E710)),E710&lt;&gt;"(blank)"),IFERROR(IF(INDEX(HostBuild[],MATCH(E710,HostBuild[Alias],0),COLUMN(HostBuild[Status]))&lt;&gt;0,INDEX(HostBuild[],MATCH(E710,HostBuild[Alias],0),COLUMN(HostBuild[Status])),""),""),"")</f>
        <v/>
      </c>
      <c r="C710" s="425" t="str">
        <f>IF(AND(NOT(ISBLANK(E710)),E710&lt;&gt;"(blank)"),IFERROR(IF(INDEX(HostBuild[],MATCH(E710,HostBuild[Alias],0),COLUMN(HostBuild[CTI Target Completion]))&lt;&gt;0,INDEX(HostBuild[],MATCH(E710,HostBuild[Alias],0),COLUMN(HostBuild[CTI Target Completion])),""),""),"")</f>
        <v/>
      </c>
      <c r="D710" s="262" t="str">
        <f>IF(AND(NOT(ISBLANK(E710)),E710&lt;&gt;"(blank)"),IFERROR(IF(INDEX(HostBuild[],MATCH(E710,HostBuild[Alias],0),COLUMN(HostBuild[Description]))&lt;&gt;0,INDEX(HostBuild[],MATCH(E710,HostBuild[Alias],0),COLUMN(HostBuild[Description])),""),""),"")</f>
        <v/>
      </c>
    </row>
    <row r="711" spans="1:4">
      <c r="A711" s="3" t="str">
        <f>IF(AND(NOT(ISBLANK(E711)),E711&lt;&gt;"(blank)"),IFERROR(IF(INDEX(HostBuild[],MATCH(E711,HostBuild[Alias],0),COLUMN(HostBuild[Hostname]))&lt;&gt;0,INDEX(HostBuild[],MATCH(E711,HostBuild[Alias],0),COLUMN(HostBuild[Hostname])),""),""),"")</f>
        <v/>
      </c>
      <c r="B711" s="424" t="str">
        <f>IF(AND(NOT(ISBLANK(E711)),E711&lt;&gt;"(blank)"),IFERROR(IF(INDEX(HostBuild[],MATCH(E711,HostBuild[Alias],0),COLUMN(HostBuild[Status]))&lt;&gt;0,INDEX(HostBuild[],MATCH(E711,HostBuild[Alias],0),COLUMN(HostBuild[Status])),""),""),"")</f>
        <v/>
      </c>
      <c r="C711" s="425" t="str">
        <f>IF(AND(NOT(ISBLANK(E711)),E711&lt;&gt;"(blank)"),IFERROR(IF(INDEX(HostBuild[],MATCH(E711,HostBuild[Alias],0),COLUMN(HostBuild[CTI Target Completion]))&lt;&gt;0,INDEX(HostBuild[],MATCH(E711,HostBuild[Alias],0),COLUMN(HostBuild[CTI Target Completion])),""),""),"")</f>
        <v/>
      </c>
      <c r="D711" s="262" t="str">
        <f>IF(AND(NOT(ISBLANK(E711)),E711&lt;&gt;"(blank)"),IFERROR(IF(INDEX(HostBuild[],MATCH(E711,HostBuild[Alias],0),COLUMN(HostBuild[Description]))&lt;&gt;0,INDEX(HostBuild[],MATCH(E711,HostBuild[Alias],0),COLUMN(HostBuild[Description])),""),""),"")</f>
        <v/>
      </c>
    </row>
    <row r="712" spans="1:4">
      <c r="A712" s="3" t="str">
        <f>IF(AND(NOT(ISBLANK(E712)),E712&lt;&gt;"(blank)"),IFERROR(IF(INDEX(HostBuild[],MATCH(E712,HostBuild[Alias],0),COLUMN(HostBuild[Hostname]))&lt;&gt;0,INDEX(HostBuild[],MATCH(E712,HostBuild[Alias],0),COLUMN(HostBuild[Hostname])),""),""),"")</f>
        <v/>
      </c>
      <c r="B712" s="424" t="str">
        <f>IF(AND(NOT(ISBLANK(E712)),E712&lt;&gt;"(blank)"),IFERROR(IF(INDEX(HostBuild[],MATCH(E712,HostBuild[Alias],0),COLUMN(HostBuild[Status]))&lt;&gt;0,INDEX(HostBuild[],MATCH(E712,HostBuild[Alias],0),COLUMN(HostBuild[Status])),""),""),"")</f>
        <v/>
      </c>
      <c r="C712" s="425" t="str">
        <f>IF(AND(NOT(ISBLANK(E712)),E712&lt;&gt;"(blank)"),IFERROR(IF(INDEX(HostBuild[],MATCH(E712,HostBuild[Alias],0),COLUMN(HostBuild[CTI Target Completion]))&lt;&gt;0,INDEX(HostBuild[],MATCH(E712,HostBuild[Alias],0),COLUMN(HostBuild[CTI Target Completion])),""),""),"")</f>
        <v/>
      </c>
      <c r="D712" s="262" t="str">
        <f>IF(AND(NOT(ISBLANK(E712)),E712&lt;&gt;"(blank)"),IFERROR(IF(INDEX(HostBuild[],MATCH(E712,HostBuild[Alias],0),COLUMN(HostBuild[Description]))&lt;&gt;0,INDEX(HostBuild[],MATCH(E712,HostBuild[Alias],0),COLUMN(HostBuild[Description])),""),""),"")</f>
        <v/>
      </c>
    </row>
    <row r="713" spans="1:4">
      <c r="A713" s="3" t="str">
        <f>IF(AND(NOT(ISBLANK(E713)),E713&lt;&gt;"(blank)"),IFERROR(IF(INDEX(HostBuild[],MATCH(E713,HostBuild[Alias],0),COLUMN(HostBuild[Hostname]))&lt;&gt;0,INDEX(HostBuild[],MATCH(E713,HostBuild[Alias],0),COLUMN(HostBuild[Hostname])),""),""),"")</f>
        <v/>
      </c>
      <c r="B713" s="424" t="str">
        <f>IF(AND(NOT(ISBLANK(E713)),E713&lt;&gt;"(blank)"),IFERROR(IF(INDEX(HostBuild[],MATCH(E713,HostBuild[Alias],0),COLUMN(HostBuild[Status]))&lt;&gt;0,INDEX(HostBuild[],MATCH(E713,HostBuild[Alias],0),COLUMN(HostBuild[Status])),""),""),"")</f>
        <v/>
      </c>
      <c r="C713" s="425" t="str">
        <f>IF(AND(NOT(ISBLANK(E713)),E713&lt;&gt;"(blank)"),IFERROR(IF(INDEX(HostBuild[],MATCH(E713,HostBuild[Alias],0),COLUMN(HostBuild[CTI Target Completion]))&lt;&gt;0,INDEX(HostBuild[],MATCH(E713,HostBuild[Alias],0),COLUMN(HostBuild[CTI Target Completion])),""),""),"")</f>
        <v/>
      </c>
      <c r="D713" s="262" t="str">
        <f>IF(AND(NOT(ISBLANK(E713)),E713&lt;&gt;"(blank)"),IFERROR(IF(INDEX(HostBuild[],MATCH(E713,HostBuild[Alias],0),COLUMN(HostBuild[Description]))&lt;&gt;0,INDEX(HostBuild[],MATCH(E713,HostBuild[Alias],0),COLUMN(HostBuild[Description])),""),""),"")</f>
        <v/>
      </c>
    </row>
    <row r="714" spans="1:4">
      <c r="A714" s="3" t="str">
        <f>IF(AND(NOT(ISBLANK(E714)),E714&lt;&gt;"(blank)"),IFERROR(IF(INDEX(HostBuild[],MATCH(E714,HostBuild[Alias],0),COLUMN(HostBuild[Hostname]))&lt;&gt;0,INDEX(HostBuild[],MATCH(E714,HostBuild[Alias],0),COLUMN(HostBuild[Hostname])),""),""),"")</f>
        <v/>
      </c>
      <c r="B714" s="424" t="str">
        <f>IF(AND(NOT(ISBLANK(E714)),E714&lt;&gt;"(blank)"),IFERROR(IF(INDEX(HostBuild[],MATCH(E714,HostBuild[Alias],0),COLUMN(HostBuild[Status]))&lt;&gt;0,INDEX(HostBuild[],MATCH(E714,HostBuild[Alias],0),COLUMN(HostBuild[Status])),""),""),"")</f>
        <v/>
      </c>
      <c r="C714" s="425" t="str">
        <f>IF(AND(NOT(ISBLANK(E714)),E714&lt;&gt;"(blank)"),IFERROR(IF(INDEX(HostBuild[],MATCH(E714,HostBuild[Alias],0),COLUMN(HostBuild[CTI Target Completion]))&lt;&gt;0,INDEX(HostBuild[],MATCH(E714,HostBuild[Alias],0),COLUMN(HostBuild[CTI Target Completion])),""),""),"")</f>
        <v/>
      </c>
      <c r="D714" s="262" t="str">
        <f>IF(AND(NOT(ISBLANK(E714)),E714&lt;&gt;"(blank)"),IFERROR(IF(INDEX(HostBuild[],MATCH(E714,HostBuild[Alias],0),COLUMN(HostBuild[Description]))&lt;&gt;0,INDEX(HostBuild[],MATCH(E714,HostBuild[Alias],0),COLUMN(HostBuild[Description])),""),""),"")</f>
        <v/>
      </c>
    </row>
    <row r="715" spans="1:4">
      <c r="A715" s="3" t="str">
        <f>IF(AND(NOT(ISBLANK(E715)),E715&lt;&gt;"(blank)"),IFERROR(IF(INDEX(HostBuild[],MATCH(E715,HostBuild[Alias],0),COLUMN(HostBuild[Hostname]))&lt;&gt;0,INDEX(HostBuild[],MATCH(E715,HostBuild[Alias],0),COLUMN(HostBuild[Hostname])),""),""),"")</f>
        <v/>
      </c>
      <c r="B715" s="424" t="str">
        <f>IF(AND(NOT(ISBLANK(E715)),E715&lt;&gt;"(blank)"),IFERROR(IF(INDEX(HostBuild[],MATCH(E715,HostBuild[Alias],0),COLUMN(HostBuild[Status]))&lt;&gt;0,INDEX(HostBuild[],MATCH(E715,HostBuild[Alias],0),COLUMN(HostBuild[Status])),""),""),"")</f>
        <v/>
      </c>
      <c r="C715" s="425" t="str">
        <f>IF(AND(NOT(ISBLANK(E715)),E715&lt;&gt;"(blank)"),IFERROR(IF(INDEX(HostBuild[],MATCH(E715,HostBuild[Alias],0),COLUMN(HostBuild[CTI Target Completion]))&lt;&gt;0,INDEX(HostBuild[],MATCH(E715,HostBuild[Alias],0),COLUMN(HostBuild[CTI Target Completion])),""),""),"")</f>
        <v/>
      </c>
      <c r="D715" s="262" t="str">
        <f>IF(AND(NOT(ISBLANK(E715)),E715&lt;&gt;"(blank)"),IFERROR(IF(INDEX(HostBuild[],MATCH(E715,HostBuild[Alias],0),COLUMN(HostBuild[Description]))&lt;&gt;0,INDEX(HostBuild[],MATCH(E715,HostBuild[Alias],0),COLUMN(HostBuild[Description])),""),""),"")</f>
        <v/>
      </c>
    </row>
    <row r="716" spans="1:4">
      <c r="A716" s="3" t="str">
        <f>IF(AND(NOT(ISBLANK(E716)),E716&lt;&gt;"(blank)"),IFERROR(IF(INDEX(HostBuild[],MATCH(E716,HostBuild[Alias],0),COLUMN(HostBuild[Hostname]))&lt;&gt;0,INDEX(HostBuild[],MATCH(E716,HostBuild[Alias],0),COLUMN(HostBuild[Hostname])),""),""),"")</f>
        <v/>
      </c>
      <c r="B716" s="424" t="str">
        <f>IF(AND(NOT(ISBLANK(E716)),E716&lt;&gt;"(blank)"),IFERROR(IF(INDEX(HostBuild[],MATCH(E716,HostBuild[Alias],0),COLUMN(HostBuild[Status]))&lt;&gt;0,INDEX(HostBuild[],MATCH(E716,HostBuild[Alias],0),COLUMN(HostBuild[Status])),""),""),"")</f>
        <v/>
      </c>
      <c r="C716" s="425" t="str">
        <f>IF(AND(NOT(ISBLANK(E716)),E716&lt;&gt;"(blank)"),IFERROR(IF(INDEX(HostBuild[],MATCH(E716,HostBuild[Alias],0),COLUMN(HostBuild[CTI Target Completion]))&lt;&gt;0,INDEX(HostBuild[],MATCH(E716,HostBuild[Alias],0),COLUMN(HostBuild[CTI Target Completion])),""),""),"")</f>
        <v/>
      </c>
      <c r="D716" s="262" t="str">
        <f>IF(AND(NOT(ISBLANK(E716)),E716&lt;&gt;"(blank)"),IFERROR(IF(INDEX(HostBuild[],MATCH(E716,HostBuild[Alias],0),COLUMN(HostBuild[Description]))&lt;&gt;0,INDEX(HostBuild[],MATCH(E716,HostBuild[Alias],0),COLUMN(HostBuild[Description])),""),""),"")</f>
        <v/>
      </c>
    </row>
    <row r="717" spans="1:4">
      <c r="A717" s="3" t="str">
        <f>IF(AND(NOT(ISBLANK(E717)),E717&lt;&gt;"(blank)"),IFERROR(IF(INDEX(HostBuild[],MATCH(E717,HostBuild[Alias],0),COLUMN(HostBuild[Hostname]))&lt;&gt;0,INDEX(HostBuild[],MATCH(E717,HostBuild[Alias],0),COLUMN(HostBuild[Hostname])),""),""),"")</f>
        <v/>
      </c>
      <c r="B717" s="424" t="str">
        <f>IF(AND(NOT(ISBLANK(E717)),E717&lt;&gt;"(blank)"),IFERROR(IF(INDEX(HostBuild[],MATCH(E717,HostBuild[Alias],0),COLUMN(HostBuild[Status]))&lt;&gt;0,INDEX(HostBuild[],MATCH(E717,HostBuild[Alias],0),COLUMN(HostBuild[Status])),""),""),"")</f>
        <v/>
      </c>
      <c r="C717" s="425" t="str">
        <f>IF(AND(NOT(ISBLANK(E717)),E717&lt;&gt;"(blank)"),IFERROR(IF(INDEX(HostBuild[],MATCH(E717,HostBuild[Alias],0),COLUMN(HostBuild[CTI Target Completion]))&lt;&gt;0,INDEX(HostBuild[],MATCH(E717,HostBuild[Alias],0),COLUMN(HostBuild[CTI Target Completion])),""),""),"")</f>
        <v/>
      </c>
      <c r="D717" s="262" t="str">
        <f>IF(AND(NOT(ISBLANK(E717)),E717&lt;&gt;"(blank)"),IFERROR(IF(INDEX(HostBuild[],MATCH(E717,HostBuild[Alias],0),COLUMN(HostBuild[Description]))&lt;&gt;0,INDEX(HostBuild[],MATCH(E717,HostBuild[Alias],0),COLUMN(HostBuild[Description])),""),""),"")</f>
        <v/>
      </c>
    </row>
    <row r="718" spans="1:4">
      <c r="A718" s="3" t="str">
        <f>IF(AND(NOT(ISBLANK(E718)),E718&lt;&gt;"(blank)"),IFERROR(IF(INDEX(HostBuild[],MATCH(E718,HostBuild[Alias],0),COLUMN(HostBuild[Hostname]))&lt;&gt;0,INDEX(HostBuild[],MATCH(E718,HostBuild[Alias],0),COLUMN(HostBuild[Hostname])),""),""),"")</f>
        <v/>
      </c>
      <c r="B718" s="424" t="str">
        <f>IF(AND(NOT(ISBLANK(E718)),E718&lt;&gt;"(blank)"),IFERROR(IF(INDEX(HostBuild[],MATCH(E718,HostBuild[Alias],0),COLUMN(HostBuild[Status]))&lt;&gt;0,INDEX(HostBuild[],MATCH(E718,HostBuild[Alias],0),COLUMN(HostBuild[Status])),""),""),"")</f>
        <v/>
      </c>
      <c r="C718" s="425" t="str">
        <f>IF(AND(NOT(ISBLANK(E718)),E718&lt;&gt;"(blank)"),IFERROR(IF(INDEX(HostBuild[],MATCH(E718,HostBuild[Alias],0),COLUMN(HostBuild[CTI Target Completion]))&lt;&gt;0,INDEX(HostBuild[],MATCH(E718,HostBuild[Alias],0),COLUMN(HostBuild[CTI Target Completion])),""),""),"")</f>
        <v/>
      </c>
      <c r="D718" s="262" t="str">
        <f>IF(AND(NOT(ISBLANK(E718)),E718&lt;&gt;"(blank)"),IFERROR(IF(INDEX(HostBuild[],MATCH(E718,HostBuild[Alias],0),COLUMN(HostBuild[Description]))&lt;&gt;0,INDEX(HostBuild[],MATCH(E718,HostBuild[Alias],0),COLUMN(HostBuild[Description])),""),""),"")</f>
        <v/>
      </c>
    </row>
    <row r="719" spans="1:4">
      <c r="A719" s="3" t="str">
        <f>IF(AND(NOT(ISBLANK(E719)),E719&lt;&gt;"(blank)"),IFERROR(IF(INDEX(HostBuild[],MATCH(E719,HostBuild[Alias],0),COLUMN(HostBuild[Hostname]))&lt;&gt;0,INDEX(HostBuild[],MATCH(E719,HostBuild[Alias],0),COLUMN(HostBuild[Hostname])),""),""),"")</f>
        <v/>
      </c>
      <c r="B719" s="424" t="str">
        <f>IF(AND(NOT(ISBLANK(E719)),E719&lt;&gt;"(blank)"),IFERROR(IF(INDEX(HostBuild[],MATCH(E719,HostBuild[Alias],0),COLUMN(HostBuild[Status]))&lt;&gt;0,INDEX(HostBuild[],MATCH(E719,HostBuild[Alias],0),COLUMN(HostBuild[Status])),""),""),"")</f>
        <v/>
      </c>
      <c r="C719" s="425" t="str">
        <f>IF(AND(NOT(ISBLANK(E719)),E719&lt;&gt;"(blank)"),IFERROR(IF(INDEX(HostBuild[],MATCH(E719,HostBuild[Alias],0),COLUMN(HostBuild[CTI Target Completion]))&lt;&gt;0,INDEX(HostBuild[],MATCH(E719,HostBuild[Alias],0),COLUMN(HostBuild[CTI Target Completion])),""),""),"")</f>
        <v/>
      </c>
      <c r="D719" s="262" t="str">
        <f>IF(AND(NOT(ISBLANK(E719)),E719&lt;&gt;"(blank)"),IFERROR(IF(INDEX(HostBuild[],MATCH(E719,HostBuild[Alias],0),COLUMN(HostBuild[Description]))&lt;&gt;0,INDEX(HostBuild[],MATCH(E719,HostBuild[Alias],0),COLUMN(HostBuild[Description])),""),""),"")</f>
        <v/>
      </c>
    </row>
    <row r="720" spans="1:4">
      <c r="A720" s="3" t="str">
        <f>IF(AND(NOT(ISBLANK(E720)),E720&lt;&gt;"(blank)"),IFERROR(IF(INDEX(HostBuild[],MATCH(E720,HostBuild[Alias],0),COLUMN(HostBuild[Hostname]))&lt;&gt;0,INDEX(HostBuild[],MATCH(E720,HostBuild[Alias],0),COLUMN(HostBuild[Hostname])),""),""),"")</f>
        <v/>
      </c>
      <c r="B720" s="424" t="str">
        <f>IF(AND(NOT(ISBLANK(E720)),E720&lt;&gt;"(blank)"),IFERROR(IF(INDEX(HostBuild[],MATCH(E720,HostBuild[Alias],0),COLUMN(HostBuild[Status]))&lt;&gt;0,INDEX(HostBuild[],MATCH(E720,HostBuild[Alias],0),COLUMN(HostBuild[Status])),""),""),"")</f>
        <v/>
      </c>
      <c r="C720" s="425" t="str">
        <f>IF(AND(NOT(ISBLANK(E720)),E720&lt;&gt;"(blank)"),IFERROR(IF(INDEX(HostBuild[],MATCH(E720,HostBuild[Alias],0),COLUMN(HostBuild[CTI Target Completion]))&lt;&gt;0,INDEX(HostBuild[],MATCH(E720,HostBuild[Alias],0),COLUMN(HostBuild[CTI Target Completion])),""),""),"")</f>
        <v/>
      </c>
      <c r="D720" s="262" t="str">
        <f>IF(AND(NOT(ISBLANK(E720)),E720&lt;&gt;"(blank)"),IFERROR(IF(INDEX(HostBuild[],MATCH(E720,HostBuild[Alias],0),COLUMN(HostBuild[Description]))&lt;&gt;0,INDEX(HostBuild[],MATCH(E720,HostBuild[Alias],0),COLUMN(HostBuild[Description])),""),""),"")</f>
        <v/>
      </c>
    </row>
    <row r="721" spans="1:4">
      <c r="A721" s="3" t="str">
        <f>IF(AND(NOT(ISBLANK(E721)),E721&lt;&gt;"(blank)"),IFERROR(IF(INDEX(HostBuild[],MATCH(E721,HostBuild[Alias],0),COLUMN(HostBuild[Hostname]))&lt;&gt;0,INDEX(HostBuild[],MATCH(E721,HostBuild[Alias],0),COLUMN(HostBuild[Hostname])),""),""),"")</f>
        <v/>
      </c>
      <c r="B721" s="424" t="str">
        <f>IF(AND(NOT(ISBLANK(E721)),E721&lt;&gt;"(blank)"),IFERROR(IF(INDEX(HostBuild[],MATCH(E721,HostBuild[Alias],0),COLUMN(HostBuild[Status]))&lt;&gt;0,INDEX(HostBuild[],MATCH(E721,HostBuild[Alias],0),COLUMN(HostBuild[Status])),""),""),"")</f>
        <v/>
      </c>
      <c r="C721" s="425" t="str">
        <f>IF(AND(NOT(ISBLANK(E721)),E721&lt;&gt;"(blank)"),IFERROR(IF(INDEX(HostBuild[],MATCH(E721,HostBuild[Alias],0),COLUMN(HostBuild[CTI Target Completion]))&lt;&gt;0,INDEX(HostBuild[],MATCH(E721,HostBuild[Alias],0),COLUMN(HostBuild[CTI Target Completion])),""),""),"")</f>
        <v/>
      </c>
      <c r="D721" s="262" t="str">
        <f>IF(AND(NOT(ISBLANK(E721)),E721&lt;&gt;"(blank)"),IFERROR(IF(INDEX(HostBuild[],MATCH(E721,HostBuild[Alias],0),COLUMN(HostBuild[Description]))&lt;&gt;0,INDEX(HostBuild[],MATCH(E721,HostBuild[Alias],0),COLUMN(HostBuild[Description])),""),""),"")</f>
        <v/>
      </c>
    </row>
    <row r="722" spans="1:4">
      <c r="A722" s="3" t="str">
        <f>IF(AND(NOT(ISBLANK(E722)),E722&lt;&gt;"(blank)"),IFERROR(IF(INDEX(HostBuild[],MATCH(E722,HostBuild[Alias],0),COLUMN(HostBuild[Hostname]))&lt;&gt;0,INDEX(HostBuild[],MATCH(E722,HostBuild[Alias],0),COLUMN(HostBuild[Hostname])),""),""),"")</f>
        <v/>
      </c>
      <c r="B722" s="424" t="str">
        <f>IF(AND(NOT(ISBLANK(E722)),E722&lt;&gt;"(blank)"),IFERROR(IF(INDEX(HostBuild[],MATCH(E722,HostBuild[Alias],0),COLUMN(HostBuild[Status]))&lt;&gt;0,INDEX(HostBuild[],MATCH(E722,HostBuild[Alias],0),COLUMN(HostBuild[Status])),""),""),"")</f>
        <v/>
      </c>
      <c r="C722" s="425" t="str">
        <f>IF(AND(NOT(ISBLANK(E722)),E722&lt;&gt;"(blank)"),IFERROR(IF(INDEX(HostBuild[],MATCH(E722,HostBuild[Alias],0),COLUMN(HostBuild[CTI Target Completion]))&lt;&gt;0,INDEX(HostBuild[],MATCH(E722,HostBuild[Alias],0),COLUMN(HostBuild[CTI Target Completion])),""),""),"")</f>
        <v/>
      </c>
      <c r="D722" s="262" t="str">
        <f>IF(AND(NOT(ISBLANK(E722)),E722&lt;&gt;"(blank)"),IFERROR(IF(INDEX(HostBuild[],MATCH(E722,HostBuild[Alias],0),COLUMN(HostBuild[Description]))&lt;&gt;0,INDEX(HostBuild[],MATCH(E722,HostBuild[Alias],0),COLUMN(HostBuild[Description])),""),""),"")</f>
        <v/>
      </c>
    </row>
    <row r="723" spans="1:4">
      <c r="A723" s="3" t="str">
        <f>IF(AND(NOT(ISBLANK(E723)),E723&lt;&gt;"(blank)"),IFERROR(IF(INDEX(HostBuild[],MATCH(E723,HostBuild[Alias],0),COLUMN(HostBuild[Hostname]))&lt;&gt;0,INDEX(HostBuild[],MATCH(E723,HostBuild[Alias],0),COLUMN(HostBuild[Hostname])),""),""),"")</f>
        <v/>
      </c>
      <c r="B723" s="424" t="str">
        <f>IF(AND(NOT(ISBLANK(E723)),E723&lt;&gt;"(blank)"),IFERROR(IF(INDEX(HostBuild[],MATCH(E723,HostBuild[Alias],0),COLUMN(HostBuild[Status]))&lt;&gt;0,INDEX(HostBuild[],MATCH(E723,HostBuild[Alias],0),COLUMN(HostBuild[Status])),""),""),"")</f>
        <v/>
      </c>
      <c r="C723" s="425" t="str">
        <f>IF(AND(NOT(ISBLANK(E723)),E723&lt;&gt;"(blank)"),IFERROR(IF(INDEX(HostBuild[],MATCH(E723,HostBuild[Alias],0),COLUMN(HostBuild[CTI Target Completion]))&lt;&gt;0,INDEX(HostBuild[],MATCH(E723,HostBuild[Alias],0),COLUMN(HostBuild[CTI Target Completion])),""),""),"")</f>
        <v/>
      </c>
      <c r="D723" s="262" t="str">
        <f>IF(AND(NOT(ISBLANK(E723)),E723&lt;&gt;"(blank)"),IFERROR(IF(INDEX(HostBuild[],MATCH(E723,HostBuild[Alias],0),COLUMN(HostBuild[Description]))&lt;&gt;0,INDEX(HostBuild[],MATCH(E723,HostBuild[Alias],0),COLUMN(HostBuild[Description])),""),""),"")</f>
        <v/>
      </c>
    </row>
    <row r="724" spans="1:4">
      <c r="A724" s="3" t="str">
        <f>IF(AND(NOT(ISBLANK(E724)),E724&lt;&gt;"(blank)"),IFERROR(IF(INDEX(HostBuild[],MATCH(E724,HostBuild[Alias],0),COLUMN(HostBuild[Hostname]))&lt;&gt;0,INDEX(HostBuild[],MATCH(E724,HostBuild[Alias],0),COLUMN(HostBuild[Hostname])),""),""),"")</f>
        <v/>
      </c>
      <c r="B724" s="424" t="str">
        <f>IF(AND(NOT(ISBLANK(E724)),E724&lt;&gt;"(blank)"),IFERROR(IF(INDEX(HostBuild[],MATCH(E724,HostBuild[Alias],0),COLUMN(HostBuild[Status]))&lt;&gt;0,INDEX(HostBuild[],MATCH(E724,HostBuild[Alias],0),COLUMN(HostBuild[Status])),""),""),"")</f>
        <v/>
      </c>
      <c r="C724" s="425" t="str">
        <f>IF(AND(NOT(ISBLANK(E724)),E724&lt;&gt;"(blank)"),IFERROR(IF(INDEX(HostBuild[],MATCH(E724,HostBuild[Alias],0),COLUMN(HostBuild[CTI Target Completion]))&lt;&gt;0,INDEX(HostBuild[],MATCH(E724,HostBuild[Alias],0),COLUMN(HostBuild[CTI Target Completion])),""),""),"")</f>
        <v/>
      </c>
      <c r="D724" s="262" t="str">
        <f>IF(AND(NOT(ISBLANK(E724)),E724&lt;&gt;"(blank)"),IFERROR(IF(INDEX(HostBuild[],MATCH(E724,HostBuild[Alias],0),COLUMN(HostBuild[Description]))&lt;&gt;0,INDEX(HostBuild[],MATCH(E724,HostBuild[Alias],0),COLUMN(HostBuild[Description])),""),""),"")</f>
        <v/>
      </c>
    </row>
    <row r="725" spans="1:4">
      <c r="A725" s="3" t="str">
        <f>IF(AND(NOT(ISBLANK(E725)),E725&lt;&gt;"(blank)"),IFERROR(IF(INDEX(HostBuild[],MATCH(E725,HostBuild[Alias],0),COLUMN(HostBuild[Hostname]))&lt;&gt;0,INDEX(HostBuild[],MATCH(E725,HostBuild[Alias],0),COLUMN(HostBuild[Hostname])),""),""),"")</f>
        <v/>
      </c>
      <c r="B725" s="424" t="str">
        <f>IF(AND(NOT(ISBLANK(E725)),E725&lt;&gt;"(blank)"),IFERROR(IF(INDEX(HostBuild[],MATCH(E725,HostBuild[Alias],0),COLUMN(HostBuild[Status]))&lt;&gt;0,INDEX(HostBuild[],MATCH(E725,HostBuild[Alias],0),COLUMN(HostBuild[Status])),""),""),"")</f>
        <v/>
      </c>
      <c r="C725" s="425" t="str">
        <f>IF(AND(NOT(ISBLANK(E725)),E725&lt;&gt;"(blank)"),IFERROR(IF(INDEX(HostBuild[],MATCH(E725,HostBuild[Alias],0),COLUMN(HostBuild[CTI Target Completion]))&lt;&gt;0,INDEX(HostBuild[],MATCH(E725,HostBuild[Alias],0),COLUMN(HostBuild[CTI Target Completion])),""),""),"")</f>
        <v/>
      </c>
      <c r="D725" s="262" t="str">
        <f>IF(AND(NOT(ISBLANK(E725)),E725&lt;&gt;"(blank)"),IFERROR(IF(INDEX(HostBuild[],MATCH(E725,HostBuild[Alias],0),COLUMN(HostBuild[Description]))&lt;&gt;0,INDEX(HostBuild[],MATCH(E725,HostBuild[Alias],0),COLUMN(HostBuild[Description])),""),""),"")</f>
        <v/>
      </c>
    </row>
    <row r="726" spans="1:4">
      <c r="A726" s="3" t="str">
        <f>IF(AND(NOT(ISBLANK(E726)),E726&lt;&gt;"(blank)"),IFERROR(IF(INDEX(HostBuild[],MATCH(E726,HostBuild[Alias],0),COLUMN(HostBuild[Hostname]))&lt;&gt;0,INDEX(HostBuild[],MATCH(E726,HostBuild[Alias],0),COLUMN(HostBuild[Hostname])),""),""),"")</f>
        <v/>
      </c>
      <c r="B726" s="424" t="str">
        <f>IF(AND(NOT(ISBLANK(E726)),E726&lt;&gt;"(blank)"),IFERROR(IF(INDEX(HostBuild[],MATCH(E726,HostBuild[Alias],0),COLUMN(HostBuild[Status]))&lt;&gt;0,INDEX(HostBuild[],MATCH(E726,HostBuild[Alias],0),COLUMN(HostBuild[Status])),""),""),"")</f>
        <v/>
      </c>
      <c r="C726" s="425" t="str">
        <f>IF(AND(NOT(ISBLANK(E726)),E726&lt;&gt;"(blank)"),IFERROR(IF(INDEX(HostBuild[],MATCH(E726,HostBuild[Alias],0),COLUMN(HostBuild[CTI Target Completion]))&lt;&gt;0,INDEX(HostBuild[],MATCH(E726,HostBuild[Alias],0),COLUMN(HostBuild[CTI Target Completion])),""),""),"")</f>
        <v/>
      </c>
      <c r="D726" s="262" t="str">
        <f>IF(AND(NOT(ISBLANK(E726)),E726&lt;&gt;"(blank)"),IFERROR(IF(INDEX(HostBuild[],MATCH(E726,HostBuild[Alias],0),COLUMN(HostBuild[Description]))&lt;&gt;0,INDEX(HostBuild[],MATCH(E726,HostBuild[Alias],0),COLUMN(HostBuild[Description])),""),""),"")</f>
        <v/>
      </c>
    </row>
    <row r="727" spans="1:4">
      <c r="A727" s="3" t="str">
        <f>IF(AND(NOT(ISBLANK(E727)),E727&lt;&gt;"(blank)"),IFERROR(IF(INDEX(HostBuild[],MATCH(E727,HostBuild[Alias],0),COLUMN(HostBuild[Hostname]))&lt;&gt;0,INDEX(HostBuild[],MATCH(E727,HostBuild[Alias],0),COLUMN(HostBuild[Hostname])),""),""),"")</f>
        <v/>
      </c>
      <c r="B727" s="424" t="str">
        <f>IF(AND(NOT(ISBLANK(E727)),E727&lt;&gt;"(blank)"),IFERROR(IF(INDEX(HostBuild[],MATCH(E727,HostBuild[Alias],0),COLUMN(HostBuild[Status]))&lt;&gt;0,INDEX(HostBuild[],MATCH(E727,HostBuild[Alias],0),COLUMN(HostBuild[Status])),""),""),"")</f>
        <v/>
      </c>
      <c r="C727" s="425" t="str">
        <f>IF(AND(NOT(ISBLANK(E727)),E727&lt;&gt;"(blank)"),IFERROR(IF(INDEX(HostBuild[],MATCH(E727,HostBuild[Alias],0),COLUMN(HostBuild[CTI Target Completion]))&lt;&gt;0,INDEX(HostBuild[],MATCH(E727,HostBuild[Alias],0),COLUMN(HostBuild[CTI Target Completion])),""),""),"")</f>
        <v/>
      </c>
      <c r="D727" s="262" t="str">
        <f>IF(AND(NOT(ISBLANK(E727)),E727&lt;&gt;"(blank)"),IFERROR(IF(INDEX(HostBuild[],MATCH(E727,HostBuild[Alias],0),COLUMN(HostBuild[Description]))&lt;&gt;0,INDEX(HostBuild[],MATCH(E727,HostBuild[Alias],0),COLUMN(HostBuild[Description])),""),""),"")</f>
        <v/>
      </c>
    </row>
    <row r="728" spans="1:4">
      <c r="A728" s="3" t="str">
        <f>IF(AND(NOT(ISBLANK(E728)),E728&lt;&gt;"(blank)"),IFERROR(IF(INDEX(HostBuild[],MATCH(E728,HostBuild[Alias],0),COLUMN(HostBuild[Hostname]))&lt;&gt;0,INDEX(HostBuild[],MATCH(E728,HostBuild[Alias],0),COLUMN(HostBuild[Hostname])),""),""),"")</f>
        <v/>
      </c>
      <c r="B728" s="424" t="str">
        <f>IF(AND(NOT(ISBLANK(E728)),E728&lt;&gt;"(blank)"),IFERROR(IF(INDEX(HostBuild[],MATCH(E728,HostBuild[Alias],0),COLUMN(HostBuild[Status]))&lt;&gt;0,INDEX(HostBuild[],MATCH(E728,HostBuild[Alias],0),COLUMN(HostBuild[Status])),""),""),"")</f>
        <v/>
      </c>
      <c r="C728" s="425" t="str">
        <f>IF(AND(NOT(ISBLANK(E728)),E728&lt;&gt;"(blank)"),IFERROR(IF(INDEX(HostBuild[],MATCH(E728,HostBuild[Alias],0),COLUMN(HostBuild[CTI Target Completion]))&lt;&gt;0,INDEX(HostBuild[],MATCH(E728,HostBuild[Alias],0),COLUMN(HostBuild[CTI Target Completion])),""),""),"")</f>
        <v/>
      </c>
      <c r="D728" s="262" t="str">
        <f>IF(AND(NOT(ISBLANK(E728)),E728&lt;&gt;"(blank)"),IFERROR(IF(INDEX(HostBuild[],MATCH(E728,HostBuild[Alias],0),COLUMN(HostBuild[Description]))&lt;&gt;0,INDEX(HostBuild[],MATCH(E728,HostBuild[Alias],0),COLUMN(HostBuild[Description])),""),""),"")</f>
        <v/>
      </c>
    </row>
    <row r="729" spans="1:4">
      <c r="A729" s="3" t="str">
        <f>IF(AND(NOT(ISBLANK(E729)),E729&lt;&gt;"(blank)"),IFERROR(IF(INDEX(HostBuild[],MATCH(E729,HostBuild[Alias],0),COLUMN(HostBuild[Hostname]))&lt;&gt;0,INDEX(HostBuild[],MATCH(E729,HostBuild[Alias],0),COLUMN(HostBuild[Hostname])),""),""),"")</f>
        <v/>
      </c>
      <c r="B729" s="424" t="str">
        <f>IF(AND(NOT(ISBLANK(E729)),E729&lt;&gt;"(blank)"),IFERROR(IF(INDEX(HostBuild[],MATCH(E729,HostBuild[Alias],0),COLUMN(HostBuild[Status]))&lt;&gt;0,INDEX(HostBuild[],MATCH(E729,HostBuild[Alias],0),COLUMN(HostBuild[Status])),""),""),"")</f>
        <v/>
      </c>
      <c r="C729" s="425" t="str">
        <f>IF(AND(NOT(ISBLANK(E729)),E729&lt;&gt;"(blank)"),IFERROR(IF(INDEX(HostBuild[],MATCH(E729,HostBuild[Alias],0),COLUMN(HostBuild[CTI Target Completion]))&lt;&gt;0,INDEX(HostBuild[],MATCH(E729,HostBuild[Alias],0),COLUMN(HostBuild[CTI Target Completion])),""),""),"")</f>
        <v/>
      </c>
      <c r="D729" s="262" t="str">
        <f>IF(AND(NOT(ISBLANK(E729)),E729&lt;&gt;"(blank)"),IFERROR(IF(INDEX(HostBuild[],MATCH(E729,HostBuild[Alias],0),COLUMN(HostBuild[Description]))&lt;&gt;0,INDEX(HostBuild[],MATCH(E729,HostBuild[Alias],0),COLUMN(HostBuild[Description])),""),""),"")</f>
        <v/>
      </c>
    </row>
    <row r="730" spans="1:4">
      <c r="A730" s="3" t="str">
        <f>IF(AND(NOT(ISBLANK(E730)),E730&lt;&gt;"(blank)"),IFERROR(IF(INDEX(HostBuild[],MATCH(E730,HostBuild[Alias],0),COLUMN(HostBuild[Hostname]))&lt;&gt;0,INDEX(HostBuild[],MATCH(E730,HostBuild[Alias],0),COLUMN(HostBuild[Hostname])),""),""),"")</f>
        <v/>
      </c>
      <c r="B730" s="424" t="str">
        <f>IF(AND(NOT(ISBLANK(E730)),E730&lt;&gt;"(blank)"),IFERROR(IF(INDEX(HostBuild[],MATCH(E730,HostBuild[Alias],0),COLUMN(HostBuild[Status]))&lt;&gt;0,INDEX(HostBuild[],MATCH(E730,HostBuild[Alias],0),COLUMN(HostBuild[Status])),""),""),"")</f>
        <v/>
      </c>
      <c r="C730" s="425" t="str">
        <f>IF(AND(NOT(ISBLANK(E730)),E730&lt;&gt;"(blank)"),IFERROR(IF(INDEX(HostBuild[],MATCH(E730,HostBuild[Alias],0),COLUMN(HostBuild[CTI Target Completion]))&lt;&gt;0,INDEX(HostBuild[],MATCH(E730,HostBuild[Alias],0),COLUMN(HostBuild[CTI Target Completion])),""),""),"")</f>
        <v/>
      </c>
      <c r="D730" s="262" t="str">
        <f>IF(AND(NOT(ISBLANK(E730)),E730&lt;&gt;"(blank)"),IFERROR(IF(INDEX(HostBuild[],MATCH(E730,HostBuild[Alias],0),COLUMN(HostBuild[Description]))&lt;&gt;0,INDEX(HostBuild[],MATCH(E730,HostBuild[Alias],0),COLUMN(HostBuild[Description])),""),""),"")</f>
        <v/>
      </c>
    </row>
    <row r="731" spans="1:4">
      <c r="A731" s="3" t="str">
        <f>IF(AND(NOT(ISBLANK(E731)),E731&lt;&gt;"(blank)"),IFERROR(IF(INDEX(HostBuild[],MATCH(E731,HostBuild[Alias],0),COLUMN(HostBuild[Hostname]))&lt;&gt;0,INDEX(HostBuild[],MATCH(E731,HostBuild[Alias],0),COLUMN(HostBuild[Hostname])),""),""),"")</f>
        <v/>
      </c>
      <c r="B731" s="424" t="str">
        <f>IF(AND(NOT(ISBLANK(E731)),E731&lt;&gt;"(blank)"),IFERROR(IF(INDEX(HostBuild[],MATCH(E731,HostBuild[Alias],0),COLUMN(HostBuild[Status]))&lt;&gt;0,INDEX(HostBuild[],MATCH(E731,HostBuild[Alias],0),COLUMN(HostBuild[Status])),""),""),"")</f>
        <v/>
      </c>
      <c r="C731" s="425" t="str">
        <f>IF(AND(NOT(ISBLANK(E731)),E731&lt;&gt;"(blank)"),IFERROR(IF(INDEX(HostBuild[],MATCH(E731,HostBuild[Alias],0),COLUMN(HostBuild[CTI Target Completion]))&lt;&gt;0,INDEX(HostBuild[],MATCH(E731,HostBuild[Alias],0),COLUMN(HostBuild[CTI Target Completion])),""),""),"")</f>
        <v/>
      </c>
      <c r="D731" s="262" t="str">
        <f>IF(AND(NOT(ISBLANK(E731)),E731&lt;&gt;"(blank)"),IFERROR(IF(INDEX(HostBuild[],MATCH(E731,HostBuild[Alias],0),COLUMN(HostBuild[Description]))&lt;&gt;0,INDEX(HostBuild[],MATCH(E731,HostBuild[Alias],0),COLUMN(HostBuild[Description])),""),""),"")</f>
        <v/>
      </c>
    </row>
    <row r="732" spans="1:4">
      <c r="A732" s="3" t="str">
        <f>IF(AND(NOT(ISBLANK(E732)),E732&lt;&gt;"(blank)"),IFERROR(IF(INDEX(HostBuild[],MATCH(E732,HostBuild[Alias],0),COLUMN(HostBuild[Hostname]))&lt;&gt;0,INDEX(HostBuild[],MATCH(E732,HostBuild[Alias],0),COLUMN(HostBuild[Hostname])),""),""),"")</f>
        <v/>
      </c>
      <c r="B732" s="424" t="str">
        <f>IF(AND(NOT(ISBLANK(E732)),E732&lt;&gt;"(blank)"),IFERROR(IF(INDEX(HostBuild[],MATCH(E732,HostBuild[Alias],0),COLUMN(HostBuild[Status]))&lt;&gt;0,INDEX(HostBuild[],MATCH(E732,HostBuild[Alias],0),COLUMN(HostBuild[Status])),""),""),"")</f>
        <v/>
      </c>
      <c r="C732" s="425" t="str">
        <f>IF(AND(NOT(ISBLANK(E732)),E732&lt;&gt;"(blank)"),IFERROR(IF(INDEX(HostBuild[],MATCH(E732,HostBuild[Alias],0),COLUMN(HostBuild[CTI Target Completion]))&lt;&gt;0,INDEX(HostBuild[],MATCH(E732,HostBuild[Alias],0),COLUMN(HostBuild[CTI Target Completion])),""),""),"")</f>
        <v/>
      </c>
      <c r="D732" s="262" t="str">
        <f>IF(AND(NOT(ISBLANK(E732)),E732&lt;&gt;"(blank)"),IFERROR(IF(INDEX(HostBuild[],MATCH(E732,HostBuild[Alias],0),COLUMN(HostBuild[Description]))&lt;&gt;0,INDEX(HostBuild[],MATCH(E732,HostBuild[Alias],0),COLUMN(HostBuild[Description])),""),""),"")</f>
        <v/>
      </c>
    </row>
    <row r="733" spans="1:4">
      <c r="A733" s="3" t="str">
        <f>IF(AND(NOT(ISBLANK(E733)),E733&lt;&gt;"(blank)"),IFERROR(IF(INDEX(HostBuild[],MATCH(E733,HostBuild[Alias],0),COLUMN(HostBuild[Hostname]))&lt;&gt;0,INDEX(HostBuild[],MATCH(E733,HostBuild[Alias],0),COLUMN(HostBuild[Hostname])),""),""),"")</f>
        <v/>
      </c>
      <c r="B733" s="424" t="str">
        <f>IF(AND(NOT(ISBLANK(E733)),E733&lt;&gt;"(blank)"),IFERROR(IF(INDEX(HostBuild[],MATCH(E733,HostBuild[Alias],0),COLUMN(HostBuild[Status]))&lt;&gt;0,INDEX(HostBuild[],MATCH(E733,HostBuild[Alias],0),COLUMN(HostBuild[Status])),""),""),"")</f>
        <v/>
      </c>
      <c r="C733" s="425" t="str">
        <f>IF(AND(NOT(ISBLANK(E733)),E733&lt;&gt;"(blank)"),IFERROR(IF(INDEX(HostBuild[],MATCH(E733,HostBuild[Alias],0),COLUMN(HostBuild[CTI Target Completion]))&lt;&gt;0,INDEX(HostBuild[],MATCH(E733,HostBuild[Alias],0),COLUMN(HostBuild[CTI Target Completion])),""),""),"")</f>
        <v/>
      </c>
      <c r="D733" s="262" t="str">
        <f>IF(AND(NOT(ISBLANK(E733)),E733&lt;&gt;"(blank)"),IFERROR(IF(INDEX(HostBuild[],MATCH(E733,HostBuild[Alias],0),COLUMN(HostBuild[Description]))&lt;&gt;0,INDEX(HostBuild[],MATCH(E733,HostBuild[Alias],0),COLUMN(HostBuild[Description])),""),""),"")</f>
        <v/>
      </c>
    </row>
    <row r="734" spans="1:4">
      <c r="A734" s="3" t="str">
        <f>IF(AND(NOT(ISBLANK(E734)),E734&lt;&gt;"(blank)"),IFERROR(IF(INDEX(HostBuild[],MATCH(E734,HostBuild[Alias],0),COLUMN(HostBuild[Hostname]))&lt;&gt;0,INDEX(HostBuild[],MATCH(E734,HostBuild[Alias],0),COLUMN(HostBuild[Hostname])),""),""),"")</f>
        <v/>
      </c>
      <c r="B734" s="424" t="str">
        <f>IF(AND(NOT(ISBLANK(E734)),E734&lt;&gt;"(blank)"),IFERROR(IF(INDEX(HostBuild[],MATCH(E734,HostBuild[Alias],0),COLUMN(HostBuild[Status]))&lt;&gt;0,INDEX(HostBuild[],MATCH(E734,HostBuild[Alias],0),COLUMN(HostBuild[Status])),""),""),"")</f>
        <v/>
      </c>
      <c r="C734" s="425" t="str">
        <f>IF(AND(NOT(ISBLANK(E734)),E734&lt;&gt;"(blank)"),IFERROR(IF(INDEX(HostBuild[],MATCH(E734,HostBuild[Alias],0),COLUMN(HostBuild[CTI Target Completion]))&lt;&gt;0,INDEX(HostBuild[],MATCH(E734,HostBuild[Alias],0),COLUMN(HostBuild[CTI Target Completion])),""),""),"")</f>
        <v/>
      </c>
      <c r="D734" s="262" t="str">
        <f>IF(AND(NOT(ISBLANK(E734)),E734&lt;&gt;"(blank)"),IFERROR(IF(INDEX(HostBuild[],MATCH(E734,HostBuild[Alias],0),COLUMN(HostBuild[Description]))&lt;&gt;0,INDEX(HostBuild[],MATCH(E734,HostBuild[Alias],0),COLUMN(HostBuild[Description])),""),""),"")</f>
        <v/>
      </c>
    </row>
    <row r="735" spans="1:4">
      <c r="A735" s="3" t="str">
        <f>IF(AND(NOT(ISBLANK(E735)),E735&lt;&gt;"(blank)"),IFERROR(IF(INDEX(HostBuild[],MATCH(E735,HostBuild[Alias],0),COLUMN(HostBuild[Hostname]))&lt;&gt;0,INDEX(HostBuild[],MATCH(E735,HostBuild[Alias],0),COLUMN(HostBuild[Hostname])),""),""),"")</f>
        <v/>
      </c>
      <c r="B735" s="424" t="str">
        <f>IF(AND(NOT(ISBLANK(E735)),E735&lt;&gt;"(blank)"),IFERROR(IF(INDEX(HostBuild[],MATCH(E735,HostBuild[Alias],0),COLUMN(HostBuild[Status]))&lt;&gt;0,INDEX(HostBuild[],MATCH(E735,HostBuild[Alias],0),COLUMN(HostBuild[Status])),""),""),"")</f>
        <v/>
      </c>
      <c r="C735" s="425" t="str">
        <f>IF(AND(NOT(ISBLANK(E735)),E735&lt;&gt;"(blank)"),IFERROR(IF(INDEX(HostBuild[],MATCH(E735,HostBuild[Alias],0),COLUMN(HostBuild[CTI Target Completion]))&lt;&gt;0,INDEX(HostBuild[],MATCH(E735,HostBuild[Alias],0),COLUMN(HostBuild[CTI Target Completion])),""),""),"")</f>
        <v/>
      </c>
      <c r="D735" s="262" t="str">
        <f>IF(AND(NOT(ISBLANK(E735)),E735&lt;&gt;"(blank)"),IFERROR(IF(INDEX(HostBuild[],MATCH(E735,HostBuild[Alias],0),COLUMN(HostBuild[Description]))&lt;&gt;0,INDEX(HostBuild[],MATCH(E735,HostBuild[Alias],0),COLUMN(HostBuild[Description])),""),""),"")</f>
        <v/>
      </c>
    </row>
    <row r="736" spans="1:4">
      <c r="A736" s="3" t="str">
        <f>IF(AND(NOT(ISBLANK(E736)),E736&lt;&gt;"(blank)"),IFERROR(IF(INDEX(HostBuild[],MATCH(E736,HostBuild[Alias],0),COLUMN(HostBuild[Hostname]))&lt;&gt;0,INDEX(HostBuild[],MATCH(E736,HostBuild[Alias],0),COLUMN(HostBuild[Hostname])),""),""),"")</f>
        <v/>
      </c>
      <c r="B736" s="424" t="str">
        <f>IF(AND(NOT(ISBLANK(E736)),E736&lt;&gt;"(blank)"),IFERROR(IF(INDEX(HostBuild[],MATCH(E736,HostBuild[Alias],0),COLUMN(HostBuild[Status]))&lt;&gt;0,INDEX(HostBuild[],MATCH(E736,HostBuild[Alias],0),COLUMN(HostBuild[Status])),""),""),"")</f>
        <v/>
      </c>
      <c r="C736" s="425" t="str">
        <f>IF(AND(NOT(ISBLANK(E736)),E736&lt;&gt;"(blank)"),IFERROR(IF(INDEX(HostBuild[],MATCH(E736,HostBuild[Alias],0),COLUMN(HostBuild[CTI Target Completion]))&lt;&gt;0,INDEX(HostBuild[],MATCH(E736,HostBuild[Alias],0),COLUMN(HostBuild[CTI Target Completion])),""),""),"")</f>
        <v/>
      </c>
      <c r="D736" s="262" t="str">
        <f>IF(AND(NOT(ISBLANK(E736)),E736&lt;&gt;"(blank)"),IFERROR(IF(INDEX(HostBuild[],MATCH(E736,HostBuild[Alias],0),COLUMN(HostBuild[Description]))&lt;&gt;0,INDEX(HostBuild[],MATCH(E736,HostBuild[Alias],0),COLUMN(HostBuild[Description])),""),""),"")</f>
        <v/>
      </c>
    </row>
    <row r="737" spans="1:4">
      <c r="A737" s="3" t="str">
        <f>IF(AND(NOT(ISBLANK(E737)),E737&lt;&gt;"(blank)"),IFERROR(IF(INDEX(HostBuild[],MATCH(E737,HostBuild[Alias],0),COLUMN(HostBuild[Hostname]))&lt;&gt;0,INDEX(HostBuild[],MATCH(E737,HostBuild[Alias],0),COLUMN(HostBuild[Hostname])),""),""),"")</f>
        <v/>
      </c>
      <c r="B737" s="424" t="str">
        <f>IF(AND(NOT(ISBLANK(E737)),E737&lt;&gt;"(blank)"),IFERROR(IF(INDEX(HostBuild[],MATCH(E737,HostBuild[Alias],0),COLUMN(HostBuild[Status]))&lt;&gt;0,INDEX(HostBuild[],MATCH(E737,HostBuild[Alias],0),COLUMN(HostBuild[Status])),""),""),"")</f>
        <v/>
      </c>
      <c r="C737" s="425" t="str">
        <f>IF(AND(NOT(ISBLANK(E737)),E737&lt;&gt;"(blank)"),IFERROR(IF(INDEX(HostBuild[],MATCH(E737,HostBuild[Alias],0),COLUMN(HostBuild[CTI Target Completion]))&lt;&gt;0,INDEX(HostBuild[],MATCH(E737,HostBuild[Alias],0),COLUMN(HostBuild[CTI Target Completion])),""),""),"")</f>
        <v/>
      </c>
      <c r="D737" s="262" t="str">
        <f>IF(AND(NOT(ISBLANK(E737)),E737&lt;&gt;"(blank)"),IFERROR(IF(INDEX(HostBuild[],MATCH(E737,HostBuild[Alias],0),COLUMN(HostBuild[Description]))&lt;&gt;0,INDEX(HostBuild[],MATCH(E737,HostBuild[Alias],0),COLUMN(HostBuild[Description])),""),""),"")</f>
        <v/>
      </c>
    </row>
    <row r="738" spans="1:4">
      <c r="A738" s="3" t="str">
        <f>IF(AND(NOT(ISBLANK(E738)),E738&lt;&gt;"(blank)"),IFERROR(IF(INDEX(HostBuild[],MATCH(E738,HostBuild[Alias],0),COLUMN(HostBuild[Hostname]))&lt;&gt;0,INDEX(HostBuild[],MATCH(E738,HostBuild[Alias],0),COLUMN(HostBuild[Hostname])),""),""),"")</f>
        <v/>
      </c>
      <c r="B738" s="424" t="str">
        <f>IF(AND(NOT(ISBLANK(E738)),E738&lt;&gt;"(blank)"),IFERROR(IF(INDEX(HostBuild[],MATCH(E738,HostBuild[Alias],0),COLUMN(HostBuild[Status]))&lt;&gt;0,INDEX(HostBuild[],MATCH(E738,HostBuild[Alias],0),COLUMN(HostBuild[Status])),""),""),"")</f>
        <v/>
      </c>
      <c r="C738" s="425" t="str">
        <f>IF(AND(NOT(ISBLANK(E738)),E738&lt;&gt;"(blank)"),IFERROR(IF(INDEX(HostBuild[],MATCH(E738,HostBuild[Alias],0),COLUMN(HostBuild[CTI Target Completion]))&lt;&gt;0,INDEX(HostBuild[],MATCH(E738,HostBuild[Alias],0),COLUMN(HostBuild[CTI Target Completion])),""),""),"")</f>
        <v/>
      </c>
      <c r="D738" s="262" t="str">
        <f>IF(AND(NOT(ISBLANK(E738)),E738&lt;&gt;"(blank)"),IFERROR(IF(INDEX(HostBuild[],MATCH(E738,HostBuild[Alias],0),COLUMN(HostBuild[Description]))&lt;&gt;0,INDEX(HostBuild[],MATCH(E738,HostBuild[Alias],0),COLUMN(HostBuild[Description])),""),""),"")</f>
        <v/>
      </c>
    </row>
    <row r="739" spans="1:4">
      <c r="A739" s="3" t="str">
        <f>IF(AND(NOT(ISBLANK(E739)),E739&lt;&gt;"(blank)"),IFERROR(IF(INDEX(HostBuild[],MATCH(E739,HostBuild[Alias],0),COLUMN(HostBuild[Hostname]))&lt;&gt;0,INDEX(HostBuild[],MATCH(E739,HostBuild[Alias],0),COLUMN(HostBuild[Hostname])),""),""),"")</f>
        <v/>
      </c>
      <c r="B739" s="424" t="str">
        <f>IF(AND(NOT(ISBLANK(E739)),E739&lt;&gt;"(blank)"),IFERROR(IF(INDEX(HostBuild[],MATCH(E739,HostBuild[Alias],0),COLUMN(HostBuild[Status]))&lt;&gt;0,INDEX(HostBuild[],MATCH(E739,HostBuild[Alias],0),COLUMN(HostBuild[Status])),""),""),"")</f>
        <v/>
      </c>
      <c r="C739" s="425" t="str">
        <f>IF(AND(NOT(ISBLANK(E739)),E739&lt;&gt;"(blank)"),IFERROR(IF(INDEX(HostBuild[],MATCH(E739,HostBuild[Alias],0),COLUMN(HostBuild[CTI Target Completion]))&lt;&gt;0,INDEX(HostBuild[],MATCH(E739,HostBuild[Alias],0),COLUMN(HostBuild[CTI Target Completion])),""),""),"")</f>
        <v/>
      </c>
      <c r="D739" s="262" t="str">
        <f>IF(AND(NOT(ISBLANK(E739)),E739&lt;&gt;"(blank)"),IFERROR(IF(INDEX(HostBuild[],MATCH(E739,HostBuild[Alias],0),COLUMN(HostBuild[Description]))&lt;&gt;0,INDEX(HostBuild[],MATCH(E739,HostBuild[Alias],0),COLUMN(HostBuild[Description])),""),""),"")</f>
        <v/>
      </c>
    </row>
    <row r="740" spans="1:4">
      <c r="A740" s="3" t="str">
        <f>IF(AND(NOT(ISBLANK(E740)),E740&lt;&gt;"(blank)"),IFERROR(IF(INDEX(HostBuild[],MATCH(E740,HostBuild[Alias],0),COLUMN(HostBuild[Hostname]))&lt;&gt;0,INDEX(HostBuild[],MATCH(E740,HostBuild[Alias],0),COLUMN(HostBuild[Hostname])),""),""),"")</f>
        <v/>
      </c>
      <c r="B740" s="424" t="str">
        <f>IF(AND(NOT(ISBLANK(E740)),E740&lt;&gt;"(blank)"),IFERROR(IF(INDEX(HostBuild[],MATCH(E740,HostBuild[Alias],0),COLUMN(HostBuild[Status]))&lt;&gt;0,INDEX(HostBuild[],MATCH(E740,HostBuild[Alias],0),COLUMN(HostBuild[Status])),""),""),"")</f>
        <v/>
      </c>
      <c r="C740" s="425" t="str">
        <f>IF(AND(NOT(ISBLANK(E740)),E740&lt;&gt;"(blank)"),IFERROR(IF(INDEX(HostBuild[],MATCH(E740,HostBuild[Alias],0),COLUMN(HostBuild[CTI Target Completion]))&lt;&gt;0,INDEX(HostBuild[],MATCH(E740,HostBuild[Alias],0),COLUMN(HostBuild[CTI Target Completion])),""),""),"")</f>
        <v/>
      </c>
      <c r="D740" s="262" t="str">
        <f>IF(AND(NOT(ISBLANK(E740)),E740&lt;&gt;"(blank)"),IFERROR(IF(INDEX(HostBuild[],MATCH(E740,HostBuild[Alias],0),COLUMN(HostBuild[Description]))&lt;&gt;0,INDEX(HostBuild[],MATCH(E740,HostBuild[Alias],0),COLUMN(HostBuild[Description])),""),""),"")</f>
        <v/>
      </c>
    </row>
    <row r="741" spans="1:4">
      <c r="A741" s="3" t="str">
        <f>IF(AND(NOT(ISBLANK(E741)),E741&lt;&gt;"(blank)"),IFERROR(IF(INDEX(HostBuild[],MATCH(E741,HostBuild[Alias],0),COLUMN(HostBuild[Hostname]))&lt;&gt;0,INDEX(HostBuild[],MATCH(E741,HostBuild[Alias],0),COLUMN(HostBuild[Hostname])),""),""),"")</f>
        <v/>
      </c>
      <c r="B741" s="424" t="str">
        <f>IF(AND(NOT(ISBLANK(E741)),E741&lt;&gt;"(blank)"),IFERROR(IF(INDEX(HostBuild[],MATCH(E741,HostBuild[Alias],0),COLUMN(HostBuild[Status]))&lt;&gt;0,INDEX(HostBuild[],MATCH(E741,HostBuild[Alias],0),COLUMN(HostBuild[Status])),""),""),"")</f>
        <v/>
      </c>
      <c r="C741" s="425" t="str">
        <f>IF(AND(NOT(ISBLANK(E741)),E741&lt;&gt;"(blank)"),IFERROR(IF(INDEX(HostBuild[],MATCH(E741,HostBuild[Alias],0),COLUMN(HostBuild[CTI Target Completion]))&lt;&gt;0,INDEX(HostBuild[],MATCH(E741,HostBuild[Alias],0),COLUMN(HostBuild[CTI Target Completion])),""),""),"")</f>
        <v/>
      </c>
      <c r="D741" s="262" t="str">
        <f>IF(AND(NOT(ISBLANK(E741)),E741&lt;&gt;"(blank)"),IFERROR(IF(INDEX(HostBuild[],MATCH(E741,HostBuild[Alias],0),COLUMN(HostBuild[Description]))&lt;&gt;0,INDEX(HostBuild[],MATCH(E741,HostBuild[Alias],0),COLUMN(HostBuild[Description])),""),""),"")</f>
        <v/>
      </c>
    </row>
    <row r="742" spans="1:4">
      <c r="A742" s="3" t="str">
        <f>IF(AND(NOT(ISBLANK(E742)),E742&lt;&gt;"(blank)"),IFERROR(IF(INDEX(HostBuild[],MATCH(E742,HostBuild[Alias],0),COLUMN(HostBuild[Hostname]))&lt;&gt;0,INDEX(HostBuild[],MATCH(E742,HostBuild[Alias],0),COLUMN(HostBuild[Hostname])),""),""),"")</f>
        <v/>
      </c>
      <c r="B742" s="424" t="str">
        <f>IF(AND(NOT(ISBLANK(E742)),E742&lt;&gt;"(blank)"),IFERROR(IF(INDEX(HostBuild[],MATCH(E742,HostBuild[Alias],0),COLUMN(HostBuild[Status]))&lt;&gt;0,INDEX(HostBuild[],MATCH(E742,HostBuild[Alias],0),COLUMN(HostBuild[Status])),""),""),"")</f>
        <v/>
      </c>
      <c r="C742" s="425" t="str">
        <f>IF(AND(NOT(ISBLANK(E742)),E742&lt;&gt;"(blank)"),IFERROR(IF(INDEX(HostBuild[],MATCH(E742,HostBuild[Alias],0),COLUMN(HostBuild[CTI Target Completion]))&lt;&gt;0,INDEX(HostBuild[],MATCH(E742,HostBuild[Alias],0),COLUMN(HostBuild[CTI Target Completion])),""),""),"")</f>
        <v/>
      </c>
      <c r="D742" s="262" t="str">
        <f>IF(AND(NOT(ISBLANK(E742)),E742&lt;&gt;"(blank)"),IFERROR(IF(INDEX(HostBuild[],MATCH(E742,HostBuild[Alias],0),COLUMN(HostBuild[Description]))&lt;&gt;0,INDEX(HostBuild[],MATCH(E742,HostBuild[Alias],0),COLUMN(HostBuild[Description])),""),""),"")</f>
        <v/>
      </c>
    </row>
    <row r="743" spans="1:4">
      <c r="A743" s="3" t="str">
        <f>IF(AND(NOT(ISBLANK(E743)),E743&lt;&gt;"(blank)"),IFERROR(IF(INDEX(HostBuild[],MATCH(E743,HostBuild[Alias],0),COLUMN(HostBuild[Hostname]))&lt;&gt;0,INDEX(HostBuild[],MATCH(E743,HostBuild[Alias],0),COLUMN(HostBuild[Hostname])),""),""),"")</f>
        <v/>
      </c>
      <c r="B743" s="424" t="str">
        <f>IF(AND(NOT(ISBLANK(E743)),E743&lt;&gt;"(blank)"),IFERROR(IF(INDEX(HostBuild[],MATCH(E743,HostBuild[Alias],0),COLUMN(HostBuild[Status]))&lt;&gt;0,INDEX(HostBuild[],MATCH(E743,HostBuild[Alias],0),COLUMN(HostBuild[Status])),""),""),"")</f>
        <v/>
      </c>
      <c r="C743" s="425" t="str">
        <f>IF(AND(NOT(ISBLANK(E743)),E743&lt;&gt;"(blank)"),IFERROR(IF(INDEX(HostBuild[],MATCH(E743,HostBuild[Alias],0),COLUMN(HostBuild[CTI Target Completion]))&lt;&gt;0,INDEX(HostBuild[],MATCH(E743,HostBuild[Alias],0),COLUMN(HostBuild[CTI Target Completion])),""),""),"")</f>
        <v/>
      </c>
      <c r="D743" s="262" t="str">
        <f>IF(AND(NOT(ISBLANK(E743)),E743&lt;&gt;"(blank)"),IFERROR(IF(INDEX(HostBuild[],MATCH(E743,HostBuild[Alias],0),COLUMN(HostBuild[Description]))&lt;&gt;0,INDEX(HostBuild[],MATCH(E743,HostBuild[Alias],0),COLUMN(HostBuild[Description])),""),""),"")</f>
        <v/>
      </c>
    </row>
    <row r="744" spans="1:4">
      <c r="A744" s="3" t="str">
        <f>IF(AND(NOT(ISBLANK(E744)),E744&lt;&gt;"(blank)"),IFERROR(IF(INDEX(HostBuild[],MATCH(E744,HostBuild[Alias],0),COLUMN(HostBuild[Hostname]))&lt;&gt;0,INDEX(HostBuild[],MATCH(E744,HostBuild[Alias],0),COLUMN(HostBuild[Hostname])),""),""),"")</f>
        <v/>
      </c>
      <c r="B744" s="424" t="str">
        <f>IF(AND(NOT(ISBLANK(E744)),E744&lt;&gt;"(blank)"),IFERROR(IF(INDEX(HostBuild[],MATCH(E744,HostBuild[Alias],0),COLUMN(HostBuild[Status]))&lt;&gt;0,INDEX(HostBuild[],MATCH(E744,HostBuild[Alias],0),COLUMN(HostBuild[Status])),""),""),"")</f>
        <v/>
      </c>
      <c r="C744" s="425" t="str">
        <f>IF(AND(NOT(ISBLANK(E744)),E744&lt;&gt;"(blank)"),IFERROR(IF(INDEX(HostBuild[],MATCH(E744,HostBuild[Alias],0),COLUMN(HostBuild[CTI Target Completion]))&lt;&gt;0,INDEX(HostBuild[],MATCH(E744,HostBuild[Alias],0),COLUMN(HostBuild[CTI Target Completion])),""),""),"")</f>
        <v/>
      </c>
      <c r="D744" s="262" t="str">
        <f>IF(AND(NOT(ISBLANK(E744)),E744&lt;&gt;"(blank)"),IFERROR(IF(INDEX(HostBuild[],MATCH(E744,HostBuild[Alias],0),COLUMN(HostBuild[Description]))&lt;&gt;0,INDEX(HostBuild[],MATCH(E744,HostBuild[Alias],0),COLUMN(HostBuild[Description])),""),""),"")</f>
        <v/>
      </c>
    </row>
    <row r="745" spans="1:4">
      <c r="A745" s="3" t="str">
        <f>IF(AND(NOT(ISBLANK(E745)),E745&lt;&gt;"(blank)"),IFERROR(IF(INDEX(HostBuild[],MATCH(E745,HostBuild[Alias],0),COLUMN(HostBuild[Hostname]))&lt;&gt;0,INDEX(HostBuild[],MATCH(E745,HostBuild[Alias],0),COLUMN(HostBuild[Hostname])),""),""),"")</f>
        <v/>
      </c>
      <c r="B745" s="424" t="str">
        <f>IF(AND(NOT(ISBLANK(E745)),E745&lt;&gt;"(blank)"),IFERROR(IF(INDEX(HostBuild[],MATCH(E745,HostBuild[Alias],0),COLUMN(HostBuild[Status]))&lt;&gt;0,INDEX(HostBuild[],MATCH(E745,HostBuild[Alias],0),COLUMN(HostBuild[Status])),""),""),"")</f>
        <v/>
      </c>
      <c r="C745" s="425" t="str">
        <f>IF(AND(NOT(ISBLANK(E745)),E745&lt;&gt;"(blank)"),IFERROR(IF(INDEX(HostBuild[],MATCH(E745,HostBuild[Alias],0),COLUMN(HostBuild[CTI Target Completion]))&lt;&gt;0,INDEX(HostBuild[],MATCH(E745,HostBuild[Alias],0),COLUMN(HostBuild[CTI Target Completion])),""),""),"")</f>
        <v/>
      </c>
      <c r="D745" s="262" t="str">
        <f>IF(AND(NOT(ISBLANK(E745)),E745&lt;&gt;"(blank)"),IFERROR(IF(INDEX(HostBuild[],MATCH(E745,HostBuild[Alias],0),COLUMN(HostBuild[Description]))&lt;&gt;0,INDEX(HostBuild[],MATCH(E745,HostBuild[Alias],0),COLUMN(HostBuild[Description])),""),""),"")</f>
        <v/>
      </c>
    </row>
    <row r="746" spans="1:4">
      <c r="A746" s="3" t="str">
        <f>IF(AND(NOT(ISBLANK(E746)),E746&lt;&gt;"(blank)"),IFERROR(IF(INDEX(HostBuild[],MATCH(E746,HostBuild[Alias],0),COLUMN(HostBuild[Hostname]))&lt;&gt;0,INDEX(HostBuild[],MATCH(E746,HostBuild[Alias],0),COLUMN(HostBuild[Hostname])),""),""),"")</f>
        <v/>
      </c>
      <c r="B746" s="424" t="str">
        <f>IF(AND(NOT(ISBLANK(E746)),E746&lt;&gt;"(blank)"),IFERROR(IF(INDEX(HostBuild[],MATCH(E746,HostBuild[Alias],0),COLUMN(HostBuild[Status]))&lt;&gt;0,INDEX(HostBuild[],MATCH(E746,HostBuild[Alias],0),COLUMN(HostBuild[Status])),""),""),"")</f>
        <v/>
      </c>
      <c r="C746" s="425" t="str">
        <f>IF(AND(NOT(ISBLANK(E746)),E746&lt;&gt;"(blank)"),IFERROR(IF(INDEX(HostBuild[],MATCH(E746,HostBuild[Alias],0),COLUMN(HostBuild[CTI Target Completion]))&lt;&gt;0,INDEX(HostBuild[],MATCH(E746,HostBuild[Alias],0),COLUMN(HostBuild[CTI Target Completion])),""),""),"")</f>
        <v/>
      </c>
      <c r="D746" s="262" t="str">
        <f>IF(AND(NOT(ISBLANK(E746)),E746&lt;&gt;"(blank)"),IFERROR(IF(INDEX(HostBuild[],MATCH(E746,HostBuild[Alias],0),COLUMN(HostBuild[Description]))&lt;&gt;0,INDEX(HostBuild[],MATCH(E746,HostBuild[Alias],0),COLUMN(HostBuild[Description])),""),""),"")</f>
        <v/>
      </c>
    </row>
    <row r="747" spans="1:4">
      <c r="A747" s="3" t="str">
        <f>IF(AND(NOT(ISBLANK(E747)),E747&lt;&gt;"(blank)"),IFERROR(IF(INDEX(HostBuild[],MATCH(E747,HostBuild[Alias],0),COLUMN(HostBuild[Hostname]))&lt;&gt;0,INDEX(HostBuild[],MATCH(E747,HostBuild[Alias],0),COLUMN(HostBuild[Hostname])),""),""),"")</f>
        <v/>
      </c>
      <c r="B747" s="424" t="str">
        <f>IF(AND(NOT(ISBLANK(E747)),E747&lt;&gt;"(blank)"),IFERROR(IF(INDEX(HostBuild[],MATCH(E747,HostBuild[Alias],0),COLUMN(HostBuild[Status]))&lt;&gt;0,INDEX(HostBuild[],MATCH(E747,HostBuild[Alias],0),COLUMN(HostBuild[Status])),""),""),"")</f>
        <v/>
      </c>
      <c r="C747" s="425" t="str">
        <f>IF(AND(NOT(ISBLANK(E747)),E747&lt;&gt;"(blank)"),IFERROR(IF(INDEX(HostBuild[],MATCH(E747,HostBuild[Alias],0),COLUMN(HostBuild[CTI Target Completion]))&lt;&gt;0,INDEX(HostBuild[],MATCH(E747,HostBuild[Alias],0),COLUMN(HostBuild[CTI Target Completion])),""),""),"")</f>
        <v/>
      </c>
      <c r="D747" s="262" t="str">
        <f>IF(AND(NOT(ISBLANK(E747)),E747&lt;&gt;"(blank)"),IFERROR(IF(INDEX(HostBuild[],MATCH(E747,HostBuild[Alias],0),COLUMN(HostBuild[Description]))&lt;&gt;0,INDEX(HostBuild[],MATCH(E747,HostBuild[Alias],0),COLUMN(HostBuild[Description])),""),""),"")</f>
        <v/>
      </c>
    </row>
    <row r="748" spans="1:4">
      <c r="A748" s="3" t="str">
        <f>IF(AND(NOT(ISBLANK(E748)),E748&lt;&gt;"(blank)"),IFERROR(IF(INDEX(HostBuild[],MATCH(E748,HostBuild[Alias],0),COLUMN(HostBuild[Hostname]))&lt;&gt;0,INDEX(HostBuild[],MATCH(E748,HostBuild[Alias],0),COLUMN(HostBuild[Hostname])),""),""),"")</f>
        <v/>
      </c>
      <c r="B748" s="424" t="str">
        <f>IF(AND(NOT(ISBLANK(E748)),E748&lt;&gt;"(blank)"),IFERROR(IF(INDEX(HostBuild[],MATCH(E748,HostBuild[Alias],0),COLUMN(HostBuild[Status]))&lt;&gt;0,INDEX(HostBuild[],MATCH(E748,HostBuild[Alias],0),COLUMN(HostBuild[Status])),""),""),"")</f>
        <v/>
      </c>
      <c r="C748" s="425" t="str">
        <f>IF(AND(NOT(ISBLANK(E748)),E748&lt;&gt;"(blank)"),IFERROR(IF(INDEX(HostBuild[],MATCH(E748,HostBuild[Alias],0),COLUMN(HostBuild[CTI Target Completion]))&lt;&gt;0,INDEX(HostBuild[],MATCH(E748,HostBuild[Alias],0),COLUMN(HostBuild[CTI Target Completion])),""),""),"")</f>
        <v/>
      </c>
      <c r="D748" s="262" t="str">
        <f>IF(AND(NOT(ISBLANK(E748)),E748&lt;&gt;"(blank)"),IFERROR(IF(INDEX(HostBuild[],MATCH(E748,HostBuild[Alias],0),COLUMN(HostBuild[Description]))&lt;&gt;0,INDEX(HostBuild[],MATCH(E748,HostBuild[Alias],0),COLUMN(HostBuild[Description])),""),""),"")</f>
        <v/>
      </c>
    </row>
    <row r="749" spans="1:4">
      <c r="A749" s="3" t="str">
        <f>IF(AND(NOT(ISBLANK(E749)),E749&lt;&gt;"(blank)"),IFERROR(IF(INDEX(HostBuild[],MATCH(E749,HostBuild[Alias],0),COLUMN(HostBuild[Hostname]))&lt;&gt;0,INDEX(HostBuild[],MATCH(E749,HostBuild[Alias],0),COLUMN(HostBuild[Hostname])),""),""),"")</f>
        <v/>
      </c>
      <c r="B749" s="424" t="str">
        <f>IF(AND(NOT(ISBLANK(E749)),E749&lt;&gt;"(blank)"),IFERROR(IF(INDEX(HostBuild[],MATCH(E749,HostBuild[Alias],0),COLUMN(HostBuild[Status]))&lt;&gt;0,INDEX(HostBuild[],MATCH(E749,HostBuild[Alias],0),COLUMN(HostBuild[Status])),""),""),"")</f>
        <v/>
      </c>
      <c r="C749" s="425" t="str">
        <f>IF(AND(NOT(ISBLANK(E749)),E749&lt;&gt;"(blank)"),IFERROR(IF(INDEX(HostBuild[],MATCH(E749,HostBuild[Alias],0),COLUMN(HostBuild[CTI Target Completion]))&lt;&gt;0,INDEX(HostBuild[],MATCH(E749,HostBuild[Alias],0),COLUMN(HostBuild[CTI Target Completion])),""),""),"")</f>
        <v/>
      </c>
      <c r="D749" s="262" t="str">
        <f>IF(AND(NOT(ISBLANK(E749)),E749&lt;&gt;"(blank)"),IFERROR(IF(INDEX(HostBuild[],MATCH(E749,HostBuild[Alias],0),COLUMN(HostBuild[Description]))&lt;&gt;0,INDEX(HostBuild[],MATCH(E749,HostBuild[Alias],0),COLUMN(HostBuild[Description])),""),""),"")</f>
        <v/>
      </c>
    </row>
    <row r="750" spans="1:4">
      <c r="A750" s="3" t="str">
        <f>IF(AND(NOT(ISBLANK(E750)),E750&lt;&gt;"(blank)"),IFERROR(IF(INDEX(HostBuild[],MATCH(E750,HostBuild[Alias],0),COLUMN(HostBuild[Hostname]))&lt;&gt;0,INDEX(HostBuild[],MATCH(E750,HostBuild[Alias],0),COLUMN(HostBuild[Hostname])),""),""),"")</f>
        <v/>
      </c>
      <c r="B750" s="424" t="str">
        <f>IF(AND(NOT(ISBLANK(E750)),E750&lt;&gt;"(blank)"),IFERROR(IF(INDEX(HostBuild[],MATCH(E750,HostBuild[Alias],0),COLUMN(HostBuild[Status]))&lt;&gt;0,INDEX(HostBuild[],MATCH(E750,HostBuild[Alias],0),COLUMN(HostBuild[Status])),""),""),"")</f>
        <v/>
      </c>
      <c r="C750" s="425" t="str">
        <f>IF(AND(NOT(ISBLANK(E750)),E750&lt;&gt;"(blank)"),IFERROR(IF(INDEX(HostBuild[],MATCH(E750,HostBuild[Alias],0),COLUMN(HostBuild[CTI Target Completion]))&lt;&gt;0,INDEX(HostBuild[],MATCH(E750,HostBuild[Alias],0),COLUMN(HostBuild[CTI Target Completion])),""),""),"")</f>
        <v/>
      </c>
      <c r="D750" s="262" t="str">
        <f>IF(AND(NOT(ISBLANK(E750)),E750&lt;&gt;"(blank)"),IFERROR(IF(INDEX(HostBuild[],MATCH(E750,HostBuild[Alias],0),COLUMN(HostBuild[Description]))&lt;&gt;0,INDEX(HostBuild[],MATCH(E750,HostBuild[Alias],0),COLUMN(HostBuild[Description])),""),""),"")</f>
        <v/>
      </c>
    </row>
    <row r="751" spans="1:4">
      <c r="A751" s="3" t="str">
        <f>IF(AND(NOT(ISBLANK(E751)),E751&lt;&gt;"(blank)"),IFERROR(IF(INDEX(HostBuild[],MATCH(E751,HostBuild[Alias],0),COLUMN(HostBuild[Hostname]))&lt;&gt;0,INDEX(HostBuild[],MATCH(E751,HostBuild[Alias],0),COLUMN(HostBuild[Hostname])),""),""),"")</f>
        <v/>
      </c>
      <c r="B751" s="424" t="str">
        <f>IF(AND(NOT(ISBLANK(E751)),E751&lt;&gt;"(blank)"),IFERROR(IF(INDEX(HostBuild[],MATCH(E751,HostBuild[Alias],0),COLUMN(HostBuild[Status]))&lt;&gt;0,INDEX(HostBuild[],MATCH(E751,HostBuild[Alias],0),COLUMN(HostBuild[Status])),""),""),"")</f>
        <v/>
      </c>
      <c r="C751" s="425" t="str">
        <f>IF(AND(NOT(ISBLANK(E751)),E751&lt;&gt;"(blank)"),IFERROR(IF(INDEX(HostBuild[],MATCH(E751,HostBuild[Alias],0),COLUMN(HostBuild[CTI Target Completion]))&lt;&gt;0,INDEX(HostBuild[],MATCH(E751,HostBuild[Alias],0),COLUMN(HostBuild[CTI Target Completion])),""),""),"")</f>
        <v/>
      </c>
      <c r="D751" s="262" t="str">
        <f>IF(AND(NOT(ISBLANK(E751)),E751&lt;&gt;"(blank)"),IFERROR(IF(INDEX(HostBuild[],MATCH(E751,HostBuild[Alias],0),COLUMN(HostBuild[Description]))&lt;&gt;0,INDEX(HostBuild[],MATCH(E751,HostBuild[Alias],0),COLUMN(HostBuild[Description])),""),""),"")</f>
        <v/>
      </c>
    </row>
    <row r="752" spans="1:4">
      <c r="A752" s="3" t="str">
        <f>IF(AND(NOT(ISBLANK(E752)),E752&lt;&gt;"(blank)"),IFERROR(IF(INDEX(HostBuild[],MATCH(E752,HostBuild[Alias],0),COLUMN(HostBuild[Hostname]))&lt;&gt;0,INDEX(HostBuild[],MATCH(E752,HostBuild[Alias],0),COLUMN(HostBuild[Hostname])),""),""),"")</f>
        <v/>
      </c>
      <c r="B752" s="424" t="str">
        <f>IF(AND(NOT(ISBLANK(E752)),E752&lt;&gt;"(blank)"),IFERROR(IF(INDEX(HostBuild[],MATCH(E752,HostBuild[Alias],0),COLUMN(HostBuild[Status]))&lt;&gt;0,INDEX(HostBuild[],MATCH(E752,HostBuild[Alias],0),COLUMN(HostBuild[Status])),""),""),"")</f>
        <v/>
      </c>
      <c r="C752" s="425" t="str">
        <f>IF(AND(NOT(ISBLANK(E752)),E752&lt;&gt;"(blank)"),IFERROR(IF(INDEX(HostBuild[],MATCH(E752,HostBuild[Alias],0),COLUMN(HostBuild[CTI Target Completion]))&lt;&gt;0,INDEX(HostBuild[],MATCH(E752,HostBuild[Alias],0),COLUMN(HostBuild[CTI Target Completion])),""),""),"")</f>
        <v/>
      </c>
      <c r="D752" s="262" t="str">
        <f>IF(AND(NOT(ISBLANK(E752)),E752&lt;&gt;"(blank)"),IFERROR(IF(INDEX(HostBuild[],MATCH(E752,HostBuild[Alias],0),COLUMN(HostBuild[Description]))&lt;&gt;0,INDEX(HostBuild[],MATCH(E752,HostBuild[Alias],0),COLUMN(HostBuild[Description])),""),""),"")</f>
        <v/>
      </c>
    </row>
    <row r="753" spans="1:4">
      <c r="A753" s="3" t="str">
        <f>IF(AND(NOT(ISBLANK(E753)),E753&lt;&gt;"(blank)"),IFERROR(IF(INDEX(HostBuild[],MATCH(E753,HostBuild[Alias],0),COLUMN(HostBuild[Hostname]))&lt;&gt;0,INDEX(HostBuild[],MATCH(E753,HostBuild[Alias],0),COLUMN(HostBuild[Hostname])),""),""),"")</f>
        <v/>
      </c>
      <c r="B753" s="424" t="str">
        <f>IF(AND(NOT(ISBLANK(E753)),E753&lt;&gt;"(blank)"),IFERROR(IF(INDEX(HostBuild[],MATCH(E753,HostBuild[Alias],0),COLUMN(HostBuild[Status]))&lt;&gt;0,INDEX(HostBuild[],MATCH(E753,HostBuild[Alias],0),COLUMN(HostBuild[Status])),""),""),"")</f>
        <v/>
      </c>
      <c r="C753" s="425" t="str">
        <f>IF(AND(NOT(ISBLANK(E753)),E753&lt;&gt;"(blank)"),IFERROR(IF(INDEX(HostBuild[],MATCH(E753,HostBuild[Alias],0),COLUMN(HostBuild[CTI Target Completion]))&lt;&gt;0,INDEX(HostBuild[],MATCH(E753,HostBuild[Alias],0),COLUMN(HostBuild[CTI Target Completion])),""),""),"")</f>
        <v/>
      </c>
      <c r="D753" s="262" t="str">
        <f>IF(AND(NOT(ISBLANK(E753)),E753&lt;&gt;"(blank)"),IFERROR(IF(INDEX(HostBuild[],MATCH(E753,HostBuild[Alias],0),COLUMN(HostBuild[Description]))&lt;&gt;0,INDEX(HostBuild[],MATCH(E753,HostBuild[Alias],0),COLUMN(HostBuild[Description])),""),""),"")</f>
        <v/>
      </c>
    </row>
    <row r="754" spans="1:4">
      <c r="A754" s="3" t="str">
        <f>IF(AND(NOT(ISBLANK(E754)),E754&lt;&gt;"(blank)"),IFERROR(IF(INDEX(HostBuild[],MATCH(E754,HostBuild[Alias],0),COLUMN(HostBuild[Hostname]))&lt;&gt;0,INDEX(HostBuild[],MATCH(E754,HostBuild[Alias],0),COLUMN(HostBuild[Hostname])),""),""),"")</f>
        <v/>
      </c>
      <c r="B754" s="424" t="str">
        <f>IF(AND(NOT(ISBLANK(E754)),E754&lt;&gt;"(blank)"),IFERROR(IF(INDEX(HostBuild[],MATCH(E754,HostBuild[Alias],0),COLUMN(HostBuild[Status]))&lt;&gt;0,INDEX(HostBuild[],MATCH(E754,HostBuild[Alias],0),COLUMN(HostBuild[Status])),""),""),"")</f>
        <v/>
      </c>
      <c r="C754" s="425" t="str">
        <f>IF(AND(NOT(ISBLANK(E754)),E754&lt;&gt;"(blank)"),IFERROR(IF(INDEX(HostBuild[],MATCH(E754,HostBuild[Alias],0),COLUMN(HostBuild[CTI Target Completion]))&lt;&gt;0,INDEX(HostBuild[],MATCH(E754,HostBuild[Alias],0),COLUMN(HostBuild[CTI Target Completion])),""),""),"")</f>
        <v/>
      </c>
      <c r="D754" s="262" t="str">
        <f>IF(AND(NOT(ISBLANK(E754)),E754&lt;&gt;"(blank)"),IFERROR(IF(INDEX(HostBuild[],MATCH(E754,HostBuild[Alias],0),COLUMN(HostBuild[Description]))&lt;&gt;0,INDEX(HostBuild[],MATCH(E754,HostBuild[Alias],0),COLUMN(HostBuild[Description])),""),""),"")</f>
        <v/>
      </c>
    </row>
    <row r="755" spans="1:4">
      <c r="A755" s="3" t="str">
        <f>IF(AND(NOT(ISBLANK(E755)),E755&lt;&gt;"(blank)"),IFERROR(IF(INDEX(HostBuild[],MATCH(E755,HostBuild[Alias],0),COLUMN(HostBuild[Hostname]))&lt;&gt;0,INDEX(HostBuild[],MATCH(E755,HostBuild[Alias],0),COLUMN(HostBuild[Hostname])),""),""),"")</f>
        <v/>
      </c>
      <c r="B755" s="424" t="str">
        <f>IF(AND(NOT(ISBLANK(E755)),E755&lt;&gt;"(blank)"),IFERROR(IF(INDEX(HostBuild[],MATCH(E755,HostBuild[Alias],0),COLUMN(HostBuild[Status]))&lt;&gt;0,INDEX(HostBuild[],MATCH(E755,HostBuild[Alias],0),COLUMN(HostBuild[Status])),""),""),"")</f>
        <v/>
      </c>
      <c r="C755" s="425" t="str">
        <f>IF(AND(NOT(ISBLANK(E755)),E755&lt;&gt;"(blank)"),IFERROR(IF(INDEX(HostBuild[],MATCH(E755,HostBuild[Alias],0),COLUMN(HostBuild[CTI Target Completion]))&lt;&gt;0,INDEX(HostBuild[],MATCH(E755,HostBuild[Alias],0),COLUMN(HostBuild[CTI Target Completion])),""),""),"")</f>
        <v/>
      </c>
      <c r="D755" s="262" t="str">
        <f>IF(AND(NOT(ISBLANK(E755)),E755&lt;&gt;"(blank)"),IFERROR(IF(INDEX(HostBuild[],MATCH(E755,HostBuild[Alias],0),COLUMN(HostBuild[Description]))&lt;&gt;0,INDEX(HostBuild[],MATCH(E755,HostBuild[Alias],0),COLUMN(HostBuild[Description])),""),""),"")</f>
        <v/>
      </c>
    </row>
    <row r="756" spans="1:4">
      <c r="A756" s="3" t="str">
        <f>IF(AND(NOT(ISBLANK(E756)),E756&lt;&gt;"(blank)"),IFERROR(IF(INDEX(HostBuild[],MATCH(E756,HostBuild[Alias],0),COLUMN(HostBuild[Hostname]))&lt;&gt;0,INDEX(HostBuild[],MATCH(E756,HostBuild[Alias],0),COLUMN(HostBuild[Hostname])),""),""),"")</f>
        <v/>
      </c>
      <c r="B756" s="424" t="str">
        <f>IF(AND(NOT(ISBLANK(E756)),E756&lt;&gt;"(blank)"),IFERROR(IF(INDEX(HostBuild[],MATCH(E756,HostBuild[Alias],0),COLUMN(HostBuild[Status]))&lt;&gt;0,INDEX(HostBuild[],MATCH(E756,HostBuild[Alias],0),COLUMN(HostBuild[Status])),""),""),"")</f>
        <v/>
      </c>
      <c r="C756" s="425" t="str">
        <f>IF(AND(NOT(ISBLANK(E756)),E756&lt;&gt;"(blank)"),IFERROR(IF(INDEX(HostBuild[],MATCH(E756,HostBuild[Alias],0),COLUMN(HostBuild[CTI Target Completion]))&lt;&gt;0,INDEX(HostBuild[],MATCH(E756,HostBuild[Alias],0),COLUMN(HostBuild[CTI Target Completion])),""),""),"")</f>
        <v/>
      </c>
      <c r="D756" s="262" t="str">
        <f>IF(AND(NOT(ISBLANK(E756)),E756&lt;&gt;"(blank)"),IFERROR(IF(INDEX(HostBuild[],MATCH(E756,HostBuild[Alias],0),COLUMN(HostBuild[Description]))&lt;&gt;0,INDEX(HostBuild[],MATCH(E756,HostBuild[Alias],0),COLUMN(HostBuild[Description])),""),""),"")</f>
        <v/>
      </c>
    </row>
    <row r="757" spans="1:4">
      <c r="A757" s="3" t="str">
        <f>IF(AND(NOT(ISBLANK(E757)),E757&lt;&gt;"(blank)"),IFERROR(IF(INDEX(HostBuild[],MATCH(E757,HostBuild[Alias],0),COLUMN(HostBuild[Hostname]))&lt;&gt;0,INDEX(HostBuild[],MATCH(E757,HostBuild[Alias],0),COLUMN(HostBuild[Hostname])),""),""),"")</f>
        <v/>
      </c>
      <c r="B757" s="424" t="str">
        <f>IF(AND(NOT(ISBLANK(E757)),E757&lt;&gt;"(blank)"),IFERROR(IF(INDEX(HostBuild[],MATCH(E757,HostBuild[Alias],0),COLUMN(HostBuild[Status]))&lt;&gt;0,INDEX(HostBuild[],MATCH(E757,HostBuild[Alias],0),COLUMN(HostBuild[Status])),""),""),"")</f>
        <v/>
      </c>
      <c r="C757" s="425" t="str">
        <f>IF(AND(NOT(ISBLANK(E757)),E757&lt;&gt;"(blank)"),IFERROR(IF(INDEX(HostBuild[],MATCH(E757,HostBuild[Alias],0),COLUMN(HostBuild[CTI Target Completion]))&lt;&gt;0,INDEX(HostBuild[],MATCH(E757,HostBuild[Alias],0),COLUMN(HostBuild[CTI Target Completion])),""),""),"")</f>
        <v/>
      </c>
      <c r="D757" s="262" t="str">
        <f>IF(AND(NOT(ISBLANK(E757)),E757&lt;&gt;"(blank)"),IFERROR(IF(INDEX(HostBuild[],MATCH(E757,HostBuild[Alias],0),COLUMN(HostBuild[Description]))&lt;&gt;0,INDEX(HostBuild[],MATCH(E757,HostBuild[Alias],0),COLUMN(HostBuild[Description])),""),""),"")</f>
        <v/>
      </c>
    </row>
    <row r="758" spans="1:4">
      <c r="A758" s="3" t="str">
        <f>IF(AND(NOT(ISBLANK(E758)),E758&lt;&gt;"(blank)"),IFERROR(IF(INDEX(HostBuild[],MATCH(E758,HostBuild[Alias],0),COLUMN(HostBuild[Hostname]))&lt;&gt;0,INDEX(HostBuild[],MATCH(E758,HostBuild[Alias],0),COLUMN(HostBuild[Hostname])),""),""),"")</f>
        <v/>
      </c>
      <c r="B758" s="424" t="str">
        <f>IF(AND(NOT(ISBLANK(E758)),E758&lt;&gt;"(blank)"),IFERROR(IF(INDEX(HostBuild[],MATCH(E758,HostBuild[Alias],0),COLUMN(HostBuild[Status]))&lt;&gt;0,INDEX(HostBuild[],MATCH(E758,HostBuild[Alias],0),COLUMN(HostBuild[Status])),""),""),"")</f>
        <v/>
      </c>
      <c r="C758" s="425" t="str">
        <f>IF(AND(NOT(ISBLANK(E758)),E758&lt;&gt;"(blank)"),IFERROR(IF(INDEX(HostBuild[],MATCH(E758,HostBuild[Alias],0),COLUMN(HostBuild[CTI Target Completion]))&lt;&gt;0,INDEX(HostBuild[],MATCH(E758,HostBuild[Alias],0),COLUMN(HostBuild[CTI Target Completion])),""),""),"")</f>
        <v/>
      </c>
      <c r="D758" s="262" t="str">
        <f>IF(AND(NOT(ISBLANK(E758)),E758&lt;&gt;"(blank)"),IFERROR(IF(INDEX(HostBuild[],MATCH(E758,HostBuild[Alias],0),COLUMN(HostBuild[Description]))&lt;&gt;0,INDEX(HostBuild[],MATCH(E758,HostBuild[Alias],0),COLUMN(HostBuild[Description])),""),""),"")</f>
        <v/>
      </c>
    </row>
    <row r="759" spans="1:4">
      <c r="A759" s="3" t="str">
        <f>IF(AND(NOT(ISBLANK(E759)),E759&lt;&gt;"(blank)"),IFERROR(IF(INDEX(HostBuild[],MATCH(E759,HostBuild[Alias],0),COLUMN(HostBuild[Hostname]))&lt;&gt;0,INDEX(HostBuild[],MATCH(E759,HostBuild[Alias],0),COLUMN(HostBuild[Hostname])),""),""),"")</f>
        <v/>
      </c>
      <c r="B759" s="424" t="str">
        <f>IF(AND(NOT(ISBLANK(E759)),E759&lt;&gt;"(blank)"),IFERROR(IF(INDEX(HostBuild[],MATCH(E759,HostBuild[Alias],0),COLUMN(HostBuild[Status]))&lt;&gt;0,INDEX(HostBuild[],MATCH(E759,HostBuild[Alias],0),COLUMN(HostBuild[Status])),""),""),"")</f>
        <v/>
      </c>
      <c r="C759" s="425" t="str">
        <f>IF(AND(NOT(ISBLANK(E759)),E759&lt;&gt;"(blank)"),IFERROR(IF(INDEX(HostBuild[],MATCH(E759,HostBuild[Alias],0),COLUMN(HostBuild[CTI Target Completion]))&lt;&gt;0,INDEX(HostBuild[],MATCH(E759,HostBuild[Alias],0),COLUMN(HostBuild[CTI Target Completion])),""),""),"")</f>
        <v/>
      </c>
      <c r="D759" s="262" t="str">
        <f>IF(AND(NOT(ISBLANK(E759)),E759&lt;&gt;"(blank)"),IFERROR(IF(INDEX(HostBuild[],MATCH(E759,HostBuild[Alias],0),COLUMN(HostBuild[Description]))&lt;&gt;0,INDEX(HostBuild[],MATCH(E759,HostBuild[Alias],0),COLUMN(HostBuild[Description])),""),""),"")</f>
        <v/>
      </c>
    </row>
    <row r="760" spans="1:4">
      <c r="A760" s="3" t="str">
        <f>IF(AND(NOT(ISBLANK(E760)),E760&lt;&gt;"(blank)"),IFERROR(IF(INDEX(HostBuild[],MATCH(E760,HostBuild[Alias],0),COLUMN(HostBuild[Hostname]))&lt;&gt;0,INDEX(HostBuild[],MATCH(E760,HostBuild[Alias],0),COLUMN(HostBuild[Hostname])),""),""),"")</f>
        <v/>
      </c>
      <c r="B760" s="424" t="str">
        <f>IF(AND(NOT(ISBLANK(E760)),E760&lt;&gt;"(blank)"),IFERROR(IF(INDEX(HostBuild[],MATCH(E760,HostBuild[Alias],0),COLUMN(HostBuild[Status]))&lt;&gt;0,INDEX(HostBuild[],MATCH(E760,HostBuild[Alias],0),COLUMN(HostBuild[Status])),""),""),"")</f>
        <v/>
      </c>
      <c r="C760" s="425" t="str">
        <f>IF(AND(NOT(ISBLANK(E760)),E760&lt;&gt;"(blank)"),IFERROR(IF(INDEX(HostBuild[],MATCH(E760,HostBuild[Alias],0),COLUMN(HostBuild[CTI Target Completion]))&lt;&gt;0,INDEX(HostBuild[],MATCH(E760,HostBuild[Alias],0),COLUMN(HostBuild[CTI Target Completion])),""),""),"")</f>
        <v/>
      </c>
      <c r="D760" s="262" t="str">
        <f>IF(AND(NOT(ISBLANK(E760)),E760&lt;&gt;"(blank)"),IFERROR(IF(INDEX(HostBuild[],MATCH(E760,HostBuild[Alias],0),COLUMN(HostBuild[Description]))&lt;&gt;0,INDEX(HostBuild[],MATCH(E760,HostBuild[Alias],0),COLUMN(HostBuild[Description])),""),""),"")</f>
        <v/>
      </c>
    </row>
    <row r="761" spans="1:4">
      <c r="A761" s="3" t="str">
        <f>IF(AND(NOT(ISBLANK(E761)),E761&lt;&gt;"(blank)"),IFERROR(IF(INDEX(HostBuild[],MATCH(E761,HostBuild[Alias],0),COLUMN(HostBuild[Hostname]))&lt;&gt;0,INDEX(HostBuild[],MATCH(E761,HostBuild[Alias],0),COLUMN(HostBuild[Hostname])),""),""),"")</f>
        <v/>
      </c>
      <c r="B761" s="424" t="str">
        <f>IF(AND(NOT(ISBLANK(E761)),E761&lt;&gt;"(blank)"),IFERROR(IF(INDEX(HostBuild[],MATCH(E761,HostBuild[Alias],0),COLUMN(HostBuild[Status]))&lt;&gt;0,INDEX(HostBuild[],MATCH(E761,HostBuild[Alias],0),COLUMN(HostBuild[Status])),""),""),"")</f>
        <v/>
      </c>
      <c r="C761" s="425" t="str">
        <f>IF(AND(NOT(ISBLANK(E761)),E761&lt;&gt;"(blank)"),IFERROR(IF(INDEX(HostBuild[],MATCH(E761,HostBuild[Alias],0),COLUMN(HostBuild[CTI Target Completion]))&lt;&gt;0,INDEX(HostBuild[],MATCH(E761,HostBuild[Alias],0),COLUMN(HostBuild[CTI Target Completion])),""),""),"")</f>
        <v/>
      </c>
      <c r="D761" s="262" t="str">
        <f>IF(AND(NOT(ISBLANK(E761)),E761&lt;&gt;"(blank)"),IFERROR(IF(INDEX(HostBuild[],MATCH(E761,HostBuild[Alias],0),COLUMN(HostBuild[Description]))&lt;&gt;0,INDEX(HostBuild[],MATCH(E761,HostBuild[Alias],0),COLUMN(HostBuild[Description])),""),""),"")</f>
        <v/>
      </c>
    </row>
    <row r="762" spans="1:4">
      <c r="A762" s="3" t="str">
        <f>IF(AND(NOT(ISBLANK(E762)),E762&lt;&gt;"(blank)"),IFERROR(IF(INDEX(HostBuild[],MATCH(E762,HostBuild[Alias],0),COLUMN(HostBuild[Hostname]))&lt;&gt;0,INDEX(HostBuild[],MATCH(E762,HostBuild[Alias],0),COLUMN(HostBuild[Hostname])),""),""),"")</f>
        <v/>
      </c>
      <c r="B762" s="424" t="str">
        <f>IF(AND(NOT(ISBLANK(E762)),E762&lt;&gt;"(blank)"),IFERROR(IF(INDEX(HostBuild[],MATCH(E762,HostBuild[Alias],0),COLUMN(HostBuild[Status]))&lt;&gt;0,INDEX(HostBuild[],MATCH(E762,HostBuild[Alias],0),COLUMN(HostBuild[Status])),""),""),"")</f>
        <v/>
      </c>
      <c r="C762" s="425" t="str">
        <f>IF(AND(NOT(ISBLANK(E762)),E762&lt;&gt;"(blank)"),IFERROR(IF(INDEX(HostBuild[],MATCH(E762,HostBuild[Alias],0),COLUMN(HostBuild[CTI Target Completion]))&lt;&gt;0,INDEX(HostBuild[],MATCH(E762,HostBuild[Alias],0),COLUMN(HostBuild[CTI Target Completion])),""),""),"")</f>
        <v/>
      </c>
      <c r="D762" s="262" t="str">
        <f>IF(AND(NOT(ISBLANK(E762)),E762&lt;&gt;"(blank)"),IFERROR(IF(INDEX(HostBuild[],MATCH(E762,HostBuild[Alias],0),COLUMN(HostBuild[Description]))&lt;&gt;0,INDEX(HostBuild[],MATCH(E762,HostBuild[Alias],0),COLUMN(HostBuild[Description])),""),""),"")</f>
        <v/>
      </c>
    </row>
    <row r="763" spans="1:4">
      <c r="A763" s="3" t="str">
        <f>IF(AND(NOT(ISBLANK(E763)),E763&lt;&gt;"(blank)"),IFERROR(IF(INDEX(HostBuild[],MATCH(E763,HostBuild[Alias],0),COLUMN(HostBuild[Hostname]))&lt;&gt;0,INDEX(HostBuild[],MATCH(E763,HostBuild[Alias],0),COLUMN(HostBuild[Hostname])),""),""),"")</f>
        <v/>
      </c>
      <c r="B763" s="424" t="str">
        <f>IF(AND(NOT(ISBLANK(E763)),E763&lt;&gt;"(blank)"),IFERROR(IF(INDEX(HostBuild[],MATCH(E763,HostBuild[Alias],0),COLUMN(HostBuild[Status]))&lt;&gt;0,INDEX(HostBuild[],MATCH(E763,HostBuild[Alias],0),COLUMN(HostBuild[Status])),""),""),"")</f>
        <v/>
      </c>
      <c r="C763" s="425" t="str">
        <f>IF(AND(NOT(ISBLANK(E763)),E763&lt;&gt;"(blank)"),IFERROR(IF(INDEX(HostBuild[],MATCH(E763,HostBuild[Alias],0),COLUMN(HostBuild[CTI Target Completion]))&lt;&gt;0,INDEX(HostBuild[],MATCH(E763,HostBuild[Alias],0),COLUMN(HostBuild[CTI Target Completion])),""),""),"")</f>
        <v/>
      </c>
      <c r="D763" s="262" t="str">
        <f>IF(AND(NOT(ISBLANK(E763)),E763&lt;&gt;"(blank)"),IFERROR(IF(INDEX(HostBuild[],MATCH(E763,HostBuild[Alias],0),COLUMN(HostBuild[Description]))&lt;&gt;0,INDEX(HostBuild[],MATCH(E763,HostBuild[Alias],0),COLUMN(HostBuild[Description])),""),""),"")</f>
        <v/>
      </c>
    </row>
    <row r="764" spans="1:4">
      <c r="A764" s="3" t="str">
        <f>IF(AND(NOT(ISBLANK(E764)),E764&lt;&gt;"(blank)"),IFERROR(IF(INDEX(HostBuild[],MATCH(E764,HostBuild[Alias],0),COLUMN(HostBuild[Hostname]))&lt;&gt;0,INDEX(HostBuild[],MATCH(E764,HostBuild[Alias],0),COLUMN(HostBuild[Hostname])),""),""),"")</f>
        <v/>
      </c>
      <c r="B764" s="424" t="str">
        <f>IF(AND(NOT(ISBLANK(E764)),E764&lt;&gt;"(blank)"),IFERROR(IF(INDEX(HostBuild[],MATCH(E764,HostBuild[Alias],0),COLUMN(HostBuild[Status]))&lt;&gt;0,INDEX(HostBuild[],MATCH(E764,HostBuild[Alias],0),COLUMN(HostBuild[Status])),""),""),"")</f>
        <v/>
      </c>
      <c r="C764" s="425" t="str">
        <f>IF(AND(NOT(ISBLANK(E764)),E764&lt;&gt;"(blank)"),IFERROR(IF(INDEX(HostBuild[],MATCH(E764,HostBuild[Alias],0),COLUMN(HostBuild[CTI Target Completion]))&lt;&gt;0,INDEX(HostBuild[],MATCH(E764,HostBuild[Alias],0),COLUMN(HostBuild[CTI Target Completion])),""),""),"")</f>
        <v/>
      </c>
      <c r="D764" s="262" t="str">
        <f>IF(AND(NOT(ISBLANK(E764)),E764&lt;&gt;"(blank)"),IFERROR(IF(INDEX(HostBuild[],MATCH(E764,HostBuild[Alias],0),COLUMN(HostBuild[Description]))&lt;&gt;0,INDEX(HostBuild[],MATCH(E764,HostBuild[Alias],0),COLUMN(HostBuild[Description])),""),""),"")</f>
        <v/>
      </c>
    </row>
    <row r="765" spans="1:4">
      <c r="A765" s="3" t="str">
        <f>IF(AND(NOT(ISBLANK(E765)),E765&lt;&gt;"(blank)"),IFERROR(IF(INDEX(HostBuild[],MATCH(E765,HostBuild[Alias],0),COLUMN(HostBuild[Hostname]))&lt;&gt;0,INDEX(HostBuild[],MATCH(E765,HostBuild[Alias],0),COLUMN(HostBuild[Hostname])),""),""),"")</f>
        <v/>
      </c>
      <c r="B765" s="424" t="str">
        <f>IF(AND(NOT(ISBLANK(E765)),E765&lt;&gt;"(blank)"),IFERROR(IF(INDEX(HostBuild[],MATCH(E765,HostBuild[Alias],0),COLUMN(HostBuild[Status]))&lt;&gt;0,INDEX(HostBuild[],MATCH(E765,HostBuild[Alias],0),COLUMN(HostBuild[Status])),""),""),"")</f>
        <v/>
      </c>
      <c r="C765" s="425" t="str">
        <f>IF(AND(NOT(ISBLANK(E765)),E765&lt;&gt;"(blank)"),IFERROR(IF(INDEX(HostBuild[],MATCH(E765,HostBuild[Alias],0),COLUMN(HostBuild[CTI Target Completion]))&lt;&gt;0,INDEX(HostBuild[],MATCH(E765,HostBuild[Alias],0),COLUMN(HostBuild[CTI Target Completion])),""),""),"")</f>
        <v/>
      </c>
      <c r="D765" s="262" t="str">
        <f>IF(AND(NOT(ISBLANK(E765)),E765&lt;&gt;"(blank)"),IFERROR(IF(INDEX(HostBuild[],MATCH(E765,HostBuild[Alias],0),COLUMN(HostBuild[Description]))&lt;&gt;0,INDEX(HostBuild[],MATCH(E765,HostBuild[Alias],0),COLUMN(HostBuild[Description])),""),""),"")</f>
        <v/>
      </c>
    </row>
    <row r="766" spans="1:4">
      <c r="A766" s="3" t="str">
        <f>IF(AND(NOT(ISBLANK(E766)),E766&lt;&gt;"(blank)"),IFERROR(IF(INDEX(HostBuild[],MATCH(E766,HostBuild[Alias],0),COLUMN(HostBuild[Hostname]))&lt;&gt;0,INDEX(HostBuild[],MATCH(E766,HostBuild[Alias],0),COLUMN(HostBuild[Hostname])),""),""),"")</f>
        <v/>
      </c>
      <c r="B766" s="424" t="str">
        <f>IF(AND(NOT(ISBLANK(E766)),E766&lt;&gt;"(blank)"),IFERROR(IF(INDEX(HostBuild[],MATCH(E766,HostBuild[Alias],0),COLUMN(HostBuild[Status]))&lt;&gt;0,INDEX(HostBuild[],MATCH(E766,HostBuild[Alias],0),COLUMN(HostBuild[Status])),""),""),"")</f>
        <v/>
      </c>
      <c r="C766" s="425" t="str">
        <f>IF(AND(NOT(ISBLANK(E766)),E766&lt;&gt;"(blank)"),IFERROR(IF(INDEX(HostBuild[],MATCH(E766,HostBuild[Alias],0),COLUMN(HostBuild[CTI Target Completion]))&lt;&gt;0,INDEX(HostBuild[],MATCH(E766,HostBuild[Alias],0),COLUMN(HostBuild[CTI Target Completion])),""),""),"")</f>
        <v/>
      </c>
      <c r="D766" s="262" t="str">
        <f>IF(AND(NOT(ISBLANK(E766)),E766&lt;&gt;"(blank)"),IFERROR(IF(INDEX(HostBuild[],MATCH(E766,HostBuild[Alias],0),COLUMN(HostBuild[Description]))&lt;&gt;0,INDEX(HostBuild[],MATCH(E766,HostBuild[Alias],0),COLUMN(HostBuild[Description])),""),""),"")</f>
        <v/>
      </c>
    </row>
    <row r="767" spans="1:4">
      <c r="A767" s="3" t="str">
        <f>IF(AND(NOT(ISBLANK(E767)),E767&lt;&gt;"(blank)"),IFERROR(IF(INDEX(HostBuild[],MATCH(E767,HostBuild[Alias],0),COLUMN(HostBuild[Hostname]))&lt;&gt;0,INDEX(HostBuild[],MATCH(E767,HostBuild[Alias],0),COLUMN(HostBuild[Hostname])),""),""),"")</f>
        <v/>
      </c>
      <c r="B767" s="424" t="str">
        <f>IF(AND(NOT(ISBLANK(E767)),E767&lt;&gt;"(blank)"),IFERROR(IF(INDEX(HostBuild[],MATCH(E767,HostBuild[Alias],0),COLUMN(HostBuild[Status]))&lt;&gt;0,INDEX(HostBuild[],MATCH(E767,HostBuild[Alias],0),COLUMN(HostBuild[Status])),""),""),"")</f>
        <v/>
      </c>
      <c r="C767" s="425" t="str">
        <f>IF(AND(NOT(ISBLANK(E767)),E767&lt;&gt;"(blank)"),IFERROR(IF(INDEX(HostBuild[],MATCH(E767,HostBuild[Alias],0),COLUMN(HostBuild[CTI Target Completion]))&lt;&gt;0,INDEX(HostBuild[],MATCH(E767,HostBuild[Alias],0),COLUMN(HostBuild[CTI Target Completion])),""),""),"")</f>
        <v/>
      </c>
      <c r="D767" s="262" t="str">
        <f>IF(AND(NOT(ISBLANK(E767)),E767&lt;&gt;"(blank)"),IFERROR(IF(INDEX(HostBuild[],MATCH(E767,HostBuild[Alias],0),COLUMN(HostBuild[Description]))&lt;&gt;0,INDEX(HostBuild[],MATCH(E767,HostBuild[Alias],0),COLUMN(HostBuild[Description])),""),""),"")</f>
        <v/>
      </c>
    </row>
    <row r="768" spans="1:4">
      <c r="A768" s="3" t="str">
        <f>IF(AND(NOT(ISBLANK(E768)),E768&lt;&gt;"(blank)"),IFERROR(IF(INDEX(HostBuild[],MATCH(E768,HostBuild[Alias],0),COLUMN(HostBuild[Hostname]))&lt;&gt;0,INDEX(HostBuild[],MATCH(E768,HostBuild[Alias],0),COLUMN(HostBuild[Hostname])),""),""),"")</f>
        <v/>
      </c>
      <c r="B768" s="424" t="str">
        <f>IF(AND(NOT(ISBLANK(E768)),E768&lt;&gt;"(blank)"),IFERROR(IF(INDEX(HostBuild[],MATCH(E768,HostBuild[Alias],0),COLUMN(HostBuild[Status]))&lt;&gt;0,INDEX(HostBuild[],MATCH(E768,HostBuild[Alias],0),COLUMN(HostBuild[Status])),""),""),"")</f>
        <v/>
      </c>
      <c r="C768" s="425" t="str">
        <f>IF(AND(NOT(ISBLANK(E768)),E768&lt;&gt;"(blank)"),IFERROR(IF(INDEX(HostBuild[],MATCH(E768,HostBuild[Alias],0),COLUMN(HostBuild[CTI Target Completion]))&lt;&gt;0,INDEX(HostBuild[],MATCH(E768,HostBuild[Alias],0),COLUMN(HostBuild[CTI Target Completion])),""),""),"")</f>
        <v/>
      </c>
      <c r="D768" s="262" t="str">
        <f>IF(AND(NOT(ISBLANK(E768)),E768&lt;&gt;"(blank)"),IFERROR(IF(INDEX(HostBuild[],MATCH(E768,HostBuild[Alias],0),COLUMN(HostBuild[Description]))&lt;&gt;0,INDEX(HostBuild[],MATCH(E768,HostBuild[Alias],0),COLUMN(HostBuild[Description])),""),""),"")</f>
        <v/>
      </c>
    </row>
    <row r="769" spans="1:4">
      <c r="A769" s="3" t="str">
        <f>IF(AND(NOT(ISBLANK(E769)),E769&lt;&gt;"(blank)"),IFERROR(IF(INDEX(HostBuild[],MATCH(E769,HostBuild[Alias],0),COLUMN(HostBuild[Hostname]))&lt;&gt;0,INDEX(HostBuild[],MATCH(E769,HostBuild[Alias],0),COLUMN(HostBuild[Hostname])),""),""),"")</f>
        <v/>
      </c>
      <c r="B769" s="424" t="str">
        <f>IF(AND(NOT(ISBLANK(E769)),E769&lt;&gt;"(blank)"),IFERROR(IF(INDEX(HostBuild[],MATCH(E769,HostBuild[Alias],0),COLUMN(HostBuild[Status]))&lt;&gt;0,INDEX(HostBuild[],MATCH(E769,HostBuild[Alias],0),COLUMN(HostBuild[Status])),""),""),"")</f>
        <v/>
      </c>
      <c r="C769" s="425" t="str">
        <f>IF(AND(NOT(ISBLANK(E769)),E769&lt;&gt;"(blank)"),IFERROR(IF(INDEX(HostBuild[],MATCH(E769,HostBuild[Alias],0),COLUMN(HostBuild[CTI Target Completion]))&lt;&gt;0,INDEX(HostBuild[],MATCH(E769,HostBuild[Alias],0),COLUMN(HostBuild[CTI Target Completion])),""),""),"")</f>
        <v/>
      </c>
      <c r="D769" s="262" t="str">
        <f>IF(AND(NOT(ISBLANK(E769)),E769&lt;&gt;"(blank)"),IFERROR(IF(INDEX(HostBuild[],MATCH(E769,HostBuild[Alias],0),COLUMN(HostBuild[Description]))&lt;&gt;0,INDEX(HostBuild[],MATCH(E769,HostBuild[Alias],0),COLUMN(HostBuild[Description])),""),""),"")</f>
        <v/>
      </c>
    </row>
    <row r="770" spans="1:4">
      <c r="A770" s="3" t="str">
        <f>IF(AND(NOT(ISBLANK(E770)),E770&lt;&gt;"(blank)"),IFERROR(IF(INDEX(HostBuild[],MATCH(E770,HostBuild[Alias],0),COLUMN(HostBuild[Hostname]))&lt;&gt;0,INDEX(HostBuild[],MATCH(E770,HostBuild[Alias],0),COLUMN(HostBuild[Hostname])),""),""),"")</f>
        <v/>
      </c>
      <c r="B770" s="424" t="str">
        <f>IF(AND(NOT(ISBLANK(E770)),E770&lt;&gt;"(blank)"),IFERROR(IF(INDEX(HostBuild[],MATCH(E770,HostBuild[Alias],0),COLUMN(HostBuild[Status]))&lt;&gt;0,INDEX(HostBuild[],MATCH(E770,HostBuild[Alias],0),COLUMN(HostBuild[Status])),""),""),"")</f>
        <v/>
      </c>
      <c r="C770" s="425" t="str">
        <f>IF(AND(NOT(ISBLANK(E770)),E770&lt;&gt;"(blank)"),IFERROR(IF(INDEX(HostBuild[],MATCH(E770,HostBuild[Alias],0),COLUMN(HostBuild[CTI Target Completion]))&lt;&gt;0,INDEX(HostBuild[],MATCH(E770,HostBuild[Alias],0),COLUMN(HostBuild[CTI Target Completion])),""),""),"")</f>
        <v/>
      </c>
      <c r="D770" s="262" t="str">
        <f>IF(AND(NOT(ISBLANK(E770)),E770&lt;&gt;"(blank)"),IFERROR(IF(INDEX(HostBuild[],MATCH(E770,HostBuild[Alias],0),COLUMN(HostBuild[Description]))&lt;&gt;0,INDEX(HostBuild[],MATCH(E770,HostBuild[Alias],0),COLUMN(HostBuild[Description])),""),""),"")</f>
        <v/>
      </c>
    </row>
    <row r="771" spans="1:4">
      <c r="A771" s="3" t="str">
        <f>IF(AND(NOT(ISBLANK(E771)),E771&lt;&gt;"(blank)"),IFERROR(IF(INDEX(HostBuild[],MATCH(E771,HostBuild[Alias],0),COLUMN(HostBuild[Hostname]))&lt;&gt;0,INDEX(HostBuild[],MATCH(E771,HostBuild[Alias],0),COLUMN(HostBuild[Hostname])),""),""),"")</f>
        <v/>
      </c>
      <c r="B771" s="424" t="str">
        <f>IF(AND(NOT(ISBLANK(E771)),E771&lt;&gt;"(blank)"),IFERROR(IF(INDEX(HostBuild[],MATCH(E771,HostBuild[Alias],0),COLUMN(HostBuild[Status]))&lt;&gt;0,INDEX(HostBuild[],MATCH(E771,HostBuild[Alias],0),COLUMN(HostBuild[Status])),""),""),"")</f>
        <v/>
      </c>
      <c r="C771" s="425" t="str">
        <f>IF(AND(NOT(ISBLANK(E771)),E771&lt;&gt;"(blank)"),IFERROR(IF(INDEX(HostBuild[],MATCH(E771,HostBuild[Alias],0),COLUMN(HostBuild[CTI Target Completion]))&lt;&gt;0,INDEX(HostBuild[],MATCH(E771,HostBuild[Alias],0),COLUMN(HostBuild[CTI Target Completion])),""),""),"")</f>
        <v/>
      </c>
      <c r="D771" s="262" t="str">
        <f>IF(AND(NOT(ISBLANK(E771)),E771&lt;&gt;"(blank)"),IFERROR(IF(INDEX(HostBuild[],MATCH(E771,HostBuild[Alias],0),COLUMN(HostBuild[Description]))&lt;&gt;0,INDEX(HostBuild[],MATCH(E771,HostBuild[Alias],0),COLUMN(HostBuild[Description])),""),""),"")</f>
        <v/>
      </c>
    </row>
    <row r="772" spans="1:4">
      <c r="A772" s="3" t="str">
        <f>IF(AND(NOT(ISBLANK(E772)),E772&lt;&gt;"(blank)"),IFERROR(IF(INDEX(HostBuild[],MATCH(E772,HostBuild[Alias],0),COLUMN(HostBuild[Hostname]))&lt;&gt;0,INDEX(HostBuild[],MATCH(E772,HostBuild[Alias],0),COLUMN(HostBuild[Hostname])),""),""),"")</f>
        <v/>
      </c>
      <c r="B772" s="424" t="str">
        <f>IF(AND(NOT(ISBLANK(E772)),E772&lt;&gt;"(blank)"),IFERROR(IF(INDEX(HostBuild[],MATCH(E772,HostBuild[Alias],0),COLUMN(HostBuild[Status]))&lt;&gt;0,INDEX(HostBuild[],MATCH(E772,HostBuild[Alias],0),COLUMN(HostBuild[Status])),""),""),"")</f>
        <v/>
      </c>
      <c r="C772" s="425" t="str">
        <f>IF(AND(NOT(ISBLANK(E772)),E772&lt;&gt;"(blank)"),IFERROR(IF(INDEX(HostBuild[],MATCH(E772,HostBuild[Alias],0),COLUMN(HostBuild[CTI Target Completion]))&lt;&gt;0,INDEX(HostBuild[],MATCH(E772,HostBuild[Alias],0),COLUMN(HostBuild[CTI Target Completion])),""),""),"")</f>
        <v/>
      </c>
      <c r="D772" s="262" t="str">
        <f>IF(AND(NOT(ISBLANK(E772)),E772&lt;&gt;"(blank)"),IFERROR(IF(INDEX(HostBuild[],MATCH(E772,HostBuild[Alias],0),COLUMN(HostBuild[Description]))&lt;&gt;0,INDEX(HostBuild[],MATCH(E772,HostBuild[Alias],0),COLUMN(HostBuild[Description])),""),""),"")</f>
        <v/>
      </c>
    </row>
    <row r="773" spans="1:4">
      <c r="A773" s="3" t="str">
        <f>IF(AND(NOT(ISBLANK(E773)),E773&lt;&gt;"(blank)"),IFERROR(IF(INDEX(HostBuild[],MATCH(E773,HostBuild[Alias],0),COLUMN(HostBuild[Hostname]))&lt;&gt;0,INDEX(HostBuild[],MATCH(E773,HostBuild[Alias],0),COLUMN(HostBuild[Hostname])),""),""),"")</f>
        <v/>
      </c>
      <c r="B773" s="424" t="str">
        <f>IF(AND(NOT(ISBLANK(E773)),E773&lt;&gt;"(blank)"),IFERROR(IF(INDEX(HostBuild[],MATCH(E773,HostBuild[Alias],0),COLUMN(HostBuild[Status]))&lt;&gt;0,INDEX(HostBuild[],MATCH(E773,HostBuild[Alias],0),COLUMN(HostBuild[Status])),""),""),"")</f>
        <v/>
      </c>
      <c r="C773" s="425" t="str">
        <f>IF(AND(NOT(ISBLANK(E773)),E773&lt;&gt;"(blank)"),IFERROR(IF(INDEX(HostBuild[],MATCH(E773,HostBuild[Alias],0),COLUMN(HostBuild[CTI Target Completion]))&lt;&gt;0,INDEX(HostBuild[],MATCH(E773,HostBuild[Alias],0),COLUMN(HostBuild[CTI Target Completion])),""),""),"")</f>
        <v/>
      </c>
      <c r="D773" s="262" t="str">
        <f>IF(AND(NOT(ISBLANK(E773)),E773&lt;&gt;"(blank)"),IFERROR(IF(INDEX(HostBuild[],MATCH(E773,HostBuild[Alias],0),COLUMN(HostBuild[Description]))&lt;&gt;0,INDEX(HostBuild[],MATCH(E773,HostBuild[Alias],0),COLUMN(HostBuild[Description])),""),""),"")</f>
        <v/>
      </c>
    </row>
    <row r="774" spans="1:4">
      <c r="A774" s="3" t="str">
        <f>IF(AND(NOT(ISBLANK(E774)),E774&lt;&gt;"(blank)"),IFERROR(IF(INDEX(HostBuild[],MATCH(E774,HostBuild[Alias],0),COLUMN(HostBuild[Hostname]))&lt;&gt;0,INDEX(HostBuild[],MATCH(E774,HostBuild[Alias],0),COLUMN(HostBuild[Hostname])),""),""),"")</f>
        <v/>
      </c>
      <c r="B774" s="424" t="str">
        <f>IF(AND(NOT(ISBLANK(E774)),E774&lt;&gt;"(blank)"),IFERROR(IF(INDEX(HostBuild[],MATCH(E774,HostBuild[Alias],0),COLUMN(HostBuild[Status]))&lt;&gt;0,INDEX(HostBuild[],MATCH(E774,HostBuild[Alias],0),COLUMN(HostBuild[Status])),""),""),"")</f>
        <v/>
      </c>
      <c r="C774" s="425" t="str">
        <f>IF(AND(NOT(ISBLANK(E774)),E774&lt;&gt;"(blank)"),IFERROR(IF(INDEX(HostBuild[],MATCH(E774,HostBuild[Alias],0),COLUMN(HostBuild[CTI Target Completion]))&lt;&gt;0,INDEX(HostBuild[],MATCH(E774,HostBuild[Alias],0),COLUMN(HostBuild[CTI Target Completion])),""),""),"")</f>
        <v/>
      </c>
      <c r="D774" s="262" t="str">
        <f>IF(AND(NOT(ISBLANK(E774)),E774&lt;&gt;"(blank)"),IFERROR(IF(INDEX(HostBuild[],MATCH(E774,HostBuild[Alias],0),COLUMN(HostBuild[Description]))&lt;&gt;0,INDEX(HostBuild[],MATCH(E774,HostBuild[Alias],0),COLUMN(HostBuild[Description])),""),""),"")</f>
        <v/>
      </c>
    </row>
    <row r="775" spans="1:4">
      <c r="A775" s="3" t="str">
        <f>IF(AND(NOT(ISBLANK(E775)),E775&lt;&gt;"(blank)"),IFERROR(IF(INDEX(HostBuild[],MATCH(E775,HostBuild[Alias],0),COLUMN(HostBuild[Hostname]))&lt;&gt;0,INDEX(HostBuild[],MATCH(E775,HostBuild[Alias],0),COLUMN(HostBuild[Hostname])),""),""),"")</f>
        <v/>
      </c>
      <c r="B775" s="424" t="str">
        <f>IF(AND(NOT(ISBLANK(E775)),E775&lt;&gt;"(blank)"),IFERROR(IF(INDEX(HostBuild[],MATCH(E775,HostBuild[Alias],0),COLUMN(HostBuild[Status]))&lt;&gt;0,INDEX(HostBuild[],MATCH(E775,HostBuild[Alias],0),COLUMN(HostBuild[Status])),""),""),"")</f>
        <v/>
      </c>
      <c r="C775" s="425" t="str">
        <f>IF(AND(NOT(ISBLANK(E775)),E775&lt;&gt;"(blank)"),IFERROR(IF(INDEX(HostBuild[],MATCH(E775,HostBuild[Alias],0),COLUMN(HostBuild[CTI Target Completion]))&lt;&gt;0,INDEX(HostBuild[],MATCH(E775,HostBuild[Alias],0),COLUMN(HostBuild[CTI Target Completion])),""),""),"")</f>
        <v/>
      </c>
      <c r="D775" s="262" t="str">
        <f>IF(AND(NOT(ISBLANK(E775)),E775&lt;&gt;"(blank)"),IFERROR(IF(INDEX(HostBuild[],MATCH(E775,HostBuild[Alias],0),COLUMN(HostBuild[Description]))&lt;&gt;0,INDEX(HostBuild[],MATCH(E775,HostBuild[Alias],0),COLUMN(HostBuild[Description])),""),""),"")</f>
        <v/>
      </c>
    </row>
    <row r="776" spans="1:4">
      <c r="A776" s="3" t="str">
        <f>IF(AND(NOT(ISBLANK(E776)),E776&lt;&gt;"(blank)"),IFERROR(IF(INDEX(HostBuild[],MATCH(E776,HostBuild[Alias],0),COLUMN(HostBuild[Hostname]))&lt;&gt;0,INDEX(HostBuild[],MATCH(E776,HostBuild[Alias],0),COLUMN(HostBuild[Hostname])),""),""),"")</f>
        <v/>
      </c>
      <c r="B776" s="424" t="str">
        <f>IF(AND(NOT(ISBLANK(E776)),E776&lt;&gt;"(blank)"),IFERROR(IF(INDEX(HostBuild[],MATCH(E776,HostBuild[Alias],0),COLUMN(HostBuild[Status]))&lt;&gt;0,INDEX(HostBuild[],MATCH(E776,HostBuild[Alias],0),COLUMN(HostBuild[Status])),""),""),"")</f>
        <v/>
      </c>
      <c r="C776" s="425" t="str">
        <f>IF(AND(NOT(ISBLANK(E776)),E776&lt;&gt;"(blank)"),IFERROR(IF(INDEX(HostBuild[],MATCH(E776,HostBuild[Alias],0),COLUMN(HostBuild[CTI Target Completion]))&lt;&gt;0,INDEX(HostBuild[],MATCH(E776,HostBuild[Alias],0),COLUMN(HostBuild[CTI Target Completion])),""),""),"")</f>
        <v/>
      </c>
      <c r="D776" s="262" t="str">
        <f>IF(AND(NOT(ISBLANK(E776)),E776&lt;&gt;"(blank)"),IFERROR(IF(INDEX(HostBuild[],MATCH(E776,HostBuild[Alias],0),COLUMN(HostBuild[Description]))&lt;&gt;0,INDEX(HostBuild[],MATCH(E776,HostBuild[Alias],0),COLUMN(HostBuild[Description])),""),""),"")</f>
        <v/>
      </c>
    </row>
    <row r="777" spans="1:4">
      <c r="A777" s="3" t="str">
        <f>IF(AND(NOT(ISBLANK(E777)),E777&lt;&gt;"(blank)"),IFERROR(IF(INDEX(HostBuild[],MATCH(E777,HostBuild[Alias],0),COLUMN(HostBuild[Hostname]))&lt;&gt;0,INDEX(HostBuild[],MATCH(E777,HostBuild[Alias],0),COLUMN(HostBuild[Hostname])),""),""),"")</f>
        <v/>
      </c>
      <c r="B777" s="424" t="str">
        <f>IF(AND(NOT(ISBLANK(E777)),E777&lt;&gt;"(blank)"),IFERROR(IF(INDEX(HostBuild[],MATCH(E777,HostBuild[Alias],0),COLUMN(HostBuild[Status]))&lt;&gt;0,INDEX(HostBuild[],MATCH(E777,HostBuild[Alias],0),COLUMN(HostBuild[Status])),""),""),"")</f>
        <v/>
      </c>
      <c r="C777" s="425" t="str">
        <f>IF(AND(NOT(ISBLANK(E777)),E777&lt;&gt;"(blank)"),IFERROR(IF(INDEX(HostBuild[],MATCH(E777,HostBuild[Alias],0),COLUMN(HostBuild[CTI Target Completion]))&lt;&gt;0,INDEX(HostBuild[],MATCH(E777,HostBuild[Alias],0),COLUMN(HostBuild[CTI Target Completion])),""),""),"")</f>
        <v/>
      </c>
      <c r="D777" s="262" t="str">
        <f>IF(AND(NOT(ISBLANK(E777)),E777&lt;&gt;"(blank)"),IFERROR(IF(INDEX(HostBuild[],MATCH(E777,HostBuild[Alias],0),COLUMN(HostBuild[Description]))&lt;&gt;0,INDEX(HostBuild[],MATCH(E777,HostBuild[Alias],0),COLUMN(HostBuild[Description])),""),""),"")</f>
        <v/>
      </c>
    </row>
    <row r="778" spans="1:4">
      <c r="A778" s="3" t="str">
        <f>IF(AND(NOT(ISBLANK(E778)),E778&lt;&gt;"(blank)"),IFERROR(IF(INDEX(HostBuild[],MATCH(E778,HostBuild[Alias],0),COLUMN(HostBuild[Hostname]))&lt;&gt;0,INDEX(HostBuild[],MATCH(E778,HostBuild[Alias],0),COLUMN(HostBuild[Hostname])),""),""),"")</f>
        <v/>
      </c>
      <c r="B778" s="424" t="str">
        <f>IF(AND(NOT(ISBLANK(E778)),E778&lt;&gt;"(blank)"),IFERROR(IF(INDEX(HostBuild[],MATCH(E778,HostBuild[Alias],0),COLUMN(HostBuild[Status]))&lt;&gt;0,INDEX(HostBuild[],MATCH(E778,HostBuild[Alias],0),COLUMN(HostBuild[Status])),""),""),"")</f>
        <v/>
      </c>
      <c r="C778" s="425" t="str">
        <f>IF(AND(NOT(ISBLANK(E778)),E778&lt;&gt;"(blank)"),IFERROR(IF(INDEX(HostBuild[],MATCH(E778,HostBuild[Alias],0),COLUMN(HostBuild[CTI Target Completion]))&lt;&gt;0,INDEX(HostBuild[],MATCH(E778,HostBuild[Alias],0),COLUMN(HostBuild[CTI Target Completion])),""),""),"")</f>
        <v/>
      </c>
      <c r="D778" s="262" t="str">
        <f>IF(AND(NOT(ISBLANK(E778)),E778&lt;&gt;"(blank)"),IFERROR(IF(INDEX(HostBuild[],MATCH(E778,HostBuild[Alias],0),COLUMN(HostBuild[Description]))&lt;&gt;0,INDEX(HostBuild[],MATCH(E778,HostBuild[Alias],0),COLUMN(HostBuild[Description])),""),""),"")</f>
        <v/>
      </c>
    </row>
    <row r="779" spans="1:4">
      <c r="A779" s="3" t="str">
        <f>IF(AND(NOT(ISBLANK(E779)),E779&lt;&gt;"(blank)"),IFERROR(IF(INDEX(HostBuild[],MATCH(E779,HostBuild[Alias],0),COLUMN(HostBuild[Hostname]))&lt;&gt;0,INDEX(HostBuild[],MATCH(E779,HostBuild[Alias],0),COLUMN(HostBuild[Hostname])),""),""),"")</f>
        <v/>
      </c>
      <c r="B779" s="424" t="str">
        <f>IF(AND(NOT(ISBLANK(E779)),E779&lt;&gt;"(blank)"),IFERROR(IF(INDEX(HostBuild[],MATCH(E779,HostBuild[Alias],0),COLUMN(HostBuild[Status]))&lt;&gt;0,INDEX(HostBuild[],MATCH(E779,HostBuild[Alias],0),COLUMN(HostBuild[Status])),""),""),"")</f>
        <v/>
      </c>
      <c r="C779" s="425" t="str">
        <f>IF(AND(NOT(ISBLANK(E779)),E779&lt;&gt;"(blank)"),IFERROR(IF(INDEX(HostBuild[],MATCH(E779,HostBuild[Alias],0),COLUMN(HostBuild[CTI Target Completion]))&lt;&gt;0,INDEX(HostBuild[],MATCH(E779,HostBuild[Alias],0),COLUMN(HostBuild[CTI Target Completion])),""),""),"")</f>
        <v/>
      </c>
      <c r="D779" s="262" t="str">
        <f>IF(AND(NOT(ISBLANK(E779)),E779&lt;&gt;"(blank)"),IFERROR(IF(INDEX(HostBuild[],MATCH(E779,HostBuild[Alias],0),COLUMN(HostBuild[Description]))&lt;&gt;0,INDEX(HostBuild[],MATCH(E779,HostBuild[Alias],0),COLUMN(HostBuild[Description])),""),""),"")</f>
        <v/>
      </c>
    </row>
    <row r="780" spans="1:4">
      <c r="A780" s="3" t="str">
        <f>IF(AND(NOT(ISBLANK(E780)),E780&lt;&gt;"(blank)"),IFERROR(IF(INDEX(HostBuild[],MATCH(E780,HostBuild[Alias],0),COLUMN(HostBuild[Hostname]))&lt;&gt;0,INDEX(HostBuild[],MATCH(E780,HostBuild[Alias],0),COLUMN(HostBuild[Hostname])),""),""),"")</f>
        <v/>
      </c>
      <c r="B780" s="424" t="str">
        <f>IF(AND(NOT(ISBLANK(E780)),E780&lt;&gt;"(blank)"),IFERROR(IF(INDEX(HostBuild[],MATCH(E780,HostBuild[Alias],0),COLUMN(HostBuild[Status]))&lt;&gt;0,INDEX(HostBuild[],MATCH(E780,HostBuild[Alias],0),COLUMN(HostBuild[Status])),""),""),"")</f>
        <v/>
      </c>
      <c r="C780" s="425" t="str">
        <f>IF(AND(NOT(ISBLANK(E780)),E780&lt;&gt;"(blank)"),IFERROR(IF(INDEX(HostBuild[],MATCH(E780,HostBuild[Alias],0),COLUMN(HostBuild[CTI Target Completion]))&lt;&gt;0,INDEX(HostBuild[],MATCH(E780,HostBuild[Alias],0),COLUMN(HostBuild[CTI Target Completion])),""),""),"")</f>
        <v/>
      </c>
      <c r="D780" s="262" t="str">
        <f>IF(AND(NOT(ISBLANK(E780)),E780&lt;&gt;"(blank)"),IFERROR(IF(INDEX(HostBuild[],MATCH(E780,HostBuild[Alias],0),COLUMN(HostBuild[Description]))&lt;&gt;0,INDEX(HostBuild[],MATCH(E780,HostBuild[Alias],0),COLUMN(HostBuild[Description])),""),""),"")</f>
        <v/>
      </c>
    </row>
    <row r="781" spans="1:4">
      <c r="A781" s="3" t="str">
        <f>IF(AND(NOT(ISBLANK(E781)),E781&lt;&gt;"(blank)"),IFERROR(IF(INDEX(HostBuild[],MATCH(E781,HostBuild[Alias],0),COLUMN(HostBuild[Hostname]))&lt;&gt;0,INDEX(HostBuild[],MATCH(E781,HostBuild[Alias],0),COLUMN(HostBuild[Hostname])),""),""),"")</f>
        <v/>
      </c>
      <c r="B781" s="424" t="str">
        <f>IF(AND(NOT(ISBLANK(E781)),E781&lt;&gt;"(blank)"),IFERROR(IF(INDEX(HostBuild[],MATCH(E781,HostBuild[Alias],0),COLUMN(HostBuild[Status]))&lt;&gt;0,INDEX(HostBuild[],MATCH(E781,HostBuild[Alias],0),COLUMN(HostBuild[Status])),""),""),"")</f>
        <v/>
      </c>
      <c r="C781" s="425" t="str">
        <f>IF(AND(NOT(ISBLANK(E781)),E781&lt;&gt;"(blank)"),IFERROR(IF(INDEX(HostBuild[],MATCH(E781,HostBuild[Alias],0),COLUMN(HostBuild[CTI Target Completion]))&lt;&gt;0,INDEX(HostBuild[],MATCH(E781,HostBuild[Alias],0),COLUMN(HostBuild[CTI Target Completion])),""),""),"")</f>
        <v/>
      </c>
      <c r="D781" s="262" t="str">
        <f>IF(AND(NOT(ISBLANK(E781)),E781&lt;&gt;"(blank)"),IFERROR(IF(INDEX(HostBuild[],MATCH(E781,HostBuild[Alias],0),COLUMN(HostBuild[Description]))&lt;&gt;0,INDEX(HostBuild[],MATCH(E781,HostBuild[Alias],0),COLUMN(HostBuild[Description])),""),""),"")</f>
        <v/>
      </c>
    </row>
    <row r="782" spans="1:4">
      <c r="A782" s="3" t="str">
        <f>IF(AND(NOT(ISBLANK(E782)),E782&lt;&gt;"(blank)"),IFERROR(IF(INDEX(HostBuild[],MATCH(E782,HostBuild[Alias],0),COLUMN(HostBuild[Hostname]))&lt;&gt;0,INDEX(HostBuild[],MATCH(E782,HostBuild[Alias],0),COLUMN(HostBuild[Hostname])),""),""),"")</f>
        <v/>
      </c>
      <c r="B782" s="424" t="str">
        <f>IF(AND(NOT(ISBLANK(E782)),E782&lt;&gt;"(blank)"),IFERROR(IF(INDEX(HostBuild[],MATCH(E782,HostBuild[Alias],0),COLUMN(HostBuild[Status]))&lt;&gt;0,INDEX(HostBuild[],MATCH(E782,HostBuild[Alias],0),COLUMN(HostBuild[Status])),""),""),"")</f>
        <v/>
      </c>
      <c r="C782" s="425" t="str">
        <f>IF(AND(NOT(ISBLANK(E782)),E782&lt;&gt;"(blank)"),IFERROR(IF(INDEX(HostBuild[],MATCH(E782,HostBuild[Alias],0),COLUMN(HostBuild[CTI Target Completion]))&lt;&gt;0,INDEX(HostBuild[],MATCH(E782,HostBuild[Alias],0),COLUMN(HostBuild[CTI Target Completion])),""),""),"")</f>
        <v/>
      </c>
      <c r="D782" s="262" t="str">
        <f>IF(AND(NOT(ISBLANK(E782)),E782&lt;&gt;"(blank)"),IFERROR(IF(INDEX(HostBuild[],MATCH(E782,HostBuild[Alias],0),COLUMN(HostBuild[Description]))&lt;&gt;0,INDEX(HostBuild[],MATCH(E782,HostBuild[Alias],0),COLUMN(HostBuild[Description])),""),""),"")</f>
        <v/>
      </c>
    </row>
    <row r="783" spans="1:4">
      <c r="A783" s="3" t="str">
        <f>IF(AND(NOT(ISBLANK(E783)),E783&lt;&gt;"(blank)"),IFERROR(IF(INDEX(HostBuild[],MATCH(E783,HostBuild[Alias],0),COLUMN(HostBuild[Hostname]))&lt;&gt;0,INDEX(HostBuild[],MATCH(E783,HostBuild[Alias],0),COLUMN(HostBuild[Hostname])),""),""),"")</f>
        <v/>
      </c>
      <c r="B783" s="424" t="str">
        <f>IF(AND(NOT(ISBLANK(E783)),E783&lt;&gt;"(blank)"),IFERROR(IF(INDEX(HostBuild[],MATCH(E783,HostBuild[Alias],0),COLUMN(HostBuild[Status]))&lt;&gt;0,INDEX(HostBuild[],MATCH(E783,HostBuild[Alias],0),COLUMN(HostBuild[Status])),""),""),"")</f>
        <v/>
      </c>
      <c r="C783" s="425" t="str">
        <f>IF(AND(NOT(ISBLANK(E783)),E783&lt;&gt;"(blank)"),IFERROR(IF(INDEX(HostBuild[],MATCH(E783,HostBuild[Alias],0),COLUMN(HostBuild[CTI Target Completion]))&lt;&gt;0,INDEX(HostBuild[],MATCH(E783,HostBuild[Alias],0),COLUMN(HostBuild[CTI Target Completion])),""),""),"")</f>
        <v/>
      </c>
      <c r="D783" s="262" t="str">
        <f>IF(AND(NOT(ISBLANK(E783)),E783&lt;&gt;"(blank)"),IFERROR(IF(INDEX(HostBuild[],MATCH(E783,HostBuild[Alias],0),COLUMN(HostBuild[Description]))&lt;&gt;0,INDEX(HostBuild[],MATCH(E783,HostBuild[Alias],0),COLUMN(HostBuild[Description])),""),""),"")</f>
        <v/>
      </c>
    </row>
    <row r="784" spans="1:4">
      <c r="A784" s="3" t="str">
        <f>IF(AND(NOT(ISBLANK(E784)),E784&lt;&gt;"(blank)"),IFERROR(IF(INDEX(HostBuild[],MATCH(E784,HostBuild[Alias],0),COLUMN(HostBuild[Hostname]))&lt;&gt;0,INDEX(HostBuild[],MATCH(E784,HostBuild[Alias],0),COLUMN(HostBuild[Hostname])),""),""),"")</f>
        <v/>
      </c>
      <c r="B784" s="424" t="str">
        <f>IF(AND(NOT(ISBLANK(E784)),E784&lt;&gt;"(blank)"),IFERROR(IF(INDEX(HostBuild[],MATCH(E784,HostBuild[Alias],0),COLUMN(HostBuild[Status]))&lt;&gt;0,INDEX(HostBuild[],MATCH(E784,HostBuild[Alias],0),COLUMN(HostBuild[Status])),""),""),"")</f>
        <v/>
      </c>
      <c r="C784" s="425" t="str">
        <f>IF(AND(NOT(ISBLANK(E784)),E784&lt;&gt;"(blank)"),IFERROR(IF(INDEX(HostBuild[],MATCH(E784,HostBuild[Alias],0),COLUMN(HostBuild[CTI Target Completion]))&lt;&gt;0,INDEX(HostBuild[],MATCH(E784,HostBuild[Alias],0),COLUMN(HostBuild[CTI Target Completion])),""),""),"")</f>
        <v/>
      </c>
      <c r="D784" s="262" t="str">
        <f>IF(AND(NOT(ISBLANK(E784)),E784&lt;&gt;"(blank)"),IFERROR(IF(INDEX(HostBuild[],MATCH(E784,HostBuild[Alias],0),COLUMN(HostBuild[Description]))&lt;&gt;0,INDEX(HostBuild[],MATCH(E784,HostBuild[Alias],0),COLUMN(HostBuild[Description])),""),""),"")</f>
        <v/>
      </c>
    </row>
    <row r="785" spans="1:4">
      <c r="A785" s="3" t="str">
        <f>IF(AND(NOT(ISBLANK(E785)),E785&lt;&gt;"(blank)"),IFERROR(IF(INDEX(HostBuild[],MATCH(E785,HostBuild[Alias],0),COLUMN(HostBuild[Hostname]))&lt;&gt;0,INDEX(HostBuild[],MATCH(E785,HostBuild[Alias],0),COLUMN(HostBuild[Hostname])),""),""),"")</f>
        <v/>
      </c>
      <c r="B785" s="424" t="str">
        <f>IF(AND(NOT(ISBLANK(E785)),E785&lt;&gt;"(blank)"),IFERROR(IF(INDEX(HostBuild[],MATCH(E785,HostBuild[Alias],0),COLUMN(HostBuild[Status]))&lt;&gt;0,INDEX(HostBuild[],MATCH(E785,HostBuild[Alias],0),COLUMN(HostBuild[Status])),""),""),"")</f>
        <v/>
      </c>
      <c r="C785" s="425" t="str">
        <f>IF(AND(NOT(ISBLANK(E785)),E785&lt;&gt;"(blank)"),IFERROR(IF(INDEX(HostBuild[],MATCH(E785,HostBuild[Alias],0),COLUMN(HostBuild[CTI Target Completion]))&lt;&gt;0,INDEX(HostBuild[],MATCH(E785,HostBuild[Alias],0),COLUMN(HostBuild[CTI Target Completion])),""),""),"")</f>
        <v/>
      </c>
      <c r="D785" s="262" t="str">
        <f>IF(AND(NOT(ISBLANK(E785)),E785&lt;&gt;"(blank)"),IFERROR(IF(INDEX(HostBuild[],MATCH(E785,HostBuild[Alias],0),COLUMN(HostBuild[Description]))&lt;&gt;0,INDEX(HostBuild[],MATCH(E785,HostBuild[Alias],0),COLUMN(HostBuild[Description])),""),""),"")</f>
        <v/>
      </c>
    </row>
    <row r="786" spans="1:4">
      <c r="A786" s="3" t="str">
        <f>IF(AND(NOT(ISBLANK(E786)),E786&lt;&gt;"(blank)"),IFERROR(IF(INDEX(HostBuild[],MATCH(E786,HostBuild[Alias],0),COLUMN(HostBuild[Hostname]))&lt;&gt;0,INDEX(HostBuild[],MATCH(E786,HostBuild[Alias],0),COLUMN(HostBuild[Hostname])),""),""),"")</f>
        <v/>
      </c>
      <c r="B786" s="424" t="str">
        <f>IF(AND(NOT(ISBLANK(E786)),E786&lt;&gt;"(blank)"),IFERROR(IF(INDEX(HostBuild[],MATCH(E786,HostBuild[Alias],0),COLUMN(HostBuild[Status]))&lt;&gt;0,INDEX(HostBuild[],MATCH(E786,HostBuild[Alias],0),COLUMN(HostBuild[Status])),""),""),"")</f>
        <v/>
      </c>
      <c r="C786" s="425" t="str">
        <f>IF(AND(NOT(ISBLANK(E786)),E786&lt;&gt;"(blank)"),IFERROR(IF(INDEX(HostBuild[],MATCH(E786,HostBuild[Alias],0),COLUMN(HostBuild[CTI Target Completion]))&lt;&gt;0,INDEX(HostBuild[],MATCH(E786,HostBuild[Alias],0),COLUMN(HostBuild[CTI Target Completion])),""),""),"")</f>
        <v/>
      </c>
      <c r="D786" s="262" t="str">
        <f>IF(AND(NOT(ISBLANK(E786)),E786&lt;&gt;"(blank)"),IFERROR(IF(INDEX(HostBuild[],MATCH(E786,HostBuild[Alias],0),COLUMN(HostBuild[Description]))&lt;&gt;0,INDEX(HostBuild[],MATCH(E786,HostBuild[Alias],0),COLUMN(HostBuild[Description])),""),""),"")</f>
        <v/>
      </c>
    </row>
    <row r="787" spans="1:4">
      <c r="A787" s="3" t="str">
        <f>IF(AND(NOT(ISBLANK(E787)),E787&lt;&gt;"(blank)"),IFERROR(IF(INDEX(HostBuild[],MATCH(E787,HostBuild[Alias],0),COLUMN(HostBuild[Hostname]))&lt;&gt;0,INDEX(HostBuild[],MATCH(E787,HostBuild[Alias],0),COLUMN(HostBuild[Hostname])),""),""),"")</f>
        <v/>
      </c>
      <c r="B787" s="424" t="str">
        <f>IF(AND(NOT(ISBLANK(E787)),E787&lt;&gt;"(blank)"),IFERROR(IF(INDEX(HostBuild[],MATCH(E787,HostBuild[Alias],0),COLUMN(HostBuild[Status]))&lt;&gt;0,INDEX(HostBuild[],MATCH(E787,HostBuild[Alias],0),COLUMN(HostBuild[Status])),""),""),"")</f>
        <v/>
      </c>
      <c r="C787" s="425" t="str">
        <f>IF(AND(NOT(ISBLANK(E787)),E787&lt;&gt;"(blank)"),IFERROR(IF(INDEX(HostBuild[],MATCH(E787,HostBuild[Alias],0),COLUMN(HostBuild[CTI Target Completion]))&lt;&gt;0,INDEX(HostBuild[],MATCH(E787,HostBuild[Alias],0),COLUMN(HostBuild[CTI Target Completion])),""),""),"")</f>
        <v/>
      </c>
      <c r="D787" s="262" t="str">
        <f>IF(AND(NOT(ISBLANK(E787)),E787&lt;&gt;"(blank)"),IFERROR(IF(INDEX(HostBuild[],MATCH(E787,HostBuild[Alias],0),COLUMN(HostBuild[Description]))&lt;&gt;0,INDEX(HostBuild[],MATCH(E787,HostBuild[Alias],0),COLUMN(HostBuild[Description])),""),""),"")</f>
        <v/>
      </c>
    </row>
    <row r="788" spans="1:4">
      <c r="A788" s="3" t="str">
        <f>IF(AND(NOT(ISBLANK(E788)),E788&lt;&gt;"(blank)"),IFERROR(IF(INDEX(HostBuild[],MATCH(E788,HostBuild[Alias],0),COLUMN(HostBuild[Hostname]))&lt;&gt;0,INDEX(HostBuild[],MATCH(E788,HostBuild[Alias],0),COLUMN(HostBuild[Hostname])),""),""),"")</f>
        <v/>
      </c>
      <c r="B788" s="424" t="str">
        <f>IF(AND(NOT(ISBLANK(E788)),E788&lt;&gt;"(blank)"),IFERROR(IF(INDEX(HostBuild[],MATCH(E788,HostBuild[Alias],0),COLUMN(HostBuild[Status]))&lt;&gt;0,INDEX(HostBuild[],MATCH(E788,HostBuild[Alias],0),COLUMN(HostBuild[Status])),""),""),"")</f>
        <v/>
      </c>
      <c r="C788" s="425" t="str">
        <f>IF(AND(NOT(ISBLANK(E788)),E788&lt;&gt;"(blank)"),IFERROR(IF(INDEX(HostBuild[],MATCH(E788,HostBuild[Alias],0),COLUMN(HostBuild[CTI Target Completion]))&lt;&gt;0,INDEX(HostBuild[],MATCH(E788,HostBuild[Alias],0),COLUMN(HostBuild[CTI Target Completion])),""),""),"")</f>
        <v/>
      </c>
      <c r="D788" s="262" t="str">
        <f>IF(AND(NOT(ISBLANK(E788)),E788&lt;&gt;"(blank)"),IFERROR(IF(INDEX(HostBuild[],MATCH(E788,HostBuild[Alias],0),COLUMN(HostBuild[Description]))&lt;&gt;0,INDEX(HostBuild[],MATCH(E788,HostBuild[Alias],0),COLUMN(HostBuild[Description])),""),""),"")</f>
        <v/>
      </c>
    </row>
    <row r="789" spans="1:4">
      <c r="A789" s="3" t="str">
        <f>IF(AND(NOT(ISBLANK(E789)),E789&lt;&gt;"(blank)"),IFERROR(IF(INDEX(HostBuild[],MATCH(E789,HostBuild[Alias],0),COLUMN(HostBuild[Hostname]))&lt;&gt;0,INDEX(HostBuild[],MATCH(E789,HostBuild[Alias],0),COLUMN(HostBuild[Hostname])),""),""),"")</f>
        <v/>
      </c>
      <c r="B789" s="424" t="str">
        <f>IF(AND(NOT(ISBLANK(E789)),E789&lt;&gt;"(blank)"),IFERROR(IF(INDEX(HostBuild[],MATCH(E789,HostBuild[Alias],0),COLUMN(HostBuild[Status]))&lt;&gt;0,INDEX(HostBuild[],MATCH(E789,HostBuild[Alias],0),COLUMN(HostBuild[Status])),""),""),"")</f>
        <v/>
      </c>
      <c r="C789" s="425" t="str">
        <f>IF(AND(NOT(ISBLANK(E789)),E789&lt;&gt;"(blank)"),IFERROR(IF(INDEX(HostBuild[],MATCH(E789,HostBuild[Alias],0),COLUMN(HostBuild[CTI Target Completion]))&lt;&gt;0,INDEX(HostBuild[],MATCH(E789,HostBuild[Alias],0),COLUMN(HostBuild[CTI Target Completion])),""),""),"")</f>
        <v/>
      </c>
      <c r="D789" s="262" t="str">
        <f>IF(AND(NOT(ISBLANK(E789)),E789&lt;&gt;"(blank)"),IFERROR(IF(INDEX(HostBuild[],MATCH(E789,HostBuild[Alias],0),COLUMN(HostBuild[Description]))&lt;&gt;0,INDEX(HostBuild[],MATCH(E789,HostBuild[Alias],0),COLUMN(HostBuild[Description])),""),""),"")</f>
        <v/>
      </c>
    </row>
    <row r="790" spans="1:4">
      <c r="A790" s="3" t="str">
        <f>IF(AND(NOT(ISBLANK(E790)),E790&lt;&gt;"(blank)"),IFERROR(IF(INDEX(HostBuild[],MATCH(E790,HostBuild[Alias],0),COLUMN(HostBuild[Hostname]))&lt;&gt;0,INDEX(HostBuild[],MATCH(E790,HostBuild[Alias],0),COLUMN(HostBuild[Hostname])),""),""),"")</f>
        <v/>
      </c>
      <c r="B790" s="424" t="str">
        <f>IF(AND(NOT(ISBLANK(E790)),E790&lt;&gt;"(blank)"),IFERROR(IF(INDEX(HostBuild[],MATCH(E790,HostBuild[Alias],0),COLUMN(HostBuild[Status]))&lt;&gt;0,INDEX(HostBuild[],MATCH(E790,HostBuild[Alias],0),COLUMN(HostBuild[Status])),""),""),"")</f>
        <v/>
      </c>
      <c r="C790" s="425" t="str">
        <f>IF(AND(NOT(ISBLANK(E790)),E790&lt;&gt;"(blank)"),IFERROR(IF(INDEX(HostBuild[],MATCH(E790,HostBuild[Alias],0),COLUMN(HostBuild[CTI Target Completion]))&lt;&gt;0,INDEX(HostBuild[],MATCH(E790,HostBuild[Alias],0),COLUMN(HostBuild[CTI Target Completion])),""),""),"")</f>
        <v/>
      </c>
      <c r="D790" s="262" t="str">
        <f>IF(AND(NOT(ISBLANK(E790)),E790&lt;&gt;"(blank)"),IFERROR(IF(INDEX(HostBuild[],MATCH(E790,HostBuild[Alias],0),COLUMN(HostBuild[Description]))&lt;&gt;0,INDEX(HostBuild[],MATCH(E790,HostBuild[Alias],0),COLUMN(HostBuild[Description])),""),""),"")</f>
        <v/>
      </c>
    </row>
    <row r="791" spans="1:4">
      <c r="A791" s="3" t="str">
        <f>IF(AND(NOT(ISBLANK(E791)),E791&lt;&gt;"(blank)"),IFERROR(IF(INDEX(HostBuild[],MATCH(E791,HostBuild[Alias],0),COLUMN(HostBuild[Hostname]))&lt;&gt;0,INDEX(HostBuild[],MATCH(E791,HostBuild[Alias],0),COLUMN(HostBuild[Hostname])),""),""),"")</f>
        <v/>
      </c>
      <c r="B791" s="424" t="str">
        <f>IF(AND(NOT(ISBLANK(E791)),E791&lt;&gt;"(blank)"),IFERROR(IF(INDEX(HostBuild[],MATCH(E791,HostBuild[Alias],0),COLUMN(HostBuild[Status]))&lt;&gt;0,INDEX(HostBuild[],MATCH(E791,HostBuild[Alias],0),COLUMN(HostBuild[Status])),""),""),"")</f>
        <v/>
      </c>
      <c r="C791" s="425" t="str">
        <f>IF(AND(NOT(ISBLANK(E791)),E791&lt;&gt;"(blank)"),IFERROR(IF(INDEX(HostBuild[],MATCH(E791,HostBuild[Alias],0),COLUMN(HostBuild[CTI Target Completion]))&lt;&gt;0,INDEX(HostBuild[],MATCH(E791,HostBuild[Alias],0),COLUMN(HostBuild[CTI Target Completion])),""),""),"")</f>
        <v/>
      </c>
      <c r="D791" s="262" t="str">
        <f>IF(AND(NOT(ISBLANK(E791)),E791&lt;&gt;"(blank)"),IFERROR(IF(INDEX(HostBuild[],MATCH(E791,HostBuild[Alias],0),COLUMN(HostBuild[Description]))&lt;&gt;0,INDEX(HostBuild[],MATCH(E791,HostBuild[Alias],0),COLUMN(HostBuild[Description])),""),""),"")</f>
        <v/>
      </c>
    </row>
    <row r="792" spans="1:4">
      <c r="A792" s="3" t="str">
        <f>IF(AND(NOT(ISBLANK(E792)),E792&lt;&gt;"(blank)"),IFERROR(IF(INDEX(HostBuild[],MATCH(E792,HostBuild[Alias],0),COLUMN(HostBuild[Hostname]))&lt;&gt;0,INDEX(HostBuild[],MATCH(E792,HostBuild[Alias],0),COLUMN(HostBuild[Hostname])),""),""),"")</f>
        <v/>
      </c>
      <c r="B792" s="424" t="str">
        <f>IF(AND(NOT(ISBLANK(E792)),E792&lt;&gt;"(blank)"),IFERROR(IF(INDEX(HostBuild[],MATCH(E792,HostBuild[Alias],0),COLUMN(HostBuild[Status]))&lt;&gt;0,INDEX(HostBuild[],MATCH(E792,HostBuild[Alias],0),COLUMN(HostBuild[Status])),""),""),"")</f>
        <v/>
      </c>
      <c r="C792" s="425" t="str">
        <f>IF(AND(NOT(ISBLANK(E792)),E792&lt;&gt;"(blank)"),IFERROR(IF(INDEX(HostBuild[],MATCH(E792,HostBuild[Alias],0),COLUMN(HostBuild[CTI Target Completion]))&lt;&gt;0,INDEX(HostBuild[],MATCH(E792,HostBuild[Alias],0),COLUMN(HostBuild[CTI Target Completion])),""),""),"")</f>
        <v/>
      </c>
      <c r="D792" s="262" t="str">
        <f>IF(AND(NOT(ISBLANK(E792)),E792&lt;&gt;"(blank)"),IFERROR(IF(INDEX(HostBuild[],MATCH(E792,HostBuild[Alias],0),COLUMN(HostBuild[Description]))&lt;&gt;0,INDEX(HostBuild[],MATCH(E792,HostBuild[Alias],0),COLUMN(HostBuild[Description])),""),""),"")</f>
        <v/>
      </c>
    </row>
    <row r="793" spans="1:4">
      <c r="A793" s="3" t="str">
        <f>IF(AND(NOT(ISBLANK(E793)),E793&lt;&gt;"(blank)"),IFERROR(IF(INDEX(HostBuild[],MATCH(E793,HostBuild[Alias],0),COLUMN(HostBuild[Hostname]))&lt;&gt;0,INDEX(HostBuild[],MATCH(E793,HostBuild[Alias],0),COLUMN(HostBuild[Hostname])),""),""),"")</f>
        <v/>
      </c>
      <c r="B793" s="424" t="str">
        <f>IF(AND(NOT(ISBLANK(E793)),E793&lt;&gt;"(blank)"),IFERROR(IF(INDEX(HostBuild[],MATCH(E793,HostBuild[Alias],0),COLUMN(HostBuild[Status]))&lt;&gt;0,INDEX(HostBuild[],MATCH(E793,HostBuild[Alias],0),COLUMN(HostBuild[Status])),""),""),"")</f>
        <v/>
      </c>
      <c r="C793" s="425" t="str">
        <f>IF(AND(NOT(ISBLANK(E793)),E793&lt;&gt;"(blank)"),IFERROR(IF(INDEX(HostBuild[],MATCH(E793,HostBuild[Alias],0),COLUMN(HostBuild[CTI Target Completion]))&lt;&gt;0,INDEX(HostBuild[],MATCH(E793,HostBuild[Alias],0),COLUMN(HostBuild[CTI Target Completion])),""),""),"")</f>
        <v/>
      </c>
      <c r="D793" s="262" t="str">
        <f>IF(AND(NOT(ISBLANK(E793)),E793&lt;&gt;"(blank)"),IFERROR(IF(INDEX(HostBuild[],MATCH(E793,HostBuild[Alias],0),COLUMN(HostBuild[Description]))&lt;&gt;0,INDEX(HostBuild[],MATCH(E793,HostBuild[Alias],0),COLUMN(HostBuild[Description])),""),""),"")</f>
        <v/>
      </c>
    </row>
    <row r="794" spans="1:4">
      <c r="A794" s="3" t="str">
        <f>IF(AND(NOT(ISBLANK(E794)),E794&lt;&gt;"(blank)"),IFERROR(IF(INDEX(HostBuild[],MATCH(E794,HostBuild[Alias],0),COLUMN(HostBuild[Hostname]))&lt;&gt;0,INDEX(HostBuild[],MATCH(E794,HostBuild[Alias],0),COLUMN(HostBuild[Hostname])),""),""),"")</f>
        <v/>
      </c>
      <c r="B794" s="424" t="str">
        <f>IF(AND(NOT(ISBLANK(E794)),E794&lt;&gt;"(blank)"),IFERROR(IF(INDEX(HostBuild[],MATCH(E794,HostBuild[Alias],0),COLUMN(HostBuild[Status]))&lt;&gt;0,INDEX(HostBuild[],MATCH(E794,HostBuild[Alias],0),COLUMN(HostBuild[Status])),""),""),"")</f>
        <v/>
      </c>
      <c r="C794" s="425" t="str">
        <f>IF(AND(NOT(ISBLANK(E794)),E794&lt;&gt;"(blank)"),IFERROR(IF(INDEX(HostBuild[],MATCH(E794,HostBuild[Alias],0),COLUMN(HostBuild[CTI Target Completion]))&lt;&gt;0,INDEX(HostBuild[],MATCH(E794,HostBuild[Alias],0),COLUMN(HostBuild[CTI Target Completion])),""),""),"")</f>
        <v/>
      </c>
      <c r="D794" s="262" t="str">
        <f>IF(AND(NOT(ISBLANK(E794)),E794&lt;&gt;"(blank)"),IFERROR(IF(INDEX(HostBuild[],MATCH(E794,HostBuild[Alias],0),COLUMN(HostBuild[Description]))&lt;&gt;0,INDEX(HostBuild[],MATCH(E794,HostBuild[Alias],0),COLUMN(HostBuild[Description])),""),""),"")</f>
        <v/>
      </c>
    </row>
    <row r="795" spans="1:4">
      <c r="A795" s="3" t="str">
        <f>IF(AND(NOT(ISBLANK(E795)),E795&lt;&gt;"(blank)"),IFERROR(IF(INDEX(HostBuild[],MATCH(E795,HostBuild[Alias],0),COLUMN(HostBuild[Hostname]))&lt;&gt;0,INDEX(HostBuild[],MATCH(E795,HostBuild[Alias],0),COLUMN(HostBuild[Hostname])),""),""),"")</f>
        <v/>
      </c>
      <c r="B795" s="424" t="str">
        <f>IF(AND(NOT(ISBLANK(E795)),E795&lt;&gt;"(blank)"),IFERROR(IF(INDEX(HostBuild[],MATCH(E795,HostBuild[Alias],0),COLUMN(HostBuild[Status]))&lt;&gt;0,INDEX(HostBuild[],MATCH(E795,HostBuild[Alias],0),COLUMN(HostBuild[Status])),""),""),"")</f>
        <v/>
      </c>
      <c r="C795" s="425" t="str">
        <f>IF(AND(NOT(ISBLANK(E795)),E795&lt;&gt;"(blank)"),IFERROR(IF(INDEX(HostBuild[],MATCH(E795,HostBuild[Alias],0),COLUMN(HostBuild[CTI Target Completion]))&lt;&gt;0,INDEX(HostBuild[],MATCH(E795,HostBuild[Alias],0),COLUMN(HostBuild[CTI Target Completion])),""),""),"")</f>
        <v/>
      </c>
      <c r="D795" s="262" t="str">
        <f>IF(AND(NOT(ISBLANK(E795)),E795&lt;&gt;"(blank)"),IFERROR(IF(INDEX(HostBuild[],MATCH(E795,HostBuild[Alias],0),COLUMN(HostBuild[Description]))&lt;&gt;0,INDEX(HostBuild[],MATCH(E795,HostBuild[Alias],0),COLUMN(HostBuild[Description])),""),""),"")</f>
        <v/>
      </c>
    </row>
    <row r="796" spans="1:4">
      <c r="A796" s="3" t="str">
        <f>IF(AND(NOT(ISBLANK(E796)),E796&lt;&gt;"(blank)"),IFERROR(IF(INDEX(HostBuild[],MATCH(E796,HostBuild[Alias],0),COLUMN(HostBuild[Hostname]))&lt;&gt;0,INDEX(HostBuild[],MATCH(E796,HostBuild[Alias],0),COLUMN(HostBuild[Hostname])),""),""),"")</f>
        <v/>
      </c>
      <c r="B796" s="424" t="str">
        <f>IF(AND(NOT(ISBLANK(E796)),E796&lt;&gt;"(blank)"),IFERROR(IF(INDEX(HostBuild[],MATCH(E796,HostBuild[Alias],0),COLUMN(HostBuild[Status]))&lt;&gt;0,INDEX(HostBuild[],MATCH(E796,HostBuild[Alias],0),COLUMN(HostBuild[Status])),""),""),"")</f>
        <v/>
      </c>
      <c r="C796" s="425" t="str">
        <f>IF(AND(NOT(ISBLANK(E796)),E796&lt;&gt;"(blank)"),IFERROR(IF(INDEX(HostBuild[],MATCH(E796,HostBuild[Alias],0),COLUMN(HostBuild[CTI Target Completion]))&lt;&gt;0,INDEX(HostBuild[],MATCH(E796,HostBuild[Alias],0),COLUMN(HostBuild[CTI Target Completion])),""),""),"")</f>
        <v/>
      </c>
      <c r="D796" s="262" t="str">
        <f>IF(AND(NOT(ISBLANK(E796)),E796&lt;&gt;"(blank)"),IFERROR(IF(INDEX(HostBuild[],MATCH(E796,HostBuild[Alias],0),COLUMN(HostBuild[Description]))&lt;&gt;0,INDEX(HostBuild[],MATCH(E796,HostBuild[Alias],0),COLUMN(HostBuild[Description])),""),""),"")</f>
        <v/>
      </c>
    </row>
    <row r="797" spans="1:4">
      <c r="A797" s="3" t="str">
        <f>IF(AND(NOT(ISBLANK(E797)),E797&lt;&gt;"(blank)"),IFERROR(IF(INDEX(HostBuild[],MATCH(E797,HostBuild[Alias],0),COLUMN(HostBuild[Hostname]))&lt;&gt;0,INDEX(HostBuild[],MATCH(E797,HostBuild[Alias],0),COLUMN(HostBuild[Hostname])),""),""),"")</f>
        <v/>
      </c>
      <c r="B797" s="424" t="str">
        <f>IF(AND(NOT(ISBLANK(E797)),E797&lt;&gt;"(blank)"),IFERROR(IF(INDEX(HostBuild[],MATCH(E797,HostBuild[Alias],0),COLUMN(HostBuild[Status]))&lt;&gt;0,INDEX(HostBuild[],MATCH(E797,HostBuild[Alias],0),COLUMN(HostBuild[Status])),""),""),"")</f>
        <v/>
      </c>
      <c r="C797" s="425" t="str">
        <f>IF(AND(NOT(ISBLANK(E797)),E797&lt;&gt;"(blank)"),IFERROR(IF(INDEX(HostBuild[],MATCH(E797,HostBuild[Alias],0),COLUMN(HostBuild[CTI Target Completion]))&lt;&gt;0,INDEX(HostBuild[],MATCH(E797,HostBuild[Alias],0),COLUMN(HostBuild[CTI Target Completion])),""),""),"")</f>
        <v/>
      </c>
      <c r="D797" s="262" t="str">
        <f>IF(AND(NOT(ISBLANK(E797)),E797&lt;&gt;"(blank)"),IFERROR(IF(INDEX(HostBuild[],MATCH(E797,HostBuild[Alias],0),COLUMN(HostBuild[Description]))&lt;&gt;0,INDEX(HostBuild[],MATCH(E797,HostBuild[Alias],0),COLUMN(HostBuild[Description])),""),""),"")</f>
        <v/>
      </c>
    </row>
    <row r="798" spans="1:4">
      <c r="A798" s="3" t="str">
        <f>IF(AND(NOT(ISBLANK(E798)),E798&lt;&gt;"(blank)"),IFERROR(IF(INDEX(HostBuild[],MATCH(E798,HostBuild[Alias],0),COLUMN(HostBuild[Hostname]))&lt;&gt;0,INDEX(HostBuild[],MATCH(E798,HostBuild[Alias],0),COLUMN(HostBuild[Hostname])),""),""),"")</f>
        <v/>
      </c>
      <c r="B798" s="424" t="str">
        <f>IF(AND(NOT(ISBLANK(E798)),E798&lt;&gt;"(blank)"),IFERROR(IF(INDEX(HostBuild[],MATCH(E798,HostBuild[Alias],0),COLUMN(HostBuild[Status]))&lt;&gt;0,INDEX(HostBuild[],MATCH(E798,HostBuild[Alias],0),COLUMN(HostBuild[Status])),""),""),"")</f>
        <v/>
      </c>
      <c r="C798" s="425" t="str">
        <f>IF(AND(NOT(ISBLANK(E798)),E798&lt;&gt;"(blank)"),IFERROR(IF(INDEX(HostBuild[],MATCH(E798,HostBuild[Alias],0),COLUMN(HostBuild[CTI Target Completion]))&lt;&gt;0,INDEX(HostBuild[],MATCH(E798,HostBuild[Alias],0),COLUMN(HostBuild[CTI Target Completion])),""),""),"")</f>
        <v/>
      </c>
      <c r="D798" s="262" t="str">
        <f>IF(AND(NOT(ISBLANK(E798)),E798&lt;&gt;"(blank)"),IFERROR(IF(INDEX(HostBuild[],MATCH(E798,HostBuild[Alias],0),COLUMN(HostBuild[Description]))&lt;&gt;0,INDEX(HostBuild[],MATCH(E798,HostBuild[Alias],0),COLUMN(HostBuild[Description])),""),""),"")</f>
        <v/>
      </c>
    </row>
    <row r="799" spans="1:4">
      <c r="A799" s="3" t="str">
        <f>IF(AND(NOT(ISBLANK(E799)),E799&lt;&gt;"(blank)"),IFERROR(IF(INDEX(HostBuild[],MATCH(E799,HostBuild[Alias],0),COLUMN(HostBuild[Hostname]))&lt;&gt;0,INDEX(HostBuild[],MATCH(E799,HostBuild[Alias],0),COLUMN(HostBuild[Hostname])),""),""),"")</f>
        <v/>
      </c>
      <c r="B799" s="424" t="str">
        <f>IF(AND(NOT(ISBLANK(E799)),E799&lt;&gt;"(blank)"),IFERROR(IF(INDEX(HostBuild[],MATCH(E799,HostBuild[Alias],0),COLUMN(HostBuild[Status]))&lt;&gt;0,INDEX(HostBuild[],MATCH(E799,HostBuild[Alias],0),COLUMN(HostBuild[Status])),""),""),"")</f>
        <v/>
      </c>
      <c r="C799" s="425" t="str">
        <f>IF(AND(NOT(ISBLANK(E799)),E799&lt;&gt;"(blank)"),IFERROR(IF(INDEX(HostBuild[],MATCH(E799,HostBuild[Alias],0),COLUMN(HostBuild[CTI Target Completion]))&lt;&gt;0,INDEX(HostBuild[],MATCH(E799,HostBuild[Alias],0),COLUMN(HostBuild[CTI Target Completion])),""),""),"")</f>
        <v/>
      </c>
      <c r="D799" s="262" t="str">
        <f>IF(AND(NOT(ISBLANK(E799)),E799&lt;&gt;"(blank)"),IFERROR(IF(INDEX(HostBuild[],MATCH(E799,HostBuild[Alias],0),COLUMN(HostBuild[Description]))&lt;&gt;0,INDEX(HostBuild[],MATCH(E799,HostBuild[Alias],0),COLUMN(HostBuild[Description])),""),""),"")</f>
        <v/>
      </c>
    </row>
    <row r="800" spans="1:4">
      <c r="A800" s="3" t="str">
        <f>IF(AND(NOT(ISBLANK(E800)),E800&lt;&gt;"(blank)"),IFERROR(IF(INDEX(HostBuild[],MATCH(E800,HostBuild[Alias],0),COLUMN(HostBuild[Hostname]))&lt;&gt;0,INDEX(HostBuild[],MATCH(E800,HostBuild[Alias],0),COLUMN(HostBuild[Hostname])),""),""),"")</f>
        <v/>
      </c>
      <c r="B800" s="424" t="str">
        <f>IF(AND(NOT(ISBLANK(E800)),E800&lt;&gt;"(blank)"),IFERROR(IF(INDEX(HostBuild[],MATCH(E800,HostBuild[Alias],0),COLUMN(HostBuild[Status]))&lt;&gt;0,INDEX(HostBuild[],MATCH(E800,HostBuild[Alias],0),COLUMN(HostBuild[Status])),""),""),"")</f>
        <v/>
      </c>
      <c r="C800" s="425" t="str">
        <f>IF(AND(NOT(ISBLANK(E800)),E800&lt;&gt;"(blank)"),IFERROR(IF(INDEX(HostBuild[],MATCH(E800,HostBuild[Alias],0),COLUMN(HostBuild[CTI Target Completion]))&lt;&gt;0,INDEX(HostBuild[],MATCH(E800,HostBuild[Alias],0),COLUMN(HostBuild[CTI Target Completion])),""),""),"")</f>
        <v/>
      </c>
      <c r="D800" s="262" t="str">
        <f>IF(AND(NOT(ISBLANK(E800)),E800&lt;&gt;"(blank)"),IFERROR(IF(INDEX(HostBuild[],MATCH(E800,HostBuild[Alias],0),COLUMN(HostBuild[Description]))&lt;&gt;0,INDEX(HostBuild[],MATCH(E800,HostBuild[Alias],0),COLUMN(HostBuild[Description])),""),""),"")</f>
        <v/>
      </c>
    </row>
    <row r="801" spans="1:4">
      <c r="A801" s="3" t="str">
        <f>IF(AND(NOT(ISBLANK(E801)),E801&lt;&gt;"(blank)"),IFERROR(IF(INDEX(HostBuild[],MATCH(E801,HostBuild[Alias],0),COLUMN(HostBuild[Hostname]))&lt;&gt;0,INDEX(HostBuild[],MATCH(E801,HostBuild[Alias],0),COLUMN(HostBuild[Hostname])),""),""),"")</f>
        <v/>
      </c>
      <c r="B801" s="424" t="str">
        <f>IF(AND(NOT(ISBLANK(E801)),E801&lt;&gt;"(blank)"),IFERROR(IF(INDEX(HostBuild[],MATCH(E801,HostBuild[Alias],0),COLUMN(HostBuild[Status]))&lt;&gt;0,INDEX(HostBuild[],MATCH(E801,HostBuild[Alias],0),COLUMN(HostBuild[Status])),""),""),"")</f>
        <v/>
      </c>
      <c r="C801" s="425" t="str">
        <f>IF(AND(NOT(ISBLANK(E801)),E801&lt;&gt;"(blank)"),IFERROR(IF(INDEX(HostBuild[],MATCH(E801,HostBuild[Alias],0),COLUMN(HostBuild[CTI Target Completion]))&lt;&gt;0,INDEX(HostBuild[],MATCH(E801,HostBuild[Alias],0),COLUMN(HostBuild[CTI Target Completion])),""),""),"")</f>
        <v/>
      </c>
      <c r="D801" s="262" t="str">
        <f>IF(AND(NOT(ISBLANK(E801)),E801&lt;&gt;"(blank)"),IFERROR(IF(INDEX(HostBuild[],MATCH(E801,HostBuild[Alias],0),COLUMN(HostBuild[Description]))&lt;&gt;0,INDEX(HostBuild[],MATCH(E801,HostBuild[Alias],0),COLUMN(HostBuild[Description])),""),""),"")</f>
        <v/>
      </c>
    </row>
    <row r="802" spans="1:4">
      <c r="A802" s="3" t="str">
        <f>IF(AND(NOT(ISBLANK(E802)),E802&lt;&gt;"(blank)"),IFERROR(IF(INDEX(HostBuild[],MATCH(E802,HostBuild[Alias],0),COLUMN(HostBuild[Hostname]))&lt;&gt;0,INDEX(HostBuild[],MATCH(E802,HostBuild[Alias],0),COLUMN(HostBuild[Hostname])),""),""),"")</f>
        <v/>
      </c>
      <c r="B802" s="424" t="str">
        <f>IF(AND(NOT(ISBLANK(E802)),E802&lt;&gt;"(blank)"),IFERROR(IF(INDEX(HostBuild[],MATCH(E802,HostBuild[Alias],0),COLUMN(HostBuild[Status]))&lt;&gt;0,INDEX(HostBuild[],MATCH(E802,HostBuild[Alias],0),COLUMN(HostBuild[Status])),""),""),"")</f>
        <v/>
      </c>
      <c r="C802" s="425" t="str">
        <f>IF(AND(NOT(ISBLANK(E802)),E802&lt;&gt;"(blank)"),IFERROR(IF(INDEX(HostBuild[],MATCH(E802,HostBuild[Alias],0),COLUMN(HostBuild[CTI Target Completion]))&lt;&gt;0,INDEX(HostBuild[],MATCH(E802,HostBuild[Alias],0),COLUMN(HostBuild[CTI Target Completion])),""),""),"")</f>
        <v/>
      </c>
      <c r="D802" s="262" t="str">
        <f>IF(AND(NOT(ISBLANK(E802)),E802&lt;&gt;"(blank)"),IFERROR(IF(INDEX(HostBuild[],MATCH(E802,HostBuild[Alias],0),COLUMN(HostBuild[Description]))&lt;&gt;0,INDEX(HostBuild[],MATCH(E802,HostBuild[Alias],0),COLUMN(HostBuild[Description])),""),""),"")</f>
        <v/>
      </c>
    </row>
    <row r="803" spans="1:4">
      <c r="A803" s="3" t="str">
        <f>IF(AND(NOT(ISBLANK(E803)),E803&lt;&gt;"(blank)"),IFERROR(IF(INDEX(HostBuild[],MATCH(E803,HostBuild[Alias],0),COLUMN(HostBuild[Hostname]))&lt;&gt;0,INDEX(HostBuild[],MATCH(E803,HostBuild[Alias],0),COLUMN(HostBuild[Hostname])),""),""),"")</f>
        <v/>
      </c>
      <c r="B803" s="424" t="str">
        <f>IF(AND(NOT(ISBLANK(E803)),E803&lt;&gt;"(blank)"),IFERROR(IF(INDEX(HostBuild[],MATCH(E803,HostBuild[Alias],0),COLUMN(HostBuild[Status]))&lt;&gt;0,INDEX(HostBuild[],MATCH(E803,HostBuild[Alias],0),COLUMN(HostBuild[Status])),""),""),"")</f>
        <v/>
      </c>
      <c r="C803" s="425" t="str">
        <f>IF(AND(NOT(ISBLANK(E803)),E803&lt;&gt;"(blank)"),IFERROR(IF(INDEX(HostBuild[],MATCH(E803,HostBuild[Alias],0),COLUMN(HostBuild[CTI Target Completion]))&lt;&gt;0,INDEX(HostBuild[],MATCH(E803,HostBuild[Alias],0),COLUMN(HostBuild[CTI Target Completion])),""),""),"")</f>
        <v/>
      </c>
      <c r="D803" s="262" t="str">
        <f>IF(AND(NOT(ISBLANK(E803)),E803&lt;&gt;"(blank)"),IFERROR(IF(INDEX(HostBuild[],MATCH(E803,HostBuild[Alias],0),COLUMN(HostBuild[Description]))&lt;&gt;0,INDEX(HostBuild[],MATCH(E803,HostBuild[Alias],0),COLUMN(HostBuild[Description])),""),""),"")</f>
        <v/>
      </c>
    </row>
    <row r="804" spans="1:4">
      <c r="A804" s="3" t="str">
        <f>IF(AND(NOT(ISBLANK(E804)),E804&lt;&gt;"(blank)"),IFERROR(IF(INDEX(HostBuild[],MATCH(E804,HostBuild[Alias],0),COLUMN(HostBuild[Hostname]))&lt;&gt;0,INDEX(HostBuild[],MATCH(E804,HostBuild[Alias],0),COLUMN(HostBuild[Hostname])),""),""),"")</f>
        <v/>
      </c>
      <c r="B804" s="424" t="str">
        <f>IF(AND(NOT(ISBLANK(E804)),E804&lt;&gt;"(blank)"),IFERROR(IF(INDEX(HostBuild[],MATCH(E804,HostBuild[Alias],0),COLUMN(HostBuild[Status]))&lt;&gt;0,INDEX(HostBuild[],MATCH(E804,HostBuild[Alias],0),COLUMN(HostBuild[Status])),""),""),"")</f>
        <v/>
      </c>
      <c r="C804" s="425" t="str">
        <f>IF(AND(NOT(ISBLANK(E804)),E804&lt;&gt;"(blank)"),IFERROR(IF(INDEX(HostBuild[],MATCH(E804,HostBuild[Alias],0),COLUMN(HostBuild[CTI Target Completion]))&lt;&gt;0,INDEX(HostBuild[],MATCH(E804,HostBuild[Alias],0),COLUMN(HostBuild[CTI Target Completion])),""),""),"")</f>
        <v/>
      </c>
      <c r="D804" s="262" t="str">
        <f>IF(AND(NOT(ISBLANK(E804)),E804&lt;&gt;"(blank)"),IFERROR(IF(INDEX(HostBuild[],MATCH(E804,HostBuild[Alias],0),COLUMN(HostBuild[Description]))&lt;&gt;0,INDEX(HostBuild[],MATCH(E804,HostBuild[Alias],0),COLUMN(HostBuild[Description])),""),""),"")</f>
        <v/>
      </c>
    </row>
    <row r="805" spans="1:4">
      <c r="A805" s="3" t="str">
        <f>IF(AND(NOT(ISBLANK(E805)),E805&lt;&gt;"(blank)"),IFERROR(IF(INDEX(HostBuild[],MATCH(E805,HostBuild[Alias],0),COLUMN(HostBuild[Hostname]))&lt;&gt;0,INDEX(HostBuild[],MATCH(E805,HostBuild[Alias],0),COLUMN(HostBuild[Hostname])),""),""),"")</f>
        <v/>
      </c>
      <c r="B805" s="424" t="str">
        <f>IF(AND(NOT(ISBLANK(E805)),E805&lt;&gt;"(blank)"),IFERROR(IF(INDEX(HostBuild[],MATCH(E805,HostBuild[Alias],0),COLUMN(HostBuild[Status]))&lt;&gt;0,INDEX(HostBuild[],MATCH(E805,HostBuild[Alias],0),COLUMN(HostBuild[Status])),""),""),"")</f>
        <v/>
      </c>
      <c r="C805" s="425" t="str">
        <f>IF(AND(NOT(ISBLANK(E805)),E805&lt;&gt;"(blank)"),IFERROR(IF(INDEX(HostBuild[],MATCH(E805,HostBuild[Alias],0),COLUMN(HostBuild[CTI Target Completion]))&lt;&gt;0,INDEX(HostBuild[],MATCH(E805,HostBuild[Alias],0),COLUMN(HostBuild[CTI Target Completion])),""),""),"")</f>
        <v/>
      </c>
      <c r="D805" s="262" t="str">
        <f>IF(AND(NOT(ISBLANK(E805)),E805&lt;&gt;"(blank)"),IFERROR(IF(INDEX(HostBuild[],MATCH(E805,HostBuild[Alias],0),COLUMN(HostBuild[Description]))&lt;&gt;0,INDEX(HostBuild[],MATCH(E805,HostBuild[Alias],0),COLUMN(HostBuild[Description])),""),""),"")</f>
        <v/>
      </c>
    </row>
    <row r="806" spans="1:4">
      <c r="A806" s="3" t="str">
        <f>IF(AND(NOT(ISBLANK(E806)),E806&lt;&gt;"(blank)"),IFERROR(IF(INDEX(HostBuild[],MATCH(E806,HostBuild[Alias],0),COLUMN(HostBuild[Hostname]))&lt;&gt;0,INDEX(HostBuild[],MATCH(E806,HostBuild[Alias],0),COLUMN(HostBuild[Hostname])),""),""),"")</f>
        <v/>
      </c>
      <c r="B806" s="424" t="str">
        <f>IF(AND(NOT(ISBLANK(E806)),E806&lt;&gt;"(blank)"),IFERROR(IF(INDEX(HostBuild[],MATCH(E806,HostBuild[Alias],0),COLUMN(HostBuild[Status]))&lt;&gt;0,INDEX(HostBuild[],MATCH(E806,HostBuild[Alias],0),COLUMN(HostBuild[Status])),""),""),"")</f>
        <v/>
      </c>
      <c r="C806" s="425" t="str">
        <f>IF(AND(NOT(ISBLANK(E806)),E806&lt;&gt;"(blank)"),IFERROR(IF(INDEX(HostBuild[],MATCH(E806,HostBuild[Alias],0),COLUMN(HostBuild[CTI Target Completion]))&lt;&gt;0,INDEX(HostBuild[],MATCH(E806,HostBuild[Alias],0),COLUMN(HostBuild[CTI Target Completion])),""),""),"")</f>
        <v/>
      </c>
      <c r="D806" s="262" t="str">
        <f>IF(AND(NOT(ISBLANK(E806)),E806&lt;&gt;"(blank)"),IFERROR(IF(INDEX(HostBuild[],MATCH(E806,HostBuild[Alias],0),COLUMN(HostBuild[Description]))&lt;&gt;0,INDEX(HostBuild[],MATCH(E806,HostBuild[Alias],0),COLUMN(HostBuild[Description])),""),""),"")</f>
        <v/>
      </c>
    </row>
    <row r="807" spans="1:4">
      <c r="A807" s="3" t="str">
        <f>IF(AND(NOT(ISBLANK(E807)),E807&lt;&gt;"(blank)"),IFERROR(IF(INDEX(HostBuild[],MATCH(E807,HostBuild[Alias],0),COLUMN(HostBuild[Hostname]))&lt;&gt;0,INDEX(HostBuild[],MATCH(E807,HostBuild[Alias],0),COLUMN(HostBuild[Hostname])),""),""),"")</f>
        <v/>
      </c>
      <c r="B807" s="424" t="str">
        <f>IF(AND(NOT(ISBLANK(E807)),E807&lt;&gt;"(blank)"),IFERROR(IF(INDEX(HostBuild[],MATCH(E807,HostBuild[Alias],0),COLUMN(HostBuild[Status]))&lt;&gt;0,INDEX(HostBuild[],MATCH(E807,HostBuild[Alias],0),COLUMN(HostBuild[Status])),""),""),"")</f>
        <v/>
      </c>
      <c r="C807" s="425" t="str">
        <f>IF(AND(NOT(ISBLANK(E807)),E807&lt;&gt;"(blank)"),IFERROR(IF(INDEX(HostBuild[],MATCH(E807,HostBuild[Alias],0),COLUMN(HostBuild[CTI Target Completion]))&lt;&gt;0,INDEX(HostBuild[],MATCH(E807,HostBuild[Alias],0),COLUMN(HostBuild[CTI Target Completion])),""),""),"")</f>
        <v/>
      </c>
      <c r="D807" s="262" t="str">
        <f>IF(AND(NOT(ISBLANK(E807)),E807&lt;&gt;"(blank)"),IFERROR(IF(INDEX(HostBuild[],MATCH(E807,HostBuild[Alias],0),COLUMN(HostBuild[Description]))&lt;&gt;0,INDEX(HostBuild[],MATCH(E807,HostBuild[Alias],0),COLUMN(HostBuild[Description])),""),""),"")</f>
        <v/>
      </c>
    </row>
    <row r="808" spans="1:4">
      <c r="A808" s="3" t="str">
        <f>IF(AND(NOT(ISBLANK(E808)),E808&lt;&gt;"(blank)"),IFERROR(IF(INDEX(HostBuild[],MATCH(E808,HostBuild[Alias],0),COLUMN(HostBuild[Hostname]))&lt;&gt;0,INDEX(HostBuild[],MATCH(E808,HostBuild[Alias],0),COLUMN(HostBuild[Hostname])),""),""),"")</f>
        <v/>
      </c>
      <c r="B808" s="424" t="str">
        <f>IF(AND(NOT(ISBLANK(E808)),E808&lt;&gt;"(blank)"),IFERROR(IF(INDEX(HostBuild[],MATCH(E808,HostBuild[Alias],0),COLUMN(HostBuild[Status]))&lt;&gt;0,INDEX(HostBuild[],MATCH(E808,HostBuild[Alias],0),COLUMN(HostBuild[Status])),""),""),"")</f>
        <v/>
      </c>
      <c r="C808" s="425" t="str">
        <f>IF(AND(NOT(ISBLANK(E808)),E808&lt;&gt;"(blank)"),IFERROR(IF(INDEX(HostBuild[],MATCH(E808,HostBuild[Alias],0),COLUMN(HostBuild[CTI Target Completion]))&lt;&gt;0,INDEX(HostBuild[],MATCH(E808,HostBuild[Alias],0),COLUMN(HostBuild[CTI Target Completion])),""),""),"")</f>
        <v/>
      </c>
      <c r="D808" s="262" t="str">
        <f>IF(AND(NOT(ISBLANK(E808)),E808&lt;&gt;"(blank)"),IFERROR(IF(INDEX(HostBuild[],MATCH(E808,HostBuild[Alias],0),COLUMN(HostBuild[Description]))&lt;&gt;0,INDEX(HostBuild[],MATCH(E808,HostBuild[Alias],0),COLUMN(HostBuild[Description])),""),""),"")</f>
        <v/>
      </c>
    </row>
    <row r="809" spans="1:4">
      <c r="A809" s="3" t="str">
        <f>IF(AND(NOT(ISBLANK(E809)),E809&lt;&gt;"(blank)"),IFERROR(IF(INDEX(HostBuild[],MATCH(E809,HostBuild[Alias],0),COLUMN(HostBuild[Hostname]))&lt;&gt;0,INDEX(HostBuild[],MATCH(E809,HostBuild[Alias],0),COLUMN(HostBuild[Hostname])),""),""),"")</f>
        <v/>
      </c>
      <c r="B809" s="424" t="str">
        <f>IF(AND(NOT(ISBLANK(E809)),E809&lt;&gt;"(blank)"),IFERROR(IF(INDEX(HostBuild[],MATCH(E809,HostBuild[Alias],0),COLUMN(HostBuild[Status]))&lt;&gt;0,INDEX(HostBuild[],MATCH(E809,HostBuild[Alias],0),COLUMN(HostBuild[Status])),""),""),"")</f>
        <v/>
      </c>
      <c r="C809" s="425" t="str">
        <f>IF(AND(NOT(ISBLANK(E809)),E809&lt;&gt;"(blank)"),IFERROR(IF(INDEX(HostBuild[],MATCH(E809,HostBuild[Alias],0),COLUMN(HostBuild[CTI Target Completion]))&lt;&gt;0,INDEX(HostBuild[],MATCH(E809,HostBuild[Alias],0),COLUMN(HostBuild[CTI Target Completion])),""),""),"")</f>
        <v/>
      </c>
      <c r="D809" s="262" t="str">
        <f>IF(AND(NOT(ISBLANK(E809)),E809&lt;&gt;"(blank)"),IFERROR(IF(INDEX(HostBuild[],MATCH(E809,HostBuild[Alias],0),COLUMN(HostBuild[Description]))&lt;&gt;0,INDEX(HostBuild[],MATCH(E809,HostBuild[Alias],0),COLUMN(HostBuild[Description])),""),""),"")</f>
        <v/>
      </c>
    </row>
    <row r="810" spans="1:4">
      <c r="A810" s="3" t="str">
        <f>IF(AND(NOT(ISBLANK(E810)),E810&lt;&gt;"(blank)"),IFERROR(IF(INDEX(HostBuild[],MATCH(E810,HostBuild[Alias],0),COLUMN(HostBuild[Hostname]))&lt;&gt;0,INDEX(HostBuild[],MATCH(E810,HostBuild[Alias],0),COLUMN(HostBuild[Hostname])),""),""),"")</f>
        <v/>
      </c>
      <c r="B810" s="424" t="str">
        <f>IF(AND(NOT(ISBLANK(E810)),E810&lt;&gt;"(blank)"),IFERROR(IF(INDEX(HostBuild[],MATCH(E810,HostBuild[Alias],0),COLUMN(HostBuild[Status]))&lt;&gt;0,INDEX(HostBuild[],MATCH(E810,HostBuild[Alias],0),COLUMN(HostBuild[Status])),""),""),"")</f>
        <v/>
      </c>
      <c r="C810" s="425" t="str">
        <f>IF(AND(NOT(ISBLANK(E810)),E810&lt;&gt;"(blank)"),IFERROR(IF(INDEX(HostBuild[],MATCH(E810,HostBuild[Alias],0),COLUMN(HostBuild[CTI Target Completion]))&lt;&gt;0,INDEX(HostBuild[],MATCH(E810,HostBuild[Alias],0),COLUMN(HostBuild[CTI Target Completion])),""),""),"")</f>
        <v/>
      </c>
      <c r="D810" s="262" t="str">
        <f>IF(AND(NOT(ISBLANK(E810)),E810&lt;&gt;"(blank)"),IFERROR(IF(INDEX(HostBuild[],MATCH(E810,HostBuild[Alias],0),COLUMN(HostBuild[Description]))&lt;&gt;0,INDEX(HostBuild[],MATCH(E810,HostBuild[Alias],0),COLUMN(HostBuild[Description])),""),""),"")</f>
        <v/>
      </c>
    </row>
    <row r="811" spans="1:4">
      <c r="A811" s="3" t="str">
        <f>IF(AND(NOT(ISBLANK(E811)),E811&lt;&gt;"(blank)"),IFERROR(IF(INDEX(HostBuild[],MATCH(E811,HostBuild[Alias],0),COLUMN(HostBuild[Hostname]))&lt;&gt;0,INDEX(HostBuild[],MATCH(E811,HostBuild[Alias],0),COLUMN(HostBuild[Hostname])),""),""),"")</f>
        <v/>
      </c>
      <c r="B811" s="424" t="str">
        <f>IF(AND(NOT(ISBLANK(E811)),E811&lt;&gt;"(blank)"),IFERROR(IF(INDEX(HostBuild[],MATCH(E811,HostBuild[Alias],0),COLUMN(HostBuild[Status]))&lt;&gt;0,INDEX(HostBuild[],MATCH(E811,HostBuild[Alias],0),COLUMN(HostBuild[Status])),""),""),"")</f>
        <v/>
      </c>
      <c r="C811" s="425" t="str">
        <f>IF(AND(NOT(ISBLANK(E811)),E811&lt;&gt;"(blank)"),IFERROR(IF(INDEX(HostBuild[],MATCH(E811,HostBuild[Alias],0),COLUMN(HostBuild[CTI Target Completion]))&lt;&gt;0,INDEX(HostBuild[],MATCH(E811,HostBuild[Alias],0),COLUMN(HostBuild[CTI Target Completion])),""),""),"")</f>
        <v/>
      </c>
      <c r="D811" s="262" t="str">
        <f>IF(AND(NOT(ISBLANK(E811)),E811&lt;&gt;"(blank)"),IFERROR(IF(INDEX(HostBuild[],MATCH(E811,HostBuild[Alias],0),COLUMN(HostBuild[Description]))&lt;&gt;0,INDEX(HostBuild[],MATCH(E811,HostBuild[Alias],0),COLUMN(HostBuild[Description])),""),""),"")</f>
        <v/>
      </c>
    </row>
    <row r="812" spans="1:4">
      <c r="A812" s="3" t="str">
        <f>IF(AND(NOT(ISBLANK(E812)),E812&lt;&gt;"(blank)"),IFERROR(IF(INDEX(HostBuild[],MATCH(E812,HostBuild[Alias],0),COLUMN(HostBuild[Hostname]))&lt;&gt;0,INDEX(HostBuild[],MATCH(E812,HostBuild[Alias],0),COLUMN(HostBuild[Hostname])),""),""),"")</f>
        <v/>
      </c>
      <c r="B812" s="424" t="str">
        <f>IF(AND(NOT(ISBLANK(E812)),E812&lt;&gt;"(blank)"),IFERROR(IF(INDEX(HostBuild[],MATCH(E812,HostBuild[Alias],0),COLUMN(HostBuild[Status]))&lt;&gt;0,INDEX(HostBuild[],MATCH(E812,HostBuild[Alias],0),COLUMN(HostBuild[Status])),""),""),"")</f>
        <v/>
      </c>
      <c r="C812" s="425" t="str">
        <f>IF(AND(NOT(ISBLANK(E812)),E812&lt;&gt;"(blank)"),IFERROR(IF(INDEX(HostBuild[],MATCH(E812,HostBuild[Alias],0),COLUMN(HostBuild[CTI Target Completion]))&lt;&gt;0,INDEX(HostBuild[],MATCH(E812,HostBuild[Alias],0),COLUMN(HostBuild[CTI Target Completion])),""),""),"")</f>
        <v/>
      </c>
      <c r="D812" s="262" t="str">
        <f>IF(AND(NOT(ISBLANK(E812)),E812&lt;&gt;"(blank)"),IFERROR(IF(INDEX(HostBuild[],MATCH(E812,HostBuild[Alias],0),COLUMN(HostBuild[Description]))&lt;&gt;0,INDEX(HostBuild[],MATCH(E812,HostBuild[Alias],0),COLUMN(HostBuild[Description])),""),""),"")</f>
        <v/>
      </c>
    </row>
    <row r="813" spans="1:4">
      <c r="A813" s="3" t="str">
        <f>IF(AND(NOT(ISBLANK(E813)),E813&lt;&gt;"(blank)"),IFERROR(IF(INDEX(HostBuild[],MATCH(E813,HostBuild[Alias],0),COLUMN(HostBuild[Hostname]))&lt;&gt;0,INDEX(HostBuild[],MATCH(E813,HostBuild[Alias],0),COLUMN(HostBuild[Hostname])),""),""),"")</f>
        <v/>
      </c>
      <c r="B813" s="424" t="str">
        <f>IF(AND(NOT(ISBLANK(E813)),E813&lt;&gt;"(blank)"),IFERROR(IF(INDEX(HostBuild[],MATCH(E813,HostBuild[Alias],0),COLUMN(HostBuild[Status]))&lt;&gt;0,INDEX(HostBuild[],MATCH(E813,HostBuild[Alias],0),COLUMN(HostBuild[Status])),""),""),"")</f>
        <v/>
      </c>
      <c r="C813" s="425" t="str">
        <f>IF(AND(NOT(ISBLANK(E813)),E813&lt;&gt;"(blank)"),IFERROR(IF(INDEX(HostBuild[],MATCH(E813,HostBuild[Alias],0),COLUMN(HostBuild[CTI Target Completion]))&lt;&gt;0,INDEX(HostBuild[],MATCH(E813,HostBuild[Alias],0),COLUMN(HostBuild[CTI Target Completion])),""),""),"")</f>
        <v/>
      </c>
      <c r="D813" s="262" t="str">
        <f>IF(AND(NOT(ISBLANK(E813)),E813&lt;&gt;"(blank)"),IFERROR(IF(INDEX(HostBuild[],MATCH(E813,HostBuild[Alias],0),COLUMN(HostBuild[Description]))&lt;&gt;0,INDEX(HostBuild[],MATCH(E813,HostBuild[Alias],0),COLUMN(HostBuild[Description])),""),""),"")</f>
        <v/>
      </c>
    </row>
    <row r="814" spans="1:4">
      <c r="A814" s="3" t="str">
        <f>IF(AND(NOT(ISBLANK(E814)),E814&lt;&gt;"(blank)"),IFERROR(IF(INDEX(HostBuild[],MATCH(E814,HostBuild[Alias],0),COLUMN(HostBuild[Hostname]))&lt;&gt;0,INDEX(HostBuild[],MATCH(E814,HostBuild[Alias],0),COLUMN(HostBuild[Hostname])),""),""),"")</f>
        <v/>
      </c>
      <c r="B814" s="424" t="str">
        <f>IF(AND(NOT(ISBLANK(E814)),E814&lt;&gt;"(blank)"),IFERROR(IF(INDEX(HostBuild[],MATCH(E814,HostBuild[Alias],0),COLUMN(HostBuild[Status]))&lt;&gt;0,INDEX(HostBuild[],MATCH(E814,HostBuild[Alias],0),COLUMN(HostBuild[Status])),""),""),"")</f>
        <v/>
      </c>
      <c r="C814" s="425" t="str">
        <f>IF(AND(NOT(ISBLANK(E814)),E814&lt;&gt;"(blank)"),IFERROR(IF(INDEX(HostBuild[],MATCH(E814,HostBuild[Alias],0),COLUMN(HostBuild[CTI Target Completion]))&lt;&gt;0,INDEX(HostBuild[],MATCH(E814,HostBuild[Alias],0),COLUMN(HostBuild[CTI Target Completion])),""),""),"")</f>
        <v/>
      </c>
      <c r="D814" s="262" t="str">
        <f>IF(AND(NOT(ISBLANK(E814)),E814&lt;&gt;"(blank)"),IFERROR(IF(INDEX(HostBuild[],MATCH(E814,HostBuild[Alias],0),COLUMN(HostBuild[Description]))&lt;&gt;0,INDEX(HostBuild[],MATCH(E814,HostBuild[Alias],0),COLUMN(HostBuild[Description])),""),""),"")</f>
        <v/>
      </c>
    </row>
    <row r="815" spans="1:4">
      <c r="A815" s="3" t="str">
        <f>IF(AND(NOT(ISBLANK(E815)),E815&lt;&gt;"(blank)"),IFERROR(IF(INDEX(HostBuild[],MATCH(E815,HostBuild[Alias],0),COLUMN(HostBuild[Hostname]))&lt;&gt;0,INDEX(HostBuild[],MATCH(E815,HostBuild[Alias],0),COLUMN(HostBuild[Hostname])),""),""),"")</f>
        <v/>
      </c>
      <c r="B815" s="424" t="str">
        <f>IF(AND(NOT(ISBLANK(E815)),E815&lt;&gt;"(blank)"),IFERROR(IF(INDEX(HostBuild[],MATCH(E815,HostBuild[Alias],0),COLUMN(HostBuild[Status]))&lt;&gt;0,INDEX(HostBuild[],MATCH(E815,HostBuild[Alias],0),COLUMN(HostBuild[Status])),""),""),"")</f>
        <v/>
      </c>
      <c r="C815" s="425" t="str">
        <f>IF(AND(NOT(ISBLANK(E815)),E815&lt;&gt;"(blank)"),IFERROR(IF(INDEX(HostBuild[],MATCH(E815,HostBuild[Alias],0),COLUMN(HostBuild[CTI Target Completion]))&lt;&gt;0,INDEX(HostBuild[],MATCH(E815,HostBuild[Alias],0),COLUMN(HostBuild[CTI Target Completion])),""),""),"")</f>
        <v/>
      </c>
      <c r="D815" s="262" t="str">
        <f>IF(AND(NOT(ISBLANK(E815)),E815&lt;&gt;"(blank)"),IFERROR(IF(INDEX(HostBuild[],MATCH(E815,HostBuild[Alias],0),COLUMN(HostBuild[Description]))&lt;&gt;0,INDEX(HostBuild[],MATCH(E815,HostBuild[Alias],0),COLUMN(HostBuild[Description])),""),""),"")</f>
        <v/>
      </c>
    </row>
    <row r="816" spans="1:4">
      <c r="A816" s="3" t="str">
        <f>IF(AND(NOT(ISBLANK(E816)),E816&lt;&gt;"(blank)"),IFERROR(IF(INDEX(HostBuild[],MATCH(E816,HostBuild[Alias],0),COLUMN(HostBuild[Hostname]))&lt;&gt;0,INDEX(HostBuild[],MATCH(E816,HostBuild[Alias],0),COLUMN(HostBuild[Hostname])),""),""),"")</f>
        <v/>
      </c>
      <c r="B816" s="424" t="str">
        <f>IF(AND(NOT(ISBLANK(E816)),E816&lt;&gt;"(blank)"),IFERROR(IF(INDEX(HostBuild[],MATCH(E816,HostBuild[Alias],0),COLUMN(HostBuild[Status]))&lt;&gt;0,INDEX(HostBuild[],MATCH(E816,HostBuild[Alias],0),COLUMN(HostBuild[Status])),""),""),"")</f>
        <v/>
      </c>
      <c r="C816" s="425" t="str">
        <f>IF(AND(NOT(ISBLANK(E816)),E816&lt;&gt;"(blank)"),IFERROR(IF(INDEX(HostBuild[],MATCH(E816,HostBuild[Alias],0),COLUMN(HostBuild[CTI Target Completion]))&lt;&gt;0,INDEX(HostBuild[],MATCH(E816,HostBuild[Alias],0),COLUMN(HostBuild[CTI Target Completion])),""),""),"")</f>
        <v/>
      </c>
      <c r="D816" s="262" t="str">
        <f>IF(AND(NOT(ISBLANK(E816)),E816&lt;&gt;"(blank)"),IFERROR(IF(INDEX(HostBuild[],MATCH(E816,HostBuild[Alias],0),COLUMN(HostBuild[Description]))&lt;&gt;0,INDEX(HostBuild[],MATCH(E816,HostBuild[Alias],0),COLUMN(HostBuild[Description])),""),""),"")</f>
        <v/>
      </c>
    </row>
    <row r="817" spans="1:4">
      <c r="A817" s="3" t="str">
        <f>IF(AND(NOT(ISBLANK(E817)),E817&lt;&gt;"(blank)"),IFERROR(IF(INDEX(HostBuild[],MATCH(E817,HostBuild[Alias],0),COLUMN(HostBuild[Hostname]))&lt;&gt;0,INDEX(HostBuild[],MATCH(E817,HostBuild[Alias],0),COLUMN(HostBuild[Hostname])),""),""),"")</f>
        <v/>
      </c>
      <c r="B817" s="424" t="str">
        <f>IF(AND(NOT(ISBLANK(E817)),E817&lt;&gt;"(blank)"),IFERROR(IF(INDEX(HostBuild[],MATCH(E817,HostBuild[Alias],0),COLUMN(HostBuild[Status]))&lt;&gt;0,INDEX(HostBuild[],MATCH(E817,HostBuild[Alias],0),COLUMN(HostBuild[Status])),""),""),"")</f>
        <v/>
      </c>
      <c r="C817" s="425" t="str">
        <f>IF(AND(NOT(ISBLANK(E817)),E817&lt;&gt;"(blank)"),IFERROR(IF(INDEX(HostBuild[],MATCH(E817,HostBuild[Alias],0),COLUMN(HostBuild[CTI Target Completion]))&lt;&gt;0,INDEX(HostBuild[],MATCH(E817,HostBuild[Alias],0),COLUMN(HostBuild[CTI Target Completion])),""),""),"")</f>
        <v/>
      </c>
      <c r="D817" s="262" t="str">
        <f>IF(AND(NOT(ISBLANK(E817)),E817&lt;&gt;"(blank)"),IFERROR(IF(INDEX(HostBuild[],MATCH(E817,HostBuild[Alias],0),COLUMN(HostBuild[Description]))&lt;&gt;0,INDEX(HostBuild[],MATCH(E817,HostBuild[Alias],0),COLUMN(HostBuild[Description])),""),""),"")</f>
        <v/>
      </c>
    </row>
    <row r="818" spans="1:4">
      <c r="A818" s="3" t="str">
        <f>IF(AND(NOT(ISBLANK(E818)),E818&lt;&gt;"(blank)"),IFERROR(IF(INDEX(HostBuild[],MATCH(E818,HostBuild[Alias],0),COLUMN(HostBuild[Hostname]))&lt;&gt;0,INDEX(HostBuild[],MATCH(E818,HostBuild[Alias],0),COLUMN(HostBuild[Hostname])),""),""),"")</f>
        <v/>
      </c>
      <c r="B818" s="424" t="str">
        <f>IF(AND(NOT(ISBLANK(E818)),E818&lt;&gt;"(blank)"),IFERROR(IF(INDEX(HostBuild[],MATCH(E818,HostBuild[Alias],0),COLUMN(HostBuild[Status]))&lt;&gt;0,INDEX(HostBuild[],MATCH(E818,HostBuild[Alias],0),COLUMN(HostBuild[Status])),""),""),"")</f>
        <v/>
      </c>
      <c r="C818" s="425" t="str">
        <f>IF(AND(NOT(ISBLANK(E818)),E818&lt;&gt;"(blank)"),IFERROR(IF(INDEX(HostBuild[],MATCH(E818,HostBuild[Alias],0),COLUMN(HostBuild[CTI Target Completion]))&lt;&gt;0,INDEX(HostBuild[],MATCH(E818,HostBuild[Alias],0),COLUMN(HostBuild[CTI Target Completion])),""),""),"")</f>
        <v/>
      </c>
      <c r="D818" s="262" t="str">
        <f>IF(AND(NOT(ISBLANK(E818)),E818&lt;&gt;"(blank)"),IFERROR(IF(INDEX(HostBuild[],MATCH(E818,HostBuild[Alias],0),COLUMN(HostBuild[Description]))&lt;&gt;0,INDEX(HostBuild[],MATCH(E818,HostBuild[Alias],0),COLUMN(HostBuild[Description])),""),""),"")</f>
        <v/>
      </c>
    </row>
    <row r="819" spans="1:4">
      <c r="A819" s="3" t="str">
        <f>IF(AND(NOT(ISBLANK(E819)),E819&lt;&gt;"(blank)"),IFERROR(IF(INDEX(HostBuild[],MATCH(E819,HostBuild[Alias],0),COLUMN(HostBuild[Hostname]))&lt;&gt;0,INDEX(HostBuild[],MATCH(E819,HostBuild[Alias],0),COLUMN(HostBuild[Hostname])),""),""),"")</f>
        <v/>
      </c>
      <c r="B819" s="424" t="str">
        <f>IF(AND(NOT(ISBLANK(E819)),E819&lt;&gt;"(blank)"),IFERROR(IF(INDEX(HostBuild[],MATCH(E819,HostBuild[Alias],0),COLUMN(HostBuild[Status]))&lt;&gt;0,INDEX(HostBuild[],MATCH(E819,HostBuild[Alias],0),COLUMN(HostBuild[Status])),""),""),"")</f>
        <v/>
      </c>
      <c r="C819" s="425" t="str">
        <f>IF(AND(NOT(ISBLANK(E819)),E819&lt;&gt;"(blank)"),IFERROR(IF(INDEX(HostBuild[],MATCH(E819,HostBuild[Alias],0),COLUMN(HostBuild[CTI Target Completion]))&lt;&gt;0,INDEX(HostBuild[],MATCH(E819,HostBuild[Alias],0),COLUMN(HostBuild[CTI Target Completion])),""),""),"")</f>
        <v/>
      </c>
      <c r="D819" s="262" t="str">
        <f>IF(AND(NOT(ISBLANK(E819)),E819&lt;&gt;"(blank)"),IFERROR(IF(INDEX(HostBuild[],MATCH(E819,HostBuild[Alias],0),COLUMN(HostBuild[Description]))&lt;&gt;0,INDEX(HostBuild[],MATCH(E819,HostBuild[Alias],0),COLUMN(HostBuild[Description])),""),""),"")</f>
        <v/>
      </c>
    </row>
    <row r="820" spans="1:4">
      <c r="A820" s="3" t="str">
        <f>IF(AND(NOT(ISBLANK(E820)),E820&lt;&gt;"(blank)"),IFERROR(IF(INDEX(HostBuild[],MATCH(E820,HostBuild[Alias],0),COLUMN(HostBuild[Hostname]))&lt;&gt;0,INDEX(HostBuild[],MATCH(E820,HostBuild[Alias],0),COLUMN(HostBuild[Hostname])),""),""),"")</f>
        <v/>
      </c>
      <c r="B820" s="424" t="str">
        <f>IF(AND(NOT(ISBLANK(E820)),E820&lt;&gt;"(blank)"),IFERROR(IF(INDEX(HostBuild[],MATCH(E820,HostBuild[Alias],0),COLUMN(HostBuild[Status]))&lt;&gt;0,INDEX(HostBuild[],MATCH(E820,HostBuild[Alias],0),COLUMN(HostBuild[Status])),""),""),"")</f>
        <v/>
      </c>
      <c r="C820" s="425" t="str">
        <f>IF(AND(NOT(ISBLANK(E820)),E820&lt;&gt;"(blank)"),IFERROR(IF(INDEX(HostBuild[],MATCH(E820,HostBuild[Alias],0),COLUMN(HostBuild[CTI Target Completion]))&lt;&gt;0,INDEX(HostBuild[],MATCH(E820,HostBuild[Alias],0),COLUMN(HostBuild[CTI Target Completion])),""),""),"")</f>
        <v/>
      </c>
      <c r="D820" s="262" t="str">
        <f>IF(AND(NOT(ISBLANK(E820)),E820&lt;&gt;"(blank)"),IFERROR(IF(INDEX(HostBuild[],MATCH(E820,HostBuild[Alias],0),COLUMN(HostBuild[Description]))&lt;&gt;0,INDEX(HostBuild[],MATCH(E820,HostBuild[Alias],0),COLUMN(HostBuild[Description])),""),""),"")</f>
        <v/>
      </c>
    </row>
    <row r="821" spans="1:4">
      <c r="A821" s="3" t="str">
        <f>IF(AND(NOT(ISBLANK(E821)),E821&lt;&gt;"(blank)"),IFERROR(IF(INDEX(HostBuild[],MATCH(E821,HostBuild[Alias],0),COLUMN(HostBuild[Hostname]))&lt;&gt;0,INDEX(HostBuild[],MATCH(E821,HostBuild[Alias],0),COLUMN(HostBuild[Hostname])),""),""),"")</f>
        <v/>
      </c>
      <c r="B821" s="424" t="str">
        <f>IF(AND(NOT(ISBLANK(E821)),E821&lt;&gt;"(blank)"),IFERROR(IF(INDEX(HostBuild[],MATCH(E821,HostBuild[Alias],0),COLUMN(HostBuild[Status]))&lt;&gt;0,INDEX(HostBuild[],MATCH(E821,HostBuild[Alias],0),COLUMN(HostBuild[Status])),""),""),"")</f>
        <v/>
      </c>
      <c r="C821" s="425" t="str">
        <f>IF(AND(NOT(ISBLANK(E821)),E821&lt;&gt;"(blank)"),IFERROR(IF(INDEX(HostBuild[],MATCH(E821,HostBuild[Alias],0),COLUMN(HostBuild[CTI Target Completion]))&lt;&gt;0,INDEX(HostBuild[],MATCH(E821,HostBuild[Alias],0),COLUMN(HostBuild[CTI Target Completion])),""),""),"")</f>
        <v/>
      </c>
      <c r="D821" s="262" t="str">
        <f>IF(AND(NOT(ISBLANK(E821)),E821&lt;&gt;"(blank)"),IFERROR(IF(INDEX(HostBuild[],MATCH(E821,HostBuild[Alias],0),COLUMN(HostBuild[Description]))&lt;&gt;0,INDEX(HostBuild[],MATCH(E821,HostBuild[Alias],0),COLUMN(HostBuild[Description])),""),""),"")</f>
        <v/>
      </c>
    </row>
    <row r="822" spans="1:4">
      <c r="A822" s="3" t="str">
        <f>IF(AND(NOT(ISBLANK(E822)),E822&lt;&gt;"(blank)"),IFERROR(IF(INDEX(HostBuild[],MATCH(E822,HostBuild[Alias],0),COLUMN(HostBuild[Hostname]))&lt;&gt;0,INDEX(HostBuild[],MATCH(E822,HostBuild[Alias],0),COLUMN(HostBuild[Hostname])),""),""),"")</f>
        <v/>
      </c>
      <c r="B822" s="424" t="str">
        <f>IF(AND(NOT(ISBLANK(E822)),E822&lt;&gt;"(blank)"),IFERROR(IF(INDEX(HostBuild[],MATCH(E822,HostBuild[Alias],0),COLUMN(HostBuild[Status]))&lt;&gt;0,INDEX(HostBuild[],MATCH(E822,HostBuild[Alias],0),COLUMN(HostBuild[Status])),""),""),"")</f>
        <v/>
      </c>
      <c r="C822" s="425" t="str">
        <f>IF(AND(NOT(ISBLANK(E822)),E822&lt;&gt;"(blank)"),IFERROR(IF(INDEX(HostBuild[],MATCH(E822,HostBuild[Alias],0),COLUMN(HostBuild[CTI Target Completion]))&lt;&gt;0,INDEX(HostBuild[],MATCH(E822,HostBuild[Alias],0),COLUMN(HostBuild[CTI Target Completion])),""),""),"")</f>
        <v/>
      </c>
      <c r="D822" s="262" t="str">
        <f>IF(AND(NOT(ISBLANK(E822)),E822&lt;&gt;"(blank)"),IFERROR(IF(INDEX(HostBuild[],MATCH(E822,HostBuild[Alias],0),COLUMN(HostBuild[Description]))&lt;&gt;0,INDEX(HostBuild[],MATCH(E822,HostBuild[Alias],0),COLUMN(HostBuild[Description])),""),""),"")</f>
        <v/>
      </c>
    </row>
    <row r="823" spans="1:4">
      <c r="A823" s="3" t="str">
        <f>IF(AND(NOT(ISBLANK(E823)),E823&lt;&gt;"(blank)"),IFERROR(IF(INDEX(HostBuild[],MATCH(E823,HostBuild[Alias],0),COLUMN(HostBuild[Hostname]))&lt;&gt;0,INDEX(HostBuild[],MATCH(E823,HostBuild[Alias],0),COLUMN(HostBuild[Hostname])),""),""),"")</f>
        <v/>
      </c>
      <c r="B823" s="424" t="str">
        <f>IF(AND(NOT(ISBLANK(E823)),E823&lt;&gt;"(blank)"),IFERROR(IF(INDEX(HostBuild[],MATCH(E823,HostBuild[Alias],0),COLUMN(HostBuild[Status]))&lt;&gt;0,INDEX(HostBuild[],MATCH(E823,HostBuild[Alias],0),COLUMN(HostBuild[Status])),""),""),"")</f>
        <v/>
      </c>
      <c r="C823" s="425" t="str">
        <f>IF(AND(NOT(ISBLANK(E823)),E823&lt;&gt;"(blank)"),IFERROR(IF(INDEX(HostBuild[],MATCH(E823,HostBuild[Alias],0),COLUMN(HostBuild[CTI Target Completion]))&lt;&gt;0,INDEX(HostBuild[],MATCH(E823,HostBuild[Alias],0),COLUMN(HostBuild[CTI Target Completion])),""),""),"")</f>
        <v/>
      </c>
      <c r="D823" s="262" t="str">
        <f>IF(AND(NOT(ISBLANK(E823)),E823&lt;&gt;"(blank)"),IFERROR(IF(INDEX(HostBuild[],MATCH(E823,HostBuild[Alias],0),COLUMN(HostBuild[Description]))&lt;&gt;0,INDEX(HostBuild[],MATCH(E823,HostBuild[Alias],0),COLUMN(HostBuild[Description])),""),""),"")</f>
        <v/>
      </c>
    </row>
    <row r="824" spans="1:4">
      <c r="A824" s="3" t="str">
        <f>IF(AND(NOT(ISBLANK(E824)),E824&lt;&gt;"(blank)"),IFERROR(IF(INDEX(HostBuild[],MATCH(E824,HostBuild[Alias],0),COLUMN(HostBuild[Hostname]))&lt;&gt;0,INDEX(HostBuild[],MATCH(E824,HostBuild[Alias],0),COLUMN(HostBuild[Hostname])),""),""),"")</f>
        <v/>
      </c>
      <c r="B824" s="424" t="str">
        <f>IF(AND(NOT(ISBLANK(E824)),E824&lt;&gt;"(blank)"),IFERROR(IF(INDEX(HostBuild[],MATCH(E824,HostBuild[Alias],0),COLUMN(HostBuild[Status]))&lt;&gt;0,INDEX(HostBuild[],MATCH(E824,HostBuild[Alias],0),COLUMN(HostBuild[Status])),""),""),"")</f>
        <v/>
      </c>
      <c r="C824" s="425" t="str">
        <f>IF(AND(NOT(ISBLANK(E824)),E824&lt;&gt;"(blank)"),IFERROR(IF(INDEX(HostBuild[],MATCH(E824,HostBuild[Alias],0),COLUMN(HostBuild[CTI Target Completion]))&lt;&gt;0,INDEX(HostBuild[],MATCH(E824,HostBuild[Alias],0),COLUMN(HostBuild[CTI Target Completion])),""),""),"")</f>
        <v/>
      </c>
      <c r="D824" s="262" t="str">
        <f>IF(AND(NOT(ISBLANK(E824)),E824&lt;&gt;"(blank)"),IFERROR(IF(INDEX(HostBuild[],MATCH(E824,HostBuild[Alias],0),COLUMN(HostBuild[Description]))&lt;&gt;0,INDEX(HostBuild[],MATCH(E824,HostBuild[Alias],0),COLUMN(HostBuild[Description])),""),""),"")</f>
        <v/>
      </c>
    </row>
    <row r="825" spans="1:4">
      <c r="A825" s="3" t="str">
        <f>IF(AND(NOT(ISBLANK(E825)),E825&lt;&gt;"(blank)"),IFERROR(IF(INDEX(HostBuild[],MATCH(E825,HostBuild[Alias],0),COLUMN(HostBuild[Hostname]))&lt;&gt;0,INDEX(HostBuild[],MATCH(E825,HostBuild[Alias],0),COLUMN(HostBuild[Hostname])),""),""),"")</f>
        <v/>
      </c>
      <c r="B825" s="424" t="str">
        <f>IF(AND(NOT(ISBLANK(E825)),E825&lt;&gt;"(blank)"),IFERROR(IF(INDEX(HostBuild[],MATCH(E825,HostBuild[Alias],0),COLUMN(HostBuild[Status]))&lt;&gt;0,INDEX(HostBuild[],MATCH(E825,HostBuild[Alias],0),COLUMN(HostBuild[Status])),""),""),"")</f>
        <v/>
      </c>
      <c r="C825" s="425" t="str">
        <f>IF(AND(NOT(ISBLANK(E825)),E825&lt;&gt;"(blank)"),IFERROR(IF(INDEX(HostBuild[],MATCH(E825,HostBuild[Alias],0),COLUMN(HostBuild[CTI Target Completion]))&lt;&gt;0,INDEX(HostBuild[],MATCH(E825,HostBuild[Alias],0),COLUMN(HostBuild[CTI Target Completion])),""),""),"")</f>
        <v/>
      </c>
      <c r="D825" s="262" t="str">
        <f>IF(AND(NOT(ISBLANK(E825)),E825&lt;&gt;"(blank)"),IFERROR(IF(INDEX(HostBuild[],MATCH(E825,HostBuild[Alias],0),COLUMN(HostBuild[Description]))&lt;&gt;0,INDEX(HostBuild[],MATCH(E825,HostBuild[Alias],0),COLUMN(HostBuild[Description])),""),""),"")</f>
        <v/>
      </c>
    </row>
    <row r="826" spans="1:4">
      <c r="A826" s="3" t="str">
        <f>IF(AND(NOT(ISBLANK(E826)),E826&lt;&gt;"(blank)"),IFERROR(IF(INDEX(HostBuild[],MATCH(E826,HostBuild[Alias],0),COLUMN(HostBuild[Hostname]))&lt;&gt;0,INDEX(HostBuild[],MATCH(E826,HostBuild[Alias],0),COLUMN(HostBuild[Hostname])),""),""),"")</f>
        <v/>
      </c>
      <c r="B826" s="424" t="str">
        <f>IF(AND(NOT(ISBLANK(E826)),E826&lt;&gt;"(blank)"),IFERROR(IF(INDEX(HostBuild[],MATCH(E826,HostBuild[Alias],0),COLUMN(HostBuild[Status]))&lt;&gt;0,INDEX(HostBuild[],MATCH(E826,HostBuild[Alias],0),COLUMN(HostBuild[Status])),""),""),"")</f>
        <v/>
      </c>
      <c r="C826" s="425" t="str">
        <f>IF(AND(NOT(ISBLANK(E826)),E826&lt;&gt;"(blank)"),IFERROR(IF(INDEX(HostBuild[],MATCH(E826,HostBuild[Alias],0),COLUMN(HostBuild[CTI Target Completion]))&lt;&gt;0,INDEX(HostBuild[],MATCH(E826,HostBuild[Alias],0),COLUMN(HostBuild[CTI Target Completion])),""),""),"")</f>
        <v/>
      </c>
      <c r="D826" s="262" t="str">
        <f>IF(AND(NOT(ISBLANK(E826)),E826&lt;&gt;"(blank)"),IFERROR(IF(INDEX(HostBuild[],MATCH(E826,HostBuild[Alias],0),COLUMN(HostBuild[Description]))&lt;&gt;0,INDEX(HostBuild[],MATCH(E826,HostBuild[Alias],0),COLUMN(HostBuild[Description])),""),""),"")</f>
        <v/>
      </c>
    </row>
    <row r="827" spans="1:4">
      <c r="A827" s="3" t="str">
        <f>IF(AND(NOT(ISBLANK(E827)),E827&lt;&gt;"(blank)"),IFERROR(IF(INDEX(HostBuild[],MATCH(E827,HostBuild[Alias],0),COLUMN(HostBuild[Hostname]))&lt;&gt;0,INDEX(HostBuild[],MATCH(E827,HostBuild[Alias],0),COLUMN(HostBuild[Hostname])),""),""),"")</f>
        <v/>
      </c>
      <c r="B827" s="424" t="str">
        <f>IF(AND(NOT(ISBLANK(E827)),E827&lt;&gt;"(blank)"),IFERROR(IF(INDEX(HostBuild[],MATCH(E827,HostBuild[Alias],0),COLUMN(HostBuild[Status]))&lt;&gt;0,INDEX(HostBuild[],MATCH(E827,HostBuild[Alias],0),COLUMN(HostBuild[Status])),""),""),"")</f>
        <v/>
      </c>
      <c r="C827" s="425" t="str">
        <f>IF(AND(NOT(ISBLANK(E827)),E827&lt;&gt;"(blank)"),IFERROR(IF(INDEX(HostBuild[],MATCH(E827,HostBuild[Alias],0),COLUMN(HostBuild[CTI Target Completion]))&lt;&gt;0,INDEX(HostBuild[],MATCH(E827,HostBuild[Alias],0),COLUMN(HostBuild[CTI Target Completion])),""),""),"")</f>
        <v/>
      </c>
      <c r="D827" s="262" t="str">
        <f>IF(AND(NOT(ISBLANK(E827)),E827&lt;&gt;"(blank)"),IFERROR(IF(INDEX(HostBuild[],MATCH(E827,HostBuild[Alias],0),COLUMN(HostBuild[Description]))&lt;&gt;0,INDEX(HostBuild[],MATCH(E827,HostBuild[Alias],0),COLUMN(HostBuild[Description])),""),""),"")</f>
        <v/>
      </c>
    </row>
    <row r="828" spans="1:4">
      <c r="A828" s="3" t="str">
        <f>IF(AND(NOT(ISBLANK(E828)),E828&lt;&gt;"(blank)"),IFERROR(IF(INDEX(HostBuild[],MATCH(E828,HostBuild[Alias],0),COLUMN(HostBuild[Hostname]))&lt;&gt;0,INDEX(HostBuild[],MATCH(E828,HostBuild[Alias],0),COLUMN(HostBuild[Hostname])),""),""),"")</f>
        <v/>
      </c>
      <c r="B828" s="424" t="str">
        <f>IF(AND(NOT(ISBLANK(E828)),E828&lt;&gt;"(blank)"),IFERROR(IF(INDEX(HostBuild[],MATCH(E828,HostBuild[Alias],0),COLUMN(HostBuild[Status]))&lt;&gt;0,INDEX(HostBuild[],MATCH(E828,HostBuild[Alias],0),COLUMN(HostBuild[Status])),""),""),"")</f>
        <v/>
      </c>
      <c r="C828" s="425" t="str">
        <f>IF(AND(NOT(ISBLANK(E828)),E828&lt;&gt;"(blank)"),IFERROR(IF(INDEX(HostBuild[],MATCH(E828,HostBuild[Alias],0),COLUMN(HostBuild[CTI Target Completion]))&lt;&gt;0,INDEX(HostBuild[],MATCH(E828,HostBuild[Alias],0),COLUMN(HostBuild[CTI Target Completion])),""),""),"")</f>
        <v/>
      </c>
      <c r="D828" s="262" t="str">
        <f>IF(AND(NOT(ISBLANK(E828)),E828&lt;&gt;"(blank)"),IFERROR(IF(INDEX(HostBuild[],MATCH(E828,HostBuild[Alias],0),COLUMN(HostBuild[Description]))&lt;&gt;0,INDEX(HostBuild[],MATCH(E828,HostBuild[Alias],0),COLUMN(HostBuild[Description])),""),""),"")</f>
        <v/>
      </c>
    </row>
    <row r="829" spans="1:4">
      <c r="A829" s="3" t="str">
        <f>IF(AND(NOT(ISBLANK(E829)),E829&lt;&gt;"(blank)"),IFERROR(IF(INDEX(HostBuild[],MATCH(E829,HostBuild[Alias],0),COLUMN(HostBuild[Hostname]))&lt;&gt;0,INDEX(HostBuild[],MATCH(E829,HostBuild[Alias],0),COLUMN(HostBuild[Hostname])),""),""),"")</f>
        <v/>
      </c>
      <c r="B829" s="424" t="str">
        <f>IF(AND(NOT(ISBLANK(E829)),E829&lt;&gt;"(blank)"),IFERROR(IF(INDEX(HostBuild[],MATCH(E829,HostBuild[Alias],0),COLUMN(HostBuild[Status]))&lt;&gt;0,INDEX(HostBuild[],MATCH(E829,HostBuild[Alias],0),COLUMN(HostBuild[Status])),""),""),"")</f>
        <v/>
      </c>
      <c r="C829" s="425" t="str">
        <f>IF(AND(NOT(ISBLANK(E829)),E829&lt;&gt;"(blank)"),IFERROR(IF(INDEX(HostBuild[],MATCH(E829,HostBuild[Alias],0),COLUMN(HostBuild[CTI Target Completion]))&lt;&gt;0,INDEX(HostBuild[],MATCH(E829,HostBuild[Alias],0),COLUMN(HostBuild[CTI Target Completion])),""),""),"")</f>
        <v/>
      </c>
      <c r="D829" s="262" t="str">
        <f>IF(AND(NOT(ISBLANK(E829)),E829&lt;&gt;"(blank)"),IFERROR(IF(INDEX(HostBuild[],MATCH(E829,HostBuild[Alias],0),COLUMN(HostBuild[Description]))&lt;&gt;0,INDEX(HostBuild[],MATCH(E829,HostBuild[Alias],0),COLUMN(HostBuild[Description])),""),""),"")</f>
        <v/>
      </c>
    </row>
    <row r="830" spans="1:4">
      <c r="A830" s="3" t="str">
        <f>IF(AND(NOT(ISBLANK(E830)),E830&lt;&gt;"(blank)"),IFERROR(IF(INDEX(HostBuild[],MATCH(E830,HostBuild[Alias],0),COLUMN(HostBuild[Hostname]))&lt;&gt;0,INDEX(HostBuild[],MATCH(E830,HostBuild[Alias],0),COLUMN(HostBuild[Hostname])),""),""),"")</f>
        <v/>
      </c>
      <c r="B830" s="424" t="str">
        <f>IF(AND(NOT(ISBLANK(E830)),E830&lt;&gt;"(blank)"),IFERROR(IF(INDEX(HostBuild[],MATCH(E830,HostBuild[Alias],0),COLUMN(HostBuild[Status]))&lt;&gt;0,INDEX(HostBuild[],MATCH(E830,HostBuild[Alias],0),COLUMN(HostBuild[Status])),""),""),"")</f>
        <v/>
      </c>
      <c r="C830" s="425" t="str">
        <f>IF(AND(NOT(ISBLANK(E830)),E830&lt;&gt;"(blank)"),IFERROR(IF(INDEX(HostBuild[],MATCH(E830,HostBuild[Alias],0),COLUMN(HostBuild[CTI Target Completion]))&lt;&gt;0,INDEX(HostBuild[],MATCH(E830,HostBuild[Alias],0),COLUMN(HostBuild[CTI Target Completion])),""),""),"")</f>
        <v/>
      </c>
      <c r="D830" s="262" t="str">
        <f>IF(AND(NOT(ISBLANK(E830)),E830&lt;&gt;"(blank)"),IFERROR(IF(INDEX(HostBuild[],MATCH(E830,HostBuild[Alias],0),COLUMN(HostBuild[Description]))&lt;&gt;0,INDEX(HostBuild[],MATCH(E830,HostBuild[Alias],0),COLUMN(HostBuild[Description])),""),""),"")</f>
        <v/>
      </c>
    </row>
    <row r="831" spans="1:4">
      <c r="A831" s="3" t="str">
        <f>IF(AND(NOT(ISBLANK(E831)),E831&lt;&gt;"(blank)"),IFERROR(IF(INDEX(HostBuild[],MATCH(E831,HostBuild[Alias],0),COLUMN(HostBuild[Hostname]))&lt;&gt;0,INDEX(HostBuild[],MATCH(E831,HostBuild[Alias],0),COLUMN(HostBuild[Hostname])),""),""),"")</f>
        <v/>
      </c>
      <c r="B831" s="424" t="str">
        <f>IF(AND(NOT(ISBLANK(E831)),E831&lt;&gt;"(blank)"),IFERROR(IF(INDEX(HostBuild[],MATCH(E831,HostBuild[Alias],0),COLUMN(HostBuild[Status]))&lt;&gt;0,INDEX(HostBuild[],MATCH(E831,HostBuild[Alias],0),COLUMN(HostBuild[Status])),""),""),"")</f>
        <v/>
      </c>
      <c r="C831" s="425" t="str">
        <f>IF(AND(NOT(ISBLANK(E831)),E831&lt;&gt;"(blank)"),IFERROR(IF(INDEX(HostBuild[],MATCH(E831,HostBuild[Alias],0),COLUMN(HostBuild[CTI Target Completion]))&lt;&gt;0,INDEX(HostBuild[],MATCH(E831,HostBuild[Alias],0),COLUMN(HostBuild[CTI Target Completion])),""),""),"")</f>
        <v/>
      </c>
      <c r="D831" s="262" t="str">
        <f>IF(AND(NOT(ISBLANK(E831)),E831&lt;&gt;"(blank)"),IFERROR(IF(INDEX(HostBuild[],MATCH(E831,HostBuild[Alias],0),COLUMN(HostBuild[Description]))&lt;&gt;0,INDEX(HostBuild[],MATCH(E831,HostBuild[Alias],0),COLUMN(HostBuild[Description])),""),""),"")</f>
        <v/>
      </c>
    </row>
    <row r="832" spans="1:4">
      <c r="A832" s="3" t="str">
        <f>IF(AND(NOT(ISBLANK(E832)),E832&lt;&gt;"(blank)"),IFERROR(IF(INDEX(HostBuild[],MATCH(E832,HostBuild[Alias],0),COLUMN(HostBuild[Hostname]))&lt;&gt;0,INDEX(HostBuild[],MATCH(E832,HostBuild[Alias],0),COLUMN(HostBuild[Hostname])),""),""),"")</f>
        <v/>
      </c>
      <c r="B832" s="424" t="str">
        <f>IF(AND(NOT(ISBLANK(E832)),E832&lt;&gt;"(blank)"),IFERROR(IF(INDEX(HostBuild[],MATCH(E832,HostBuild[Alias],0),COLUMN(HostBuild[Status]))&lt;&gt;0,INDEX(HostBuild[],MATCH(E832,HostBuild[Alias],0),COLUMN(HostBuild[Status])),""),""),"")</f>
        <v/>
      </c>
      <c r="C832" s="425" t="str">
        <f>IF(AND(NOT(ISBLANK(E832)),E832&lt;&gt;"(blank)"),IFERROR(IF(INDEX(HostBuild[],MATCH(E832,HostBuild[Alias],0),COLUMN(HostBuild[CTI Target Completion]))&lt;&gt;0,INDEX(HostBuild[],MATCH(E832,HostBuild[Alias],0),COLUMN(HostBuild[CTI Target Completion])),""),""),"")</f>
        <v/>
      </c>
      <c r="D832" s="262" t="str">
        <f>IF(AND(NOT(ISBLANK(E832)),E832&lt;&gt;"(blank)"),IFERROR(IF(INDEX(HostBuild[],MATCH(E832,HostBuild[Alias],0),COLUMN(HostBuild[Description]))&lt;&gt;0,INDEX(HostBuild[],MATCH(E832,HostBuild[Alias],0),COLUMN(HostBuild[Description])),""),""),"")</f>
        <v/>
      </c>
    </row>
    <row r="833" spans="1:4">
      <c r="A833" s="3" t="str">
        <f>IF(AND(NOT(ISBLANK(E833)),E833&lt;&gt;"(blank)"),IFERROR(IF(INDEX(HostBuild[],MATCH(E833,HostBuild[Alias],0),COLUMN(HostBuild[Hostname]))&lt;&gt;0,INDEX(HostBuild[],MATCH(E833,HostBuild[Alias],0),COLUMN(HostBuild[Hostname])),""),""),"")</f>
        <v/>
      </c>
      <c r="B833" s="424" t="str">
        <f>IF(AND(NOT(ISBLANK(E833)),E833&lt;&gt;"(blank)"),IFERROR(IF(INDEX(HostBuild[],MATCH(E833,HostBuild[Alias],0),COLUMN(HostBuild[Status]))&lt;&gt;0,INDEX(HostBuild[],MATCH(E833,HostBuild[Alias],0),COLUMN(HostBuild[Status])),""),""),"")</f>
        <v/>
      </c>
      <c r="C833" s="425" t="str">
        <f>IF(AND(NOT(ISBLANK(E833)),E833&lt;&gt;"(blank)"),IFERROR(IF(INDEX(HostBuild[],MATCH(E833,HostBuild[Alias],0),COLUMN(HostBuild[CTI Target Completion]))&lt;&gt;0,INDEX(HostBuild[],MATCH(E833,HostBuild[Alias],0),COLUMN(HostBuild[CTI Target Completion])),""),""),"")</f>
        <v/>
      </c>
      <c r="D833" s="262" t="str">
        <f>IF(AND(NOT(ISBLANK(E833)),E833&lt;&gt;"(blank)"),IFERROR(IF(INDEX(HostBuild[],MATCH(E833,HostBuild[Alias],0),COLUMN(HostBuild[Description]))&lt;&gt;0,INDEX(HostBuild[],MATCH(E833,HostBuild[Alias],0),COLUMN(HostBuild[Description])),""),""),"")</f>
        <v/>
      </c>
    </row>
    <row r="834" spans="1:4">
      <c r="A834" s="3" t="str">
        <f>IF(AND(NOT(ISBLANK(E834)),E834&lt;&gt;"(blank)"),IFERROR(IF(INDEX(HostBuild[],MATCH(E834,HostBuild[Alias],0),COLUMN(HostBuild[Hostname]))&lt;&gt;0,INDEX(HostBuild[],MATCH(E834,HostBuild[Alias],0),COLUMN(HostBuild[Hostname])),""),""),"")</f>
        <v/>
      </c>
      <c r="B834" s="424" t="str">
        <f>IF(AND(NOT(ISBLANK(E834)),E834&lt;&gt;"(blank)"),IFERROR(IF(INDEX(HostBuild[],MATCH(E834,HostBuild[Alias],0),COLUMN(HostBuild[Status]))&lt;&gt;0,INDEX(HostBuild[],MATCH(E834,HostBuild[Alias],0),COLUMN(HostBuild[Status])),""),""),"")</f>
        <v/>
      </c>
      <c r="C834" s="425" t="str">
        <f>IF(AND(NOT(ISBLANK(E834)),E834&lt;&gt;"(blank)"),IFERROR(IF(INDEX(HostBuild[],MATCH(E834,HostBuild[Alias],0),COLUMN(HostBuild[CTI Target Completion]))&lt;&gt;0,INDEX(HostBuild[],MATCH(E834,HostBuild[Alias],0),COLUMN(HostBuild[CTI Target Completion])),""),""),"")</f>
        <v/>
      </c>
      <c r="D834" s="262" t="str">
        <f>IF(AND(NOT(ISBLANK(E834)),E834&lt;&gt;"(blank)"),IFERROR(IF(INDEX(HostBuild[],MATCH(E834,HostBuild[Alias],0),COLUMN(HostBuild[Description]))&lt;&gt;0,INDEX(HostBuild[],MATCH(E834,HostBuild[Alias],0),COLUMN(HostBuild[Description])),""),""),"")</f>
        <v/>
      </c>
    </row>
    <row r="835" spans="1:4">
      <c r="A835" s="3" t="str">
        <f>IF(AND(NOT(ISBLANK(E835)),E835&lt;&gt;"(blank)"),IFERROR(IF(INDEX(HostBuild[],MATCH(E835,HostBuild[Alias],0),COLUMN(HostBuild[Hostname]))&lt;&gt;0,INDEX(HostBuild[],MATCH(E835,HostBuild[Alias],0),COLUMN(HostBuild[Hostname])),""),""),"")</f>
        <v/>
      </c>
      <c r="B835" s="424" t="str">
        <f>IF(AND(NOT(ISBLANK(E835)),E835&lt;&gt;"(blank)"),IFERROR(IF(INDEX(HostBuild[],MATCH(E835,HostBuild[Alias],0),COLUMN(HostBuild[Status]))&lt;&gt;0,INDEX(HostBuild[],MATCH(E835,HostBuild[Alias],0),COLUMN(HostBuild[Status])),""),""),"")</f>
        <v/>
      </c>
      <c r="C835" s="425" t="str">
        <f>IF(AND(NOT(ISBLANK(E835)),E835&lt;&gt;"(blank)"),IFERROR(IF(INDEX(HostBuild[],MATCH(E835,HostBuild[Alias],0),COLUMN(HostBuild[CTI Target Completion]))&lt;&gt;0,INDEX(HostBuild[],MATCH(E835,HostBuild[Alias],0),COLUMN(HostBuild[CTI Target Completion])),""),""),"")</f>
        <v/>
      </c>
      <c r="D835" s="262" t="str">
        <f>IF(AND(NOT(ISBLANK(E835)),E835&lt;&gt;"(blank)"),IFERROR(IF(INDEX(HostBuild[],MATCH(E835,HostBuild[Alias],0),COLUMN(HostBuild[Description]))&lt;&gt;0,INDEX(HostBuild[],MATCH(E835,HostBuild[Alias],0),COLUMN(HostBuild[Description])),""),""),"")</f>
        <v/>
      </c>
    </row>
    <row r="836" spans="1:4">
      <c r="A836" s="3" t="str">
        <f>IF(AND(NOT(ISBLANK(E836)),E836&lt;&gt;"(blank)"),IFERROR(IF(INDEX(HostBuild[],MATCH(E836,HostBuild[Alias],0),COLUMN(HostBuild[Hostname]))&lt;&gt;0,INDEX(HostBuild[],MATCH(E836,HostBuild[Alias],0),COLUMN(HostBuild[Hostname])),""),""),"")</f>
        <v/>
      </c>
      <c r="B836" s="424" t="str">
        <f>IF(AND(NOT(ISBLANK(E836)),E836&lt;&gt;"(blank)"),IFERROR(IF(INDEX(HostBuild[],MATCH(E836,HostBuild[Alias],0),COLUMN(HostBuild[Status]))&lt;&gt;0,INDEX(HostBuild[],MATCH(E836,HostBuild[Alias],0),COLUMN(HostBuild[Status])),""),""),"")</f>
        <v/>
      </c>
      <c r="C836" s="425" t="str">
        <f>IF(AND(NOT(ISBLANK(E836)),E836&lt;&gt;"(blank)"),IFERROR(IF(INDEX(HostBuild[],MATCH(E836,HostBuild[Alias],0),COLUMN(HostBuild[CTI Target Completion]))&lt;&gt;0,INDEX(HostBuild[],MATCH(E836,HostBuild[Alias],0),COLUMN(HostBuild[CTI Target Completion])),""),""),"")</f>
        <v/>
      </c>
      <c r="D836" s="262" t="str">
        <f>IF(AND(NOT(ISBLANK(E836)),E836&lt;&gt;"(blank)"),IFERROR(IF(INDEX(HostBuild[],MATCH(E836,HostBuild[Alias],0),COLUMN(HostBuild[Description]))&lt;&gt;0,INDEX(HostBuild[],MATCH(E836,HostBuild[Alias],0),COLUMN(HostBuild[Description])),""),""),"")</f>
        <v/>
      </c>
    </row>
    <row r="837" spans="1:4">
      <c r="A837" s="3" t="str">
        <f>IF(AND(NOT(ISBLANK(E837)),E837&lt;&gt;"(blank)"),IFERROR(IF(INDEX(HostBuild[],MATCH(E837,HostBuild[Alias],0),COLUMN(HostBuild[Hostname]))&lt;&gt;0,INDEX(HostBuild[],MATCH(E837,HostBuild[Alias],0),COLUMN(HostBuild[Hostname])),""),""),"")</f>
        <v/>
      </c>
      <c r="B837" s="424" t="str">
        <f>IF(AND(NOT(ISBLANK(E837)),E837&lt;&gt;"(blank)"),IFERROR(IF(INDEX(HostBuild[],MATCH(E837,HostBuild[Alias],0),COLUMN(HostBuild[Status]))&lt;&gt;0,INDEX(HostBuild[],MATCH(E837,HostBuild[Alias],0),COLUMN(HostBuild[Status])),""),""),"")</f>
        <v/>
      </c>
      <c r="C837" s="425" t="str">
        <f>IF(AND(NOT(ISBLANK(E837)),E837&lt;&gt;"(blank)"),IFERROR(IF(INDEX(HostBuild[],MATCH(E837,HostBuild[Alias],0),COLUMN(HostBuild[CTI Target Completion]))&lt;&gt;0,INDEX(HostBuild[],MATCH(E837,HostBuild[Alias],0),COLUMN(HostBuild[CTI Target Completion])),""),""),"")</f>
        <v/>
      </c>
      <c r="D837" s="262" t="str">
        <f>IF(AND(NOT(ISBLANK(E837)),E837&lt;&gt;"(blank)"),IFERROR(IF(INDEX(HostBuild[],MATCH(E837,HostBuild[Alias],0),COLUMN(HostBuild[Description]))&lt;&gt;0,INDEX(HostBuild[],MATCH(E837,HostBuild[Alias],0),COLUMN(HostBuild[Description])),""),""),"")</f>
        <v/>
      </c>
    </row>
    <row r="838" spans="1:4">
      <c r="A838" s="3" t="str">
        <f>IF(AND(NOT(ISBLANK(E838)),E838&lt;&gt;"(blank)"),IFERROR(IF(INDEX(HostBuild[],MATCH(E838,HostBuild[Alias],0),COLUMN(HostBuild[Hostname]))&lt;&gt;0,INDEX(HostBuild[],MATCH(E838,HostBuild[Alias],0),COLUMN(HostBuild[Hostname])),""),""),"")</f>
        <v/>
      </c>
      <c r="B838" s="424" t="str">
        <f>IF(AND(NOT(ISBLANK(E838)),E838&lt;&gt;"(blank)"),IFERROR(IF(INDEX(HostBuild[],MATCH(E838,HostBuild[Alias],0),COLUMN(HostBuild[Status]))&lt;&gt;0,INDEX(HostBuild[],MATCH(E838,HostBuild[Alias],0),COLUMN(HostBuild[Status])),""),""),"")</f>
        <v/>
      </c>
      <c r="C838" s="425" t="str">
        <f>IF(AND(NOT(ISBLANK(E838)),E838&lt;&gt;"(blank)"),IFERROR(IF(INDEX(HostBuild[],MATCH(E838,HostBuild[Alias],0),COLUMN(HostBuild[CTI Target Completion]))&lt;&gt;0,INDEX(HostBuild[],MATCH(E838,HostBuild[Alias],0),COLUMN(HostBuild[CTI Target Completion])),""),""),"")</f>
        <v/>
      </c>
      <c r="D838" s="262" t="str">
        <f>IF(AND(NOT(ISBLANK(E838)),E838&lt;&gt;"(blank)"),IFERROR(IF(INDEX(HostBuild[],MATCH(E838,HostBuild[Alias],0),COLUMN(HostBuild[Description]))&lt;&gt;0,INDEX(HostBuild[],MATCH(E838,HostBuild[Alias],0),COLUMN(HostBuild[Description])),""),""),"")</f>
        <v/>
      </c>
    </row>
    <row r="839" spans="1:4">
      <c r="A839" s="3" t="str">
        <f>IF(AND(NOT(ISBLANK(E839)),E839&lt;&gt;"(blank)"),IFERROR(IF(INDEX(HostBuild[],MATCH(E839,HostBuild[Alias],0),COLUMN(HostBuild[Hostname]))&lt;&gt;0,INDEX(HostBuild[],MATCH(E839,HostBuild[Alias],0),COLUMN(HostBuild[Hostname])),""),""),"")</f>
        <v/>
      </c>
      <c r="B839" s="424" t="str">
        <f>IF(AND(NOT(ISBLANK(E839)),E839&lt;&gt;"(blank)"),IFERROR(IF(INDEX(HostBuild[],MATCH(E839,HostBuild[Alias],0),COLUMN(HostBuild[Status]))&lt;&gt;0,INDEX(HostBuild[],MATCH(E839,HostBuild[Alias],0),COLUMN(HostBuild[Status])),""),""),"")</f>
        <v/>
      </c>
      <c r="C839" s="425" t="str">
        <f>IF(AND(NOT(ISBLANK(E839)),E839&lt;&gt;"(blank)"),IFERROR(IF(INDEX(HostBuild[],MATCH(E839,HostBuild[Alias],0),COLUMN(HostBuild[CTI Target Completion]))&lt;&gt;0,INDEX(HostBuild[],MATCH(E839,HostBuild[Alias],0),COLUMN(HostBuild[CTI Target Completion])),""),""),"")</f>
        <v/>
      </c>
      <c r="D839" s="262" t="str">
        <f>IF(AND(NOT(ISBLANK(E839)),E839&lt;&gt;"(blank)"),IFERROR(IF(INDEX(HostBuild[],MATCH(E839,HostBuild[Alias],0),COLUMN(HostBuild[Description]))&lt;&gt;0,INDEX(HostBuild[],MATCH(E839,HostBuild[Alias],0),COLUMN(HostBuild[Description])),""),""),"")</f>
        <v/>
      </c>
    </row>
    <row r="840" spans="1:4">
      <c r="A840" s="3" t="str">
        <f>IF(AND(NOT(ISBLANK(E840)),E840&lt;&gt;"(blank)"),IFERROR(IF(INDEX(HostBuild[],MATCH(E840,HostBuild[Alias],0),COLUMN(HostBuild[Hostname]))&lt;&gt;0,INDEX(HostBuild[],MATCH(E840,HostBuild[Alias],0),COLUMN(HostBuild[Hostname])),""),""),"")</f>
        <v/>
      </c>
      <c r="B840" s="424" t="str">
        <f>IF(AND(NOT(ISBLANK(E840)),E840&lt;&gt;"(blank)"),IFERROR(IF(INDEX(HostBuild[],MATCH(E840,HostBuild[Alias],0),COLUMN(HostBuild[Status]))&lt;&gt;0,INDEX(HostBuild[],MATCH(E840,HostBuild[Alias],0),COLUMN(HostBuild[Status])),""),""),"")</f>
        <v/>
      </c>
      <c r="C840" s="425" t="str">
        <f>IF(AND(NOT(ISBLANK(E840)),E840&lt;&gt;"(blank)"),IFERROR(IF(INDEX(HostBuild[],MATCH(E840,HostBuild[Alias],0),COLUMN(HostBuild[CTI Target Completion]))&lt;&gt;0,INDEX(HostBuild[],MATCH(E840,HostBuild[Alias],0),COLUMN(HostBuild[CTI Target Completion])),""),""),"")</f>
        <v/>
      </c>
      <c r="D840" s="262" t="str">
        <f>IF(AND(NOT(ISBLANK(E840)),E840&lt;&gt;"(blank)"),IFERROR(IF(INDEX(HostBuild[],MATCH(E840,HostBuild[Alias],0),COLUMN(HostBuild[Description]))&lt;&gt;0,INDEX(HostBuild[],MATCH(E840,HostBuild[Alias],0),COLUMN(HostBuild[Description])),""),""),"")</f>
        <v/>
      </c>
    </row>
    <row r="841" spans="1:4">
      <c r="A841" s="3" t="str">
        <f>IF(AND(NOT(ISBLANK(E841)),E841&lt;&gt;"(blank)"),IFERROR(IF(INDEX(HostBuild[],MATCH(E841,HostBuild[Alias],0),COLUMN(HostBuild[Hostname]))&lt;&gt;0,INDEX(HostBuild[],MATCH(E841,HostBuild[Alias],0),COLUMN(HostBuild[Hostname])),""),""),"")</f>
        <v/>
      </c>
      <c r="B841" s="424" t="str">
        <f>IF(AND(NOT(ISBLANK(E841)),E841&lt;&gt;"(blank)"),IFERROR(IF(INDEX(HostBuild[],MATCH(E841,HostBuild[Alias],0),COLUMN(HostBuild[Status]))&lt;&gt;0,INDEX(HostBuild[],MATCH(E841,HostBuild[Alias],0),COLUMN(HostBuild[Status])),""),""),"")</f>
        <v/>
      </c>
      <c r="C841" s="425" t="str">
        <f>IF(AND(NOT(ISBLANK(E841)),E841&lt;&gt;"(blank)"),IFERROR(IF(INDEX(HostBuild[],MATCH(E841,HostBuild[Alias],0),COLUMN(HostBuild[CTI Target Completion]))&lt;&gt;0,INDEX(HostBuild[],MATCH(E841,HostBuild[Alias],0),COLUMN(HostBuild[CTI Target Completion])),""),""),"")</f>
        <v/>
      </c>
      <c r="D841" s="262" t="str">
        <f>IF(AND(NOT(ISBLANK(E841)),E841&lt;&gt;"(blank)"),IFERROR(IF(INDEX(HostBuild[],MATCH(E841,HostBuild[Alias],0),COLUMN(HostBuild[Description]))&lt;&gt;0,INDEX(HostBuild[],MATCH(E841,HostBuild[Alias],0),COLUMN(HostBuild[Description])),""),""),"")</f>
        <v/>
      </c>
    </row>
    <row r="842" spans="1:4">
      <c r="A842" s="3" t="str">
        <f>IF(AND(NOT(ISBLANK(E842)),E842&lt;&gt;"(blank)"),IFERROR(IF(INDEX(HostBuild[],MATCH(E842,HostBuild[Alias],0),COLUMN(HostBuild[Hostname]))&lt;&gt;0,INDEX(HostBuild[],MATCH(E842,HostBuild[Alias],0),COLUMN(HostBuild[Hostname])),""),""),"")</f>
        <v/>
      </c>
      <c r="B842" s="424" t="str">
        <f>IF(AND(NOT(ISBLANK(E842)),E842&lt;&gt;"(blank)"),IFERROR(IF(INDEX(HostBuild[],MATCH(E842,HostBuild[Alias],0),COLUMN(HostBuild[Status]))&lt;&gt;0,INDEX(HostBuild[],MATCH(E842,HostBuild[Alias],0),COLUMN(HostBuild[Status])),""),""),"")</f>
        <v/>
      </c>
      <c r="C842" s="425" t="str">
        <f>IF(AND(NOT(ISBLANK(E842)),E842&lt;&gt;"(blank)"),IFERROR(IF(INDEX(HostBuild[],MATCH(E842,HostBuild[Alias],0),COLUMN(HostBuild[CTI Target Completion]))&lt;&gt;0,INDEX(HostBuild[],MATCH(E842,HostBuild[Alias],0),COLUMN(HostBuild[CTI Target Completion])),""),""),"")</f>
        <v/>
      </c>
      <c r="D842" s="262" t="str">
        <f>IF(AND(NOT(ISBLANK(E842)),E842&lt;&gt;"(blank)"),IFERROR(IF(INDEX(HostBuild[],MATCH(E842,HostBuild[Alias],0),COLUMN(HostBuild[Description]))&lt;&gt;0,INDEX(HostBuild[],MATCH(E842,HostBuild[Alias],0),COLUMN(HostBuild[Description])),""),""),"")</f>
        <v/>
      </c>
    </row>
    <row r="843" spans="1:4">
      <c r="A843" s="3" t="str">
        <f>IF(AND(NOT(ISBLANK(E843)),E843&lt;&gt;"(blank)"),IFERROR(IF(INDEX(HostBuild[],MATCH(E843,HostBuild[Alias],0),COLUMN(HostBuild[Hostname]))&lt;&gt;0,INDEX(HostBuild[],MATCH(E843,HostBuild[Alias],0),COLUMN(HostBuild[Hostname])),""),""),"")</f>
        <v/>
      </c>
      <c r="B843" s="424" t="str">
        <f>IF(AND(NOT(ISBLANK(E843)),E843&lt;&gt;"(blank)"),IFERROR(IF(INDEX(HostBuild[],MATCH(E843,HostBuild[Alias],0),COLUMN(HostBuild[Status]))&lt;&gt;0,INDEX(HostBuild[],MATCH(E843,HostBuild[Alias],0),COLUMN(HostBuild[Status])),""),""),"")</f>
        <v/>
      </c>
      <c r="C843" s="425" t="str">
        <f>IF(AND(NOT(ISBLANK(E843)),E843&lt;&gt;"(blank)"),IFERROR(IF(INDEX(HostBuild[],MATCH(E843,HostBuild[Alias],0),COLUMN(HostBuild[CTI Target Completion]))&lt;&gt;0,INDEX(HostBuild[],MATCH(E843,HostBuild[Alias],0),COLUMN(HostBuild[CTI Target Completion])),""),""),"")</f>
        <v/>
      </c>
      <c r="D843" s="262" t="str">
        <f>IF(AND(NOT(ISBLANK(E843)),E843&lt;&gt;"(blank)"),IFERROR(IF(INDEX(HostBuild[],MATCH(E843,HostBuild[Alias],0),COLUMN(HostBuild[Description]))&lt;&gt;0,INDEX(HostBuild[],MATCH(E843,HostBuild[Alias],0),COLUMN(HostBuild[Description])),""),""),"")</f>
        <v/>
      </c>
    </row>
    <row r="844" spans="1:4">
      <c r="A844" s="3" t="str">
        <f>IF(AND(NOT(ISBLANK(E844)),E844&lt;&gt;"(blank)"),IFERROR(IF(INDEX(HostBuild[],MATCH(E844,HostBuild[Alias],0),COLUMN(HostBuild[Hostname]))&lt;&gt;0,INDEX(HostBuild[],MATCH(E844,HostBuild[Alias],0),COLUMN(HostBuild[Hostname])),""),""),"")</f>
        <v/>
      </c>
      <c r="B844" s="424" t="str">
        <f>IF(AND(NOT(ISBLANK(E844)),E844&lt;&gt;"(blank)"),IFERROR(IF(INDEX(HostBuild[],MATCH(E844,HostBuild[Alias],0),COLUMN(HostBuild[Status]))&lt;&gt;0,INDEX(HostBuild[],MATCH(E844,HostBuild[Alias],0),COLUMN(HostBuild[Status])),""),""),"")</f>
        <v/>
      </c>
      <c r="C844" s="425" t="str">
        <f>IF(AND(NOT(ISBLANK(E844)),E844&lt;&gt;"(blank)"),IFERROR(IF(INDEX(HostBuild[],MATCH(E844,HostBuild[Alias],0),COLUMN(HostBuild[CTI Target Completion]))&lt;&gt;0,INDEX(HostBuild[],MATCH(E844,HostBuild[Alias],0),COLUMN(HostBuild[CTI Target Completion])),""),""),"")</f>
        <v/>
      </c>
      <c r="D844" s="262" t="str">
        <f>IF(AND(NOT(ISBLANK(E844)),E844&lt;&gt;"(blank)"),IFERROR(IF(INDEX(HostBuild[],MATCH(E844,HostBuild[Alias],0),COLUMN(HostBuild[Description]))&lt;&gt;0,INDEX(HostBuild[],MATCH(E844,HostBuild[Alias],0),COLUMN(HostBuild[Description])),""),""),"")</f>
        <v/>
      </c>
    </row>
    <row r="845" spans="1:4">
      <c r="A845" s="3" t="str">
        <f>IF(AND(NOT(ISBLANK(E845)),E845&lt;&gt;"(blank)"),IFERROR(IF(INDEX(HostBuild[],MATCH(E845,HostBuild[Alias],0),COLUMN(HostBuild[Hostname]))&lt;&gt;0,INDEX(HostBuild[],MATCH(E845,HostBuild[Alias],0),COLUMN(HostBuild[Hostname])),""),""),"")</f>
        <v/>
      </c>
      <c r="B845" s="424" t="str">
        <f>IF(AND(NOT(ISBLANK(E845)),E845&lt;&gt;"(blank)"),IFERROR(IF(INDEX(HostBuild[],MATCH(E845,HostBuild[Alias],0),COLUMN(HostBuild[Status]))&lt;&gt;0,INDEX(HostBuild[],MATCH(E845,HostBuild[Alias],0),COLUMN(HostBuild[Status])),""),""),"")</f>
        <v/>
      </c>
      <c r="C845" s="425" t="str">
        <f>IF(AND(NOT(ISBLANK(E845)),E845&lt;&gt;"(blank)"),IFERROR(IF(INDEX(HostBuild[],MATCH(E845,HostBuild[Alias],0),COLUMN(HostBuild[CTI Target Completion]))&lt;&gt;0,INDEX(HostBuild[],MATCH(E845,HostBuild[Alias],0),COLUMN(HostBuild[CTI Target Completion])),""),""),"")</f>
        <v/>
      </c>
      <c r="D845" s="262" t="str">
        <f>IF(AND(NOT(ISBLANK(E845)),E845&lt;&gt;"(blank)"),IFERROR(IF(INDEX(HostBuild[],MATCH(E845,HostBuild[Alias],0),COLUMN(HostBuild[Description]))&lt;&gt;0,INDEX(HostBuild[],MATCH(E845,HostBuild[Alias],0),COLUMN(HostBuild[Description])),""),""),"")</f>
        <v/>
      </c>
    </row>
    <row r="846" spans="1:4">
      <c r="A846" s="3" t="str">
        <f>IF(AND(NOT(ISBLANK(E846)),E846&lt;&gt;"(blank)"),IFERROR(IF(INDEX(HostBuild[],MATCH(E846,HostBuild[Alias],0),COLUMN(HostBuild[Hostname]))&lt;&gt;0,INDEX(HostBuild[],MATCH(E846,HostBuild[Alias],0),COLUMN(HostBuild[Hostname])),""),""),"")</f>
        <v/>
      </c>
      <c r="B846" s="424" t="str">
        <f>IF(AND(NOT(ISBLANK(E846)),E846&lt;&gt;"(blank)"),IFERROR(IF(INDEX(HostBuild[],MATCH(E846,HostBuild[Alias],0),COLUMN(HostBuild[Status]))&lt;&gt;0,INDEX(HostBuild[],MATCH(E846,HostBuild[Alias],0),COLUMN(HostBuild[Status])),""),""),"")</f>
        <v/>
      </c>
      <c r="C846" s="425" t="str">
        <f>IF(AND(NOT(ISBLANK(E846)),E846&lt;&gt;"(blank)"),IFERROR(IF(INDEX(HostBuild[],MATCH(E846,HostBuild[Alias],0),COLUMN(HostBuild[CTI Target Completion]))&lt;&gt;0,INDEX(HostBuild[],MATCH(E846,HostBuild[Alias],0),COLUMN(HostBuild[CTI Target Completion])),""),""),"")</f>
        <v/>
      </c>
      <c r="D846" s="262" t="str">
        <f>IF(AND(NOT(ISBLANK(E846)),E846&lt;&gt;"(blank)"),IFERROR(IF(INDEX(HostBuild[],MATCH(E846,HostBuild[Alias],0),COLUMN(HostBuild[Description]))&lt;&gt;0,INDEX(HostBuild[],MATCH(E846,HostBuild[Alias],0),COLUMN(HostBuild[Description])),""),""),"")</f>
        <v/>
      </c>
    </row>
    <row r="847" spans="1:4">
      <c r="A847" s="3" t="str">
        <f>IF(AND(NOT(ISBLANK(E847)),E847&lt;&gt;"(blank)"),IFERROR(IF(INDEX(HostBuild[],MATCH(E847,HostBuild[Alias],0),COLUMN(HostBuild[Hostname]))&lt;&gt;0,INDEX(HostBuild[],MATCH(E847,HostBuild[Alias],0),COLUMN(HostBuild[Hostname])),""),""),"")</f>
        <v/>
      </c>
      <c r="B847" s="424" t="str">
        <f>IF(AND(NOT(ISBLANK(E847)),E847&lt;&gt;"(blank)"),IFERROR(IF(INDEX(HostBuild[],MATCH(E847,HostBuild[Alias],0),COLUMN(HostBuild[Status]))&lt;&gt;0,INDEX(HostBuild[],MATCH(E847,HostBuild[Alias],0),COLUMN(HostBuild[Status])),""),""),"")</f>
        <v/>
      </c>
      <c r="C847" s="425" t="str">
        <f>IF(AND(NOT(ISBLANK(E847)),E847&lt;&gt;"(blank)"),IFERROR(IF(INDEX(HostBuild[],MATCH(E847,HostBuild[Alias],0),COLUMN(HostBuild[CTI Target Completion]))&lt;&gt;0,INDEX(HostBuild[],MATCH(E847,HostBuild[Alias],0),COLUMN(HostBuild[CTI Target Completion])),""),""),"")</f>
        <v/>
      </c>
      <c r="D847" s="262" t="str">
        <f>IF(AND(NOT(ISBLANK(E847)),E847&lt;&gt;"(blank)"),IFERROR(IF(INDEX(HostBuild[],MATCH(E847,HostBuild[Alias],0),COLUMN(HostBuild[Description]))&lt;&gt;0,INDEX(HostBuild[],MATCH(E847,HostBuild[Alias],0),COLUMN(HostBuild[Description])),""),""),"")</f>
        <v/>
      </c>
    </row>
    <row r="848" spans="1:4">
      <c r="A848" s="3" t="str">
        <f>IF(AND(NOT(ISBLANK(E848)),E848&lt;&gt;"(blank)"),IFERROR(IF(INDEX(HostBuild[],MATCH(E848,HostBuild[Alias],0),COLUMN(HostBuild[Hostname]))&lt;&gt;0,INDEX(HostBuild[],MATCH(E848,HostBuild[Alias],0),COLUMN(HostBuild[Hostname])),""),""),"")</f>
        <v/>
      </c>
      <c r="B848" s="424" t="str">
        <f>IF(AND(NOT(ISBLANK(E848)),E848&lt;&gt;"(blank)"),IFERROR(IF(INDEX(HostBuild[],MATCH(E848,HostBuild[Alias],0),COLUMN(HostBuild[Status]))&lt;&gt;0,INDEX(HostBuild[],MATCH(E848,HostBuild[Alias],0),COLUMN(HostBuild[Status])),""),""),"")</f>
        <v/>
      </c>
      <c r="C848" s="425" t="str">
        <f>IF(AND(NOT(ISBLANK(E848)),E848&lt;&gt;"(blank)"),IFERROR(IF(INDEX(HostBuild[],MATCH(E848,HostBuild[Alias],0),COLUMN(HostBuild[CTI Target Completion]))&lt;&gt;0,INDEX(HostBuild[],MATCH(E848,HostBuild[Alias],0),COLUMN(HostBuild[CTI Target Completion])),""),""),"")</f>
        <v/>
      </c>
      <c r="D848" s="262" t="str">
        <f>IF(AND(NOT(ISBLANK(E848)),E848&lt;&gt;"(blank)"),IFERROR(IF(INDEX(HostBuild[],MATCH(E848,HostBuild[Alias],0),COLUMN(HostBuild[Description]))&lt;&gt;0,INDEX(HostBuild[],MATCH(E848,HostBuild[Alias],0),COLUMN(HostBuild[Description])),""),""),"")</f>
        <v/>
      </c>
    </row>
    <row r="849" spans="1:4">
      <c r="A849" s="3" t="str">
        <f>IF(AND(NOT(ISBLANK(E849)),E849&lt;&gt;"(blank)"),IFERROR(IF(INDEX(HostBuild[],MATCH(E849,HostBuild[Alias],0),COLUMN(HostBuild[Hostname]))&lt;&gt;0,INDEX(HostBuild[],MATCH(E849,HostBuild[Alias],0),COLUMN(HostBuild[Hostname])),""),""),"")</f>
        <v/>
      </c>
      <c r="B849" s="424" t="str">
        <f>IF(AND(NOT(ISBLANK(E849)),E849&lt;&gt;"(blank)"),IFERROR(IF(INDEX(HostBuild[],MATCH(E849,HostBuild[Alias],0),COLUMN(HostBuild[Status]))&lt;&gt;0,INDEX(HostBuild[],MATCH(E849,HostBuild[Alias],0),COLUMN(HostBuild[Status])),""),""),"")</f>
        <v/>
      </c>
      <c r="C849" s="425" t="str">
        <f>IF(AND(NOT(ISBLANK(E849)),E849&lt;&gt;"(blank)"),IFERROR(IF(INDEX(HostBuild[],MATCH(E849,HostBuild[Alias],0),COLUMN(HostBuild[CTI Target Completion]))&lt;&gt;0,INDEX(HostBuild[],MATCH(E849,HostBuild[Alias],0),COLUMN(HostBuild[CTI Target Completion])),""),""),"")</f>
        <v/>
      </c>
      <c r="D849" s="262" t="str">
        <f>IF(AND(NOT(ISBLANK(E849)),E849&lt;&gt;"(blank)"),IFERROR(IF(INDEX(HostBuild[],MATCH(E849,HostBuild[Alias],0),COLUMN(HostBuild[Description]))&lt;&gt;0,INDEX(HostBuild[],MATCH(E849,HostBuild[Alias],0),COLUMN(HostBuild[Description])),""),""),"")</f>
        <v/>
      </c>
    </row>
    <row r="850" spans="1:4">
      <c r="A850" s="3" t="str">
        <f>IF(AND(NOT(ISBLANK(E850)),E850&lt;&gt;"(blank)"),IFERROR(IF(INDEX(HostBuild[],MATCH(E850,HostBuild[Alias],0),COLUMN(HostBuild[Hostname]))&lt;&gt;0,INDEX(HostBuild[],MATCH(E850,HostBuild[Alias],0),COLUMN(HostBuild[Hostname])),""),""),"")</f>
        <v/>
      </c>
      <c r="B850" s="424" t="str">
        <f>IF(AND(NOT(ISBLANK(E850)),E850&lt;&gt;"(blank)"),IFERROR(IF(INDEX(HostBuild[],MATCH(E850,HostBuild[Alias],0),COLUMN(HostBuild[Status]))&lt;&gt;0,INDEX(HostBuild[],MATCH(E850,HostBuild[Alias],0),COLUMN(HostBuild[Status])),""),""),"")</f>
        <v/>
      </c>
      <c r="C850" s="425" t="str">
        <f>IF(AND(NOT(ISBLANK(E850)),E850&lt;&gt;"(blank)"),IFERROR(IF(INDEX(HostBuild[],MATCH(E850,HostBuild[Alias],0),COLUMN(HostBuild[CTI Target Completion]))&lt;&gt;0,INDEX(HostBuild[],MATCH(E850,HostBuild[Alias],0),COLUMN(HostBuild[CTI Target Completion])),""),""),"")</f>
        <v/>
      </c>
      <c r="D850" s="262" t="str">
        <f>IF(AND(NOT(ISBLANK(E850)),E850&lt;&gt;"(blank)"),IFERROR(IF(INDEX(HostBuild[],MATCH(E850,HostBuild[Alias],0),COLUMN(HostBuild[Description]))&lt;&gt;0,INDEX(HostBuild[],MATCH(E850,HostBuild[Alias],0),COLUMN(HostBuild[Description])),""),""),"")</f>
        <v/>
      </c>
    </row>
    <row r="851" spans="1:4">
      <c r="A851" s="3" t="str">
        <f>IF(AND(NOT(ISBLANK(E851)),E851&lt;&gt;"(blank)"),IFERROR(IF(INDEX(HostBuild[],MATCH(E851,HostBuild[Alias],0),COLUMN(HostBuild[Hostname]))&lt;&gt;0,INDEX(HostBuild[],MATCH(E851,HostBuild[Alias],0),COLUMN(HostBuild[Hostname])),""),""),"")</f>
        <v/>
      </c>
      <c r="B851" s="424" t="str">
        <f>IF(AND(NOT(ISBLANK(E851)),E851&lt;&gt;"(blank)"),IFERROR(IF(INDEX(HostBuild[],MATCH(E851,HostBuild[Alias],0),COLUMN(HostBuild[Status]))&lt;&gt;0,INDEX(HostBuild[],MATCH(E851,HostBuild[Alias],0),COLUMN(HostBuild[Status])),""),""),"")</f>
        <v/>
      </c>
      <c r="C851" s="425" t="str">
        <f>IF(AND(NOT(ISBLANK(E851)),E851&lt;&gt;"(blank)"),IFERROR(IF(INDEX(HostBuild[],MATCH(E851,HostBuild[Alias],0),COLUMN(HostBuild[CTI Target Completion]))&lt;&gt;0,INDEX(HostBuild[],MATCH(E851,HostBuild[Alias],0),COLUMN(HostBuild[CTI Target Completion])),""),""),"")</f>
        <v/>
      </c>
      <c r="D851" s="262" t="str">
        <f>IF(AND(NOT(ISBLANK(E851)),E851&lt;&gt;"(blank)"),IFERROR(IF(INDEX(HostBuild[],MATCH(E851,HostBuild[Alias],0),COLUMN(HostBuild[Description]))&lt;&gt;0,INDEX(HostBuild[],MATCH(E851,HostBuild[Alias],0),COLUMN(HostBuild[Description])),""),""),"")</f>
        <v/>
      </c>
    </row>
    <row r="852" spans="1:4">
      <c r="A852" s="3" t="str">
        <f>IF(AND(NOT(ISBLANK(E852)),E852&lt;&gt;"(blank)"),IFERROR(IF(INDEX(HostBuild[],MATCH(E852,HostBuild[Alias],0),COLUMN(HostBuild[Hostname]))&lt;&gt;0,INDEX(HostBuild[],MATCH(E852,HostBuild[Alias],0),COLUMN(HostBuild[Hostname])),""),""),"")</f>
        <v/>
      </c>
      <c r="B852" s="424" t="str">
        <f>IF(AND(NOT(ISBLANK(E852)),E852&lt;&gt;"(blank)"),IFERROR(IF(INDEX(HostBuild[],MATCH(E852,HostBuild[Alias],0),COLUMN(HostBuild[Status]))&lt;&gt;0,INDEX(HostBuild[],MATCH(E852,HostBuild[Alias],0),COLUMN(HostBuild[Status])),""),""),"")</f>
        <v/>
      </c>
      <c r="C852" s="425" t="str">
        <f>IF(AND(NOT(ISBLANK(E852)),E852&lt;&gt;"(blank)"),IFERROR(IF(INDEX(HostBuild[],MATCH(E852,HostBuild[Alias],0),COLUMN(HostBuild[CTI Target Completion]))&lt;&gt;0,INDEX(HostBuild[],MATCH(E852,HostBuild[Alias],0),COLUMN(HostBuild[CTI Target Completion])),""),""),"")</f>
        <v/>
      </c>
      <c r="D852" s="262" t="str">
        <f>IF(AND(NOT(ISBLANK(E852)),E852&lt;&gt;"(blank)"),IFERROR(IF(INDEX(HostBuild[],MATCH(E852,HostBuild[Alias],0),COLUMN(HostBuild[Description]))&lt;&gt;0,INDEX(HostBuild[],MATCH(E852,HostBuild[Alias],0),COLUMN(HostBuild[Description])),""),""),"")</f>
        <v/>
      </c>
    </row>
    <row r="853" spans="1:4">
      <c r="A853" s="3" t="str">
        <f>IF(AND(NOT(ISBLANK(E853)),E853&lt;&gt;"(blank)"),IFERROR(IF(INDEX(HostBuild[],MATCH(E853,HostBuild[Alias],0),COLUMN(HostBuild[Hostname]))&lt;&gt;0,INDEX(HostBuild[],MATCH(E853,HostBuild[Alias],0),COLUMN(HostBuild[Hostname])),""),""),"")</f>
        <v/>
      </c>
      <c r="B853" s="424" t="str">
        <f>IF(AND(NOT(ISBLANK(E853)),E853&lt;&gt;"(blank)"),IFERROR(IF(INDEX(HostBuild[],MATCH(E853,HostBuild[Alias],0),COLUMN(HostBuild[Status]))&lt;&gt;0,INDEX(HostBuild[],MATCH(E853,HostBuild[Alias],0),COLUMN(HostBuild[Status])),""),""),"")</f>
        <v/>
      </c>
      <c r="C853" s="425" t="str">
        <f>IF(AND(NOT(ISBLANK(E853)),E853&lt;&gt;"(blank)"),IFERROR(IF(INDEX(HostBuild[],MATCH(E853,HostBuild[Alias],0),COLUMN(HostBuild[CTI Target Completion]))&lt;&gt;0,INDEX(HostBuild[],MATCH(E853,HostBuild[Alias],0),COLUMN(HostBuild[CTI Target Completion])),""),""),"")</f>
        <v/>
      </c>
      <c r="D853" s="262" t="str">
        <f>IF(AND(NOT(ISBLANK(E853)),E853&lt;&gt;"(blank)"),IFERROR(IF(INDEX(HostBuild[],MATCH(E853,HostBuild[Alias],0),COLUMN(HostBuild[Description]))&lt;&gt;0,INDEX(HostBuild[],MATCH(E853,HostBuild[Alias],0),COLUMN(HostBuild[Description])),""),""),"")</f>
        <v/>
      </c>
    </row>
    <row r="854" spans="1:4">
      <c r="A854" s="3" t="str">
        <f>IF(AND(NOT(ISBLANK(E854)),E854&lt;&gt;"(blank)"),IFERROR(IF(INDEX(HostBuild[],MATCH(E854,HostBuild[Alias],0),COLUMN(HostBuild[Hostname]))&lt;&gt;0,INDEX(HostBuild[],MATCH(E854,HostBuild[Alias],0),COLUMN(HostBuild[Hostname])),""),""),"")</f>
        <v/>
      </c>
      <c r="B854" s="424" t="str">
        <f>IF(AND(NOT(ISBLANK(E854)),E854&lt;&gt;"(blank)"),IFERROR(IF(INDEX(HostBuild[],MATCH(E854,HostBuild[Alias],0),COLUMN(HostBuild[Status]))&lt;&gt;0,INDEX(HostBuild[],MATCH(E854,HostBuild[Alias],0),COLUMN(HostBuild[Status])),""),""),"")</f>
        <v/>
      </c>
      <c r="C854" s="425" t="str">
        <f>IF(AND(NOT(ISBLANK(E854)),E854&lt;&gt;"(blank)"),IFERROR(IF(INDEX(HostBuild[],MATCH(E854,HostBuild[Alias],0),COLUMN(HostBuild[CTI Target Completion]))&lt;&gt;0,INDEX(HostBuild[],MATCH(E854,HostBuild[Alias],0),COLUMN(HostBuild[CTI Target Completion])),""),""),"")</f>
        <v/>
      </c>
      <c r="D854" s="262" t="str">
        <f>IF(AND(NOT(ISBLANK(E854)),E854&lt;&gt;"(blank)"),IFERROR(IF(INDEX(HostBuild[],MATCH(E854,HostBuild[Alias],0),COLUMN(HostBuild[Description]))&lt;&gt;0,INDEX(HostBuild[],MATCH(E854,HostBuild[Alias],0),COLUMN(HostBuild[Description])),""),""),"")</f>
        <v/>
      </c>
    </row>
    <row r="855" spans="1:4">
      <c r="A855" s="3" t="str">
        <f>IF(AND(NOT(ISBLANK(E855)),E855&lt;&gt;"(blank)"),IFERROR(IF(INDEX(HostBuild[],MATCH(E855,HostBuild[Alias],0),COLUMN(HostBuild[Hostname]))&lt;&gt;0,INDEX(HostBuild[],MATCH(E855,HostBuild[Alias],0),COLUMN(HostBuild[Hostname])),""),""),"")</f>
        <v/>
      </c>
      <c r="B855" s="424" t="str">
        <f>IF(AND(NOT(ISBLANK(E855)),E855&lt;&gt;"(blank)"),IFERROR(IF(INDEX(HostBuild[],MATCH(E855,HostBuild[Alias],0),COLUMN(HostBuild[Status]))&lt;&gt;0,INDEX(HostBuild[],MATCH(E855,HostBuild[Alias],0),COLUMN(HostBuild[Status])),""),""),"")</f>
        <v/>
      </c>
      <c r="C855" s="425" t="str">
        <f>IF(AND(NOT(ISBLANK(E855)),E855&lt;&gt;"(blank)"),IFERROR(IF(INDEX(HostBuild[],MATCH(E855,HostBuild[Alias],0),COLUMN(HostBuild[CTI Target Completion]))&lt;&gt;0,INDEX(HostBuild[],MATCH(E855,HostBuild[Alias],0),COLUMN(HostBuild[CTI Target Completion])),""),""),"")</f>
        <v/>
      </c>
      <c r="D855" s="262" t="str">
        <f>IF(AND(NOT(ISBLANK(E855)),E855&lt;&gt;"(blank)"),IFERROR(IF(INDEX(HostBuild[],MATCH(E855,HostBuild[Alias],0),COLUMN(HostBuild[Description]))&lt;&gt;0,INDEX(HostBuild[],MATCH(E855,HostBuild[Alias],0),COLUMN(HostBuild[Description])),""),""),"")</f>
        <v/>
      </c>
    </row>
    <row r="856" spans="1:4">
      <c r="A856" s="3" t="str">
        <f>IF(AND(NOT(ISBLANK(E856)),E856&lt;&gt;"(blank)"),IFERROR(IF(INDEX(HostBuild[],MATCH(E856,HostBuild[Alias],0),COLUMN(HostBuild[Hostname]))&lt;&gt;0,INDEX(HostBuild[],MATCH(E856,HostBuild[Alias],0),COLUMN(HostBuild[Hostname])),""),""),"")</f>
        <v/>
      </c>
      <c r="B856" s="424" t="str">
        <f>IF(AND(NOT(ISBLANK(E856)),E856&lt;&gt;"(blank)"),IFERROR(IF(INDEX(HostBuild[],MATCH(E856,HostBuild[Alias],0),COLUMN(HostBuild[Status]))&lt;&gt;0,INDEX(HostBuild[],MATCH(E856,HostBuild[Alias],0),COLUMN(HostBuild[Status])),""),""),"")</f>
        <v/>
      </c>
      <c r="C856" s="425" t="str">
        <f>IF(AND(NOT(ISBLANK(E856)),E856&lt;&gt;"(blank)"),IFERROR(IF(INDEX(HostBuild[],MATCH(E856,HostBuild[Alias],0),COLUMN(HostBuild[CTI Target Completion]))&lt;&gt;0,INDEX(HostBuild[],MATCH(E856,HostBuild[Alias],0),COLUMN(HostBuild[CTI Target Completion])),""),""),"")</f>
        <v/>
      </c>
      <c r="D856" s="262" t="str">
        <f>IF(AND(NOT(ISBLANK(E856)),E856&lt;&gt;"(blank)"),IFERROR(IF(INDEX(HostBuild[],MATCH(E856,HostBuild[Alias],0),COLUMN(HostBuild[Description]))&lt;&gt;0,INDEX(HostBuild[],MATCH(E856,HostBuild[Alias],0),COLUMN(HostBuild[Description])),""),""),"")</f>
        <v/>
      </c>
    </row>
    <row r="857" spans="1:4">
      <c r="A857" s="3" t="str">
        <f>IF(AND(NOT(ISBLANK(E857)),E857&lt;&gt;"(blank)"),IFERROR(IF(INDEX(HostBuild[],MATCH(E857,HostBuild[Alias],0),COLUMN(HostBuild[Hostname]))&lt;&gt;0,INDEX(HostBuild[],MATCH(E857,HostBuild[Alias],0),COLUMN(HostBuild[Hostname])),""),""),"")</f>
        <v/>
      </c>
      <c r="B857" s="424" t="str">
        <f>IF(AND(NOT(ISBLANK(E857)),E857&lt;&gt;"(blank)"),IFERROR(IF(INDEX(HostBuild[],MATCH(E857,HostBuild[Alias],0),COLUMN(HostBuild[Status]))&lt;&gt;0,INDEX(HostBuild[],MATCH(E857,HostBuild[Alias],0),COLUMN(HostBuild[Status])),""),""),"")</f>
        <v/>
      </c>
      <c r="C857" s="425" t="str">
        <f>IF(AND(NOT(ISBLANK(E857)),E857&lt;&gt;"(blank)"),IFERROR(IF(INDEX(HostBuild[],MATCH(E857,HostBuild[Alias],0),COLUMN(HostBuild[CTI Target Completion]))&lt;&gt;0,INDEX(HostBuild[],MATCH(E857,HostBuild[Alias],0),COLUMN(HostBuild[CTI Target Completion])),""),""),"")</f>
        <v/>
      </c>
      <c r="D857" s="262" t="str">
        <f>IF(AND(NOT(ISBLANK(E857)),E857&lt;&gt;"(blank)"),IFERROR(IF(INDEX(HostBuild[],MATCH(E857,HostBuild[Alias],0),COLUMN(HostBuild[Description]))&lt;&gt;0,INDEX(HostBuild[],MATCH(E857,HostBuild[Alias],0),COLUMN(HostBuild[Description])),""),""),"")</f>
        <v/>
      </c>
    </row>
    <row r="858" spans="1:4">
      <c r="A858" s="3" t="str">
        <f>IF(AND(NOT(ISBLANK(E858)),E858&lt;&gt;"(blank)"),IFERROR(IF(INDEX(HostBuild[],MATCH(E858,HostBuild[Alias],0),COLUMN(HostBuild[Hostname]))&lt;&gt;0,INDEX(HostBuild[],MATCH(E858,HostBuild[Alias],0),COLUMN(HostBuild[Hostname])),""),""),"")</f>
        <v/>
      </c>
      <c r="B858" s="424" t="str">
        <f>IF(AND(NOT(ISBLANK(E858)),E858&lt;&gt;"(blank)"),IFERROR(IF(INDEX(HostBuild[],MATCH(E858,HostBuild[Alias],0),COLUMN(HostBuild[Status]))&lt;&gt;0,INDEX(HostBuild[],MATCH(E858,HostBuild[Alias],0),COLUMN(HostBuild[Status])),""),""),"")</f>
        <v/>
      </c>
      <c r="C858" s="425" t="str">
        <f>IF(AND(NOT(ISBLANK(E858)),E858&lt;&gt;"(blank)"),IFERROR(IF(INDEX(HostBuild[],MATCH(E858,HostBuild[Alias],0),COLUMN(HostBuild[CTI Target Completion]))&lt;&gt;0,INDEX(HostBuild[],MATCH(E858,HostBuild[Alias],0),COLUMN(HostBuild[CTI Target Completion])),""),""),"")</f>
        <v/>
      </c>
      <c r="D858" s="262" t="str">
        <f>IF(AND(NOT(ISBLANK(E858)),E858&lt;&gt;"(blank)"),IFERROR(IF(INDEX(HostBuild[],MATCH(E858,HostBuild[Alias],0),COLUMN(HostBuild[Description]))&lt;&gt;0,INDEX(HostBuild[],MATCH(E858,HostBuild[Alias],0),COLUMN(HostBuild[Description])),""),""),"")</f>
        <v/>
      </c>
    </row>
    <row r="859" spans="1:4">
      <c r="A859" s="3" t="str">
        <f>IF(AND(NOT(ISBLANK(E859)),E859&lt;&gt;"(blank)"),IFERROR(IF(INDEX(HostBuild[],MATCH(E859,HostBuild[Alias],0),COLUMN(HostBuild[Hostname]))&lt;&gt;0,INDEX(HostBuild[],MATCH(E859,HostBuild[Alias],0),COLUMN(HostBuild[Hostname])),""),""),"")</f>
        <v/>
      </c>
      <c r="B859" s="424" t="str">
        <f>IF(AND(NOT(ISBLANK(E859)),E859&lt;&gt;"(blank)"),IFERROR(IF(INDEX(HostBuild[],MATCH(E859,HostBuild[Alias],0),COLUMN(HostBuild[Status]))&lt;&gt;0,INDEX(HostBuild[],MATCH(E859,HostBuild[Alias],0),COLUMN(HostBuild[Status])),""),""),"")</f>
        <v/>
      </c>
      <c r="C859" s="425" t="str">
        <f>IF(AND(NOT(ISBLANK(E859)),E859&lt;&gt;"(blank)"),IFERROR(IF(INDEX(HostBuild[],MATCH(E859,HostBuild[Alias],0),COLUMN(HostBuild[CTI Target Completion]))&lt;&gt;0,INDEX(HostBuild[],MATCH(E859,HostBuild[Alias],0),COLUMN(HostBuild[CTI Target Completion])),""),""),"")</f>
        <v/>
      </c>
      <c r="D859" s="262" t="str">
        <f>IF(AND(NOT(ISBLANK(E859)),E859&lt;&gt;"(blank)"),IFERROR(IF(INDEX(HostBuild[],MATCH(E859,HostBuild[Alias],0),COLUMN(HostBuild[Description]))&lt;&gt;0,INDEX(HostBuild[],MATCH(E859,HostBuild[Alias],0),COLUMN(HostBuild[Description])),""),""),"")</f>
        <v/>
      </c>
    </row>
    <row r="860" spans="1:4">
      <c r="A860" s="3" t="str">
        <f>IF(AND(NOT(ISBLANK(E860)),E860&lt;&gt;"(blank)"),IFERROR(IF(INDEX(HostBuild[],MATCH(E860,HostBuild[Alias],0),COLUMN(HostBuild[Hostname]))&lt;&gt;0,INDEX(HostBuild[],MATCH(E860,HostBuild[Alias],0),COLUMN(HostBuild[Hostname])),""),""),"")</f>
        <v/>
      </c>
      <c r="B860" s="424" t="str">
        <f>IF(AND(NOT(ISBLANK(E860)),E860&lt;&gt;"(blank)"),IFERROR(IF(INDEX(HostBuild[],MATCH(E860,HostBuild[Alias],0),COLUMN(HostBuild[Status]))&lt;&gt;0,INDEX(HostBuild[],MATCH(E860,HostBuild[Alias],0),COLUMN(HostBuild[Status])),""),""),"")</f>
        <v/>
      </c>
      <c r="C860" s="425" t="str">
        <f>IF(AND(NOT(ISBLANK(E860)),E860&lt;&gt;"(blank)"),IFERROR(IF(INDEX(HostBuild[],MATCH(E860,HostBuild[Alias],0),COLUMN(HostBuild[CTI Target Completion]))&lt;&gt;0,INDEX(HostBuild[],MATCH(E860,HostBuild[Alias],0),COLUMN(HostBuild[CTI Target Completion])),""),""),"")</f>
        <v/>
      </c>
      <c r="D860" s="262" t="str">
        <f>IF(AND(NOT(ISBLANK(E860)),E860&lt;&gt;"(blank)"),IFERROR(IF(INDEX(HostBuild[],MATCH(E860,HostBuild[Alias],0),COLUMN(HostBuild[Description]))&lt;&gt;0,INDEX(HostBuild[],MATCH(E860,HostBuild[Alias],0),COLUMN(HostBuild[Description])),""),""),"")</f>
        <v/>
      </c>
    </row>
    <row r="861" spans="1:4">
      <c r="A861" s="3" t="str">
        <f>IF(AND(NOT(ISBLANK(E861)),E861&lt;&gt;"(blank)"),IFERROR(IF(INDEX(HostBuild[],MATCH(E861,HostBuild[Alias],0),COLUMN(HostBuild[Hostname]))&lt;&gt;0,INDEX(HostBuild[],MATCH(E861,HostBuild[Alias],0),COLUMN(HostBuild[Hostname])),""),""),"")</f>
        <v/>
      </c>
      <c r="B861" s="424" t="str">
        <f>IF(AND(NOT(ISBLANK(E861)),E861&lt;&gt;"(blank)"),IFERROR(IF(INDEX(HostBuild[],MATCH(E861,HostBuild[Alias],0),COLUMN(HostBuild[Status]))&lt;&gt;0,INDEX(HostBuild[],MATCH(E861,HostBuild[Alias],0),COLUMN(HostBuild[Status])),""),""),"")</f>
        <v/>
      </c>
      <c r="C861" s="425" t="str">
        <f>IF(AND(NOT(ISBLANK(E861)),E861&lt;&gt;"(blank)"),IFERROR(IF(INDEX(HostBuild[],MATCH(E861,HostBuild[Alias],0),COLUMN(HostBuild[CTI Target Completion]))&lt;&gt;0,INDEX(HostBuild[],MATCH(E861,HostBuild[Alias],0),COLUMN(HostBuild[CTI Target Completion])),""),""),"")</f>
        <v/>
      </c>
      <c r="D861" s="262" t="str">
        <f>IF(AND(NOT(ISBLANK(E861)),E861&lt;&gt;"(blank)"),IFERROR(IF(INDEX(HostBuild[],MATCH(E861,HostBuild[Alias],0),COLUMN(HostBuild[Description]))&lt;&gt;0,INDEX(HostBuild[],MATCH(E861,HostBuild[Alias],0),COLUMN(HostBuild[Description])),""),""),"")</f>
        <v/>
      </c>
    </row>
    <row r="862" spans="1:4">
      <c r="A862" s="3" t="str">
        <f>IF(AND(NOT(ISBLANK(E862)),E862&lt;&gt;"(blank)"),IFERROR(IF(INDEX(HostBuild[],MATCH(E862,HostBuild[Alias],0),COLUMN(HostBuild[Hostname]))&lt;&gt;0,INDEX(HostBuild[],MATCH(E862,HostBuild[Alias],0),COLUMN(HostBuild[Hostname])),""),""),"")</f>
        <v/>
      </c>
      <c r="B862" s="424" t="str">
        <f>IF(AND(NOT(ISBLANK(E862)),E862&lt;&gt;"(blank)"),IFERROR(IF(INDEX(HostBuild[],MATCH(E862,HostBuild[Alias],0),COLUMN(HostBuild[Status]))&lt;&gt;0,INDEX(HostBuild[],MATCH(E862,HostBuild[Alias],0),COLUMN(HostBuild[Status])),""),""),"")</f>
        <v/>
      </c>
      <c r="C862" s="425" t="str">
        <f>IF(AND(NOT(ISBLANK(E862)),E862&lt;&gt;"(blank)"),IFERROR(IF(INDEX(HostBuild[],MATCH(E862,HostBuild[Alias],0),COLUMN(HostBuild[CTI Target Completion]))&lt;&gt;0,INDEX(HostBuild[],MATCH(E862,HostBuild[Alias],0),COLUMN(HostBuild[CTI Target Completion])),""),""),"")</f>
        <v/>
      </c>
      <c r="D862" s="262" t="str">
        <f>IF(AND(NOT(ISBLANK(E862)),E862&lt;&gt;"(blank)"),IFERROR(IF(INDEX(HostBuild[],MATCH(E862,HostBuild[Alias],0),COLUMN(HostBuild[Description]))&lt;&gt;0,INDEX(HostBuild[],MATCH(E862,HostBuild[Alias],0),COLUMN(HostBuild[Description])),""),""),"")</f>
        <v/>
      </c>
    </row>
    <row r="863" spans="1:4">
      <c r="A863" s="3" t="str">
        <f>IF(AND(NOT(ISBLANK(E863)),E863&lt;&gt;"(blank)"),IFERROR(IF(INDEX(HostBuild[],MATCH(E863,HostBuild[Alias],0),COLUMN(HostBuild[Hostname]))&lt;&gt;0,INDEX(HostBuild[],MATCH(E863,HostBuild[Alias],0),COLUMN(HostBuild[Hostname])),""),""),"")</f>
        <v/>
      </c>
      <c r="B863" s="424" t="str">
        <f>IF(AND(NOT(ISBLANK(E863)),E863&lt;&gt;"(blank)"),IFERROR(IF(INDEX(HostBuild[],MATCH(E863,HostBuild[Alias],0),COLUMN(HostBuild[Status]))&lt;&gt;0,INDEX(HostBuild[],MATCH(E863,HostBuild[Alias],0),COLUMN(HostBuild[Status])),""),""),"")</f>
        <v/>
      </c>
      <c r="C863" s="425" t="str">
        <f>IF(AND(NOT(ISBLANK(E863)),E863&lt;&gt;"(blank)"),IFERROR(IF(INDEX(HostBuild[],MATCH(E863,HostBuild[Alias],0),COLUMN(HostBuild[CTI Target Completion]))&lt;&gt;0,INDEX(HostBuild[],MATCH(E863,HostBuild[Alias],0),COLUMN(HostBuild[CTI Target Completion])),""),""),"")</f>
        <v/>
      </c>
      <c r="D863" s="262" t="str">
        <f>IF(AND(NOT(ISBLANK(E863)),E863&lt;&gt;"(blank)"),IFERROR(IF(INDEX(HostBuild[],MATCH(E863,HostBuild[Alias],0),COLUMN(HostBuild[Description]))&lt;&gt;0,INDEX(HostBuild[],MATCH(E863,HostBuild[Alias],0),COLUMN(HostBuild[Description])),""),""),"")</f>
        <v/>
      </c>
    </row>
    <row r="864" spans="1:4">
      <c r="A864" s="3" t="str">
        <f>IF(AND(NOT(ISBLANK(E864)),E864&lt;&gt;"(blank)"),IFERROR(IF(INDEX(HostBuild[],MATCH(E864,HostBuild[Alias],0),COLUMN(HostBuild[Hostname]))&lt;&gt;0,INDEX(HostBuild[],MATCH(E864,HostBuild[Alias],0),COLUMN(HostBuild[Hostname])),""),""),"")</f>
        <v/>
      </c>
      <c r="B864" s="424" t="str">
        <f>IF(AND(NOT(ISBLANK(E864)),E864&lt;&gt;"(blank)"),IFERROR(IF(INDEX(HostBuild[],MATCH(E864,HostBuild[Alias],0),COLUMN(HostBuild[Status]))&lt;&gt;0,INDEX(HostBuild[],MATCH(E864,HostBuild[Alias],0),COLUMN(HostBuild[Status])),""),""),"")</f>
        <v/>
      </c>
      <c r="C864" s="425" t="str">
        <f>IF(AND(NOT(ISBLANK(E864)),E864&lt;&gt;"(blank)"),IFERROR(IF(INDEX(HostBuild[],MATCH(E864,HostBuild[Alias],0),COLUMN(HostBuild[CTI Target Completion]))&lt;&gt;0,INDEX(HostBuild[],MATCH(E864,HostBuild[Alias],0),COLUMN(HostBuild[CTI Target Completion])),""),""),"")</f>
        <v/>
      </c>
      <c r="D864" s="262" t="str">
        <f>IF(AND(NOT(ISBLANK(E864)),E864&lt;&gt;"(blank)"),IFERROR(IF(INDEX(HostBuild[],MATCH(E864,HostBuild[Alias],0),COLUMN(HostBuild[Description]))&lt;&gt;0,INDEX(HostBuild[],MATCH(E864,HostBuild[Alias],0),COLUMN(HostBuild[Description])),""),""),"")</f>
        <v/>
      </c>
    </row>
    <row r="865" spans="1:4">
      <c r="A865" s="3" t="str">
        <f>IF(AND(NOT(ISBLANK(E865)),E865&lt;&gt;"(blank)"),IFERROR(IF(INDEX(HostBuild[],MATCH(E865,HostBuild[Alias],0),COLUMN(HostBuild[Hostname]))&lt;&gt;0,INDEX(HostBuild[],MATCH(E865,HostBuild[Alias],0),COLUMN(HostBuild[Hostname])),""),""),"")</f>
        <v/>
      </c>
      <c r="B865" s="424" t="str">
        <f>IF(AND(NOT(ISBLANK(E865)),E865&lt;&gt;"(blank)"),IFERROR(IF(INDEX(HostBuild[],MATCH(E865,HostBuild[Alias],0),COLUMN(HostBuild[Status]))&lt;&gt;0,INDEX(HostBuild[],MATCH(E865,HostBuild[Alias],0),COLUMN(HostBuild[Status])),""),""),"")</f>
        <v/>
      </c>
      <c r="C865" s="425" t="str">
        <f>IF(AND(NOT(ISBLANK(E865)),E865&lt;&gt;"(blank)"),IFERROR(IF(INDEX(HostBuild[],MATCH(E865,HostBuild[Alias],0),COLUMN(HostBuild[CTI Target Completion]))&lt;&gt;0,INDEX(HostBuild[],MATCH(E865,HostBuild[Alias],0),COLUMN(HostBuild[CTI Target Completion])),""),""),"")</f>
        <v/>
      </c>
      <c r="D865" s="262" t="str">
        <f>IF(AND(NOT(ISBLANK(E865)),E865&lt;&gt;"(blank)"),IFERROR(IF(INDEX(HostBuild[],MATCH(E865,HostBuild[Alias],0),COLUMN(HostBuild[Description]))&lt;&gt;0,INDEX(HostBuild[],MATCH(E865,HostBuild[Alias],0),COLUMN(HostBuild[Description])),""),""),"")</f>
        <v/>
      </c>
    </row>
    <row r="866" spans="1:4">
      <c r="A866" s="3" t="str">
        <f>IF(AND(NOT(ISBLANK(E866)),E866&lt;&gt;"(blank)"),IFERROR(IF(INDEX(HostBuild[],MATCH(E866,HostBuild[Alias],0),COLUMN(HostBuild[Hostname]))&lt;&gt;0,INDEX(HostBuild[],MATCH(E866,HostBuild[Alias],0),COLUMN(HostBuild[Hostname])),""),""),"")</f>
        <v/>
      </c>
      <c r="B866" s="424" t="str">
        <f>IF(AND(NOT(ISBLANK(E866)),E866&lt;&gt;"(blank)"),IFERROR(IF(INDEX(HostBuild[],MATCH(E866,HostBuild[Alias],0),COLUMN(HostBuild[Status]))&lt;&gt;0,INDEX(HostBuild[],MATCH(E866,HostBuild[Alias],0),COLUMN(HostBuild[Status])),""),""),"")</f>
        <v/>
      </c>
      <c r="C866" s="425" t="str">
        <f>IF(AND(NOT(ISBLANK(E866)),E866&lt;&gt;"(blank)"),IFERROR(IF(INDEX(HostBuild[],MATCH(E866,HostBuild[Alias],0),COLUMN(HostBuild[CTI Target Completion]))&lt;&gt;0,INDEX(HostBuild[],MATCH(E866,HostBuild[Alias],0),COLUMN(HostBuild[CTI Target Completion])),""),""),"")</f>
        <v/>
      </c>
      <c r="D866" s="262" t="str">
        <f>IF(AND(NOT(ISBLANK(E866)),E866&lt;&gt;"(blank)"),IFERROR(IF(INDEX(HostBuild[],MATCH(E866,HostBuild[Alias],0),COLUMN(HostBuild[Description]))&lt;&gt;0,INDEX(HostBuild[],MATCH(E866,HostBuild[Alias],0),COLUMN(HostBuild[Description])),""),""),"")</f>
        <v/>
      </c>
    </row>
    <row r="867" spans="1:4">
      <c r="A867" s="3" t="str">
        <f>IF(AND(NOT(ISBLANK(E867)),E867&lt;&gt;"(blank)"),IFERROR(IF(INDEX(HostBuild[],MATCH(E867,HostBuild[Alias],0),COLUMN(HostBuild[Hostname]))&lt;&gt;0,INDEX(HostBuild[],MATCH(E867,HostBuild[Alias],0),COLUMN(HostBuild[Hostname])),""),""),"")</f>
        <v/>
      </c>
      <c r="B867" s="424" t="str">
        <f>IF(AND(NOT(ISBLANK(E867)),E867&lt;&gt;"(blank)"),IFERROR(IF(INDEX(HostBuild[],MATCH(E867,HostBuild[Alias],0),COLUMN(HostBuild[Status]))&lt;&gt;0,INDEX(HostBuild[],MATCH(E867,HostBuild[Alias],0),COLUMN(HostBuild[Status])),""),""),"")</f>
        <v/>
      </c>
      <c r="C867" s="425" t="str">
        <f>IF(AND(NOT(ISBLANK(E867)),E867&lt;&gt;"(blank)"),IFERROR(IF(INDEX(HostBuild[],MATCH(E867,HostBuild[Alias],0),COLUMN(HostBuild[CTI Target Completion]))&lt;&gt;0,INDEX(HostBuild[],MATCH(E867,HostBuild[Alias],0),COLUMN(HostBuild[CTI Target Completion])),""),""),"")</f>
        <v/>
      </c>
      <c r="D867" s="262" t="str">
        <f>IF(AND(NOT(ISBLANK(E867)),E867&lt;&gt;"(blank)"),IFERROR(IF(INDEX(HostBuild[],MATCH(E867,HostBuild[Alias],0),COLUMN(HostBuild[Description]))&lt;&gt;0,INDEX(HostBuild[],MATCH(E867,HostBuild[Alias],0),COLUMN(HostBuild[Description])),""),""),"")</f>
        <v/>
      </c>
    </row>
    <row r="868" spans="1:4">
      <c r="A868" s="3" t="str">
        <f>IF(AND(NOT(ISBLANK(E868)),E868&lt;&gt;"(blank)"),IFERROR(IF(INDEX(HostBuild[],MATCH(E868,HostBuild[Alias],0),COLUMN(HostBuild[Hostname]))&lt;&gt;0,INDEX(HostBuild[],MATCH(E868,HostBuild[Alias],0),COLUMN(HostBuild[Hostname])),""),""),"")</f>
        <v/>
      </c>
      <c r="B868" s="424" t="str">
        <f>IF(AND(NOT(ISBLANK(E868)),E868&lt;&gt;"(blank)"),IFERROR(IF(INDEX(HostBuild[],MATCH(E868,HostBuild[Alias],0),COLUMN(HostBuild[Status]))&lt;&gt;0,INDEX(HostBuild[],MATCH(E868,HostBuild[Alias],0),COLUMN(HostBuild[Status])),""),""),"")</f>
        <v/>
      </c>
      <c r="C868" s="425" t="str">
        <f>IF(AND(NOT(ISBLANK(E868)),E868&lt;&gt;"(blank)"),IFERROR(IF(INDEX(HostBuild[],MATCH(E868,HostBuild[Alias],0),COLUMN(HostBuild[CTI Target Completion]))&lt;&gt;0,INDEX(HostBuild[],MATCH(E868,HostBuild[Alias],0),COLUMN(HostBuild[CTI Target Completion])),""),""),"")</f>
        <v/>
      </c>
      <c r="D868" s="262" t="str">
        <f>IF(AND(NOT(ISBLANK(E868)),E868&lt;&gt;"(blank)"),IFERROR(IF(INDEX(HostBuild[],MATCH(E868,HostBuild[Alias],0),COLUMN(HostBuild[Description]))&lt;&gt;0,INDEX(HostBuild[],MATCH(E868,HostBuild[Alias],0),COLUMN(HostBuild[Description])),""),""),"")</f>
        <v/>
      </c>
    </row>
    <row r="869" spans="1:4">
      <c r="A869" s="3" t="str">
        <f>IF(AND(NOT(ISBLANK(E869)),E869&lt;&gt;"(blank)"),IFERROR(IF(INDEX(HostBuild[],MATCH(E869,HostBuild[Alias],0),COLUMN(HostBuild[Hostname]))&lt;&gt;0,INDEX(HostBuild[],MATCH(E869,HostBuild[Alias],0),COLUMN(HostBuild[Hostname])),""),""),"")</f>
        <v/>
      </c>
      <c r="B869" s="424" t="str">
        <f>IF(AND(NOT(ISBLANK(E869)),E869&lt;&gt;"(blank)"),IFERROR(IF(INDEX(HostBuild[],MATCH(E869,HostBuild[Alias],0),COLUMN(HostBuild[Status]))&lt;&gt;0,INDEX(HostBuild[],MATCH(E869,HostBuild[Alias],0),COLUMN(HostBuild[Status])),""),""),"")</f>
        <v/>
      </c>
      <c r="C869" s="425" t="str">
        <f>IF(AND(NOT(ISBLANK(E869)),E869&lt;&gt;"(blank)"),IFERROR(IF(INDEX(HostBuild[],MATCH(E869,HostBuild[Alias],0),COLUMN(HostBuild[CTI Target Completion]))&lt;&gt;0,INDEX(HostBuild[],MATCH(E869,HostBuild[Alias],0),COLUMN(HostBuild[CTI Target Completion])),""),""),"")</f>
        <v/>
      </c>
      <c r="D869" s="262" t="str">
        <f>IF(AND(NOT(ISBLANK(E869)),E869&lt;&gt;"(blank)"),IFERROR(IF(INDEX(HostBuild[],MATCH(E869,HostBuild[Alias],0),COLUMN(HostBuild[Description]))&lt;&gt;0,INDEX(HostBuild[],MATCH(E869,HostBuild[Alias],0),COLUMN(HostBuild[Description])),""),""),"")</f>
        <v/>
      </c>
    </row>
    <row r="870" spans="1:4">
      <c r="A870" s="3" t="str">
        <f>IF(AND(NOT(ISBLANK(E870)),E870&lt;&gt;"(blank)"),IFERROR(IF(INDEX(HostBuild[],MATCH(E870,HostBuild[Alias],0),COLUMN(HostBuild[Hostname]))&lt;&gt;0,INDEX(HostBuild[],MATCH(E870,HostBuild[Alias],0),COLUMN(HostBuild[Hostname])),""),""),"")</f>
        <v/>
      </c>
      <c r="B870" s="424" t="str">
        <f>IF(AND(NOT(ISBLANK(E870)),E870&lt;&gt;"(blank)"),IFERROR(IF(INDEX(HostBuild[],MATCH(E870,HostBuild[Alias],0),COLUMN(HostBuild[Status]))&lt;&gt;0,INDEX(HostBuild[],MATCH(E870,HostBuild[Alias],0),COLUMN(HostBuild[Status])),""),""),"")</f>
        <v/>
      </c>
      <c r="C870" s="425" t="str">
        <f>IF(AND(NOT(ISBLANK(E870)),E870&lt;&gt;"(blank)"),IFERROR(IF(INDEX(HostBuild[],MATCH(E870,HostBuild[Alias],0),COLUMN(HostBuild[CTI Target Completion]))&lt;&gt;0,INDEX(HostBuild[],MATCH(E870,HostBuild[Alias],0),COLUMN(HostBuild[CTI Target Completion])),""),""),"")</f>
        <v/>
      </c>
      <c r="D870" s="262" t="str">
        <f>IF(AND(NOT(ISBLANK(E870)),E870&lt;&gt;"(blank)"),IFERROR(IF(INDEX(HostBuild[],MATCH(E870,HostBuild[Alias],0),COLUMN(HostBuild[Description]))&lt;&gt;0,INDEX(HostBuild[],MATCH(E870,HostBuild[Alias],0),COLUMN(HostBuild[Description])),""),""),"")</f>
        <v/>
      </c>
    </row>
    <row r="871" spans="1:4">
      <c r="A871" s="3" t="str">
        <f>IF(AND(NOT(ISBLANK(E871)),E871&lt;&gt;"(blank)"),IFERROR(IF(INDEX(HostBuild[],MATCH(E871,HostBuild[Alias],0),COLUMN(HostBuild[Hostname]))&lt;&gt;0,INDEX(HostBuild[],MATCH(E871,HostBuild[Alias],0),COLUMN(HostBuild[Hostname])),""),""),"")</f>
        <v/>
      </c>
      <c r="B871" s="424" t="str">
        <f>IF(AND(NOT(ISBLANK(E871)),E871&lt;&gt;"(blank)"),IFERROR(IF(INDEX(HostBuild[],MATCH(E871,HostBuild[Alias],0),COLUMN(HostBuild[Status]))&lt;&gt;0,INDEX(HostBuild[],MATCH(E871,HostBuild[Alias],0),COLUMN(HostBuild[Status])),""),""),"")</f>
        <v/>
      </c>
      <c r="C871" s="425" t="str">
        <f>IF(AND(NOT(ISBLANK(E871)),E871&lt;&gt;"(blank)"),IFERROR(IF(INDEX(HostBuild[],MATCH(E871,HostBuild[Alias],0),COLUMN(HostBuild[CTI Target Completion]))&lt;&gt;0,INDEX(HostBuild[],MATCH(E871,HostBuild[Alias],0),COLUMN(HostBuild[CTI Target Completion])),""),""),"")</f>
        <v/>
      </c>
      <c r="D871" s="262" t="str">
        <f>IF(AND(NOT(ISBLANK(E871)),E871&lt;&gt;"(blank)"),IFERROR(IF(INDEX(HostBuild[],MATCH(E871,HostBuild[Alias],0),COLUMN(HostBuild[Description]))&lt;&gt;0,INDEX(HostBuild[],MATCH(E871,HostBuild[Alias],0),COLUMN(HostBuild[Description])),""),""),"")</f>
        <v/>
      </c>
    </row>
    <row r="872" spans="1:4">
      <c r="A872" s="3" t="str">
        <f>IF(AND(NOT(ISBLANK(E872)),E872&lt;&gt;"(blank)"),IFERROR(IF(INDEX(HostBuild[],MATCH(E872,HostBuild[Alias],0),COLUMN(HostBuild[Hostname]))&lt;&gt;0,INDEX(HostBuild[],MATCH(E872,HostBuild[Alias],0),COLUMN(HostBuild[Hostname])),""),""),"")</f>
        <v/>
      </c>
      <c r="B872" s="424" t="str">
        <f>IF(AND(NOT(ISBLANK(E872)),E872&lt;&gt;"(blank)"),IFERROR(IF(INDEX(HostBuild[],MATCH(E872,HostBuild[Alias],0),COLUMN(HostBuild[Status]))&lt;&gt;0,INDEX(HostBuild[],MATCH(E872,HostBuild[Alias],0),COLUMN(HostBuild[Status])),""),""),"")</f>
        <v/>
      </c>
      <c r="C872" s="425" t="str">
        <f>IF(AND(NOT(ISBLANK(E872)),E872&lt;&gt;"(blank)"),IFERROR(IF(INDEX(HostBuild[],MATCH(E872,HostBuild[Alias],0),COLUMN(HostBuild[CTI Target Completion]))&lt;&gt;0,INDEX(HostBuild[],MATCH(E872,HostBuild[Alias],0),COLUMN(HostBuild[CTI Target Completion])),""),""),"")</f>
        <v/>
      </c>
      <c r="D872" s="262" t="str">
        <f>IF(AND(NOT(ISBLANK(E872)),E872&lt;&gt;"(blank)"),IFERROR(IF(INDEX(HostBuild[],MATCH(E872,HostBuild[Alias],0),COLUMN(HostBuild[Description]))&lt;&gt;0,INDEX(HostBuild[],MATCH(E872,HostBuild[Alias],0),COLUMN(HostBuild[Description])),""),""),"")</f>
        <v/>
      </c>
    </row>
    <row r="873" spans="1:4">
      <c r="A873" s="3" t="str">
        <f>IF(AND(NOT(ISBLANK(E873)),E873&lt;&gt;"(blank)"),IFERROR(IF(INDEX(HostBuild[],MATCH(E873,HostBuild[Alias],0),COLUMN(HostBuild[Hostname]))&lt;&gt;0,INDEX(HostBuild[],MATCH(E873,HostBuild[Alias],0),COLUMN(HostBuild[Hostname])),""),""),"")</f>
        <v/>
      </c>
      <c r="B873" s="424" t="str">
        <f>IF(AND(NOT(ISBLANK(E873)),E873&lt;&gt;"(blank)"),IFERROR(IF(INDEX(HostBuild[],MATCH(E873,HostBuild[Alias],0),COLUMN(HostBuild[Status]))&lt;&gt;0,INDEX(HostBuild[],MATCH(E873,HostBuild[Alias],0),COLUMN(HostBuild[Status])),""),""),"")</f>
        <v/>
      </c>
      <c r="C873" s="425" t="str">
        <f>IF(AND(NOT(ISBLANK(E873)),E873&lt;&gt;"(blank)"),IFERROR(IF(INDEX(HostBuild[],MATCH(E873,HostBuild[Alias],0),COLUMN(HostBuild[CTI Target Completion]))&lt;&gt;0,INDEX(HostBuild[],MATCH(E873,HostBuild[Alias],0),COLUMN(HostBuild[CTI Target Completion])),""),""),"")</f>
        <v/>
      </c>
      <c r="D873" s="262" t="str">
        <f>IF(AND(NOT(ISBLANK(E873)),E873&lt;&gt;"(blank)"),IFERROR(IF(INDEX(HostBuild[],MATCH(E873,HostBuild[Alias],0),COLUMN(HostBuild[Description]))&lt;&gt;0,INDEX(HostBuild[],MATCH(E873,HostBuild[Alias],0),COLUMN(HostBuild[Description])),""),""),"")</f>
        <v/>
      </c>
    </row>
    <row r="874" spans="1:4">
      <c r="A874" s="3" t="str">
        <f>IF(AND(NOT(ISBLANK(E874)),E874&lt;&gt;"(blank)"),IFERROR(IF(INDEX(HostBuild[],MATCH(E874,HostBuild[Alias],0),COLUMN(HostBuild[Hostname]))&lt;&gt;0,INDEX(HostBuild[],MATCH(E874,HostBuild[Alias],0),COLUMN(HostBuild[Hostname])),""),""),"")</f>
        <v/>
      </c>
      <c r="B874" s="424" t="str">
        <f>IF(AND(NOT(ISBLANK(E874)),E874&lt;&gt;"(blank)"),IFERROR(IF(INDEX(HostBuild[],MATCH(E874,HostBuild[Alias],0),COLUMN(HostBuild[Status]))&lt;&gt;0,INDEX(HostBuild[],MATCH(E874,HostBuild[Alias],0),COLUMN(HostBuild[Status])),""),""),"")</f>
        <v/>
      </c>
      <c r="C874" s="425" t="str">
        <f>IF(AND(NOT(ISBLANK(E874)),E874&lt;&gt;"(blank)"),IFERROR(IF(INDEX(HostBuild[],MATCH(E874,HostBuild[Alias],0),COLUMN(HostBuild[CTI Target Completion]))&lt;&gt;0,INDEX(HostBuild[],MATCH(E874,HostBuild[Alias],0),COLUMN(HostBuild[CTI Target Completion])),""),""),"")</f>
        <v/>
      </c>
      <c r="D874" s="262" t="str">
        <f>IF(AND(NOT(ISBLANK(E874)),E874&lt;&gt;"(blank)"),IFERROR(IF(INDEX(HostBuild[],MATCH(E874,HostBuild[Alias],0),COLUMN(HostBuild[Description]))&lt;&gt;0,INDEX(HostBuild[],MATCH(E874,HostBuild[Alias],0),COLUMN(HostBuild[Description])),""),""),"")</f>
        <v/>
      </c>
    </row>
    <row r="875" spans="1:4">
      <c r="A875" s="3" t="str">
        <f>IF(AND(NOT(ISBLANK(E875)),E875&lt;&gt;"(blank)"),IFERROR(IF(INDEX(HostBuild[],MATCH(E875,HostBuild[Alias],0),COLUMN(HostBuild[Hostname]))&lt;&gt;0,INDEX(HostBuild[],MATCH(E875,HostBuild[Alias],0),COLUMN(HostBuild[Hostname])),""),""),"")</f>
        <v/>
      </c>
      <c r="B875" s="424" t="str">
        <f>IF(AND(NOT(ISBLANK(E875)),E875&lt;&gt;"(blank)"),IFERROR(IF(INDEX(HostBuild[],MATCH(E875,HostBuild[Alias],0),COLUMN(HostBuild[Status]))&lt;&gt;0,INDEX(HostBuild[],MATCH(E875,HostBuild[Alias],0),COLUMN(HostBuild[Status])),""),""),"")</f>
        <v/>
      </c>
      <c r="C875" s="425" t="str">
        <f>IF(AND(NOT(ISBLANK(E875)),E875&lt;&gt;"(blank)"),IFERROR(IF(INDEX(HostBuild[],MATCH(E875,HostBuild[Alias],0),COLUMN(HostBuild[CTI Target Completion]))&lt;&gt;0,INDEX(HostBuild[],MATCH(E875,HostBuild[Alias],0),COLUMN(HostBuild[CTI Target Completion])),""),""),"")</f>
        <v/>
      </c>
      <c r="D875" s="262" t="str">
        <f>IF(AND(NOT(ISBLANK(E875)),E875&lt;&gt;"(blank)"),IFERROR(IF(INDEX(HostBuild[],MATCH(E875,HostBuild[Alias],0),COLUMN(HostBuild[Description]))&lt;&gt;0,INDEX(HostBuild[],MATCH(E875,HostBuild[Alias],0),COLUMN(HostBuild[Description])),""),""),"")</f>
        <v/>
      </c>
    </row>
    <row r="876" spans="1:4">
      <c r="A876" s="3" t="str">
        <f>IF(AND(NOT(ISBLANK(E876)),E876&lt;&gt;"(blank)"),IFERROR(IF(INDEX(HostBuild[],MATCH(E876,HostBuild[Alias],0),COLUMN(HostBuild[Hostname]))&lt;&gt;0,INDEX(HostBuild[],MATCH(E876,HostBuild[Alias],0),COLUMN(HostBuild[Hostname])),""),""),"")</f>
        <v/>
      </c>
      <c r="B876" s="424" t="str">
        <f>IF(AND(NOT(ISBLANK(E876)),E876&lt;&gt;"(blank)"),IFERROR(IF(INDEX(HostBuild[],MATCH(E876,HostBuild[Alias],0),COLUMN(HostBuild[Status]))&lt;&gt;0,INDEX(HostBuild[],MATCH(E876,HostBuild[Alias],0),COLUMN(HostBuild[Status])),""),""),"")</f>
        <v/>
      </c>
      <c r="C876" s="425" t="str">
        <f>IF(AND(NOT(ISBLANK(E876)),E876&lt;&gt;"(blank)"),IFERROR(IF(INDEX(HostBuild[],MATCH(E876,HostBuild[Alias],0),COLUMN(HostBuild[CTI Target Completion]))&lt;&gt;0,INDEX(HostBuild[],MATCH(E876,HostBuild[Alias],0),COLUMN(HostBuild[CTI Target Completion])),""),""),"")</f>
        <v/>
      </c>
      <c r="D876" s="262" t="str">
        <f>IF(AND(NOT(ISBLANK(E876)),E876&lt;&gt;"(blank)"),IFERROR(IF(INDEX(HostBuild[],MATCH(E876,HostBuild[Alias],0),COLUMN(HostBuild[Description]))&lt;&gt;0,INDEX(HostBuild[],MATCH(E876,HostBuild[Alias],0),COLUMN(HostBuild[Description])),""),""),"")</f>
        <v/>
      </c>
    </row>
    <row r="877" spans="1:4">
      <c r="A877" s="3" t="str">
        <f>IF(AND(NOT(ISBLANK(E877)),E877&lt;&gt;"(blank)"),IFERROR(IF(INDEX(HostBuild[],MATCH(E877,HostBuild[Alias],0),COLUMN(HostBuild[Hostname]))&lt;&gt;0,INDEX(HostBuild[],MATCH(E877,HostBuild[Alias],0),COLUMN(HostBuild[Hostname])),""),""),"")</f>
        <v/>
      </c>
      <c r="B877" s="424" t="str">
        <f>IF(AND(NOT(ISBLANK(E877)),E877&lt;&gt;"(blank)"),IFERROR(IF(INDEX(HostBuild[],MATCH(E877,HostBuild[Alias],0),COLUMN(HostBuild[Status]))&lt;&gt;0,INDEX(HostBuild[],MATCH(E877,HostBuild[Alias],0),COLUMN(HostBuild[Status])),""),""),"")</f>
        <v/>
      </c>
      <c r="C877" s="425" t="str">
        <f>IF(AND(NOT(ISBLANK(E877)),E877&lt;&gt;"(blank)"),IFERROR(IF(INDEX(HostBuild[],MATCH(E877,HostBuild[Alias],0),COLUMN(HostBuild[CTI Target Completion]))&lt;&gt;0,INDEX(HostBuild[],MATCH(E877,HostBuild[Alias],0),COLUMN(HostBuild[CTI Target Completion])),""),""),"")</f>
        <v/>
      </c>
      <c r="D877" s="262" t="str">
        <f>IF(AND(NOT(ISBLANK(E877)),E877&lt;&gt;"(blank)"),IFERROR(IF(INDEX(HostBuild[],MATCH(E877,HostBuild[Alias],0),COLUMN(HostBuild[Description]))&lt;&gt;0,INDEX(HostBuild[],MATCH(E877,HostBuild[Alias],0),COLUMN(HostBuild[Description])),""),""),"")</f>
        <v/>
      </c>
    </row>
    <row r="878" spans="1:4">
      <c r="A878" s="3" t="str">
        <f>IF(AND(NOT(ISBLANK(E878)),E878&lt;&gt;"(blank)"),IFERROR(IF(INDEX(HostBuild[],MATCH(E878,HostBuild[Alias],0),COLUMN(HostBuild[Hostname]))&lt;&gt;0,INDEX(HostBuild[],MATCH(E878,HostBuild[Alias],0),COLUMN(HostBuild[Hostname])),""),""),"")</f>
        <v/>
      </c>
      <c r="B878" s="424" t="str">
        <f>IF(AND(NOT(ISBLANK(E878)),E878&lt;&gt;"(blank)"),IFERROR(IF(INDEX(HostBuild[],MATCH(E878,HostBuild[Alias],0),COLUMN(HostBuild[Status]))&lt;&gt;0,INDEX(HostBuild[],MATCH(E878,HostBuild[Alias],0),COLUMN(HostBuild[Status])),""),""),"")</f>
        <v/>
      </c>
      <c r="C878" s="425" t="str">
        <f>IF(AND(NOT(ISBLANK(E878)),E878&lt;&gt;"(blank)"),IFERROR(IF(INDEX(HostBuild[],MATCH(E878,HostBuild[Alias],0),COLUMN(HostBuild[CTI Target Completion]))&lt;&gt;0,INDEX(HostBuild[],MATCH(E878,HostBuild[Alias],0),COLUMN(HostBuild[CTI Target Completion])),""),""),"")</f>
        <v/>
      </c>
      <c r="D878" s="262" t="str">
        <f>IF(AND(NOT(ISBLANK(E878)),E878&lt;&gt;"(blank)"),IFERROR(IF(INDEX(HostBuild[],MATCH(E878,HostBuild[Alias],0),COLUMN(HostBuild[Description]))&lt;&gt;0,INDEX(HostBuild[],MATCH(E878,HostBuild[Alias],0),COLUMN(HostBuild[Description])),""),""),"")</f>
        <v/>
      </c>
    </row>
    <row r="879" spans="1:4">
      <c r="A879" s="3" t="str">
        <f>IF(AND(NOT(ISBLANK(E879)),E879&lt;&gt;"(blank)"),IFERROR(IF(INDEX(HostBuild[],MATCH(E879,HostBuild[Alias],0),COLUMN(HostBuild[Hostname]))&lt;&gt;0,INDEX(HostBuild[],MATCH(E879,HostBuild[Alias],0),COLUMN(HostBuild[Hostname])),""),""),"")</f>
        <v/>
      </c>
      <c r="B879" s="424" t="str">
        <f>IF(AND(NOT(ISBLANK(E879)),E879&lt;&gt;"(blank)"),IFERROR(IF(INDEX(HostBuild[],MATCH(E879,HostBuild[Alias],0),COLUMN(HostBuild[Status]))&lt;&gt;0,INDEX(HostBuild[],MATCH(E879,HostBuild[Alias],0),COLUMN(HostBuild[Status])),""),""),"")</f>
        <v/>
      </c>
      <c r="C879" s="425" t="str">
        <f>IF(AND(NOT(ISBLANK(E879)),E879&lt;&gt;"(blank)"),IFERROR(IF(INDEX(HostBuild[],MATCH(E879,HostBuild[Alias],0),COLUMN(HostBuild[CTI Target Completion]))&lt;&gt;0,INDEX(HostBuild[],MATCH(E879,HostBuild[Alias],0),COLUMN(HostBuild[CTI Target Completion])),""),""),"")</f>
        <v/>
      </c>
      <c r="D879" s="262" t="str">
        <f>IF(AND(NOT(ISBLANK(E879)),E879&lt;&gt;"(blank)"),IFERROR(IF(INDEX(HostBuild[],MATCH(E879,HostBuild[Alias],0),COLUMN(HostBuild[Description]))&lt;&gt;0,INDEX(HostBuild[],MATCH(E879,HostBuild[Alias],0),COLUMN(HostBuild[Description])),""),""),"")</f>
        <v/>
      </c>
    </row>
    <row r="880" spans="1:4">
      <c r="A880" s="3" t="str">
        <f>IF(AND(NOT(ISBLANK(E880)),E880&lt;&gt;"(blank)"),IFERROR(IF(INDEX(HostBuild[],MATCH(E880,HostBuild[Alias],0),COLUMN(HostBuild[Hostname]))&lt;&gt;0,INDEX(HostBuild[],MATCH(E880,HostBuild[Alias],0),COLUMN(HostBuild[Hostname])),""),""),"")</f>
        <v/>
      </c>
      <c r="B880" s="424" t="str">
        <f>IF(AND(NOT(ISBLANK(E880)),E880&lt;&gt;"(blank)"),IFERROR(IF(INDEX(HostBuild[],MATCH(E880,HostBuild[Alias],0),COLUMN(HostBuild[Status]))&lt;&gt;0,INDEX(HostBuild[],MATCH(E880,HostBuild[Alias],0),COLUMN(HostBuild[Status])),""),""),"")</f>
        <v/>
      </c>
      <c r="C880" s="425" t="str">
        <f>IF(AND(NOT(ISBLANK(E880)),E880&lt;&gt;"(blank)"),IFERROR(IF(INDEX(HostBuild[],MATCH(E880,HostBuild[Alias],0),COLUMN(HostBuild[CTI Target Completion]))&lt;&gt;0,INDEX(HostBuild[],MATCH(E880,HostBuild[Alias],0),COLUMN(HostBuild[CTI Target Completion])),""),""),"")</f>
        <v/>
      </c>
      <c r="D880" s="262" t="str">
        <f>IF(AND(NOT(ISBLANK(E880)),E880&lt;&gt;"(blank)"),IFERROR(IF(INDEX(HostBuild[],MATCH(E880,HostBuild[Alias],0),COLUMN(HostBuild[Description]))&lt;&gt;0,INDEX(HostBuild[],MATCH(E880,HostBuild[Alias],0),COLUMN(HostBuild[Description])),""),""),"")</f>
        <v/>
      </c>
    </row>
    <row r="881" spans="1:4">
      <c r="A881" s="3" t="str">
        <f>IF(AND(NOT(ISBLANK(E881)),E881&lt;&gt;"(blank)"),IFERROR(IF(INDEX(HostBuild[],MATCH(E881,HostBuild[Alias],0),COLUMN(HostBuild[Hostname]))&lt;&gt;0,INDEX(HostBuild[],MATCH(E881,HostBuild[Alias],0),COLUMN(HostBuild[Hostname])),""),""),"")</f>
        <v/>
      </c>
      <c r="B881" s="424" t="str">
        <f>IF(AND(NOT(ISBLANK(E881)),E881&lt;&gt;"(blank)"),IFERROR(IF(INDEX(HostBuild[],MATCH(E881,HostBuild[Alias],0),COLUMN(HostBuild[Status]))&lt;&gt;0,INDEX(HostBuild[],MATCH(E881,HostBuild[Alias],0),COLUMN(HostBuild[Status])),""),""),"")</f>
        <v/>
      </c>
      <c r="C881" s="425" t="str">
        <f>IF(AND(NOT(ISBLANK(E881)),E881&lt;&gt;"(blank)"),IFERROR(IF(INDEX(HostBuild[],MATCH(E881,HostBuild[Alias],0),COLUMN(HostBuild[CTI Target Completion]))&lt;&gt;0,INDEX(HostBuild[],MATCH(E881,HostBuild[Alias],0),COLUMN(HostBuild[CTI Target Completion])),""),""),"")</f>
        <v/>
      </c>
      <c r="D881" s="262" t="str">
        <f>IF(AND(NOT(ISBLANK(E881)),E881&lt;&gt;"(blank)"),IFERROR(IF(INDEX(HostBuild[],MATCH(E881,HostBuild[Alias],0),COLUMN(HostBuild[Description]))&lt;&gt;0,INDEX(HostBuild[],MATCH(E881,HostBuild[Alias],0),COLUMN(HostBuild[Description])),""),""),"")</f>
        <v/>
      </c>
    </row>
    <row r="882" spans="1:4">
      <c r="A882" s="3" t="str">
        <f>IF(AND(NOT(ISBLANK(E882)),E882&lt;&gt;"(blank)"),IFERROR(IF(INDEX(HostBuild[],MATCH(E882,HostBuild[Alias],0),COLUMN(HostBuild[Hostname]))&lt;&gt;0,INDEX(HostBuild[],MATCH(E882,HostBuild[Alias],0),COLUMN(HostBuild[Hostname])),""),""),"")</f>
        <v/>
      </c>
      <c r="B882" s="424" t="str">
        <f>IF(AND(NOT(ISBLANK(E882)),E882&lt;&gt;"(blank)"),IFERROR(IF(INDEX(HostBuild[],MATCH(E882,HostBuild[Alias],0),COLUMN(HostBuild[Status]))&lt;&gt;0,INDEX(HostBuild[],MATCH(E882,HostBuild[Alias],0),COLUMN(HostBuild[Status])),""),""),"")</f>
        <v/>
      </c>
      <c r="C882" s="425" t="str">
        <f>IF(AND(NOT(ISBLANK(E882)),E882&lt;&gt;"(blank)"),IFERROR(IF(INDEX(HostBuild[],MATCH(E882,HostBuild[Alias],0),COLUMN(HostBuild[CTI Target Completion]))&lt;&gt;0,INDEX(HostBuild[],MATCH(E882,HostBuild[Alias],0),COLUMN(HostBuild[CTI Target Completion])),""),""),"")</f>
        <v/>
      </c>
      <c r="D882" s="262" t="str">
        <f>IF(AND(NOT(ISBLANK(E882)),E882&lt;&gt;"(blank)"),IFERROR(IF(INDEX(HostBuild[],MATCH(E882,HostBuild[Alias],0),COLUMN(HostBuild[Description]))&lt;&gt;0,INDEX(HostBuild[],MATCH(E882,HostBuild[Alias],0),COLUMN(HostBuild[Description])),""),""),"")</f>
        <v/>
      </c>
    </row>
    <row r="883" spans="1:4">
      <c r="A883" s="3" t="str">
        <f>IF(AND(NOT(ISBLANK(E883)),E883&lt;&gt;"(blank)"),IFERROR(IF(INDEX(HostBuild[],MATCH(E883,HostBuild[Alias],0),COLUMN(HostBuild[Hostname]))&lt;&gt;0,INDEX(HostBuild[],MATCH(E883,HostBuild[Alias],0),COLUMN(HostBuild[Hostname])),""),""),"")</f>
        <v/>
      </c>
      <c r="B883" s="424" t="str">
        <f>IF(AND(NOT(ISBLANK(E883)),E883&lt;&gt;"(blank)"),IFERROR(IF(INDEX(HostBuild[],MATCH(E883,HostBuild[Alias],0),COLUMN(HostBuild[Status]))&lt;&gt;0,INDEX(HostBuild[],MATCH(E883,HostBuild[Alias],0),COLUMN(HostBuild[Status])),""),""),"")</f>
        <v/>
      </c>
      <c r="C883" s="425" t="str">
        <f>IF(AND(NOT(ISBLANK(E883)),E883&lt;&gt;"(blank)"),IFERROR(IF(INDEX(HostBuild[],MATCH(E883,HostBuild[Alias],0),COLUMN(HostBuild[CTI Target Completion]))&lt;&gt;0,INDEX(HostBuild[],MATCH(E883,HostBuild[Alias],0),COLUMN(HostBuild[CTI Target Completion])),""),""),"")</f>
        <v/>
      </c>
      <c r="D883" s="262" t="str">
        <f>IF(AND(NOT(ISBLANK(E883)),E883&lt;&gt;"(blank)"),IFERROR(IF(INDEX(HostBuild[],MATCH(E883,HostBuild[Alias],0),COLUMN(HostBuild[Description]))&lt;&gt;0,INDEX(HostBuild[],MATCH(E883,HostBuild[Alias],0),COLUMN(HostBuild[Description])),""),""),"")</f>
        <v/>
      </c>
    </row>
    <row r="884" spans="1:4">
      <c r="A884" s="3" t="str">
        <f>IF(AND(NOT(ISBLANK(E884)),E884&lt;&gt;"(blank)"),IFERROR(IF(INDEX(HostBuild[],MATCH(E884,HostBuild[Alias],0),COLUMN(HostBuild[Hostname]))&lt;&gt;0,INDEX(HostBuild[],MATCH(E884,HostBuild[Alias],0),COLUMN(HostBuild[Hostname])),""),""),"")</f>
        <v/>
      </c>
      <c r="B884" s="424" t="str">
        <f>IF(AND(NOT(ISBLANK(E884)),E884&lt;&gt;"(blank)"),IFERROR(IF(INDEX(HostBuild[],MATCH(E884,HostBuild[Alias],0),COLUMN(HostBuild[Status]))&lt;&gt;0,INDEX(HostBuild[],MATCH(E884,HostBuild[Alias],0),COLUMN(HostBuild[Status])),""),""),"")</f>
        <v/>
      </c>
      <c r="C884" s="425" t="str">
        <f>IF(AND(NOT(ISBLANK(E884)),E884&lt;&gt;"(blank)"),IFERROR(IF(INDEX(HostBuild[],MATCH(E884,HostBuild[Alias],0),COLUMN(HostBuild[CTI Target Completion]))&lt;&gt;0,INDEX(HostBuild[],MATCH(E884,HostBuild[Alias],0),COLUMN(HostBuild[CTI Target Completion])),""),""),"")</f>
        <v/>
      </c>
      <c r="D884" s="262" t="str">
        <f>IF(AND(NOT(ISBLANK(E884)),E884&lt;&gt;"(blank)"),IFERROR(IF(INDEX(HostBuild[],MATCH(E884,HostBuild[Alias],0),COLUMN(HostBuild[Description]))&lt;&gt;0,INDEX(HostBuild[],MATCH(E884,HostBuild[Alias],0),COLUMN(HostBuild[Description])),""),""),"")</f>
        <v/>
      </c>
    </row>
    <row r="885" spans="1:4">
      <c r="A885" s="3" t="str">
        <f>IF(AND(NOT(ISBLANK(E885)),E885&lt;&gt;"(blank)"),IFERROR(IF(INDEX(HostBuild[],MATCH(E885,HostBuild[Alias],0),COLUMN(HostBuild[Hostname]))&lt;&gt;0,INDEX(HostBuild[],MATCH(E885,HostBuild[Alias],0),COLUMN(HostBuild[Hostname])),""),""),"")</f>
        <v/>
      </c>
      <c r="B885" s="424" t="str">
        <f>IF(AND(NOT(ISBLANK(E885)),E885&lt;&gt;"(blank)"),IFERROR(IF(INDEX(HostBuild[],MATCH(E885,HostBuild[Alias],0),COLUMN(HostBuild[Status]))&lt;&gt;0,INDEX(HostBuild[],MATCH(E885,HostBuild[Alias],0),COLUMN(HostBuild[Status])),""),""),"")</f>
        <v/>
      </c>
      <c r="C885" s="425" t="str">
        <f>IF(AND(NOT(ISBLANK(E885)),E885&lt;&gt;"(blank)"),IFERROR(IF(INDEX(HostBuild[],MATCH(E885,HostBuild[Alias],0),COLUMN(HostBuild[CTI Target Completion]))&lt;&gt;0,INDEX(HostBuild[],MATCH(E885,HostBuild[Alias],0),COLUMN(HostBuild[CTI Target Completion])),""),""),"")</f>
        <v/>
      </c>
      <c r="D885" s="262" t="str">
        <f>IF(AND(NOT(ISBLANK(E885)),E885&lt;&gt;"(blank)"),IFERROR(IF(INDEX(HostBuild[],MATCH(E885,HostBuild[Alias],0),COLUMN(HostBuild[Description]))&lt;&gt;0,INDEX(HostBuild[],MATCH(E885,HostBuild[Alias],0),COLUMN(HostBuild[Description])),""),""),"")</f>
        <v/>
      </c>
    </row>
    <row r="886" spans="1:4">
      <c r="A886" s="3" t="str">
        <f>IF(AND(NOT(ISBLANK(E886)),E886&lt;&gt;"(blank)"),IFERROR(IF(INDEX(HostBuild[],MATCH(E886,HostBuild[Alias],0),COLUMN(HostBuild[Hostname]))&lt;&gt;0,INDEX(HostBuild[],MATCH(E886,HostBuild[Alias],0),COLUMN(HostBuild[Hostname])),""),""),"")</f>
        <v/>
      </c>
      <c r="B886" s="424" t="str">
        <f>IF(AND(NOT(ISBLANK(E886)),E886&lt;&gt;"(blank)"),IFERROR(IF(INDEX(HostBuild[],MATCH(E886,HostBuild[Alias],0),COLUMN(HostBuild[Status]))&lt;&gt;0,INDEX(HostBuild[],MATCH(E886,HostBuild[Alias],0),COLUMN(HostBuild[Status])),""),""),"")</f>
        <v/>
      </c>
      <c r="C886" s="425" t="str">
        <f>IF(AND(NOT(ISBLANK(E886)),E886&lt;&gt;"(blank)"),IFERROR(IF(INDEX(HostBuild[],MATCH(E886,HostBuild[Alias],0),COLUMN(HostBuild[CTI Target Completion]))&lt;&gt;0,INDEX(HostBuild[],MATCH(E886,HostBuild[Alias],0),COLUMN(HostBuild[CTI Target Completion])),""),""),"")</f>
        <v/>
      </c>
      <c r="D886" s="262" t="str">
        <f>IF(AND(NOT(ISBLANK(E886)),E886&lt;&gt;"(blank)"),IFERROR(IF(INDEX(HostBuild[],MATCH(E886,HostBuild[Alias],0),COLUMN(HostBuild[Description]))&lt;&gt;0,INDEX(HostBuild[],MATCH(E886,HostBuild[Alias],0),COLUMN(HostBuild[Description])),""),""),"")</f>
        <v/>
      </c>
    </row>
    <row r="887" spans="1:4">
      <c r="A887" s="3" t="str">
        <f>IF(AND(NOT(ISBLANK(E887)),E887&lt;&gt;"(blank)"),IFERROR(IF(INDEX(HostBuild[],MATCH(E887,HostBuild[Alias],0),COLUMN(HostBuild[Hostname]))&lt;&gt;0,INDEX(HostBuild[],MATCH(E887,HostBuild[Alias],0),COLUMN(HostBuild[Hostname])),""),""),"")</f>
        <v/>
      </c>
      <c r="B887" s="424" t="str">
        <f>IF(AND(NOT(ISBLANK(E887)),E887&lt;&gt;"(blank)"),IFERROR(IF(INDEX(HostBuild[],MATCH(E887,HostBuild[Alias],0),COLUMN(HostBuild[Status]))&lt;&gt;0,INDEX(HostBuild[],MATCH(E887,HostBuild[Alias],0),COLUMN(HostBuild[Status])),""),""),"")</f>
        <v/>
      </c>
      <c r="C887" s="425" t="str">
        <f>IF(AND(NOT(ISBLANK(E887)),E887&lt;&gt;"(blank)"),IFERROR(IF(INDEX(HostBuild[],MATCH(E887,HostBuild[Alias],0),COLUMN(HostBuild[CTI Target Completion]))&lt;&gt;0,INDEX(HostBuild[],MATCH(E887,HostBuild[Alias],0),COLUMN(HostBuild[CTI Target Completion])),""),""),"")</f>
        <v/>
      </c>
      <c r="D887" s="262" t="str">
        <f>IF(AND(NOT(ISBLANK(E887)),E887&lt;&gt;"(blank)"),IFERROR(IF(INDEX(HostBuild[],MATCH(E887,HostBuild[Alias],0),COLUMN(HostBuild[Description]))&lt;&gt;0,INDEX(HostBuild[],MATCH(E887,HostBuild[Alias],0),COLUMN(HostBuild[Description])),""),""),"")</f>
        <v/>
      </c>
    </row>
    <row r="888" spans="1:4">
      <c r="A888" s="3" t="str">
        <f>IF(AND(NOT(ISBLANK(E888)),E888&lt;&gt;"(blank)"),IFERROR(IF(INDEX(HostBuild[],MATCH(E888,HostBuild[Alias],0),COLUMN(HostBuild[Hostname]))&lt;&gt;0,INDEX(HostBuild[],MATCH(E888,HostBuild[Alias],0),COLUMN(HostBuild[Hostname])),""),""),"")</f>
        <v/>
      </c>
      <c r="B888" s="424" t="str">
        <f>IF(AND(NOT(ISBLANK(E888)),E888&lt;&gt;"(blank)"),IFERROR(IF(INDEX(HostBuild[],MATCH(E888,HostBuild[Alias],0),COLUMN(HostBuild[Status]))&lt;&gt;0,INDEX(HostBuild[],MATCH(E888,HostBuild[Alias],0),COLUMN(HostBuild[Status])),""),""),"")</f>
        <v/>
      </c>
      <c r="C888" s="425" t="str">
        <f>IF(AND(NOT(ISBLANK(E888)),E888&lt;&gt;"(blank)"),IFERROR(IF(INDEX(HostBuild[],MATCH(E888,HostBuild[Alias],0),COLUMN(HostBuild[CTI Target Completion]))&lt;&gt;0,INDEX(HostBuild[],MATCH(E888,HostBuild[Alias],0),COLUMN(HostBuild[CTI Target Completion])),""),""),"")</f>
        <v/>
      </c>
      <c r="D888" s="262" t="str">
        <f>IF(AND(NOT(ISBLANK(E888)),E888&lt;&gt;"(blank)"),IFERROR(IF(INDEX(HostBuild[],MATCH(E888,HostBuild[Alias],0),COLUMN(HostBuild[Description]))&lt;&gt;0,INDEX(HostBuild[],MATCH(E888,HostBuild[Alias],0),COLUMN(HostBuild[Description])),""),""),"")</f>
        <v/>
      </c>
    </row>
    <row r="889" spans="1:4">
      <c r="A889" s="3" t="str">
        <f>IF(AND(NOT(ISBLANK(E889)),E889&lt;&gt;"(blank)"),IFERROR(IF(INDEX(HostBuild[],MATCH(E889,HostBuild[Alias],0),COLUMN(HostBuild[Hostname]))&lt;&gt;0,INDEX(HostBuild[],MATCH(E889,HostBuild[Alias],0),COLUMN(HostBuild[Hostname])),""),""),"")</f>
        <v/>
      </c>
      <c r="B889" s="424" t="str">
        <f>IF(AND(NOT(ISBLANK(E889)),E889&lt;&gt;"(blank)"),IFERROR(IF(INDEX(HostBuild[],MATCH(E889,HostBuild[Alias],0),COLUMN(HostBuild[Status]))&lt;&gt;0,INDEX(HostBuild[],MATCH(E889,HostBuild[Alias],0),COLUMN(HostBuild[Status])),""),""),"")</f>
        <v/>
      </c>
      <c r="C889" s="425" t="str">
        <f>IF(AND(NOT(ISBLANK(E889)),E889&lt;&gt;"(blank)"),IFERROR(IF(INDEX(HostBuild[],MATCH(E889,HostBuild[Alias],0),COLUMN(HostBuild[CTI Target Completion]))&lt;&gt;0,INDEX(HostBuild[],MATCH(E889,HostBuild[Alias],0),COLUMN(HostBuild[CTI Target Completion])),""),""),"")</f>
        <v/>
      </c>
      <c r="D889" s="262" t="str">
        <f>IF(AND(NOT(ISBLANK(E889)),E889&lt;&gt;"(blank)"),IFERROR(IF(INDEX(HostBuild[],MATCH(E889,HostBuild[Alias],0),COLUMN(HostBuild[Description]))&lt;&gt;0,INDEX(HostBuild[],MATCH(E889,HostBuild[Alias],0),COLUMN(HostBuild[Description])),""),""),"")</f>
        <v/>
      </c>
    </row>
    <row r="890" spans="1:4">
      <c r="A890" s="3" t="str">
        <f>IF(AND(NOT(ISBLANK(E890)),E890&lt;&gt;"(blank)"),IFERROR(IF(INDEX(HostBuild[],MATCH(E890,HostBuild[Alias],0),COLUMN(HostBuild[Hostname]))&lt;&gt;0,INDEX(HostBuild[],MATCH(E890,HostBuild[Alias],0),COLUMN(HostBuild[Hostname])),""),""),"")</f>
        <v/>
      </c>
      <c r="B890" s="424" t="str">
        <f>IF(AND(NOT(ISBLANK(E890)),E890&lt;&gt;"(blank)"),IFERROR(IF(INDEX(HostBuild[],MATCH(E890,HostBuild[Alias],0),COLUMN(HostBuild[Status]))&lt;&gt;0,INDEX(HostBuild[],MATCH(E890,HostBuild[Alias],0),COLUMN(HostBuild[Status])),""),""),"")</f>
        <v/>
      </c>
      <c r="C890" s="425" t="str">
        <f>IF(AND(NOT(ISBLANK(E890)),E890&lt;&gt;"(blank)"),IFERROR(IF(INDEX(HostBuild[],MATCH(E890,HostBuild[Alias],0),COLUMN(HostBuild[CTI Target Completion]))&lt;&gt;0,INDEX(HostBuild[],MATCH(E890,HostBuild[Alias],0),COLUMN(HostBuild[CTI Target Completion])),""),""),"")</f>
        <v/>
      </c>
      <c r="D890" s="262" t="str">
        <f>IF(AND(NOT(ISBLANK(E890)),E890&lt;&gt;"(blank)"),IFERROR(IF(INDEX(HostBuild[],MATCH(E890,HostBuild[Alias],0),COLUMN(HostBuild[Description]))&lt;&gt;0,INDEX(HostBuild[],MATCH(E890,HostBuild[Alias],0),COLUMN(HostBuild[Description])),""),""),"")</f>
        <v/>
      </c>
    </row>
    <row r="891" spans="1:4">
      <c r="A891" s="3" t="str">
        <f>IF(AND(NOT(ISBLANK(E891)),E891&lt;&gt;"(blank)"),IFERROR(IF(INDEX(HostBuild[],MATCH(E891,HostBuild[Alias],0),COLUMN(HostBuild[Hostname]))&lt;&gt;0,INDEX(HostBuild[],MATCH(E891,HostBuild[Alias],0),COLUMN(HostBuild[Hostname])),""),""),"")</f>
        <v/>
      </c>
      <c r="B891" s="424" t="str">
        <f>IF(AND(NOT(ISBLANK(E891)),E891&lt;&gt;"(blank)"),IFERROR(IF(INDEX(HostBuild[],MATCH(E891,HostBuild[Alias],0),COLUMN(HostBuild[Status]))&lt;&gt;0,INDEX(HostBuild[],MATCH(E891,HostBuild[Alias],0),COLUMN(HostBuild[Status])),""),""),"")</f>
        <v/>
      </c>
      <c r="C891" s="425" t="str">
        <f>IF(AND(NOT(ISBLANK(E891)),E891&lt;&gt;"(blank)"),IFERROR(IF(INDEX(HostBuild[],MATCH(E891,HostBuild[Alias],0),COLUMN(HostBuild[CTI Target Completion]))&lt;&gt;0,INDEX(HostBuild[],MATCH(E891,HostBuild[Alias],0),COLUMN(HostBuild[CTI Target Completion])),""),""),"")</f>
        <v/>
      </c>
      <c r="D891" s="262" t="str">
        <f>IF(AND(NOT(ISBLANK(E891)),E891&lt;&gt;"(blank)"),IFERROR(IF(INDEX(HostBuild[],MATCH(E891,HostBuild[Alias],0),COLUMN(HostBuild[Description]))&lt;&gt;0,INDEX(HostBuild[],MATCH(E891,HostBuild[Alias],0),COLUMN(HostBuild[Description])),""),""),"")</f>
        <v/>
      </c>
    </row>
    <row r="892" spans="1:4">
      <c r="A892" s="3" t="str">
        <f>IF(AND(NOT(ISBLANK(E892)),E892&lt;&gt;"(blank)"),IFERROR(IF(INDEX(HostBuild[],MATCH(E892,HostBuild[Alias],0),COLUMN(HostBuild[Hostname]))&lt;&gt;0,INDEX(HostBuild[],MATCH(E892,HostBuild[Alias],0),COLUMN(HostBuild[Hostname])),""),""),"")</f>
        <v/>
      </c>
      <c r="B892" s="424" t="str">
        <f>IF(AND(NOT(ISBLANK(E892)),E892&lt;&gt;"(blank)"),IFERROR(IF(INDEX(HostBuild[],MATCH(E892,HostBuild[Alias],0),COLUMN(HostBuild[Status]))&lt;&gt;0,INDEX(HostBuild[],MATCH(E892,HostBuild[Alias],0),COLUMN(HostBuild[Status])),""),""),"")</f>
        <v/>
      </c>
      <c r="C892" s="425" t="str">
        <f>IF(AND(NOT(ISBLANK(E892)),E892&lt;&gt;"(blank)"),IFERROR(IF(INDEX(HostBuild[],MATCH(E892,HostBuild[Alias],0),COLUMN(HostBuild[CTI Target Completion]))&lt;&gt;0,INDEX(HostBuild[],MATCH(E892,HostBuild[Alias],0),COLUMN(HostBuild[CTI Target Completion])),""),""),"")</f>
        <v/>
      </c>
      <c r="D892" s="262" t="str">
        <f>IF(AND(NOT(ISBLANK(E892)),E892&lt;&gt;"(blank)"),IFERROR(IF(INDEX(HostBuild[],MATCH(E892,HostBuild[Alias],0),COLUMN(HostBuild[Description]))&lt;&gt;0,INDEX(HostBuild[],MATCH(E892,HostBuild[Alias],0),COLUMN(HostBuild[Description])),""),""),"")</f>
        <v/>
      </c>
    </row>
    <row r="893" spans="1:4">
      <c r="A893" s="3" t="str">
        <f>IF(AND(NOT(ISBLANK(E893)),E893&lt;&gt;"(blank)"),IFERROR(IF(INDEX(HostBuild[],MATCH(E893,HostBuild[Alias],0),COLUMN(HostBuild[Hostname]))&lt;&gt;0,INDEX(HostBuild[],MATCH(E893,HostBuild[Alias],0),COLUMN(HostBuild[Hostname])),""),""),"")</f>
        <v/>
      </c>
      <c r="B893" s="424" t="str">
        <f>IF(AND(NOT(ISBLANK(E893)),E893&lt;&gt;"(blank)"),IFERROR(IF(INDEX(HostBuild[],MATCH(E893,HostBuild[Alias],0),COLUMN(HostBuild[Status]))&lt;&gt;0,INDEX(HostBuild[],MATCH(E893,HostBuild[Alias],0),COLUMN(HostBuild[Status])),""),""),"")</f>
        <v/>
      </c>
      <c r="C893" s="425" t="str">
        <f>IF(AND(NOT(ISBLANK(E893)),E893&lt;&gt;"(blank)"),IFERROR(IF(INDEX(HostBuild[],MATCH(E893,HostBuild[Alias],0),COLUMN(HostBuild[CTI Target Completion]))&lt;&gt;0,INDEX(HostBuild[],MATCH(E893,HostBuild[Alias],0),COLUMN(HostBuild[CTI Target Completion])),""),""),"")</f>
        <v/>
      </c>
      <c r="D893" s="262" t="str">
        <f>IF(AND(NOT(ISBLANK(E893)),E893&lt;&gt;"(blank)"),IFERROR(IF(INDEX(HostBuild[],MATCH(E893,HostBuild[Alias],0),COLUMN(HostBuild[Description]))&lt;&gt;0,INDEX(HostBuild[],MATCH(E893,HostBuild[Alias],0),COLUMN(HostBuild[Description])),""),""),"")</f>
        <v/>
      </c>
    </row>
    <row r="894" spans="1:4">
      <c r="A894" s="3" t="str">
        <f>IF(AND(NOT(ISBLANK(E894)),E894&lt;&gt;"(blank)"),IFERROR(IF(INDEX(HostBuild[],MATCH(E894,HostBuild[Alias],0),COLUMN(HostBuild[Hostname]))&lt;&gt;0,INDEX(HostBuild[],MATCH(E894,HostBuild[Alias],0),COLUMN(HostBuild[Hostname])),""),""),"")</f>
        <v/>
      </c>
      <c r="B894" s="424" t="str">
        <f>IF(AND(NOT(ISBLANK(E894)),E894&lt;&gt;"(blank)"),IFERROR(IF(INDEX(HostBuild[],MATCH(E894,HostBuild[Alias],0),COLUMN(HostBuild[Status]))&lt;&gt;0,INDEX(HostBuild[],MATCH(E894,HostBuild[Alias],0),COLUMN(HostBuild[Status])),""),""),"")</f>
        <v/>
      </c>
      <c r="C894" s="425" t="str">
        <f>IF(AND(NOT(ISBLANK(E894)),E894&lt;&gt;"(blank)"),IFERROR(IF(INDEX(HostBuild[],MATCH(E894,HostBuild[Alias],0),COLUMN(HostBuild[CTI Target Completion]))&lt;&gt;0,INDEX(HostBuild[],MATCH(E894,HostBuild[Alias],0),COLUMN(HostBuild[CTI Target Completion])),""),""),"")</f>
        <v/>
      </c>
      <c r="D894" s="262" t="str">
        <f>IF(AND(NOT(ISBLANK(E894)),E894&lt;&gt;"(blank)"),IFERROR(IF(INDEX(HostBuild[],MATCH(E894,HostBuild[Alias],0),COLUMN(HostBuild[Description]))&lt;&gt;0,INDEX(HostBuild[],MATCH(E894,HostBuild[Alias],0),COLUMN(HostBuild[Description])),""),""),"")</f>
        <v/>
      </c>
    </row>
    <row r="895" spans="1:4">
      <c r="A895" s="3" t="str">
        <f>IF(AND(NOT(ISBLANK(E895)),E895&lt;&gt;"(blank)"),IFERROR(IF(INDEX(HostBuild[],MATCH(E895,HostBuild[Alias],0),COLUMN(HostBuild[Hostname]))&lt;&gt;0,INDEX(HostBuild[],MATCH(E895,HostBuild[Alias],0),COLUMN(HostBuild[Hostname])),""),""),"")</f>
        <v/>
      </c>
      <c r="B895" s="424" t="str">
        <f>IF(AND(NOT(ISBLANK(E895)),E895&lt;&gt;"(blank)"),IFERROR(IF(INDEX(HostBuild[],MATCH(E895,HostBuild[Alias],0),COLUMN(HostBuild[Status]))&lt;&gt;0,INDEX(HostBuild[],MATCH(E895,HostBuild[Alias],0),COLUMN(HostBuild[Status])),""),""),"")</f>
        <v/>
      </c>
      <c r="C895" s="425" t="str">
        <f>IF(AND(NOT(ISBLANK(E895)),E895&lt;&gt;"(blank)"),IFERROR(IF(INDEX(HostBuild[],MATCH(E895,HostBuild[Alias],0),COLUMN(HostBuild[CTI Target Completion]))&lt;&gt;0,INDEX(HostBuild[],MATCH(E895,HostBuild[Alias],0),COLUMN(HostBuild[CTI Target Completion])),""),""),"")</f>
        <v/>
      </c>
      <c r="D895" s="262" t="str">
        <f>IF(AND(NOT(ISBLANK(E895)),E895&lt;&gt;"(blank)"),IFERROR(IF(INDEX(HostBuild[],MATCH(E895,HostBuild[Alias],0),COLUMN(HostBuild[Description]))&lt;&gt;0,INDEX(HostBuild[],MATCH(E895,HostBuild[Alias],0),COLUMN(HostBuild[Description])),""),""),"")</f>
        <v/>
      </c>
    </row>
    <row r="896" spans="1:4">
      <c r="A896" s="3" t="str">
        <f>IF(AND(NOT(ISBLANK(E896)),E896&lt;&gt;"(blank)"),IFERROR(IF(INDEX(HostBuild[],MATCH(E896,HostBuild[Alias],0),COLUMN(HostBuild[Hostname]))&lt;&gt;0,INDEX(HostBuild[],MATCH(E896,HostBuild[Alias],0),COLUMN(HostBuild[Hostname])),""),""),"")</f>
        <v/>
      </c>
      <c r="B896" s="424" t="str">
        <f>IF(AND(NOT(ISBLANK(E896)),E896&lt;&gt;"(blank)"),IFERROR(IF(INDEX(HostBuild[],MATCH(E896,HostBuild[Alias],0),COLUMN(HostBuild[Status]))&lt;&gt;0,INDEX(HostBuild[],MATCH(E896,HostBuild[Alias],0),COLUMN(HostBuild[Status])),""),""),"")</f>
        <v/>
      </c>
      <c r="C896" s="425" t="str">
        <f>IF(AND(NOT(ISBLANK(E896)),E896&lt;&gt;"(blank)"),IFERROR(IF(INDEX(HostBuild[],MATCH(E896,HostBuild[Alias],0),COLUMN(HostBuild[CTI Target Completion]))&lt;&gt;0,INDEX(HostBuild[],MATCH(E896,HostBuild[Alias],0),COLUMN(HostBuild[CTI Target Completion])),""),""),"")</f>
        <v/>
      </c>
      <c r="D896" s="262" t="str">
        <f>IF(AND(NOT(ISBLANK(E896)),E896&lt;&gt;"(blank)"),IFERROR(IF(INDEX(HostBuild[],MATCH(E896,HostBuild[Alias],0),COLUMN(HostBuild[Description]))&lt;&gt;0,INDEX(HostBuild[],MATCH(E896,HostBuild[Alias],0),COLUMN(HostBuild[Description])),""),""),"")</f>
        <v/>
      </c>
    </row>
    <row r="897" spans="1:4">
      <c r="A897" s="3" t="str">
        <f>IF(AND(NOT(ISBLANK(E897)),E897&lt;&gt;"(blank)"),IFERROR(IF(INDEX(HostBuild[],MATCH(E897,HostBuild[Alias],0),COLUMN(HostBuild[Hostname]))&lt;&gt;0,INDEX(HostBuild[],MATCH(E897,HostBuild[Alias],0),COLUMN(HostBuild[Hostname])),""),""),"")</f>
        <v/>
      </c>
      <c r="B897" s="424" t="str">
        <f>IF(AND(NOT(ISBLANK(E897)),E897&lt;&gt;"(blank)"),IFERROR(IF(INDEX(HostBuild[],MATCH(E897,HostBuild[Alias],0),COLUMN(HostBuild[Status]))&lt;&gt;0,INDEX(HostBuild[],MATCH(E897,HostBuild[Alias],0),COLUMN(HostBuild[Status])),""),""),"")</f>
        <v/>
      </c>
      <c r="C897" s="425" t="str">
        <f>IF(AND(NOT(ISBLANK(E897)),E897&lt;&gt;"(blank)"),IFERROR(IF(INDEX(HostBuild[],MATCH(E897,HostBuild[Alias],0),COLUMN(HostBuild[CTI Target Completion]))&lt;&gt;0,INDEX(HostBuild[],MATCH(E897,HostBuild[Alias],0),COLUMN(HostBuild[CTI Target Completion])),""),""),"")</f>
        <v/>
      </c>
      <c r="D897" s="262" t="str">
        <f>IF(AND(NOT(ISBLANK(E897)),E897&lt;&gt;"(blank)"),IFERROR(IF(INDEX(HostBuild[],MATCH(E897,HostBuild[Alias],0),COLUMN(HostBuild[Description]))&lt;&gt;0,INDEX(HostBuild[],MATCH(E897,HostBuild[Alias],0),COLUMN(HostBuild[Description])),""),""),"")</f>
        <v/>
      </c>
    </row>
    <row r="898" spans="1:4">
      <c r="A898" s="3" t="str">
        <f>IF(AND(NOT(ISBLANK(E898)),E898&lt;&gt;"(blank)"),IFERROR(IF(INDEX(HostBuild[],MATCH(E898,HostBuild[Alias],0),COLUMN(HostBuild[Hostname]))&lt;&gt;0,INDEX(HostBuild[],MATCH(E898,HostBuild[Alias],0),COLUMN(HostBuild[Hostname])),""),""),"")</f>
        <v/>
      </c>
      <c r="B898" s="424" t="str">
        <f>IF(AND(NOT(ISBLANK(E898)),E898&lt;&gt;"(blank)"),IFERROR(IF(INDEX(HostBuild[],MATCH(E898,HostBuild[Alias],0),COLUMN(HostBuild[Status]))&lt;&gt;0,INDEX(HostBuild[],MATCH(E898,HostBuild[Alias],0),COLUMN(HostBuild[Status])),""),""),"")</f>
        <v/>
      </c>
      <c r="C898" s="425" t="str">
        <f>IF(AND(NOT(ISBLANK(E898)),E898&lt;&gt;"(blank)"),IFERROR(IF(INDEX(HostBuild[],MATCH(E898,HostBuild[Alias],0),COLUMN(HostBuild[CTI Target Completion]))&lt;&gt;0,INDEX(HostBuild[],MATCH(E898,HostBuild[Alias],0),COLUMN(HostBuild[CTI Target Completion])),""),""),"")</f>
        <v/>
      </c>
      <c r="D898" s="262" t="str">
        <f>IF(AND(NOT(ISBLANK(E898)),E898&lt;&gt;"(blank)"),IFERROR(IF(INDEX(HostBuild[],MATCH(E898,HostBuild[Alias],0),COLUMN(HostBuild[Description]))&lt;&gt;0,INDEX(HostBuild[],MATCH(E898,HostBuild[Alias],0),COLUMN(HostBuild[Description])),""),""),"")</f>
        <v/>
      </c>
    </row>
    <row r="899" spans="1:4">
      <c r="A899" s="3" t="str">
        <f>IF(AND(NOT(ISBLANK(E899)),E899&lt;&gt;"(blank)"),IFERROR(IF(INDEX(HostBuild[],MATCH(E899,HostBuild[Alias],0),COLUMN(HostBuild[Hostname]))&lt;&gt;0,INDEX(HostBuild[],MATCH(E899,HostBuild[Alias],0),COLUMN(HostBuild[Hostname])),""),""),"")</f>
        <v/>
      </c>
      <c r="B899" s="424" t="str">
        <f>IF(AND(NOT(ISBLANK(E899)),E899&lt;&gt;"(blank)"),IFERROR(IF(INDEX(HostBuild[],MATCH(E899,HostBuild[Alias],0),COLUMN(HostBuild[Status]))&lt;&gt;0,INDEX(HostBuild[],MATCH(E899,HostBuild[Alias],0),COLUMN(HostBuild[Status])),""),""),"")</f>
        <v/>
      </c>
      <c r="C899" s="425" t="str">
        <f>IF(AND(NOT(ISBLANK(E899)),E899&lt;&gt;"(blank)"),IFERROR(IF(INDEX(HostBuild[],MATCH(E899,HostBuild[Alias],0),COLUMN(HostBuild[CTI Target Completion]))&lt;&gt;0,INDEX(HostBuild[],MATCH(E899,HostBuild[Alias],0),COLUMN(HostBuild[CTI Target Completion])),""),""),"")</f>
        <v/>
      </c>
      <c r="D899" s="262" t="str">
        <f>IF(AND(NOT(ISBLANK(E899)),E899&lt;&gt;"(blank)"),IFERROR(IF(INDEX(HostBuild[],MATCH(E899,HostBuild[Alias],0),COLUMN(HostBuild[Description]))&lt;&gt;0,INDEX(HostBuild[],MATCH(E899,HostBuild[Alias],0),COLUMN(HostBuild[Description])),""),""),"")</f>
        <v/>
      </c>
    </row>
    <row r="900" spans="1:4">
      <c r="A900" s="3" t="str">
        <f>IF(AND(NOT(ISBLANK(E900)),E900&lt;&gt;"(blank)"),IFERROR(IF(INDEX(HostBuild[],MATCH(E900,HostBuild[Alias],0),COLUMN(HostBuild[Hostname]))&lt;&gt;0,INDEX(HostBuild[],MATCH(E900,HostBuild[Alias],0),COLUMN(HostBuild[Hostname])),""),""),"")</f>
        <v/>
      </c>
      <c r="B900" s="424" t="str">
        <f>IF(AND(NOT(ISBLANK(E900)),E900&lt;&gt;"(blank)"),IFERROR(IF(INDEX(HostBuild[],MATCH(E900,HostBuild[Alias],0),COLUMN(HostBuild[Status]))&lt;&gt;0,INDEX(HostBuild[],MATCH(E900,HostBuild[Alias],0),COLUMN(HostBuild[Status])),""),""),"")</f>
        <v/>
      </c>
      <c r="C900" s="425" t="str">
        <f>IF(AND(NOT(ISBLANK(E900)),E900&lt;&gt;"(blank)"),IFERROR(IF(INDEX(HostBuild[],MATCH(E900,HostBuild[Alias],0),COLUMN(HostBuild[CTI Target Completion]))&lt;&gt;0,INDEX(HostBuild[],MATCH(E900,HostBuild[Alias],0),COLUMN(HostBuild[CTI Target Completion])),""),""),"")</f>
        <v/>
      </c>
      <c r="D900" s="262" t="str">
        <f>IF(AND(NOT(ISBLANK(E900)),E900&lt;&gt;"(blank)"),IFERROR(IF(INDEX(HostBuild[],MATCH(E900,HostBuild[Alias],0),COLUMN(HostBuild[Description]))&lt;&gt;0,INDEX(HostBuild[],MATCH(E900,HostBuild[Alias],0),COLUMN(HostBuild[Description])),""),""),"")</f>
        <v/>
      </c>
    </row>
    <row r="901" spans="1:4">
      <c r="A901" s="3" t="str">
        <f>IF(AND(NOT(ISBLANK(E901)),E901&lt;&gt;"(blank)"),IFERROR(IF(INDEX(HostBuild[],MATCH(E901,HostBuild[Alias],0),COLUMN(HostBuild[Hostname]))&lt;&gt;0,INDEX(HostBuild[],MATCH(E901,HostBuild[Alias],0),COLUMN(HostBuild[Hostname])),""),""),"")</f>
        <v/>
      </c>
      <c r="B901" s="424" t="str">
        <f>IF(AND(NOT(ISBLANK(E901)),E901&lt;&gt;"(blank)"),IFERROR(IF(INDEX(HostBuild[],MATCH(E901,HostBuild[Alias],0),COLUMN(HostBuild[Status]))&lt;&gt;0,INDEX(HostBuild[],MATCH(E901,HostBuild[Alias],0),COLUMN(HostBuild[Status])),""),""),"")</f>
        <v/>
      </c>
      <c r="C901" s="425" t="str">
        <f>IF(AND(NOT(ISBLANK(E901)),E901&lt;&gt;"(blank)"),IFERROR(IF(INDEX(HostBuild[],MATCH(E901,HostBuild[Alias],0),COLUMN(HostBuild[CTI Target Completion]))&lt;&gt;0,INDEX(HostBuild[],MATCH(E901,HostBuild[Alias],0),COLUMN(HostBuild[CTI Target Completion])),""),""),"")</f>
        <v/>
      </c>
      <c r="D901" s="262" t="str">
        <f>IF(AND(NOT(ISBLANK(E901)),E901&lt;&gt;"(blank)"),IFERROR(IF(INDEX(HostBuild[],MATCH(E901,HostBuild[Alias],0),COLUMN(HostBuild[Description]))&lt;&gt;0,INDEX(HostBuild[],MATCH(E901,HostBuild[Alias],0),COLUMN(HostBuild[Description])),""),""),"")</f>
        <v/>
      </c>
    </row>
    <row r="902" spans="1:4">
      <c r="A902" s="3" t="str">
        <f>IF(AND(NOT(ISBLANK(E902)),E902&lt;&gt;"(blank)"),IFERROR(IF(INDEX(HostBuild[],MATCH(E902,HostBuild[Alias],0),COLUMN(HostBuild[Hostname]))&lt;&gt;0,INDEX(HostBuild[],MATCH(E902,HostBuild[Alias],0),COLUMN(HostBuild[Hostname])),""),""),"")</f>
        <v/>
      </c>
      <c r="B902" s="424" t="str">
        <f>IF(AND(NOT(ISBLANK(E902)),E902&lt;&gt;"(blank)"),IFERROR(IF(INDEX(HostBuild[],MATCH(E902,HostBuild[Alias],0),COLUMN(HostBuild[Status]))&lt;&gt;0,INDEX(HostBuild[],MATCH(E902,HostBuild[Alias],0),COLUMN(HostBuild[Status])),""),""),"")</f>
        <v/>
      </c>
      <c r="C902" s="425" t="str">
        <f>IF(AND(NOT(ISBLANK(E902)),E902&lt;&gt;"(blank)"),IFERROR(IF(INDEX(HostBuild[],MATCH(E902,HostBuild[Alias],0),COLUMN(HostBuild[CTI Target Completion]))&lt;&gt;0,INDEX(HostBuild[],MATCH(E902,HostBuild[Alias],0),COLUMN(HostBuild[CTI Target Completion])),""),""),"")</f>
        <v/>
      </c>
      <c r="D902" s="262" t="str">
        <f>IF(AND(NOT(ISBLANK(E902)),E902&lt;&gt;"(blank)"),IFERROR(IF(INDEX(HostBuild[],MATCH(E902,HostBuild[Alias],0),COLUMN(HostBuild[Description]))&lt;&gt;0,INDEX(HostBuild[],MATCH(E902,HostBuild[Alias],0),COLUMN(HostBuild[Description])),""),""),"")</f>
        <v/>
      </c>
    </row>
    <row r="903" spans="1:4">
      <c r="A903" s="3" t="str">
        <f>IF(AND(NOT(ISBLANK(E903)),E903&lt;&gt;"(blank)"),IFERROR(IF(INDEX(HostBuild[],MATCH(E903,HostBuild[Alias],0),COLUMN(HostBuild[Hostname]))&lt;&gt;0,INDEX(HostBuild[],MATCH(E903,HostBuild[Alias],0),COLUMN(HostBuild[Hostname])),""),""),"")</f>
        <v/>
      </c>
      <c r="B903" s="424" t="str">
        <f>IF(AND(NOT(ISBLANK(E903)),E903&lt;&gt;"(blank)"),IFERROR(IF(INDEX(HostBuild[],MATCH(E903,HostBuild[Alias],0),COLUMN(HostBuild[Status]))&lt;&gt;0,INDEX(HostBuild[],MATCH(E903,HostBuild[Alias],0),COLUMN(HostBuild[Status])),""),""),"")</f>
        <v/>
      </c>
      <c r="C903" s="425" t="str">
        <f>IF(AND(NOT(ISBLANK(E903)),E903&lt;&gt;"(blank)"),IFERROR(IF(INDEX(HostBuild[],MATCH(E903,HostBuild[Alias],0),COLUMN(HostBuild[CTI Target Completion]))&lt;&gt;0,INDEX(HostBuild[],MATCH(E903,HostBuild[Alias],0),COLUMN(HostBuild[CTI Target Completion])),""),""),"")</f>
        <v/>
      </c>
      <c r="D903" s="262" t="str">
        <f>IF(AND(NOT(ISBLANK(E903)),E903&lt;&gt;"(blank)"),IFERROR(IF(INDEX(HostBuild[],MATCH(E903,HostBuild[Alias],0),COLUMN(HostBuild[Description]))&lt;&gt;0,INDEX(HostBuild[],MATCH(E903,HostBuild[Alias],0),COLUMN(HostBuild[Description])),""),""),"")</f>
        <v/>
      </c>
    </row>
    <row r="904" spans="1:4">
      <c r="A904" s="3" t="str">
        <f>IF(AND(NOT(ISBLANK(E904)),E904&lt;&gt;"(blank)"),IFERROR(IF(INDEX(HostBuild[],MATCH(E904,HostBuild[Alias],0),COLUMN(HostBuild[Hostname]))&lt;&gt;0,INDEX(HostBuild[],MATCH(E904,HostBuild[Alias],0),COLUMN(HostBuild[Hostname])),""),""),"")</f>
        <v/>
      </c>
      <c r="B904" s="424" t="str">
        <f>IF(AND(NOT(ISBLANK(E904)),E904&lt;&gt;"(blank)"),IFERROR(IF(INDEX(HostBuild[],MATCH(E904,HostBuild[Alias],0),COLUMN(HostBuild[Status]))&lt;&gt;0,INDEX(HostBuild[],MATCH(E904,HostBuild[Alias],0),COLUMN(HostBuild[Status])),""),""),"")</f>
        <v/>
      </c>
      <c r="C904" s="425" t="str">
        <f>IF(AND(NOT(ISBLANK(E904)),E904&lt;&gt;"(blank)"),IFERROR(IF(INDEX(HostBuild[],MATCH(E904,HostBuild[Alias],0),COLUMN(HostBuild[CTI Target Completion]))&lt;&gt;0,INDEX(HostBuild[],MATCH(E904,HostBuild[Alias],0),COLUMN(HostBuild[CTI Target Completion])),""),""),"")</f>
        <v/>
      </c>
      <c r="D904" s="262" t="str">
        <f>IF(AND(NOT(ISBLANK(E904)),E904&lt;&gt;"(blank)"),IFERROR(IF(INDEX(HostBuild[],MATCH(E904,HostBuild[Alias],0),COLUMN(HostBuild[Description]))&lt;&gt;0,INDEX(HostBuild[],MATCH(E904,HostBuild[Alias],0),COLUMN(HostBuild[Description])),""),""),"")</f>
        <v/>
      </c>
    </row>
    <row r="905" spans="1:4">
      <c r="A905" s="3" t="str">
        <f>IF(AND(NOT(ISBLANK(E905)),E905&lt;&gt;"(blank)"),IFERROR(IF(INDEX(HostBuild[],MATCH(E905,HostBuild[Alias],0),COLUMN(HostBuild[Hostname]))&lt;&gt;0,INDEX(HostBuild[],MATCH(E905,HostBuild[Alias],0),COLUMN(HostBuild[Hostname])),""),""),"")</f>
        <v/>
      </c>
      <c r="B905" s="424" t="str">
        <f>IF(AND(NOT(ISBLANK(E905)),E905&lt;&gt;"(blank)"),IFERROR(IF(INDEX(HostBuild[],MATCH(E905,HostBuild[Alias],0),COLUMN(HostBuild[Status]))&lt;&gt;0,INDEX(HostBuild[],MATCH(E905,HostBuild[Alias],0),COLUMN(HostBuild[Status])),""),""),"")</f>
        <v/>
      </c>
      <c r="C905" s="425" t="str">
        <f>IF(AND(NOT(ISBLANK(E905)),E905&lt;&gt;"(blank)"),IFERROR(IF(INDEX(HostBuild[],MATCH(E905,HostBuild[Alias],0),COLUMN(HostBuild[CTI Target Completion]))&lt;&gt;0,INDEX(HostBuild[],MATCH(E905,HostBuild[Alias],0),COLUMN(HostBuild[CTI Target Completion])),""),""),"")</f>
        <v/>
      </c>
      <c r="D905" s="262" t="str">
        <f>IF(AND(NOT(ISBLANK(E905)),E905&lt;&gt;"(blank)"),IFERROR(IF(INDEX(HostBuild[],MATCH(E905,HostBuild[Alias],0),COLUMN(HostBuild[Description]))&lt;&gt;0,INDEX(HostBuild[],MATCH(E905,HostBuild[Alias],0),COLUMN(HostBuild[Description])),""),""),"")</f>
        <v/>
      </c>
    </row>
    <row r="906" spans="1:4">
      <c r="A906" s="3" t="str">
        <f>IF(AND(NOT(ISBLANK(E906)),E906&lt;&gt;"(blank)"),IFERROR(IF(INDEX(HostBuild[],MATCH(E906,HostBuild[Alias],0),COLUMN(HostBuild[Hostname]))&lt;&gt;0,INDEX(HostBuild[],MATCH(E906,HostBuild[Alias],0),COLUMN(HostBuild[Hostname])),""),""),"")</f>
        <v/>
      </c>
      <c r="B906" s="424" t="str">
        <f>IF(AND(NOT(ISBLANK(E906)),E906&lt;&gt;"(blank)"),IFERROR(IF(INDEX(HostBuild[],MATCH(E906,HostBuild[Alias],0),COLUMN(HostBuild[Status]))&lt;&gt;0,INDEX(HostBuild[],MATCH(E906,HostBuild[Alias],0),COLUMN(HostBuild[Status])),""),""),"")</f>
        <v/>
      </c>
      <c r="C906" s="425" t="str">
        <f>IF(AND(NOT(ISBLANK(E906)),E906&lt;&gt;"(blank)"),IFERROR(IF(INDEX(HostBuild[],MATCH(E906,HostBuild[Alias],0),COLUMN(HostBuild[CTI Target Completion]))&lt;&gt;0,INDEX(HostBuild[],MATCH(E906,HostBuild[Alias],0),COLUMN(HostBuild[CTI Target Completion])),""),""),"")</f>
        <v/>
      </c>
      <c r="D906" s="262" t="str">
        <f>IF(AND(NOT(ISBLANK(E906)),E906&lt;&gt;"(blank)"),IFERROR(IF(INDEX(HostBuild[],MATCH(E906,HostBuild[Alias],0),COLUMN(HostBuild[Description]))&lt;&gt;0,INDEX(HostBuild[],MATCH(E906,HostBuild[Alias],0),COLUMN(HostBuild[Description])),""),""),"")</f>
        <v/>
      </c>
    </row>
    <row r="907" spans="1:4">
      <c r="A907" s="3" t="str">
        <f>IF(AND(NOT(ISBLANK(E907)),E907&lt;&gt;"(blank)"),IFERROR(IF(INDEX(HostBuild[],MATCH(E907,HostBuild[Alias],0),COLUMN(HostBuild[Hostname]))&lt;&gt;0,INDEX(HostBuild[],MATCH(E907,HostBuild[Alias],0),COLUMN(HostBuild[Hostname])),""),""),"")</f>
        <v/>
      </c>
      <c r="B907" s="424" t="str">
        <f>IF(AND(NOT(ISBLANK(E907)),E907&lt;&gt;"(blank)"),IFERROR(IF(INDEX(HostBuild[],MATCH(E907,HostBuild[Alias],0),COLUMN(HostBuild[Status]))&lt;&gt;0,INDEX(HostBuild[],MATCH(E907,HostBuild[Alias],0),COLUMN(HostBuild[Status])),""),""),"")</f>
        <v/>
      </c>
      <c r="C907" s="425" t="str">
        <f>IF(AND(NOT(ISBLANK(E907)),E907&lt;&gt;"(blank)"),IFERROR(IF(INDEX(HostBuild[],MATCH(E907,HostBuild[Alias],0),COLUMN(HostBuild[CTI Target Completion]))&lt;&gt;0,INDEX(HostBuild[],MATCH(E907,HostBuild[Alias],0),COLUMN(HostBuild[CTI Target Completion])),""),""),"")</f>
        <v/>
      </c>
      <c r="D907" s="262" t="str">
        <f>IF(AND(NOT(ISBLANK(E907)),E907&lt;&gt;"(blank)"),IFERROR(IF(INDEX(HostBuild[],MATCH(E907,HostBuild[Alias],0),COLUMN(HostBuild[Description]))&lt;&gt;0,INDEX(HostBuild[],MATCH(E907,HostBuild[Alias],0),COLUMN(HostBuild[Description])),""),""),"")</f>
        <v/>
      </c>
    </row>
    <row r="908" spans="1:4">
      <c r="A908" s="3" t="str">
        <f>IF(AND(NOT(ISBLANK(E908)),E908&lt;&gt;"(blank)"),IFERROR(IF(INDEX(HostBuild[],MATCH(E908,HostBuild[Alias],0),COLUMN(HostBuild[Hostname]))&lt;&gt;0,INDEX(HostBuild[],MATCH(E908,HostBuild[Alias],0),COLUMN(HostBuild[Hostname])),""),""),"")</f>
        <v/>
      </c>
      <c r="B908" s="424" t="str">
        <f>IF(AND(NOT(ISBLANK(E908)),E908&lt;&gt;"(blank)"),IFERROR(IF(INDEX(HostBuild[],MATCH(E908,HostBuild[Alias],0),COLUMN(HostBuild[Status]))&lt;&gt;0,INDEX(HostBuild[],MATCH(E908,HostBuild[Alias],0),COLUMN(HostBuild[Status])),""),""),"")</f>
        <v/>
      </c>
      <c r="C908" s="425" t="str">
        <f>IF(AND(NOT(ISBLANK(E908)),E908&lt;&gt;"(blank)"),IFERROR(IF(INDEX(HostBuild[],MATCH(E908,HostBuild[Alias],0),COLUMN(HostBuild[CTI Target Completion]))&lt;&gt;0,INDEX(HostBuild[],MATCH(E908,HostBuild[Alias],0),COLUMN(HostBuild[CTI Target Completion])),""),""),"")</f>
        <v/>
      </c>
      <c r="D908" s="262" t="str">
        <f>IF(AND(NOT(ISBLANK(E908)),E908&lt;&gt;"(blank)"),IFERROR(IF(INDEX(HostBuild[],MATCH(E908,HostBuild[Alias],0),COLUMN(HostBuild[Description]))&lt;&gt;0,INDEX(HostBuild[],MATCH(E908,HostBuild[Alias],0),COLUMN(HostBuild[Description])),""),""),"")</f>
        <v/>
      </c>
    </row>
    <row r="909" spans="1:4">
      <c r="A909" s="3" t="str">
        <f>IF(AND(NOT(ISBLANK(E909)),E909&lt;&gt;"(blank)"),IFERROR(IF(INDEX(HostBuild[],MATCH(E909,HostBuild[Alias],0),COLUMN(HostBuild[Hostname]))&lt;&gt;0,INDEX(HostBuild[],MATCH(E909,HostBuild[Alias],0),COLUMN(HostBuild[Hostname])),""),""),"")</f>
        <v/>
      </c>
      <c r="B909" s="424" t="str">
        <f>IF(AND(NOT(ISBLANK(E909)),E909&lt;&gt;"(blank)"),IFERROR(IF(INDEX(HostBuild[],MATCH(E909,HostBuild[Alias],0),COLUMN(HostBuild[Status]))&lt;&gt;0,INDEX(HostBuild[],MATCH(E909,HostBuild[Alias],0),COLUMN(HostBuild[Status])),""),""),"")</f>
        <v/>
      </c>
      <c r="C909" s="425" t="str">
        <f>IF(AND(NOT(ISBLANK(E909)),E909&lt;&gt;"(blank)"),IFERROR(IF(INDEX(HostBuild[],MATCH(E909,HostBuild[Alias],0),COLUMN(HostBuild[CTI Target Completion]))&lt;&gt;0,INDEX(HostBuild[],MATCH(E909,HostBuild[Alias],0),COLUMN(HostBuild[CTI Target Completion])),""),""),"")</f>
        <v/>
      </c>
      <c r="D909" s="262" t="str">
        <f>IF(AND(NOT(ISBLANK(E909)),E909&lt;&gt;"(blank)"),IFERROR(IF(INDEX(HostBuild[],MATCH(E909,HostBuild[Alias],0),COLUMN(HostBuild[Description]))&lt;&gt;0,INDEX(HostBuild[],MATCH(E909,HostBuild[Alias],0),COLUMN(HostBuild[Description])),""),""),"")</f>
        <v/>
      </c>
    </row>
    <row r="910" spans="1:4">
      <c r="A910" s="3" t="str">
        <f>IF(AND(NOT(ISBLANK(E910)),E910&lt;&gt;"(blank)"),IFERROR(IF(INDEX(HostBuild[],MATCH(E910,HostBuild[Alias],0),COLUMN(HostBuild[Hostname]))&lt;&gt;0,INDEX(HostBuild[],MATCH(E910,HostBuild[Alias],0),COLUMN(HostBuild[Hostname])),""),""),"")</f>
        <v/>
      </c>
      <c r="B910" s="424" t="str">
        <f>IF(AND(NOT(ISBLANK(E910)),E910&lt;&gt;"(blank)"),IFERROR(IF(INDEX(HostBuild[],MATCH(E910,HostBuild[Alias],0),COLUMN(HostBuild[Status]))&lt;&gt;0,INDEX(HostBuild[],MATCH(E910,HostBuild[Alias],0),COLUMN(HostBuild[Status])),""),""),"")</f>
        <v/>
      </c>
      <c r="C910" s="425" t="str">
        <f>IF(AND(NOT(ISBLANK(E910)),E910&lt;&gt;"(blank)"),IFERROR(IF(INDEX(HostBuild[],MATCH(E910,HostBuild[Alias],0),COLUMN(HostBuild[CTI Target Completion]))&lt;&gt;0,INDEX(HostBuild[],MATCH(E910,HostBuild[Alias],0),COLUMN(HostBuild[CTI Target Completion])),""),""),"")</f>
        <v/>
      </c>
      <c r="D910" s="262" t="str">
        <f>IF(AND(NOT(ISBLANK(E910)),E910&lt;&gt;"(blank)"),IFERROR(IF(INDEX(HostBuild[],MATCH(E910,HostBuild[Alias],0),COLUMN(HostBuild[Description]))&lt;&gt;0,INDEX(HostBuild[],MATCH(E910,HostBuild[Alias],0),COLUMN(HostBuild[Description])),""),""),"")</f>
        <v/>
      </c>
    </row>
    <row r="911" spans="1:4">
      <c r="A911" s="3" t="str">
        <f>IF(AND(NOT(ISBLANK(E911)),E911&lt;&gt;"(blank)"),IFERROR(IF(INDEX(HostBuild[],MATCH(E911,HostBuild[Alias],0),COLUMN(HostBuild[Hostname]))&lt;&gt;0,INDEX(HostBuild[],MATCH(E911,HostBuild[Alias],0),COLUMN(HostBuild[Hostname])),""),""),"")</f>
        <v/>
      </c>
      <c r="B911" s="424" t="str">
        <f>IF(AND(NOT(ISBLANK(E911)),E911&lt;&gt;"(blank)"),IFERROR(IF(INDEX(HostBuild[],MATCH(E911,HostBuild[Alias],0),COLUMN(HostBuild[Status]))&lt;&gt;0,INDEX(HostBuild[],MATCH(E911,HostBuild[Alias],0),COLUMN(HostBuild[Status])),""),""),"")</f>
        <v/>
      </c>
      <c r="C911" s="425" t="str">
        <f>IF(AND(NOT(ISBLANK(E911)),E911&lt;&gt;"(blank)"),IFERROR(IF(INDEX(HostBuild[],MATCH(E911,HostBuild[Alias],0),COLUMN(HostBuild[CTI Target Completion]))&lt;&gt;0,INDEX(HostBuild[],MATCH(E911,HostBuild[Alias],0),COLUMN(HostBuild[CTI Target Completion])),""),""),"")</f>
        <v/>
      </c>
      <c r="D911" s="262" t="str">
        <f>IF(AND(NOT(ISBLANK(E911)),E911&lt;&gt;"(blank)"),IFERROR(IF(INDEX(HostBuild[],MATCH(E911,HostBuild[Alias],0),COLUMN(HostBuild[Description]))&lt;&gt;0,INDEX(HostBuild[],MATCH(E911,HostBuild[Alias],0),COLUMN(HostBuild[Description])),""),""),"")</f>
        <v/>
      </c>
    </row>
    <row r="912" spans="1:4">
      <c r="A912" s="3" t="str">
        <f>IF(AND(NOT(ISBLANK(E912)),E912&lt;&gt;"(blank)"),IFERROR(IF(INDEX(HostBuild[],MATCH(E912,HostBuild[Alias],0),COLUMN(HostBuild[Hostname]))&lt;&gt;0,INDEX(HostBuild[],MATCH(E912,HostBuild[Alias],0),COLUMN(HostBuild[Hostname])),""),""),"")</f>
        <v/>
      </c>
      <c r="B912" s="424" t="str">
        <f>IF(AND(NOT(ISBLANK(E912)),E912&lt;&gt;"(blank)"),IFERROR(IF(INDEX(HostBuild[],MATCH(E912,HostBuild[Alias],0),COLUMN(HostBuild[Status]))&lt;&gt;0,INDEX(HostBuild[],MATCH(E912,HostBuild[Alias],0),COLUMN(HostBuild[Status])),""),""),"")</f>
        <v/>
      </c>
      <c r="C912" s="425" t="str">
        <f>IF(AND(NOT(ISBLANK(E912)),E912&lt;&gt;"(blank)"),IFERROR(IF(INDEX(HostBuild[],MATCH(E912,HostBuild[Alias],0),COLUMN(HostBuild[CTI Target Completion]))&lt;&gt;0,INDEX(HostBuild[],MATCH(E912,HostBuild[Alias],0),COLUMN(HostBuild[CTI Target Completion])),""),""),"")</f>
        <v/>
      </c>
      <c r="D912" s="262" t="str">
        <f>IF(AND(NOT(ISBLANK(E912)),E912&lt;&gt;"(blank)"),IFERROR(IF(INDEX(HostBuild[],MATCH(E912,HostBuild[Alias],0),COLUMN(HostBuild[Description]))&lt;&gt;0,INDEX(HostBuild[],MATCH(E912,HostBuild[Alias],0),COLUMN(HostBuild[Description])),""),""),"")</f>
        <v/>
      </c>
    </row>
    <row r="913" spans="1:4">
      <c r="A913" s="3" t="str">
        <f>IF(AND(NOT(ISBLANK(E913)),E913&lt;&gt;"(blank)"),IFERROR(IF(INDEX(HostBuild[],MATCH(E913,HostBuild[Alias],0),COLUMN(HostBuild[Hostname]))&lt;&gt;0,INDEX(HostBuild[],MATCH(E913,HostBuild[Alias],0),COLUMN(HostBuild[Hostname])),""),""),"")</f>
        <v/>
      </c>
      <c r="B913" s="424" t="str">
        <f>IF(AND(NOT(ISBLANK(E913)),E913&lt;&gt;"(blank)"),IFERROR(IF(INDEX(HostBuild[],MATCH(E913,HostBuild[Alias],0),COLUMN(HostBuild[Status]))&lt;&gt;0,INDEX(HostBuild[],MATCH(E913,HostBuild[Alias],0),COLUMN(HostBuild[Status])),""),""),"")</f>
        <v/>
      </c>
      <c r="C913" s="425" t="str">
        <f>IF(AND(NOT(ISBLANK(E913)),E913&lt;&gt;"(blank)"),IFERROR(IF(INDEX(HostBuild[],MATCH(E913,HostBuild[Alias],0),COLUMN(HostBuild[CTI Target Completion]))&lt;&gt;0,INDEX(HostBuild[],MATCH(E913,HostBuild[Alias],0),COLUMN(HostBuild[CTI Target Completion])),""),""),"")</f>
        <v/>
      </c>
      <c r="D913" s="262" t="str">
        <f>IF(AND(NOT(ISBLANK(E913)),E913&lt;&gt;"(blank)"),IFERROR(IF(INDEX(HostBuild[],MATCH(E913,HostBuild[Alias],0),COLUMN(HostBuild[Description]))&lt;&gt;0,INDEX(HostBuild[],MATCH(E913,HostBuild[Alias],0),COLUMN(HostBuild[Description])),""),""),"")</f>
        <v/>
      </c>
    </row>
    <row r="914" spans="1:4">
      <c r="A914" s="3" t="str">
        <f>IF(AND(NOT(ISBLANK(E914)),E914&lt;&gt;"(blank)"),IFERROR(IF(INDEX(HostBuild[],MATCH(E914,HostBuild[Alias],0),COLUMN(HostBuild[Hostname]))&lt;&gt;0,INDEX(HostBuild[],MATCH(E914,HostBuild[Alias],0),COLUMN(HostBuild[Hostname])),""),""),"")</f>
        <v/>
      </c>
      <c r="B914" s="424" t="str">
        <f>IF(AND(NOT(ISBLANK(E914)),E914&lt;&gt;"(blank)"),IFERROR(IF(INDEX(HostBuild[],MATCH(E914,HostBuild[Alias],0),COLUMN(HostBuild[Status]))&lt;&gt;0,INDEX(HostBuild[],MATCH(E914,HostBuild[Alias],0),COLUMN(HostBuild[Status])),""),""),"")</f>
        <v/>
      </c>
      <c r="C914" s="425" t="str">
        <f>IF(AND(NOT(ISBLANK(E914)),E914&lt;&gt;"(blank)"),IFERROR(IF(INDEX(HostBuild[],MATCH(E914,HostBuild[Alias],0),COLUMN(HostBuild[CTI Target Completion]))&lt;&gt;0,INDEX(HostBuild[],MATCH(E914,HostBuild[Alias],0),COLUMN(HostBuild[CTI Target Completion])),""),""),"")</f>
        <v/>
      </c>
      <c r="D914" s="262" t="str">
        <f>IF(AND(NOT(ISBLANK(E914)),E914&lt;&gt;"(blank)"),IFERROR(IF(INDEX(HostBuild[],MATCH(E914,HostBuild[Alias],0),COLUMN(HostBuild[Description]))&lt;&gt;0,INDEX(HostBuild[],MATCH(E914,HostBuild[Alias],0),COLUMN(HostBuild[Description])),""),""),"")</f>
        <v/>
      </c>
    </row>
    <row r="915" spans="1:4">
      <c r="A915" s="3" t="str">
        <f>IF(AND(NOT(ISBLANK(E915)),E915&lt;&gt;"(blank)"),IFERROR(IF(INDEX(HostBuild[],MATCH(E915,HostBuild[Alias],0),COLUMN(HostBuild[Hostname]))&lt;&gt;0,INDEX(HostBuild[],MATCH(E915,HostBuild[Alias],0),COLUMN(HostBuild[Hostname])),""),""),"")</f>
        <v/>
      </c>
      <c r="B915" s="424" t="str">
        <f>IF(AND(NOT(ISBLANK(E915)),E915&lt;&gt;"(blank)"),IFERROR(IF(INDEX(HostBuild[],MATCH(E915,HostBuild[Alias],0),COLUMN(HostBuild[Status]))&lt;&gt;0,INDEX(HostBuild[],MATCH(E915,HostBuild[Alias],0),COLUMN(HostBuild[Status])),""),""),"")</f>
        <v/>
      </c>
      <c r="C915" s="425" t="str">
        <f>IF(AND(NOT(ISBLANK(E915)),E915&lt;&gt;"(blank)"),IFERROR(IF(INDEX(HostBuild[],MATCH(E915,HostBuild[Alias],0),COLUMN(HostBuild[CTI Target Completion]))&lt;&gt;0,INDEX(HostBuild[],MATCH(E915,HostBuild[Alias],0),COLUMN(HostBuild[CTI Target Completion])),""),""),"")</f>
        <v/>
      </c>
      <c r="D915" s="262" t="str">
        <f>IF(AND(NOT(ISBLANK(E915)),E915&lt;&gt;"(blank)"),IFERROR(IF(INDEX(HostBuild[],MATCH(E915,HostBuild[Alias],0),COLUMN(HostBuild[Description]))&lt;&gt;0,INDEX(HostBuild[],MATCH(E915,HostBuild[Alias],0),COLUMN(HostBuild[Description])),""),""),"")</f>
        <v/>
      </c>
    </row>
    <row r="916" spans="1:4">
      <c r="A916" s="3" t="str">
        <f>IF(AND(NOT(ISBLANK(E916)),E916&lt;&gt;"(blank)"),IFERROR(IF(INDEX(HostBuild[],MATCH(E916,HostBuild[Alias],0),COLUMN(HostBuild[Hostname]))&lt;&gt;0,INDEX(HostBuild[],MATCH(E916,HostBuild[Alias],0),COLUMN(HostBuild[Hostname])),""),""),"")</f>
        <v/>
      </c>
      <c r="B916" s="424" t="str">
        <f>IF(AND(NOT(ISBLANK(E916)),E916&lt;&gt;"(blank)"),IFERROR(IF(INDEX(HostBuild[],MATCH(E916,HostBuild[Alias],0),COLUMN(HostBuild[Status]))&lt;&gt;0,INDEX(HostBuild[],MATCH(E916,HostBuild[Alias],0),COLUMN(HostBuild[Status])),""),""),"")</f>
        <v/>
      </c>
      <c r="C916" s="425" t="str">
        <f>IF(AND(NOT(ISBLANK(E916)),E916&lt;&gt;"(blank)"),IFERROR(IF(INDEX(HostBuild[],MATCH(E916,HostBuild[Alias],0),COLUMN(HostBuild[CTI Target Completion]))&lt;&gt;0,INDEX(HostBuild[],MATCH(E916,HostBuild[Alias],0),COLUMN(HostBuild[CTI Target Completion])),""),""),"")</f>
        <v/>
      </c>
      <c r="D916" s="262" t="str">
        <f>IF(AND(NOT(ISBLANK(E916)),E916&lt;&gt;"(blank)"),IFERROR(IF(INDEX(HostBuild[],MATCH(E916,HostBuild[Alias],0),COLUMN(HostBuild[Description]))&lt;&gt;0,INDEX(HostBuild[],MATCH(E916,HostBuild[Alias],0),COLUMN(HostBuild[Description])),""),""),"")</f>
        <v/>
      </c>
    </row>
    <row r="917" spans="1:4">
      <c r="A917" s="3" t="str">
        <f>IF(AND(NOT(ISBLANK(E917)),E917&lt;&gt;"(blank)"),IFERROR(IF(INDEX(HostBuild[],MATCH(E917,HostBuild[Alias],0),COLUMN(HostBuild[Hostname]))&lt;&gt;0,INDEX(HostBuild[],MATCH(E917,HostBuild[Alias],0),COLUMN(HostBuild[Hostname])),""),""),"")</f>
        <v/>
      </c>
      <c r="B917" s="424" t="str">
        <f>IF(AND(NOT(ISBLANK(E917)),E917&lt;&gt;"(blank)"),IFERROR(IF(INDEX(HostBuild[],MATCH(E917,HostBuild[Alias],0),COLUMN(HostBuild[Status]))&lt;&gt;0,INDEX(HostBuild[],MATCH(E917,HostBuild[Alias],0),COLUMN(HostBuild[Status])),""),""),"")</f>
        <v/>
      </c>
      <c r="C917" s="425" t="str">
        <f>IF(AND(NOT(ISBLANK(E917)),E917&lt;&gt;"(blank)"),IFERROR(IF(INDEX(HostBuild[],MATCH(E917,HostBuild[Alias],0),COLUMN(HostBuild[CTI Target Completion]))&lt;&gt;0,INDEX(HostBuild[],MATCH(E917,HostBuild[Alias],0),COLUMN(HostBuild[CTI Target Completion])),""),""),"")</f>
        <v/>
      </c>
      <c r="D917" s="262" t="str">
        <f>IF(AND(NOT(ISBLANK(E917)),E917&lt;&gt;"(blank)"),IFERROR(IF(INDEX(HostBuild[],MATCH(E917,HostBuild[Alias],0),COLUMN(HostBuild[Description]))&lt;&gt;0,INDEX(HostBuild[],MATCH(E917,HostBuild[Alias],0),COLUMN(HostBuild[Description])),""),""),"")</f>
        <v/>
      </c>
    </row>
    <row r="918" spans="1:4">
      <c r="A918" s="3" t="str">
        <f>IF(AND(NOT(ISBLANK(E918)),E918&lt;&gt;"(blank)"),IFERROR(IF(INDEX(HostBuild[],MATCH(E918,HostBuild[Alias],0),COLUMN(HostBuild[Hostname]))&lt;&gt;0,INDEX(HostBuild[],MATCH(E918,HostBuild[Alias],0),COLUMN(HostBuild[Hostname])),""),""),"")</f>
        <v/>
      </c>
      <c r="B918" s="424" t="str">
        <f>IF(AND(NOT(ISBLANK(E918)),E918&lt;&gt;"(blank)"),IFERROR(IF(INDEX(HostBuild[],MATCH(E918,HostBuild[Alias],0),COLUMN(HostBuild[Status]))&lt;&gt;0,INDEX(HostBuild[],MATCH(E918,HostBuild[Alias],0),COLUMN(HostBuild[Status])),""),""),"")</f>
        <v/>
      </c>
      <c r="C918" s="425" t="str">
        <f>IF(AND(NOT(ISBLANK(E918)),E918&lt;&gt;"(blank)"),IFERROR(IF(INDEX(HostBuild[],MATCH(E918,HostBuild[Alias],0),COLUMN(HostBuild[CTI Target Completion]))&lt;&gt;0,INDEX(HostBuild[],MATCH(E918,HostBuild[Alias],0),COLUMN(HostBuild[CTI Target Completion])),""),""),"")</f>
        <v/>
      </c>
      <c r="D918" s="262" t="str">
        <f>IF(AND(NOT(ISBLANK(E918)),E918&lt;&gt;"(blank)"),IFERROR(IF(INDEX(HostBuild[],MATCH(E918,HostBuild[Alias],0),COLUMN(HostBuild[Description]))&lt;&gt;0,INDEX(HostBuild[],MATCH(E918,HostBuild[Alias],0),COLUMN(HostBuild[Description])),""),""),"")</f>
        <v/>
      </c>
    </row>
    <row r="919" spans="1:4">
      <c r="A919" s="3" t="str">
        <f>IF(AND(NOT(ISBLANK(E919)),E919&lt;&gt;"(blank)"),IFERROR(IF(INDEX(HostBuild[],MATCH(E919,HostBuild[Alias],0),COLUMN(HostBuild[Hostname]))&lt;&gt;0,INDEX(HostBuild[],MATCH(E919,HostBuild[Alias],0),COLUMN(HostBuild[Hostname])),""),""),"")</f>
        <v/>
      </c>
      <c r="B919" s="424" t="str">
        <f>IF(AND(NOT(ISBLANK(E919)),E919&lt;&gt;"(blank)"),IFERROR(IF(INDEX(HostBuild[],MATCH(E919,HostBuild[Alias],0),COLUMN(HostBuild[Status]))&lt;&gt;0,INDEX(HostBuild[],MATCH(E919,HostBuild[Alias],0),COLUMN(HostBuild[Status])),""),""),"")</f>
        <v/>
      </c>
      <c r="C919" s="425" t="str">
        <f>IF(AND(NOT(ISBLANK(E919)),E919&lt;&gt;"(blank)"),IFERROR(IF(INDEX(HostBuild[],MATCH(E919,HostBuild[Alias],0),COLUMN(HostBuild[CTI Target Completion]))&lt;&gt;0,INDEX(HostBuild[],MATCH(E919,HostBuild[Alias],0),COLUMN(HostBuild[CTI Target Completion])),""),""),"")</f>
        <v/>
      </c>
      <c r="D919" s="262" t="str">
        <f>IF(AND(NOT(ISBLANK(E919)),E919&lt;&gt;"(blank)"),IFERROR(IF(INDEX(HostBuild[],MATCH(E919,HostBuild[Alias],0),COLUMN(HostBuild[Description]))&lt;&gt;0,INDEX(HostBuild[],MATCH(E919,HostBuild[Alias],0),COLUMN(HostBuild[Description])),""),""),"")</f>
        <v/>
      </c>
    </row>
    <row r="920" spans="1:4">
      <c r="A920" s="3" t="str">
        <f>IF(AND(NOT(ISBLANK(E920)),E920&lt;&gt;"(blank)"),IFERROR(IF(INDEX(HostBuild[],MATCH(E920,HostBuild[Alias],0),COLUMN(HostBuild[Hostname]))&lt;&gt;0,INDEX(HostBuild[],MATCH(E920,HostBuild[Alias],0),COLUMN(HostBuild[Hostname])),""),""),"")</f>
        <v/>
      </c>
      <c r="B920" s="424" t="str">
        <f>IF(AND(NOT(ISBLANK(E920)),E920&lt;&gt;"(blank)"),IFERROR(IF(INDEX(HostBuild[],MATCH(E920,HostBuild[Alias],0),COLUMN(HostBuild[Status]))&lt;&gt;0,INDEX(HostBuild[],MATCH(E920,HostBuild[Alias],0),COLUMN(HostBuild[Status])),""),""),"")</f>
        <v/>
      </c>
      <c r="C920" s="425" t="str">
        <f>IF(AND(NOT(ISBLANK(E920)),E920&lt;&gt;"(blank)"),IFERROR(IF(INDEX(HostBuild[],MATCH(E920,HostBuild[Alias],0),COLUMN(HostBuild[CTI Target Completion]))&lt;&gt;0,INDEX(HostBuild[],MATCH(E920,HostBuild[Alias],0),COLUMN(HostBuild[CTI Target Completion])),""),""),"")</f>
        <v/>
      </c>
      <c r="D920" s="262" t="str">
        <f>IF(AND(NOT(ISBLANK(E920)),E920&lt;&gt;"(blank)"),IFERROR(IF(INDEX(HostBuild[],MATCH(E920,HostBuild[Alias],0),COLUMN(HostBuild[Description]))&lt;&gt;0,INDEX(HostBuild[],MATCH(E920,HostBuild[Alias],0),COLUMN(HostBuild[Description])),""),""),"")</f>
        <v/>
      </c>
    </row>
    <row r="921" spans="1:4">
      <c r="A921" s="3" t="str">
        <f>IF(AND(NOT(ISBLANK(E921)),E921&lt;&gt;"(blank)"),IFERROR(IF(INDEX(HostBuild[],MATCH(E921,HostBuild[Alias],0),COLUMN(HostBuild[Hostname]))&lt;&gt;0,INDEX(HostBuild[],MATCH(E921,HostBuild[Alias],0),COLUMN(HostBuild[Hostname])),""),""),"")</f>
        <v/>
      </c>
      <c r="B921" s="424" t="str">
        <f>IF(AND(NOT(ISBLANK(E921)),E921&lt;&gt;"(blank)"),IFERROR(IF(INDEX(HostBuild[],MATCH(E921,HostBuild[Alias],0),COLUMN(HostBuild[Status]))&lt;&gt;0,INDEX(HostBuild[],MATCH(E921,HostBuild[Alias],0),COLUMN(HostBuild[Status])),""),""),"")</f>
        <v/>
      </c>
      <c r="C921" s="425" t="str">
        <f>IF(AND(NOT(ISBLANK(E921)),E921&lt;&gt;"(blank)"),IFERROR(IF(INDEX(HostBuild[],MATCH(E921,HostBuild[Alias],0),COLUMN(HostBuild[CTI Target Completion]))&lt;&gt;0,INDEX(HostBuild[],MATCH(E921,HostBuild[Alias],0),COLUMN(HostBuild[CTI Target Completion])),""),""),"")</f>
        <v/>
      </c>
      <c r="D921" s="262" t="str">
        <f>IF(AND(NOT(ISBLANK(E921)),E921&lt;&gt;"(blank)"),IFERROR(IF(INDEX(HostBuild[],MATCH(E921,HostBuild[Alias],0),COLUMN(HostBuild[Description]))&lt;&gt;0,INDEX(HostBuild[],MATCH(E921,HostBuild[Alias],0),COLUMN(HostBuild[Description])),""),""),"")</f>
        <v/>
      </c>
    </row>
    <row r="922" spans="1:4">
      <c r="A922" s="3" t="str">
        <f>IF(AND(NOT(ISBLANK(E922)),E922&lt;&gt;"(blank)"),IFERROR(IF(INDEX(HostBuild[],MATCH(E922,HostBuild[Alias],0),COLUMN(HostBuild[Hostname]))&lt;&gt;0,INDEX(HostBuild[],MATCH(E922,HostBuild[Alias],0),COLUMN(HostBuild[Hostname])),""),""),"")</f>
        <v/>
      </c>
      <c r="B922" s="424" t="str">
        <f>IF(AND(NOT(ISBLANK(E922)),E922&lt;&gt;"(blank)"),IFERROR(IF(INDEX(HostBuild[],MATCH(E922,HostBuild[Alias],0),COLUMN(HostBuild[Status]))&lt;&gt;0,INDEX(HostBuild[],MATCH(E922,HostBuild[Alias],0),COLUMN(HostBuild[Status])),""),""),"")</f>
        <v/>
      </c>
      <c r="C922" s="425" t="str">
        <f>IF(AND(NOT(ISBLANK(E922)),E922&lt;&gt;"(blank)"),IFERROR(IF(INDEX(HostBuild[],MATCH(E922,HostBuild[Alias],0),COLUMN(HostBuild[CTI Target Completion]))&lt;&gt;0,INDEX(HostBuild[],MATCH(E922,HostBuild[Alias],0),COLUMN(HostBuild[CTI Target Completion])),""),""),"")</f>
        <v/>
      </c>
      <c r="D922" s="262" t="str">
        <f>IF(AND(NOT(ISBLANK(E922)),E922&lt;&gt;"(blank)"),IFERROR(IF(INDEX(HostBuild[],MATCH(E922,HostBuild[Alias],0),COLUMN(HostBuild[Description]))&lt;&gt;0,INDEX(HostBuild[],MATCH(E922,HostBuild[Alias],0),COLUMN(HostBuild[Description])),""),""),"")</f>
        <v/>
      </c>
    </row>
    <row r="923" spans="1:4">
      <c r="A923" s="3" t="str">
        <f>IF(AND(NOT(ISBLANK(E923)),E923&lt;&gt;"(blank)"),IFERROR(IF(INDEX(HostBuild[],MATCH(E923,HostBuild[Alias],0),COLUMN(HostBuild[Hostname]))&lt;&gt;0,INDEX(HostBuild[],MATCH(E923,HostBuild[Alias],0),COLUMN(HostBuild[Hostname])),""),""),"")</f>
        <v/>
      </c>
      <c r="B923" s="424" t="str">
        <f>IF(AND(NOT(ISBLANK(E923)),E923&lt;&gt;"(blank)"),IFERROR(IF(INDEX(HostBuild[],MATCH(E923,HostBuild[Alias],0),COLUMN(HostBuild[Status]))&lt;&gt;0,INDEX(HostBuild[],MATCH(E923,HostBuild[Alias],0),COLUMN(HostBuild[Status])),""),""),"")</f>
        <v/>
      </c>
      <c r="C923" s="425" t="str">
        <f>IF(AND(NOT(ISBLANK(E923)),E923&lt;&gt;"(blank)"),IFERROR(IF(INDEX(HostBuild[],MATCH(E923,HostBuild[Alias],0),COLUMN(HostBuild[CTI Target Completion]))&lt;&gt;0,INDEX(HostBuild[],MATCH(E923,HostBuild[Alias],0),COLUMN(HostBuild[CTI Target Completion])),""),""),"")</f>
        <v/>
      </c>
      <c r="D923" s="262" t="str">
        <f>IF(AND(NOT(ISBLANK(E923)),E923&lt;&gt;"(blank)"),IFERROR(IF(INDEX(HostBuild[],MATCH(E923,HostBuild[Alias],0),COLUMN(HostBuild[Description]))&lt;&gt;0,INDEX(HostBuild[],MATCH(E923,HostBuild[Alias],0),COLUMN(HostBuild[Description])),""),""),"")</f>
        <v/>
      </c>
    </row>
    <row r="924" spans="1:4">
      <c r="A924" s="3" t="str">
        <f>IF(AND(NOT(ISBLANK(E924)),E924&lt;&gt;"(blank)"),IFERROR(IF(INDEX(HostBuild[],MATCH(E924,HostBuild[Alias],0),COLUMN(HostBuild[Hostname]))&lt;&gt;0,INDEX(HostBuild[],MATCH(E924,HostBuild[Alias],0),COLUMN(HostBuild[Hostname])),""),""),"")</f>
        <v/>
      </c>
      <c r="B924" s="424" t="str">
        <f>IF(AND(NOT(ISBLANK(E924)),E924&lt;&gt;"(blank)"),IFERROR(IF(INDEX(HostBuild[],MATCH(E924,HostBuild[Alias],0),COLUMN(HostBuild[Status]))&lt;&gt;0,INDEX(HostBuild[],MATCH(E924,HostBuild[Alias],0),COLUMN(HostBuild[Status])),""),""),"")</f>
        <v/>
      </c>
      <c r="C924" s="425" t="str">
        <f>IF(AND(NOT(ISBLANK(E924)),E924&lt;&gt;"(blank)"),IFERROR(IF(INDEX(HostBuild[],MATCH(E924,HostBuild[Alias],0),COLUMN(HostBuild[CTI Target Completion]))&lt;&gt;0,INDEX(HostBuild[],MATCH(E924,HostBuild[Alias],0),COLUMN(HostBuild[CTI Target Completion])),""),""),"")</f>
        <v/>
      </c>
      <c r="D924" s="262" t="str">
        <f>IF(AND(NOT(ISBLANK(E924)),E924&lt;&gt;"(blank)"),IFERROR(IF(INDEX(HostBuild[],MATCH(E924,HostBuild[Alias],0),COLUMN(HostBuild[Description]))&lt;&gt;0,INDEX(HostBuild[],MATCH(E924,HostBuild[Alias],0),COLUMN(HostBuild[Description])),""),""),"")</f>
        <v/>
      </c>
    </row>
    <row r="925" spans="1:4">
      <c r="A925" s="3" t="str">
        <f>IF(AND(NOT(ISBLANK(E925)),E925&lt;&gt;"(blank)"),IFERROR(IF(INDEX(HostBuild[],MATCH(E925,HostBuild[Alias],0),COLUMN(HostBuild[Hostname]))&lt;&gt;0,INDEX(HostBuild[],MATCH(E925,HostBuild[Alias],0),COLUMN(HostBuild[Hostname])),""),""),"")</f>
        <v/>
      </c>
      <c r="B925" s="424" t="str">
        <f>IF(AND(NOT(ISBLANK(E925)),E925&lt;&gt;"(blank)"),IFERROR(IF(INDEX(HostBuild[],MATCH(E925,HostBuild[Alias],0),COLUMN(HostBuild[Status]))&lt;&gt;0,INDEX(HostBuild[],MATCH(E925,HostBuild[Alias],0),COLUMN(HostBuild[Status])),""),""),"")</f>
        <v/>
      </c>
      <c r="C925" s="425" t="str">
        <f>IF(AND(NOT(ISBLANK(E925)),E925&lt;&gt;"(blank)"),IFERROR(IF(INDEX(HostBuild[],MATCH(E925,HostBuild[Alias],0),COLUMN(HostBuild[CTI Target Completion]))&lt;&gt;0,INDEX(HostBuild[],MATCH(E925,HostBuild[Alias],0),COLUMN(HostBuild[CTI Target Completion])),""),""),"")</f>
        <v/>
      </c>
      <c r="D925" s="262" t="str">
        <f>IF(AND(NOT(ISBLANK(E925)),E925&lt;&gt;"(blank)"),IFERROR(IF(INDEX(HostBuild[],MATCH(E925,HostBuild[Alias],0),COLUMN(HostBuild[Description]))&lt;&gt;0,INDEX(HostBuild[],MATCH(E925,HostBuild[Alias],0),COLUMN(HostBuild[Description])),""),""),"")</f>
        <v/>
      </c>
    </row>
    <row r="926" spans="1:4">
      <c r="A926" s="3" t="str">
        <f>IF(AND(NOT(ISBLANK(E926)),E926&lt;&gt;"(blank)"),IFERROR(IF(INDEX(HostBuild[],MATCH(E926,HostBuild[Alias],0),COLUMN(HostBuild[Hostname]))&lt;&gt;0,INDEX(HostBuild[],MATCH(E926,HostBuild[Alias],0),COLUMN(HostBuild[Hostname])),""),""),"")</f>
        <v/>
      </c>
      <c r="B926" s="424" t="str">
        <f>IF(AND(NOT(ISBLANK(E926)),E926&lt;&gt;"(blank)"),IFERROR(IF(INDEX(HostBuild[],MATCH(E926,HostBuild[Alias],0),COLUMN(HostBuild[Status]))&lt;&gt;0,INDEX(HostBuild[],MATCH(E926,HostBuild[Alias],0),COLUMN(HostBuild[Status])),""),""),"")</f>
        <v/>
      </c>
      <c r="C926" s="425" t="str">
        <f>IF(AND(NOT(ISBLANK(E926)),E926&lt;&gt;"(blank)"),IFERROR(IF(INDEX(HostBuild[],MATCH(E926,HostBuild[Alias],0),COLUMN(HostBuild[CTI Target Completion]))&lt;&gt;0,INDEX(HostBuild[],MATCH(E926,HostBuild[Alias],0),COLUMN(HostBuild[CTI Target Completion])),""),""),"")</f>
        <v/>
      </c>
      <c r="D926" s="262" t="str">
        <f>IF(AND(NOT(ISBLANK(E926)),E926&lt;&gt;"(blank)"),IFERROR(IF(INDEX(HostBuild[],MATCH(E926,HostBuild[Alias],0),COLUMN(HostBuild[Description]))&lt;&gt;0,INDEX(HostBuild[],MATCH(E926,HostBuild[Alias],0),COLUMN(HostBuild[Description])),""),""),"")</f>
        <v/>
      </c>
    </row>
    <row r="927" spans="1:4">
      <c r="A927" s="3" t="str">
        <f>IF(AND(NOT(ISBLANK(E927)),E927&lt;&gt;"(blank)"),IFERROR(IF(INDEX(HostBuild[],MATCH(E927,HostBuild[Alias],0),COLUMN(HostBuild[Hostname]))&lt;&gt;0,INDEX(HostBuild[],MATCH(E927,HostBuild[Alias],0),COLUMN(HostBuild[Hostname])),""),""),"")</f>
        <v/>
      </c>
      <c r="B927" s="424" t="str">
        <f>IF(AND(NOT(ISBLANK(E927)),E927&lt;&gt;"(blank)"),IFERROR(IF(INDEX(HostBuild[],MATCH(E927,HostBuild[Alias],0),COLUMN(HostBuild[Status]))&lt;&gt;0,INDEX(HostBuild[],MATCH(E927,HostBuild[Alias],0),COLUMN(HostBuild[Status])),""),""),"")</f>
        <v/>
      </c>
      <c r="C927" s="425" t="str">
        <f>IF(AND(NOT(ISBLANK(E927)),E927&lt;&gt;"(blank)"),IFERROR(IF(INDEX(HostBuild[],MATCH(E927,HostBuild[Alias],0),COLUMN(HostBuild[CTI Target Completion]))&lt;&gt;0,INDEX(HostBuild[],MATCH(E927,HostBuild[Alias],0),COLUMN(HostBuild[CTI Target Completion])),""),""),"")</f>
        <v/>
      </c>
      <c r="D927" s="262" t="str">
        <f>IF(AND(NOT(ISBLANK(E927)),E927&lt;&gt;"(blank)"),IFERROR(IF(INDEX(HostBuild[],MATCH(E927,HostBuild[Alias],0),COLUMN(HostBuild[Description]))&lt;&gt;0,INDEX(HostBuild[],MATCH(E927,HostBuild[Alias],0),COLUMN(HostBuild[Description])),""),""),"")</f>
        <v/>
      </c>
    </row>
    <row r="928" spans="1:4">
      <c r="A928" s="3" t="str">
        <f>IF(AND(NOT(ISBLANK(E928)),E928&lt;&gt;"(blank)"),IFERROR(IF(INDEX(HostBuild[],MATCH(E928,HostBuild[Alias],0),COLUMN(HostBuild[Hostname]))&lt;&gt;0,INDEX(HostBuild[],MATCH(E928,HostBuild[Alias],0),COLUMN(HostBuild[Hostname])),""),""),"")</f>
        <v/>
      </c>
      <c r="B928" s="424" t="str">
        <f>IF(AND(NOT(ISBLANK(E928)),E928&lt;&gt;"(blank)"),IFERROR(IF(INDEX(HostBuild[],MATCH(E928,HostBuild[Alias],0),COLUMN(HostBuild[Status]))&lt;&gt;0,INDEX(HostBuild[],MATCH(E928,HostBuild[Alias],0),COLUMN(HostBuild[Status])),""),""),"")</f>
        <v/>
      </c>
      <c r="C928" s="425" t="str">
        <f>IF(AND(NOT(ISBLANK(E928)),E928&lt;&gt;"(blank)"),IFERROR(IF(INDEX(HostBuild[],MATCH(E928,HostBuild[Alias],0),COLUMN(HostBuild[CTI Target Completion]))&lt;&gt;0,INDEX(HostBuild[],MATCH(E928,HostBuild[Alias],0),COLUMN(HostBuild[CTI Target Completion])),""),""),"")</f>
        <v/>
      </c>
      <c r="D928" s="262" t="str">
        <f>IF(AND(NOT(ISBLANK(E928)),E928&lt;&gt;"(blank)"),IFERROR(IF(INDEX(HostBuild[],MATCH(E928,HostBuild[Alias],0),COLUMN(HostBuild[Description]))&lt;&gt;0,INDEX(HostBuild[],MATCH(E928,HostBuild[Alias],0),COLUMN(HostBuild[Description])),""),""),"")</f>
        <v/>
      </c>
    </row>
    <row r="929" spans="1:4">
      <c r="A929" s="3" t="str">
        <f>IF(AND(NOT(ISBLANK(E929)),E929&lt;&gt;"(blank)"),IFERROR(IF(INDEX(HostBuild[],MATCH(E929,HostBuild[Alias],0),COLUMN(HostBuild[Hostname]))&lt;&gt;0,INDEX(HostBuild[],MATCH(E929,HostBuild[Alias],0),COLUMN(HostBuild[Hostname])),""),""),"")</f>
        <v/>
      </c>
      <c r="B929" s="424" t="str">
        <f>IF(AND(NOT(ISBLANK(E929)),E929&lt;&gt;"(blank)"),IFERROR(IF(INDEX(HostBuild[],MATCH(E929,HostBuild[Alias],0),COLUMN(HostBuild[Status]))&lt;&gt;0,INDEX(HostBuild[],MATCH(E929,HostBuild[Alias],0),COLUMN(HostBuild[Status])),""),""),"")</f>
        <v/>
      </c>
      <c r="C929" s="425" t="str">
        <f>IF(AND(NOT(ISBLANK(E929)),E929&lt;&gt;"(blank)"),IFERROR(IF(INDEX(HostBuild[],MATCH(E929,HostBuild[Alias],0),COLUMN(HostBuild[CTI Target Completion]))&lt;&gt;0,INDEX(HostBuild[],MATCH(E929,HostBuild[Alias],0),COLUMN(HostBuild[CTI Target Completion])),""),""),"")</f>
        <v/>
      </c>
      <c r="D929" s="262" t="str">
        <f>IF(AND(NOT(ISBLANK(E929)),E929&lt;&gt;"(blank)"),IFERROR(IF(INDEX(HostBuild[],MATCH(E929,HostBuild[Alias],0),COLUMN(HostBuild[Description]))&lt;&gt;0,INDEX(HostBuild[],MATCH(E929,HostBuild[Alias],0),COLUMN(HostBuild[Description])),""),""),"")</f>
        <v/>
      </c>
    </row>
    <row r="930" spans="1:4">
      <c r="A930" s="3" t="str">
        <f>IF(AND(NOT(ISBLANK(E930)),E930&lt;&gt;"(blank)"),IFERROR(IF(INDEX(HostBuild[],MATCH(E930,HostBuild[Alias],0),COLUMN(HostBuild[Hostname]))&lt;&gt;0,INDEX(HostBuild[],MATCH(E930,HostBuild[Alias],0),COLUMN(HostBuild[Hostname])),""),""),"")</f>
        <v/>
      </c>
      <c r="B930" s="424" t="str">
        <f>IF(AND(NOT(ISBLANK(E930)),E930&lt;&gt;"(blank)"),IFERROR(IF(INDEX(HostBuild[],MATCH(E930,HostBuild[Alias],0),COLUMN(HostBuild[Status]))&lt;&gt;0,INDEX(HostBuild[],MATCH(E930,HostBuild[Alias],0),COLUMN(HostBuild[Status])),""),""),"")</f>
        <v/>
      </c>
      <c r="C930" s="425" t="str">
        <f>IF(AND(NOT(ISBLANK(E930)),E930&lt;&gt;"(blank)"),IFERROR(IF(INDEX(HostBuild[],MATCH(E930,HostBuild[Alias],0),COLUMN(HostBuild[CTI Target Completion]))&lt;&gt;0,INDEX(HostBuild[],MATCH(E930,HostBuild[Alias],0),COLUMN(HostBuild[CTI Target Completion])),""),""),"")</f>
        <v/>
      </c>
      <c r="D930" s="262" t="str">
        <f>IF(AND(NOT(ISBLANK(E930)),E930&lt;&gt;"(blank)"),IFERROR(IF(INDEX(HostBuild[],MATCH(E930,HostBuild[Alias],0),COLUMN(HostBuild[Description]))&lt;&gt;0,INDEX(HostBuild[],MATCH(E930,HostBuild[Alias],0),COLUMN(HostBuild[Description])),""),""),"")</f>
        <v/>
      </c>
    </row>
    <row r="931" spans="1:4">
      <c r="A931" s="3" t="str">
        <f>IF(AND(NOT(ISBLANK(E931)),E931&lt;&gt;"(blank)"),IFERROR(IF(INDEX(HostBuild[],MATCH(E931,HostBuild[Alias],0),COLUMN(HostBuild[Hostname]))&lt;&gt;0,INDEX(HostBuild[],MATCH(E931,HostBuild[Alias],0),COLUMN(HostBuild[Hostname])),""),""),"")</f>
        <v/>
      </c>
      <c r="B931" s="424" t="str">
        <f>IF(AND(NOT(ISBLANK(E931)),E931&lt;&gt;"(blank)"),IFERROR(IF(INDEX(HostBuild[],MATCH(E931,HostBuild[Alias],0),COLUMN(HostBuild[Status]))&lt;&gt;0,INDEX(HostBuild[],MATCH(E931,HostBuild[Alias],0),COLUMN(HostBuild[Status])),""),""),"")</f>
        <v/>
      </c>
      <c r="C931" s="425" t="str">
        <f>IF(AND(NOT(ISBLANK(E931)),E931&lt;&gt;"(blank)"),IFERROR(IF(INDEX(HostBuild[],MATCH(E931,HostBuild[Alias],0),COLUMN(HostBuild[CTI Target Completion]))&lt;&gt;0,INDEX(HostBuild[],MATCH(E931,HostBuild[Alias],0),COLUMN(HostBuild[CTI Target Completion])),""),""),"")</f>
        <v/>
      </c>
      <c r="D931" s="262" t="str">
        <f>IF(AND(NOT(ISBLANK(E931)),E931&lt;&gt;"(blank)"),IFERROR(IF(INDEX(HostBuild[],MATCH(E931,HostBuild[Alias],0),COLUMN(HostBuild[Description]))&lt;&gt;0,INDEX(HostBuild[],MATCH(E931,HostBuild[Alias],0),COLUMN(HostBuild[Description])),""),""),"")</f>
        <v/>
      </c>
    </row>
    <row r="932" spans="1:4">
      <c r="A932" s="3" t="str">
        <f>IF(AND(NOT(ISBLANK(E932)),E932&lt;&gt;"(blank)"),IFERROR(IF(INDEX(HostBuild[],MATCH(E932,HostBuild[Alias],0),COLUMN(HostBuild[Hostname]))&lt;&gt;0,INDEX(HostBuild[],MATCH(E932,HostBuild[Alias],0),COLUMN(HostBuild[Hostname])),""),""),"")</f>
        <v/>
      </c>
      <c r="B932" s="424" t="str">
        <f>IF(AND(NOT(ISBLANK(E932)),E932&lt;&gt;"(blank)"),IFERROR(IF(INDEX(HostBuild[],MATCH(E932,HostBuild[Alias],0),COLUMN(HostBuild[Status]))&lt;&gt;0,INDEX(HostBuild[],MATCH(E932,HostBuild[Alias],0),COLUMN(HostBuild[Status])),""),""),"")</f>
        <v/>
      </c>
      <c r="C932" s="425" t="str">
        <f>IF(AND(NOT(ISBLANK(E932)),E932&lt;&gt;"(blank)"),IFERROR(IF(INDEX(HostBuild[],MATCH(E932,HostBuild[Alias],0),COLUMN(HostBuild[CTI Target Completion]))&lt;&gt;0,INDEX(HostBuild[],MATCH(E932,HostBuild[Alias],0),COLUMN(HostBuild[CTI Target Completion])),""),""),"")</f>
        <v/>
      </c>
      <c r="D932" s="262" t="str">
        <f>IF(AND(NOT(ISBLANK(E932)),E932&lt;&gt;"(blank)"),IFERROR(IF(INDEX(HostBuild[],MATCH(E932,HostBuild[Alias],0),COLUMN(HostBuild[Description]))&lt;&gt;0,INDEX(HostBuild[],MATCH(E932,HostBuild[Alias],0),COLUMN(HostBuild[Description])),""),""),"")</f>
        <v/>
      </c>
    </row>
    <row r="933" spans="1:4">
      <c r="A933" s="3" t="str">
        <f>IF(AND(NOT(ISBLANK(E933)),E933&lt;&gt;"(blank)"),IFERROR(IF(INDEX(HostBuild[],MATCH(E933,HostBuild[Alias],0),COLUMN(HostBuild[Hostname]))&lt;&gt;0,INDEX(HostBuild[],MATCH(E933,HostBuild[Alias],0),COLUMN(HostBuild[Hostname])),""),""),"")</f>
        <v/>
      </c>
      <c r="B933" s="424" t="str">
        <f>IF(AND(NOT(ISBLANK(E933)),E933&lt;&gt;"(blank)"),IFERROR(IF(INDEX(HostBuild[],MATCH(E933,HostBuild[Alias],0),COLUMN(HostBuild[Status]))&lt;&gt;0,INDEX(HostBuild[],MATCH(E933,HostBuild[Alias],0),COLUMN(HostBuild[Status])),""),""),"")</f>
        <v/>
      </c>
      <c r="C933" s="425" t="str">
        <f>IF(AND(NOT(ISBLANK(E933)),E933&lt;&gt;"(blank)"),IFERROR(IF(INDEX(HostBuild[],MATCH(E933,HostBuild[Alias],0),COLUMN(HostBuild[CTI Target Completion]))&lt;&gt;0,INDEX(HostBuild[],MATCH(E933,HostBuild[Alias],0),COLUMN(HostBuild[CTI Target Completion])),""),""),"")</f>
        <v/>
      </c>
      <c r="D933" s="262" t="str">
        <f>IF(AND(NOT(ISBLANK(E933)),E933&lt;&gt;"(blank)"),IFERROR(IF(INDEX(HostBuild[],MATCH(E933,HostBuild[Alias],0),COLUMN(HostBuild[Description]))&lt;&gt;0,INDEX(HostBuild[],MATCH(E933,HostBuild[Alias],0),COLUMN(HostBuild[Description])),""),""),"")</f>
        <v/>
      </c>
    </row>
    <row r="934" spans="1:4">
      <c r="A934" s="3" t="str">
        <f>IF(AND(NOT(ISBLANK(E934)),E934&lt;&gt;"(blank)"),IFERROR(IF(INDEX(HostBuild[],MATCH(E934,HostBuild[Alias],0),COLUMN(HostBuild[Hostname]))&lt;&gt;0,INDEX(HostBuild[],MATCH(E934,HostBuild[Alias],0),COLUMN(HostBuild[Hostname])),""),""),"")</f>
        <v/>
      </c>
      <c r="B934" s="424" t="str">
        <f>IF(AND(NOT(ISBLANK(E934)),E934&lt;&gt;"(blank)"),IFERROR(IF(INDEX(HostBuild[],MATCH(E934,HostBuild[Alias],0),COLUMN(HostBuild[Status]))&lt;&gt;0,INDEX(HostBuild[],MATCH(E934,HostBuild[Alias],0),COLUMN(HostBuild[Status])),""),""),"")</f>
        <v/>
      </c>
      <c r="C934" s="425" t="str">
        <f>IF(AND(NOT(ISBLANK(E934)),E934&lt;&gt;"(blank)"),IFERROR(IF(INDEX(HostBuild[],MATCH(E934,HostBuild[Alias],0),COLUMN(HostBuild[CTI Target Completion]))&lt;&gt;0,INDEX(HostBuild[],MATCH(E934,HostBuild[Alias],0),COLUMN(HostBuild[CTI Target Completion])),""),""),"")</f>
        <v/>
      </c>
      <c r="D934" s="262" t="str">
        <f>IF(AND(NOT(ISBLANK(E934)),E934&lt;&gt;"(blank)"),IFERROR(IF(INDEX(HostBuild[],MATCH(E934,HostBuild[Alias],0),COLUMN(HostBuild[Description]))&lt;&gt;0,INDEX(HostBuild[],MATCH(E934,HostBuild[Alias],0),COLUMN(HostBuild[Description])),""),""),"")</f>
        <v/>
      </c>
    </row>
    <row r="935" spans="1:4">
      <c r="A935" s="3" t="str">
        <f>IF(AND(NOT(ISBLANK(E935)),E935&lt;&gt;"(blank)"),IFERROR(IF(INDEX(HostBuild[],MATCH(E935,HostBuild[Alias],0),COLUMN(HostBuild[Hostname]))&lt;&gt;0,INDEX(HostBuild[],MATCH(E935,HostBuild[Alias],0),COLUMN(HostBuild[Hostname])),""),""),"")</f>
        <v/>
      </c>
      <c r="B935" s="424" t="str">
        <f>IF(AND(NOT(ISBLANK(E935)),E935&lt;&gt;"(blank)"),IFERROR(IF(INDEX(HostBuild[],MATCH(E935,HostBuild[Alias],0),COLUMN(HostBuild[Status]))&lt;&gt;0,INDEX(HostBuild[],MATCH(E935,HostBuild[Alias],0),COLUMN(HostBuild[Status])),""),""),"")</f>
        <v/>
      </c>
      <c r="C935" s="425" t="str">
        <f>IF(AND(NOT(ISBLANK(E935)),E935&lt;&gt;"(blank)"),IFERROR(IF(INDEX(HostBuild[],MATCH(E935,HostBuild[Alias],0),COLUMN(HostBuild[CTI Target Completion]))&lt;&gt;0,INDEX(HostBuild[],MATCH(E935,HostBuild[Alias],0),COLUMN(HostBuild[CTI Target Completion])),""),""),"")</f>
        <v/>
      </c>
      <c r="D935" s="262" t="str">
        <f>IF(AND(NOT(ISBLANK(E935)),E935&lt;&gt;"(blank)"),IFERROR(IF(INDEX(HostBuild[],MATCH(E935,HostBuild[Alias],0),COLUMN(HostBuild[Description]))&lt;&gt;0,INDEX(HostBuild[],MATCH(E935,HostBuild[Alias],0),COLUMN(HostBuild[Description])),""),""),"")</f>
        <v/>
      </c>
    </row>
    <row r="936" spans="1:4">
      <c r="A936" s="3" t="str">
        <f>IF(AND(NOT(ISBLANK(E936)),E936&lt;&gt;"(blank)"),IFERROR(IF(INDEX(HostBuild[],MATCH(E936,HostBuild[Alias],0),COLUMN(HostBuild[Hostname]))&lt;&gt;0,INDEX(HostBuild[],MATCH(E936,HostBuild[Alias],0),COLUMN(HostBuild[Hostname])),""),""),"")</f>
        <v/>
      </c>
      <c r="B936" s="424" t="str">
        <f>IF(AND(NOT(ISBLANK(E936)),E936&lt;&gt;"(blank)"),IFERROR(IF(INDEX(HostBuild[],MATCH(E936,HostBuild[Alias],0),COLUMN(HostBuild[Status]))&lt;&gt;0,INDEX(HostBuild[],MATCH(E936,HostBuild[Alias],0),COLUMN(HostBuild[Status])),""),""),"")</f>
        <v/>
      </c>
      <c r="C936" s="425" t="str">
        <f>IF(AND(NOT(ISBLANK(E936)),E936&lt;&gt;"(blank)"),IFERROR(IF(INDEX(HostBuild[],MATCH(E936,HostBuild[Alias],0),COLUMN(HostBuild[CTI Target Completion]))&lt;&gt;0,INDEX(HostBuild[],MATCH(E936,HostBuild[Alias],0),COLUMN(HostBuild[CTI Target Completion])),""),""),"")</f>
        <v/>
      </c>
      <c r="D936" s="262" t="str">
        <f>IF(AND(NOT(ISBLANK(E936)),E936&lt;&gt;"(blank)"),IFERROR(IF(INDEX(HostBuild[],MATCH(E936,HostBuild[Alias],0),COLUMN(HostBuild[Description]))&lt;&gt;0,INDEX(HostBuild[],MATCH(E936,HostBuild[Alias],0),COLUMN(HostBuild[Description])),""),""),"")</f>
        <v/>
      </c>
    </row>
    <row r="937" spans="1:4">
      <c r="A937" s="3" t="str">
        <f>IF(AND(NOT(ISBLANK(E937)),E937&lt;&gt;"(blank)"),IFERROR(IF(INDEX(HostBuild[],MATCH(E937,HostBuild[Alias],0),COLUMN(HostBuild[Hostname]))&lt;&gt;0,INDEX(HostBuild[],MATCH(E937,HostBuild[Alias],0),COLUMN(HostBuild[Hostname])),""),""),"")</f>
        <v/>
      </c>
      <c r="B937" s="424" t="str">
        <f>IF(AND(NOT(ISBLANK(E937)),E937&lt;&gt;"(blank)"),IFERROR(IF(INDEX(HostBuild[],MATCH(E937,HostBuild[Alias],0),COLUMN(HostBuild[Status]))&lt;&gt;0,INDEX(HostBuild[],MATCH(E937,HostBuild[Alias],0),COLUMN(HostBuild[Status])),""),""),"")</f>
        <v/>
      </c>
      <c r="C937" s="425" t="str">
        <f>IF(AND(NOT(ISBLANK(E937)),E937&lt;&gt;"(blank)"),IFERROR(IF(INDEX(HostBuild[],MATCH(E937,HostBuild[Alias],0),COLUMN(HostBuild[CTI Target Completion]))&lt;&gt;0,INDEX(HostBuild[],MATCH(E937,HostBuild[Alias],0),COLUMN(HostBuild[CTI Target Completion])),""),""),"")</f>
        <v/>
      </c>
      <c r="D937" s="262" t="str">
        <f>IF(AND(NOT(ISBLANK(E937)),E937&lt;&gt;"(blank)"),IFERROR(IF(INDEX(HostBuild[],MATCH(E937,HostBuild[Alias],0),COLUMN(HostBuild[Description]))&lt;&gt;0,INDEX(HostBuild[],MATCH(E937,HostBuild[Alias],0),COLUMN(HostBuild[Description])),""),""),"")</f>
        <v/>
      </c>
    </row>
    <row r="938" spans="1:4">
      <c r="A938" s="3" t="str">
        <f>IF(AND(NOT(ISBLANK(E938)),E938&lt;&gt;"(blank)"),IFERROR(IF(INDEX(HostBuild[],MATCH(E938,HostBuild[Alias],0),COLUMN(HostBuild[Hostname]))&lt;&gt;0,INDEX(HostBuild[],MATCH(E938,HostBuild[Alias],0),COLUMN(HostBuild[Hostname])),""),""),"")</f>
        <v/>
      </c>
      <c r="B938" s="424" t="str">
        <f>IF(AND(NOT(ISBLANK(E938)),E938&lt;&gt;"(blank)"),IFERROR(IF(INDEX(HostBuild[],MATCH(E938,HostBuild[Alias],0),COLUMN(HostBuild[Status]))&lt;&gt;0,INDEX(HostBuild[],MATCH(E938,HostBuild[Alias],0),COLUMN(HostBuild[Status])),""),""),"")</f>
        <v/>
      </c>
      <c r="C938" s="425" t="str">
        <f>IF(AND(NOT(ISBLANK(E938)),E938&lt;&gt;"(blank)"),IFERROR(IF(INDEX(HostBuild[],MATCH(E938,HostBuild[Alias],0),COLUMN(HostBuild[CTI Target Completion]))&lt;&gt;0,INDEX(HostBuild[],MATCH(E938,HostBuild[Alias],0),COLUMN(HostBuild[CTI Target Completion])),""),""),"")</f>
        <v/>
      </c>
      <c r="D938" s="262" t="str">
        <f>IF(AND(NOT(ISBLANK(E938)),E938&lt;&gt;"(blank)"),IFERROR(IF(INDEX(HostBuild[],MATCH(E938,HostBuild[Alias],0),COLUMN(HostBuild[Description]))&lt;&gt;0,INDEX(HostBuild[],MATCH(E938,HostBuild[Alias],0),COLUMN(HostBuild[Description])),""),""),"")</f>
        <v/>
      </c>
    </row>
    <row r="939" spans="1:4">
      <c r="A939" s="3" t="str">
        <f>IF(AND(NOT(ISBLANK(E939)),E939&lt;&gt;"(blank)"),IFERROR(IF(INDEX(HostBuild[],MATCH(E939,HostBuild[Alias],0),COLUMN(HostBuild[Hostname]))&lt;&gt;0,INDEX(HostBuild[],MATCH(E939,HostBuild[Alias],0),COLUMN(HostBuild[Hostname])),""),""),"")</f>
        <v/>
      </c>
      <c r="B939" s="424" t="str">
        <f>IF(AND(NOT(ISBLANK(E939)),E939&lt;&gt;"(blank)"),IFERROR(IF(INDEX(HostBuild[],MATCH(E939,HostBuild[Alias],0),COLUMN(HostBuild[Status]))&lt;&gt;0,INDEX(HostBuild[],MATCH(E939,HostBuild[Alias],0),COLUMN(HostBuild[Status])),""),""),"")</f>
        <v/>
      </c>
      <c r="C939" s="425" t="str">
        <f>IF(AND(NOT(ISBLANK(E939)),E939&lt;&gt;"(blank)"),IFERROR(IF(INDEX(HostBuild[],MATCH(E939,HostBuild[Alias],0),COLUMN(HostBuild[CTI Target Completion]))&lt;&gt;0,INDEX(HostBuild[],MATCH(E939,HostBuild[Alias],0),COLUMN(HostBuild[CTI Target Completion])),""),""),"")</f>
        <v/>
      </c>
      <c r="D939" s="262" t="str">
        <f>IF(AND(NOT(ISBLANK(E939)),E939&lt;&gt;"(blank)"),IFERROR(IF(INDEX(HostBuild[],MATCH(E939,HostBuild[Alias],0),COLUMN(HostBuild[Description]))&lt;&gt;0,INDEX(HostBuild[],MATCH(E939,HostBuild[Alias],0),COLUMN(HostBuild[Description])),""),""),"")</f>
        <v/>
      </c>
    </row>
    <row r="940" spans="1:4">
      <c r="A940" s="3" t="str">
        <f>IF(AND(NOT(ISBLANK(E940)),E940&lt;&gt;"(blank)"),IFERROR(IF(INDEX(HostBuild[],MATCH(E940,HostBuild[Alias],0),COLUMN(HostBuild[Hostname]))&lt;&gt;0,INDEX(HostBuild[],MATCH(E940,HostBuild[Alias],0),COLUMN(HostBuild[Hostname])),""),""),"")</f>
        <v/>
      </c>
      <c r="B940" s="424" t="str">
        <f>IF(AND(NOT(ISBLANK(E940)),E940&lt;&gt;"(blank)"),IFERROR(IF(INDEX(HostBuild[],MATCH(E940,HostBuild[Alias],0),COLUMN(HostBuild[Status]))&lt;&gt;0,INDEX(HostBuild[],MATCH(E940,HostBuild[Alias],0),COLUMN(HostBuild[Status])),""),""),"")</f>
        <v/>
      </c>
      <c r="C940" s="425" t="str">
        <f>IF(AND(NOT(ISBLANK(E940)),E940&lt;&gt;"(blank)"),IFERROR(IF(INDEX(HostBuild[],MATCH(E940,HostBuild[Alias],0),COLUMN(HostBuild[CTI Target Completion]))&lt;&gt;0,INDEX(HostBuild[],MATCH(E940,HostBuild[Alias],0),COLUMN(HostBuild[CTI Target Completion])),""),""),"")</f>
        <v/>
      </c>
      <c r="D940" s="262" t="str">
        <f>IF(AND(NOT(ISBLANK(E940)),E940&lt;&gt;"(blank)"),IFERROR(IF(INDEX(HostBuild[],MATCH(E940,HostBuild[Alias],0),COLUMN(HostBuild[Description]))&lt;&gt;0,INDEX(HostBuild[],MATCH(E940,HostBuild[Alias],0),COLUMN(HostBuild[Description])),""),""),"")</f>
        <v/>
      </c>
    </row>
    <row r="941" spans="1:4">
      <c r="A941" s="3" t="str">
        <f>IF(AND(NOT(ISBLANK(E941)),E941&lt;&gt;"(blank)"),IFERROR(IF(INDEX(HostBuild[],MATCH(E941,HostBuild[Alias],0),COLUMN(HostBuild[Hostname]))&lt;&gt;0,INDEX(HostBuild[],MATCH(E941,HostBuild[Alias],0),COLUMN(HostBuild[Hostname])),""),""),"")</f>
        <v/>
      </c>
      <c r="B941" s="424" t="str">
        <f>IF(AND(NOT(ISBLANK(E941)),E941&lt;&gt;"(blank)"),IFERROR(IF(INDEX(HostBuild[],MATCH(E941,HostBuild[Alias],0),COLUMN(HostBuild[Status]))&lt;&gt;0,INDEX(HostBuild[],MATCH(E941,HostBuild[Alias],0),COLUMN(HostBuild[Status])),""),""),"")</f>
        <v/>
      </c>
      <c r="C941" s="425" t="str">
        <f>IF(AND(NOT(ISBLANK(E941)),E941&lt;&gt;"(blank)"),IFERROR(IF(INDEX(HostBuild[],MATCH(E941,HostBuild[Alias],0),COLUMN(HostBuild[CTI Target Completion]))&lt;&gt;0,INDEX(HostBuild[],MATCH(E941,HostBuild[Alias],0),COLUMN(HostBuild[CTI Target Completion])),""),""),"")</f>
        <v/>
      </c>
      <c r="D941" s="262" t="str">
        <f>IF(AND(NOT(ISBLANK(E941)),E941&lt;&gt;"(blank)"),IFERROR(IF(INDEX(HostBuild[],MATCH(E941,HostBuild[Alias],0),COLUMN(HostBuild[Description]))&lt;&gt;0,INDEX(HostBuild[],MATCH(E941,HostBuild[Alias],0),COLUMN(HostBuild[Description])),""),""),"")</f>
        <v/>
      </c>
    </row>
    <row r="942" spans="1:4">
      <c r="A942" s="3" t="str">
        <f>IF(AND(NOT(ISBLANK(E942)),E942&lt;&gt;"(blank)"),IFERROR(IF(INDEX(HostBuild[],MATCH(E942,HostBuild[Alias],0),COLUMN(HostBuild[Hostname]))&lt;&gt;0,INDEX(HostBuild[],MATCH(E942,HostBuild[Alias],0),COLUMN(HostBuild[Hostname])),""),""),"")</f>
        <v/>
      </c>
      <c r="B942" s="424" t="str">
        <f>IF(AND(NOT(ISBLANK(E942)),E942&lt;&gt;"(blank)"),IFERROR(IF(INDEX(HostBuild[],MATCH(E942,HostBuild[Alias],0),COLUMN(HostBuild[Status]))&lt;&gt;0,INDEX(HostBuild[],MATCH(E942,HostBuild[Alias],0),COLUMN(HostBuild[Status])),""),""),"")</f>
        <v/>
      </c>
      <c r="C942" s="425" t="str">
        <f>IF(AND(NOT(ISBLANK(E942)),E942&lt;&gt;"(blank)"),IFERROR(IF(INDEX(HostBuild[],MATCH(E942,HostBuild[Alias],0),COLUMN(HostBuild[CTI Target Completion]))&lt;&gt;0,INDEX(HostBuild[],MATCH(E942,HostBuild[Alias],0),COLUMN(HostBuild[CTI Target Completion])),""),""),"")</f>
        <v/>
      </c>
      <c r="D942" s="262" t="str">
        <f>IF(AND(NOT(ISBLANK(E942)),E942&lt;&gt;"(blank)"),IFERROR(IF(INDEX(HostBuild[],MATCH(E942,HostBuild[Alias],0),COLUMN(HostBuild[Description]))&lt;&gt;0,INDEX(HostBuild[],MATCH(E942,HostBuild[Alias],0),COLUMN(HostBuild[Description])),""),""),"")</f>
        <v/>
      </c>
    </row>
    <row r="943" spans="1:4">
      <c r="A943" s="3" t="str">
        <f>IF(AND(NOT(ISBLANK(E943)),E943&lt;&gt;"(blank)"),IFERROR(IF(INDEX(HostBuild[],MATCH(E943,HostBuild[Alias],0),COLUMN(HostBuild[Hostname]))&lt;&gt;0,INDEX(HostBuild[],MATCH(E943,HostBuild[Alias],0),COLUMN(HostBuild[Hostname])),""),""),"")</f>
        <v/>
      </c>
      <c r="B943" s="424" t="str">
        <f>IF(AND(NOT(ISBLANK(E943)),E943&lt;&gt;"(blank)"),IFERROR(IF(INDEX(HostBuild[],MATCH(E943,HostBuild[Alias],0),COLUMN(HostBuild[Status]))&lt;&gt;0,INDEX(HostBuild[],MATCH(E943,HostBuild[Alias],0),COLUMN(HostBuild[Status])),""),""),"")</f>
        <v/>
      </c>
      <c r="C943" s="425" t="str">
        <f>IF(AND(NOT(ISBLANK(E943)),E943&lt;&gt;"(blank)"),IFERROR(IF(INDEX(HostBuild[],MATCH(E943,HostBuild[Alias],0),COLUMN(HostBuild[CTI Target Completion]))&lt;&gt;0,INDEX(HostBuild[],MATCH(E943,HostBuild[Alias],0),COLUMN(HostBuild[CTI Target Completion])),""),""),"")</f>
        <v/>
      </c>
      <c r="D943" s="262" t="str">
        <f>IF(AND(NOT(ISBLANK(E943)),E943&lt;&gt;"(blank)"),IFERROR(IF(INDEX(HostBuild[],MATCH(E943,HostBuild[Alias],0),COLUMN(HostBuild[Description]))&lt;&gt;0,INDEX(HostBuild[],MATCH(E943,HostBuild[Alias],0),COLUMN(HostBuild[Description])),""),""),"")</f>
        <v/>
      </c>
    </row>
    <row r="944" spans="1:4">
      <c r="A944" s="3" t="str">
        <f>IF(AND(NOT(ISBLANK(E944)),E944&lt;&gt;"(blank)"),IFERROR(IF(INDEX(HostBuild[],MATCH(E944,HostBuild[Alias],0),COLUMN(HostBuild[Hostname]))&lt;&gt;0,INDEX(HostBuild[],MATCH(E944,HostBuild[Alias],0),COLUMN(HostBuild[Hostname])),""),""),"")</f>
        <v/>
      </c>
      <c r="B944" s="424" t="str">
        <f>IF(AND(NOT(ISBLANK(E944)),E944&lt;&gt;"(blank)"),IFERROR(IF(INDEX(HostBuild[],MATCH(E944,HostBuild[Alias],0),COLUMN(HostBuild[Status]))&lt;&gt;0,INDEX(HostBuild[],MATCH(E944,HostBuild[Alias],0),COLUMN(HostBuild[Status])),""),""),"")</f>
        <v/>
      </c>
      <c r="C944" s="425" t="str">
        <f>IF(AND(NOT(ISBLANK(E944)),E944&lt;&gt;"(blank)"),IFERROR(IF(INDEX(HostBuild[],MATCH(E944,HostBuild[Alias],0),COLUMN(HostBuild[CTI Target Completion]))&lt;&gt;0,INDEX(HostBuild[],MATCH(E944,HostBuild[Alias],0),COLUMN(HostBuild[CTI Target Completion])),""),""),"")</f>
        <v/>
      </c>
      <c r="D944" s="262" t="str">
        <f>IF(AND(NOT(ISBLANK(E944)),E944&lt;&gt;"(blank)"),IFERROR(IF(INDEX(HostBuild[],MATCH(E944,HostBuild[Alias],0),COLUMN(HostBuild[Description]))&lt;&gt;0,INDEX(HostBuild[],MATCH(E944,HostBuild[Alias],0),COLUMN(HostBuild[Description])),""),""),"")</f>
        <v/>
      </c>
    </row>
    <row r="945" spans="1:4">
      <c r="A945" s="3" t="str">
        <f>IF(AND(NOT(ISBLANK(E945)),E945&lt;&gt;"(blank)"),IFERROR(IF(INDEX(HostBuild[],MATCH(E945,HostBuild[Alias],0),COLUMN(HostBuild[Hostname]))&lt;&gt;0,INDEX(HostBuild[],MATCH(E945,HostBuild[Alias],0),COLUMN(HostBuild[Hostname])),""),""),"")</f>
        <v/>
      </c>
      <c r="B945" s="424" t="str">
        <f>IF(AND(NOT(ISBLANK(E945)),E945&lt;&gt;"(blank)"),IFERROR(IF(INDEX(HostBuild[],MATCH(E945,HostBuild[Alias],0),COLUMN(HostBuild[Status]))&lt;&gt;0,INDEX(HostBuild[],MATCH(E945,HostBuild[Alias],0),COLUMN(HostBuild[Status])),""),""),"")</f>
        <v/>
      </c>
      <c r="C945" s="425" t="str">
        <f>IF(AND(NOT(ISBLANK(E945)),E945&lt;&gt;"(blank)"),IFERROR(IF(INDEX(HostBuild[],MATCH(E945,HostBuild[Alias],0),COLUMN(HostBuild[CTI Target Completion]))&lt;&gt;0,INDEX(HostBuild[],MATCH(E945,HostBuild[Alias],0),COLUMN(HostBuild[CTI Target Completion])),""),""),"")</f>
        <v/>
      </c>
      <c r="D945" s="262" t="str">
        <f>IF(AND(NOT(ISBLANK(E945)),E945&lt;&gt;"(blank)"),IFERROR(IF(INDEX(HostBuild[],MATCH(E945,HostBuild[Alias],0),COLUMN(HostBuild[Description]))&lt;&gt;0,INDEX(HostBuild[],MATCH(E945,HostBuild[Alias],0),COLUMN(HostBuild[Description])),""),""),"")</f>
        <v/>
      </c>
    </row>
    <row r="946" spans="1:4">
      <c r="A946" s="3" t="str">
        <f>IF(AND(NOT(ISBLANK(E946)),E946&lt;&gt;"(blank)"),IFERROR(IF(INDEX(HostBuild[],MATCH(E946,HostBuild[Alias],0),COLUMN(HostBuild[Hostname]))&lt;&gt;0,INDEX(HostBuild[],MATCH(E946,HostBuild[Alias],0),COLUMN(HostBuild[Hostname])),""),""),"")</f>
        <v/>
      </c>
      <c r="B946" s="424" t="str">
        <f>IF(AND(NOT(ISBLANK(E946)),E946&lt;&gt;"(blank)"),IFERROR(IF(INDEX(HostBuild[],MATCH(E946,HostBuild[Alias],0),COLUMN(HostBuild[Status]))&lt;&gt;0,INDEX(HostBuild[],MATCH(E946,HostBuild[Alias],0),COLUMN(HostBuild[Status])),""),""),"")</f>
        <v/>
      </c>
      <c r="C946" s="425" t="str">
        <f>IF(AND(NOT(ISBLANK(E946)),E946&lt;&gt;"(blank)"),IFERROR(IF(INDEX(HostBuild[],MATCH(E946,HostBuild[Alias],0),COLUMN(HostBuild[CTI Target Completion]))&lt;&gt;0,INDEX(HostBuild[],MATCH(E946,HostBuild[Alias],0),COLUMN(HostBuild[CTI Target Completion])),""),""),"")</f>
        <v/>
      </c>
      <c r="D946" s="262" t="str">
        <f>IF(AND(NOT(ISBLANK(E946)),E946&lt;&gt;"(blank)"),IFERROR(IF(INDEX(HostBuild[],MATCH(E946,HostBuild[Alias],0),COLUMN(HostBuild[Description]))&lt;&gt;0,INDEX(HostBuild[],MATCH(E946,HostBuild[Alias],0),COLUMN(HostBuild[Description])),""),""),"")</f>
        <v/>
      </c>
    </row>
    <row r="947" spans="1:4">
      <c r="A947" s="3" t="str">
        <f>IF(AND(NOT(ISBLANK(E947)),E947&lt;&gt;"(blank)"),IFERROR(IF(INDEX(HostBuild[],MATCH(E947,HostBuild[Alias],0),COLUMN(HostBuild[Hostname]))&lt;&gt;0,INDEX(HostBuild[],MATCH(E947,HostBuild[Alias],0),COLUMN(HostBuild[Hostname])),""),""),"")</f>
        <v/>
      </c>
      <c r="B947" s="424" t="str">
        <f>IF(AND(NOT(ISBLANK(E947)),E947&lt;&gt;"(blank)"),IFERROR(IF(INDEX(HostBuild[],MATCH(E947,HostBuild[Alias],0),COLUMN(HostBuild[Status]))&lt;&gt;0,INDEX(HostBuild[],MATCH(E947,HostBuild[Alias],0),COLUMN(HostBuild[Status])),""),""),"")</f>
        <v/>
      </c>
      <c r="C947" s="425" t="str">
        <f>IF(AND(NOT(ISBLANK(E947)),E947&lt;&gt;"(blank)"),IFERROR(IF(INDEX(HostBuild[],MATCH(E947,HostBuild[Alias],0),COLUMN(HostBuild[CTI Target Completion]))&lt;&gt;0,INDEX(HostBuild[],MATCH(E947,HostBuild[Alias],0),COLUMN(HostBuild[CTI Target Completion])),""),""),"")</f>
        <v/>
      </c>
      <c r="D947" s="262" t="str">
        <f>IF(AND(NOT(ISBLANK(E947)),E947&lt;&gt;"(blank)"),IFERROR(IF(INDEX(HostBuild[],MATCH(E947,HostBuild[Alias],0),COLUMN(HostBuild[Description]))&lt;&gt;0,INDEX(HostBuild[],MATCH(E947,HostBuild[Alias],0),COLUMN(HostBuild[Description])),""),""),"")</f>
        <v/>
      </c>
    </row>
    <row r="948" spans="1:4">
      <c r="A948" s="3" t="str">
        <f>IF(AND(NOT(ISBLANK(E948)),E948&lt;&gt;"(blank)"),IFERROR(IF(INDEX(HostBuild[],MATCH(E948,HostBuild[Alias],0),COLUMN(HostBuild[Hostname]))&lt;&gt;0,INDEX(HostBuild[],MATCH(E948,HostBuild[Alias],0),COLUMN(HostBuild[Hostname])),""),""),"")</f>
        <v/>
      </c>
      <c r="B948" s="424" t="str">
        <f>IF(AND(NOT(ISBLANK(E948)),E948&lt;&gt;"(blank)"),IFERROR(IF(INDEX(HostBuild[],MATCH(E948,HostBuild[Alias],0),COLUMN(HostBuild[Status]))&lt;&gt;0,INDEX(HostBuild[],MATCH(E948,HostBuild[Alias],0),COLUMN(HostBuild[Status])),""),""),"")</f>
        <v/>
      </c>
      <c r="C948" s="425" t="str">
        <f>IF(AND(NOT(ISBLANK(E948)),E948&lt;&gt;"(blank)"),IFERROR(IF(INDEX(HostBuild[],MATCH(E948,HostBuild[Alias],0),COLUMN(HostBuild[CTI Target Completion]))&lt;&gt;0,INDEX(HostBuild[],MATCH(E948,HostBuild[Alias],0),COLUMN(HostBuild[CTI Target Completion])),""),""),"")</f>
        <v/>
      </c>
      <c r="D948" s="262" t="str">
        <f>IF(AND(NOT(ISBLANK(E948)),E948&lt;&gt;"(blank)"),IFERROR(IF(INDEX(HostBuild[],MATCH(E948,HostBuild[Alias],0),COLUMN(HostBuild[Description]))&lt;&gt;0,INDEX(HostBuild[],MATCH(E948,HostBuild[Alias],0),COLUMN(HostBuild[Description])),""),""),"")</f>
        <v/>
      </c>
    </row>
    <row r="949" spans="1:4">
      <c r="A949" s="3" t="str">
        <f>IF(AND(NOT(ISBLANK(E949)),E949&lt;&gt;"(blank)"),IFERROR(IF(INDEX(HostBuild[],MATCH(E949,HostBuild[Alias],0),COLUMN(HostBuild[Hostname]))&lt;&gt;0,INDEX(HostBuild[],MATCH(E949,HostBuild[Alias],0),COLUMN(HostBuild[Hostname])),""),""),"")</f>
        <v/>
      </c>
      <c r="B949" s="424" t="str">
        <f>IF(AND(NOT(ISBLANK(E949)),E949&lt;&gt;"(blank)"),IFERROR(IF(INDEX(HostBuild[],MATCH(E949,HostBuild[Alias],0),COLUMN(HostBuild[Status]))&lt;&gt;0,INDEX(HostBuild[],MATCH(E949,HostBuild[Alias],0),COLUMN(HostBuild[Status])),""),""),"")</f>
        <v/>
      </c>
      <c r="C949" s="425" t="str">
        <f>IF(AND(NOT(ISBLANK(E949)),E949&lt;&gt;"(blank)"),IFERROR(IF(INDEX(HostBuild[],MATCH(E949,HostBuild[Alias],0),COLUMN(HostBuild[CTI Target Completion]))&lt;&gt;0,INDEX(HostBuild[],MATCH(E949,HostBuild[Alias],0),COLUMN(HostBuild[CTI Target Completion])),""),""),"")</f>
        <v/>
      </c>
      <c r="D949" s="262" t="str">
        <f>IF(AND(NOT(ISBLANK(E949)),E949&lt;&gt;"(blank)"),IFERROR(IF(INDEX(HostBuild[],MATCH(E949,HostBuild[Alias],0),COLUMN(HostBuild[Description]))&lt;&gt;0,INDEX(HostBuild[],MATCH(E949,HostBuild[Alias],0),COLUMN(HostBuild[Description])),""),""),"")</f>
        <v/>
      </c>
    </row>
    <row r="950" spans="1:4">
      <c r="A950" s="3" t="str">
        <f>IF(AND(NOT(ISBLANK(E950)),E950&lt;&gt;"(blank)"),IFERROR(IF(INDEX(HostBuild[],MATCH(E950,HostBuild[Alias],0),COLUMN(HostBuild[Hostname]))&lt;&gt;0,INDEX(HostBuild[],MATCH(E950,HostBuild[Alias],0),COLUMN(HostBuild[Hostname])),""),""),"")</f>
        <v/>
      </c>
      <c r="B950" s="424" t="str">
        <f>IF(AND(NOT(ISBLANK(E950)),E950&lt;&gt;"(blank)"),IFERROR(IF(INDEX(HostBuild[],MATCH(E950,HostBuild[Alias],0),COLUMN(HostBuild[Status]))&lt;&gt;0,INDEX(HostBuild[],MATCH(E950,HostBuild[Alias],0),COLUMN(HostBuild[Status])),""),""),"")</f>
        <v/>
      </c>
      <c r="C950" s="425" t="str">
        <f>IF(AND(NOT(ISBLANK(E950)),E950&lt;&gt;"(blank)"),IFERROR(IF(INDEX(HostBuild[],MATCH(E950,HostBuild[Alias],0),COLUMN(HostBuild[CTI Target Completion]))&lt;&gt;0,INDEX(HostBuild[],MATCH(E950,HostBuild[Alias],0),COLUMN(HostBuild[CTI Target Completion])),""),""),"")</f>
        <v/>
      </c>
      <c r="D950" s="262" t="str">
        <f>IF(AND(NOT(ISBLANK(E950)),E950&lt;&gt;"(blank)"),IFERROR(IF(INDEX(HostBuild[],MATCH(E950,HostBuild[Alias],0),COLUMN(HostBuild[Description]))&lt;&gt;0,INDEX(HostBuild[],MATCH(E950,HostBuild[Alias],0),COLUMN(HostBuild[Description])),""),""),"")</f>
        <v/>
      </c>
    </row>
    <row r="951" spans="1:4">
      <c r="A951" s="3" t="str">
        <f>IF(AND(NOT(ISBLANK(E951)),E951&lt;&gt;"(blank)"),IFERROR(IF(INDEX(HostBuild[],MATCH(E951,HostBuild[Alias],0),COLUMN(HostBuild[Hostname]))&lt;&gt;0,INDEX(HostBuild[],MATCH(E951,HostBuild[Alias],0),COLUMN(HostBuild[Hostname])),""),""),"")</f>
        <v/>
      </c>
      <c r="B951" s="424" t="str">
        <f>IF(AND(NOT(ISBLANK(E951)),E951&lt;&gt;"(blank)"),IFERROR(IF(INDEX(HostBuild[],MATCH(E951,HostBuild[Alias],0),COLUMN(HostBuild[Status]))&lt;&gt;0,INDEX(HostBuild[],MATCH(E951,HostBuild[Alias],0),COLUMN(HostBuild[Status])),""),""),"")</f>
        <v/>
      </c>
      <c r="C951" s="425" t="str">
        <f>IF(AND(NOT(ISBLANK(E951)),E951&lt;&gt;"(blank)"),IFERROR(IF(INDEX(HostBuild[],MATCH(E951,HostBuild[Alias],0),COLUMN(HostBuild[CTI Target Completion]))&lt;&gt;0,INDEX(HostBuild[],MATCH(E951,HostBuild[Alias],0),COLUMN(HostBuild[CTI Target Completion])),""),""),"")</f>
        <v/>
      </c>
      <c r="D951" s="262" t="str">
        <f>IF(AND(NOT(ISBLANK(E951)),E951&lt;&gt;"(blank)"),IFERROR(IF(INDEX(HostBuild[],MATCH(E951,HostBuild[Alias],0),COLUMN(HostBuild[Description]))&lt;&gt;0,INDEX(HostBuild[],MATCH(E951,HostBuild[Alias],0),COLUMN(HostBuild[Description])),""),""),"")</f>
        <v/>
      </c>
    </row>
    <row r="952" spans="1:4">
      <c r="A952" s="3" t="str">
        <f>IF(AND(NOT(ISBLANK(E952)),E952&lt;&gt;"(blank)"),IFERROR(IF(INDEX(HostBuild[],MATCH(E952,HostBuild[Alias],0),COLUMN(HostBuild[Hostname]))&lt;&gt;0,INDEX(HostBuild[],MATCH(E952,HostBuild[Alias],0),COLUMN(HostBuild[Hostname])),""),""),"")</f>
        <v/>
      </c>
      <c r="B952" s="424" t="str">
        <f>IF(AND(NOT(ISBLANK(E952)),E952&lt;&gt;"(blank)"),IFERROR(IF(INDEX(HostBuild[],MATCH(E952,HostBuild[Alias],0),COLUMN(HostBuild[Status]))&lt;&gt;0,INDEX(HostBuild[],MATCH(E952,HostBuild[Alias],0),COLUMN(HostBuild[Status])),""),""),"")</f>
        <v/>
      </c>
      <c r="C952" s="425" t="str">
        <f>IF(AND(NOT(ISBLANK(E952)),E952&lt;&gt;"(blank)"),IFERROR(IF(INDEX(HostBuild[],MATCH(E952,HostBuild[Alias],0),COLUMN(HostBuild[CTI Target Completion]))&lt;&gt;0,INDEX(HostBuild[],MATCH(E952,HostBuild[Alias],0),COLUMN(HostBuild[CTI Target Completion])),""),""),"")</f>
        <v/>
      </c>
      <c r="D952" s="262" t="str">
        <f>IF(AND(NOT(ISBLANK(E952)),E952&lt;&gt;"(blank)"),IFERROR(IF(INDEX(HostBuild[],MATCH(E952,HostBuild[Alias],0),COLUMN(HostBuild[Description]))&lt;&gt;0,INDEX(HostBuild[],MATCH(E952,HostBuild[Alias],0),COLUMN(HostBuild[Description])),""),""),"")</f>
        <v/>
      </c>
    </row>
    <row r="953" spans="1:4">
      <c r="A953" s="3" t="str">
        <f>IF(AND(NOT(ISBLANK(E953)),E953&lt;&gt;"(blank)"),IFERROR(IF(INDEX(HostBuild[],MATCH(E953,HostBuild[Alias],0),COLUMN(HostBuild[Hostname]))&lt;&gt;0,INDEX(HostBuild[],MATCH(E953,HostBuild[Alias],0),COLUMN(HostBuild[Hostname])),""),""),"")</f>
        <v/>
      </c>
      <c r="B953" s="424" t="str">
        <f>IF(AND(NOT(ISBLANK(E953)),E953&lt;&gt;"(blank)"),IFERROR(IF(INDEX(HostBuild[],MATCH(E953,HostBuild[Alias],0),COLUMN(HostBuild[Status]))&lt;&gt;0,INDEX(HostBuild[],MATCH(E953,HostBuild[Alias],0),COLUMN(HostBuild[Status])),""),""),"")</f>
        <v/>
      </c>
      <c r="C953" s="425" t="str">
        <f>IF(AND(NOT(ISBLANK(E953)),E953&lt;&gt;"(blank)"),IFERROR(IF(INDEX(HostBuild[],MATCH(E953,HostBuild[Alias],0),COLUMN(HostBuild[CTI Target Completion]))&lt;&gt;0,INDEX(HostBuild[],MATCH(E953,HostBuild[Alias],0),COLUMN(HostBuild[CTI Target Completion])),""),""),"")</f>
        <v/>
      </c>
      <c r="D953" s="262" t="str">
        <f>IF(AND(NOT(ISBLANK(E953)),E953&lt;&gt;"(blank)"),IFERROR(IF(INDEX(HostBuild[],MATCH(E953,HostBuild[Alias],0),COLUMN(HostBuild[Description]))&lt;&gt;0,INDEX(HostBuild[],MATCH(E953,HostBuild[Alias],0),COLUMN(HostBuild[Description])),""),""),"")</f>
        <v/>
      </c>
    </row>
    <row r="954" spans="1:4">
      <c r="A954" s="3" t="str">
        <f>IF(AND(NOT(ISBLANK(E954)),E954&lt;&gt;"(blank)"),IFERROR(IF(INDEX(HostBuild[],MATCH(E954,HostBuild[Alias],0),COLUMN(HostBuild[Hostname]))&lt;&gt;0,INDEX(HostBuild[],MATCH(E954,HostBuild[Alias],0),COLUMN(HostBuild[Hostname])),""),""),"")</f>
        <v/>
      </c>
      <c r="B954" s="424" t="str">
        <f>IF(AND(NOT(ISBLANK(E954)),E954&lt;&gt;"(blank)"),IFERROR(IF(INDEX(HostBuild[],MATCH(E954,HostBuild[Alias],0),COLUMN(HostBuild[Status]))&lt;&gt;0,INDEX(HostBuild[],MATCH(E954,HostBuild[Alias],0),COLUMN(HostBuild[Status])),""),""),"")</f>
        <v/>
      </c>
      <c r="C954" s="425" t="str">
        <f>IF(AND(NOT(ISBLANK(E954)),E954&lt;&gt;"(blank)"),IFERROR(IF(INDEX(HostBuild[],MATCH(E954,HostBuild[Alias],0),COLUMN(HostBuild[CTI Target Completion]))&lt;&gt;0,INDEX(HostBuild[],MATCH(E954,HostBuild[Alias],0),COLUMN(HostBuild[CTI Target Completion])),""),""),"")</f>
        <v/>
      </c>
      <c r="D954" s="262" t="str">
        <f>IF(AND(NOT(ISBLANK(E954)),E954&lt;&gt;"(blank)"),IFERROR(IF(INDEX(HostBuild[],MATCH(E954,HostBuild[Alias],0),COLUMN(HostBuild[Description]))&lt;&gt;0,INDEX(HostBuild[],MATCH(E954,HostBuild[Alias],0),COLUMN(HostBuild[Description])),""),""),"")</f>
        <v/>
      </c>
    </row>
    <row r="955" spans="1:4">
      <c r="A955" s="3" t="str">
        <f>IF(AND(NOT(ISBLANK(E955)),E955&lt;&gt;"(blank)"),IFERROR(IF(INDEX(HostBuild[],MATCH(E955,HostBuild[Alias],0),COLUMN(HostBuild[Hostname]))&lt;&gt;0,INDEX(HostBuild[],MATCH(E955,HostBuild[Alias],0),COLUMN(HostBuild[Hostname])),""),""),"")</f>
        <v/>
      </c>
      <c r="B955" s="424" t="str">
        <f>IF(AND(NOT(ISBLANK(E955)),E955&lt;&gt;"(blank)"),IFERROR(IF(INDEX(HostBuild[],MATCH(E955,HostBuild[Alias],0),COLUMN(HostBuild[Status]))&lt;&gt;0,INDEX(HostBuild[],MATCH(E955,HostBuild[Alias],0),COLUMN(HostBuild[Status])),""),""),"")</f>
        <v/>
      </c>
      <c r="C955" s="425" t="str">
        <f>IF(AND(NOT(ISBLANK(E955)),E955&lt;&gt;"(blank)"),IFERROR(IF(INDEX(HostBuild[],MATCH(E955,HostBuild[Alias],0),COLUMN(HostBuild[CTI Target Completion]))&lt;&gt;0,INDEX(HostBuild[],MATCH(E955,HostBuild[Alias],0),COLUMN(HostBuild[CTI Target Completion])),""),""),"")</f>
        <v/>
      </c>
      <c r="D955" s="262" t="str">
        <f>IF(AND(NOT(ISBLANK(E955)),E955&lt;&gt;"(blank)"),IFERROR(IF(INDEX(HostBuild[],MATCH(E955,HostBuild[Alias],0),COLUMN(HostBuild[Description]))&lt;&gt;0,INDEX(HostBuild[],MATCH(E955,HostBuild[Alias],0),COLUMN(HostBuild[Description])),""),""),"")</f>
        <v/>
      </c>
    </row>
    <row r="956" spans="1:4">
      <c r="A956" s="3" t="str">
        <f>IF(AND(NOT(ISBLANK(E956)),E956&lt;&gt;"(blank)"),IFERROR(IF(INDEX(HostBuild[],MATCH(E956,HostBuild[Alias],0),COLUMN(HostBuild[Hostname]))&lt;&gt;0,INDEX(HostBuild[],MATCH(E956,HostBuild[Alias],0),COLUMN(HostBuild[Hostname])),""),""),"")</f>
        <v/>
      </c>
      <c r="B956" s="424" t="str">
        <f>IF(AND(NOT(ISBLANK(E956)),E956&lt;&gt;"(blank)"),IFERROR(IF(INDEX(HostBuild[],MATCH(E956,HostBuild[Alias],0),COLUMN(HostBuild[Status]))&lt;&gt;0,INDEX(HostBuild[],MATCH(E956,HostBuild[Alias],0),COLUMN(HostBuild[Status])),""),""),"")</f>
        <v/>
      </c>
      <c r="C956" s="425" t="str">
        <f>IF(AND(NOT(ISBLANK(E956)),E956&lt;&gt;"(blank)"),IFERROR(IF(INDEX(HostBuild[],MATCH(E956,HostBuild[Alias],0),COLUMN(HostBuild[CTI Target Completion]))&lt;&gt;0,INDEX(HostBuild[],MATCH(E956,HostBuild[Alias],0),COLUMN(HostBuild[CTI Target Completion])),""),""),"")</f>
        <v/>
      </c>
      <c r="D956" s="262" t="str">
        <f>IF(AND(NOT(ISBLANK(E956)),E956&lt;&gt;"(blank)"),IFERROR(IF(INDEX(HostBuild[],MATCH(E956,HostBuild[Alias],0),COLUMN(HostBuild[Description]))&lt;&gt;0,INDEX(HostBuild[],MATCH(E956,HostBuild[Alias],0),COLUMN(HostBuild[Description])),""),""),"")</f>
        <v/>
      </c>
    </row>
    <row r="957" spans="1:4">
      <c r="A957" s="3" t="str">
        <f>IF(AND(NOT(ISBLANK(E957)),E957&lt;&gt;"(blank)"),IFERROR(IF(INDEX(HostBuild[],MATCH(E957,HostBuild[Alias],0),COLUMN(HostBuild[Hostname]))&lt;&gt;0,INDEX(HostBuild[],MATCH(E957,HostBuild[Alias],0),COLUMN(HostBuild[Hostname])),""),""),"")</f>
        <v/>
      </c>
      <c r="B957" s="424" t="str">
        <f>IF(AND(NOT(ISBLANK(E957)),E957&lt;&gt;"(blank)"),IFERROR(IF(INDEX(HostBuild[],MATCH(E957,HostBuild[Alias],0),COLUMN(HostBuild[Status]))&lt;&gt;0,INDEX(HostBuild[],MATCH(E957,HostBuild[Alias],0),COLUMN(HostBuild[Status])),""),""),"")</f>
        <v/>
      </c>
      <c r="C957" s="425" t="str">
        <f>IF(AND(NOT(ISBLANK(E957)),E957&lt;&gt;"(blank)"),IFERROR(IF(INDEX(HostBuild[],MATCH(E957,HostBuild[Alias],0),COLUMN(HostBuild[CTI Target Completion]))&lt;&gt;0,INDEX(HostBuild[],MATCH(E957,HostBuild[Alias],0),COLUMN(HostBuild[CTI Target Completion])),""),""),"")</f>
        <v/>
      </c>
      <c r="D957" s="262" t="str">
        <f>IF(AND(NOT(ISBLANK(E957)),E957&lt;&gt;"(blank)"),IFERROR(IF(INDEX(HostBuild[],MATCH(E957,HostBuild[Alias],0),COLUMN(HostBuild[Description]))&lt;&gt;0,INDEX(HostBuild[],MATCH(E957,HostBuild[Alias],0),COLUMN(HostBuild[Description])),""),""),"")</f>
        <v/>
      </c>
    </row>
    <row r="958" spans="1:4">
      <c r="A958" s="3" t="str">
        <f>IF(AND(NOT(ISBLANK(E958)),E958&lt;&gt;"(blank)"),IFERROR(IF(INDEX(HostBuild[],MATCH(E958,HostBuild[Alias],0),COLUMN(HostBuild[Hostname]))&lt;&gt;0,INDEX(HostBuild[],MATCH(E958,HostBuild[Alias],0),COLUMN(HostBuild[Hostname])),""),""),"")</f>
        <v/>
      </c>
      <c r="B958" s="424" t="str">
        <f>IF(AND(NOT(ISBLANK(E958)),E958&lt;&gt;"(blank)"),IFERROR(IF(INDEX(HostBuild[],MATCH(E958,HostBuild[Alias],0),COLUMN(HostBuild[Status]))&lt;&gt;0,INDEX(HostBuild[],MATCH(E958,HostBuild[Alias],0),COLUMN(HostBuild[Status])),""),""),"")</f>
        <v/>
      </c>
      <c r="C958" s="425" t="str">
        <f>IF(AND(NOT(ISBLANK(E958)),E958&lt;&gt;"(blank)"),IFERROR(IF(INDEX(HostBuild[],MATCH(E958,HostBuild[Alias],0),COLUMN(HostBuild[CTI Target Completion]))&lt;&gt;0,INDEX(HostBuild[],MATCH(E958,HostBuild[Alias],0),COLUMN(HostBuild[CTI Target Completion])),""),""),"")</f>
        <v/>
      </c>
      <c r="D958" s="262" t="str">
        <f>IF(AND(NOT(ISBLANK(E958)),E958&lt;&gt;"(blank)"),IFERROR(IF(INDEX(HostBuild[],MATCH(E958,HostBuild[Alias],0),COLUMN(HostBuild[Description]))&lt;&gt;0,INDEX(HostBuild[],MATCH(E958,HostBuild[Alias],0),COLUMN(HostBuild[Description])),""),""),"")</f>
        <v/>
      </c>
    </row>
    <row r="959" spans="1:4">
      <c r="A959" s="3" t="str">
        <f>IF(AND(NOT(ISBLANK(E959)),E959&lt;&gt;"(blank)"),IFERROR(IF(INDEX(HostBuild[],MATCH(E959,HostBuild[Alias],0),COLUMN(HostBuild[Hostname]))&lt;&gt;0,INDEX(HostBuild[],MATCH(E959,HostBuild[Alias],0),COLUMN(HostBuild[Hostname])),""),""),"")</f>
        <v/>
      </c>
      <c r="B959" s="424" t="str">
        <f>IF(AND(NOT(ISBLANK(E959)),E959&lt;&gt;"(blank)"),IFERROR(IF(INDEX(HostBuild[],MATCH(E959,HostBuild[Alias],0),COLUMN(HostBuild[Status]))&lt;&gt;0,INDEX(HostBuild[],MATCH(E959,HostBuild[Alias],0),COLUMN(HostBuild[Status])),""),""),"")</f>
        <v/>
      </c>
      <c r="C959" s="425" t="str">
        <f>IF(AND(NOT(ISBLANK(E959)),E959&lt;&gt;"(blank)"),IFERROR(IF(INDEX(HostBuild[],MATCH(E959,HostBuild[Alias],0),COLUMN(HostBuild[CTI Target Completion]))&lt;&gt;0,INDEX(HostBuild[],MATCH(E959,HostBuild[Alias],0),COLUMN(HostBuild[CTI Target Completion])),""),""),"")</f>
        <v/>
      </c>
      <c r="D959" s="262" t="str">
        <f>IF(AND(NOT(ISBLANK(E959)),E959&lt;&gt;"(blank)"),IFERROR(IF(INDEX(HostBuild[],MATCH(E959,HostBuild[Alias],0),COLUMN(HostBuild[Description]))&lt;&gt;0,INDEX(HostBuild[],MATCH(E959,HostBuild[Alias],0),COLUMN(HostBuild[Description])),""),""),"")</f>
        <v/>
      </c>
    </row>
    <row r="960" spans="1:4">
      <c r="A960" s="3" t="str">
        <f>IF(AND(NOT(ISBLANK(E960)),E960&lt;&gt;"(blank)"),IFERROR(IF(INDEX(HostBuild[],MATCH(E960,HostBuild[Alias],0),COLUMN(HostBuild[Hostname]))&lt;&gt;0,INDEX(HostBuild[],MATCH(E960,HostBuild[Alias],0),COLUMN(HostBuild[Hostname])),""),""),"")</f>
        <v/>
      </c>
      <c r="B960" s="424" t="str">
        <f>IF(AND(NOT(ISBLANK(E960)),E960&lt;&gt;"(blank)"),IFERROR(IF(INDEX(HostBuild[],MATCH(E960,HostBuild[Alias],0),COLUMN(HostBuild[Status]))&lt;&gt;0,INDEX(HostBuild[],MATCH(E960,HostBuild[Alias],0),COLUMN(HostBuild[Status])),""),""),"")</f>
        <v/>
      </c>
      <c r="C960" s="425" t="str">
        <f>IF(AND(NOT(ISBLANK(E960)),E960&lt;&gt;"(blank)"),IFERROR(IF(INDEX(HostBuild[],MATCH(E960,HostBuild[Alias],0),COLUMN(HostBuild[CTI Target Completion]))&lt;&gt;0,INDEX(HostBuild[],MATCH(E960,HostBuild[Alias],0),COLUMN(HostBuild[CTI Target Completion])),""),""),"")</f>
        <v/>
      </c>
      <c r="D960" s="262" t="str">
        <f>IF(AND(NOT(ISBLANK(E960)),E960&lt;&gt;"(blank)"),IFERROR(IF(INDEX(HostBuild[],MATCH(E960,HostBuild[Alias],0),COLUMN(HostBuild[Description]))&lt;&gt;0,INDEX(HostBuild[],MATCH(E960,HostBuild[Alias],0),COLUMN(HostBuild[Description])),""),""),"")</f>
        <v/>
      </c>
    </row>
    <row r="961" spans="1:4">
      <c r="A961" s="3" t="str">
        <f>IF(AND(NOT(ISBLANK(E961)),E961&lt;&gt;"(blank)"),IFERROR(IF(INDEX(HostBuild[],MATCH(E961,HostBuild[Alias],0),COLUMN(HostBuild[Hostname]))&lt;&gt;0,INDEX(HostBuild[],MATCH(E961,HostBuild[Alias],0),COLUMN(HostBuild[Hostname])),""),""),"")</f>
        <v/>
      </c>
      <c r="B961" s="424" t="str">
        <f>IF(AND(NOT(ISBLANK(E961)),E961&lt;&gt;"(blank)"),IFERROR(IF(INDEX(HostBuild[],MATCH(E961,HostBuild[Alias],0),COLUMN(HostBuild[Status]))&lt;&gt;0,INDEX(HostBuild[],MATCH(E961,HostBuild[Alias],0),COLUMN(HostBuild[Status])),""),""),"")</f>
        <v/>
      </c>
      <c r="C961" s="425" t="str">
        <f>IF(AND(NOT(ISBLANK(E961)),E961&lt;&gt;"(blank)"),IFERROR(IF(INDEX(HostBuild[],MATCH(E961,HostBuild[Alias],0),COLUMN(HostBuild[CTI Target Completion]))&lt;&gt;0,INDEX(HostBuild[],MATCH(E961,HostBuild[Alias],0),COLUMN(HostBuild[CTI Target Completion])),""),""),"")</f>
        <v/>
      </c>
      <c r="D961" s="262" t="str">
        <f>IF(AND(NOT(ISBLANK(E961)),E961&lt;&gt;"(blank)"),IFERROR(IF(INDEX(HostBuild[],MATCH(E961,HostBuild[Alias],0),COLUMN(HostBuild[Description]))&lt;&gt;0,INDEX(HostBuild[],MATCH(E961,HostBuild[Alias],0),COLUMN(HostBuild[Description])),""),""),"")</f>
        <v/>
      </c>
    </row>
    <row r="962" spans="1:4">
      <c r="A962" s="3" t="str">
        <f>IF(AND(NOT(ISBLANK(E962)),E962&lt;&gt;"(blank)"),IFERROR(IF(INDEX(HostBuild[],MATCH(E962,HostBuild[Alias],0),COLUMN(HostBuild[Hostname]))&lt;&gt;0,INDEX(HostBuild[],MATCH(E962,HostBuild[Alias],0),COLUMN(HostBuild[Hostname])),""),""),"")</f>
        <v/>
      </c>
      <c r="B962" s="424" t="str">
        <f>IF(AND(NOT(ISBLANK(E962)),E962&lt;&gt;"(blank)"),IFERROR(IF(INDEX(HostBuild[],MATCH(E962,HostBuild[Alias],0),COLUMN(HostBuild[Status]))&lt;&gt;0,INDEX(HostBuild[],MATCH(E962,HostBuild[Alias],0),COLUMN(HostBuild[Status])),""),""),"")</f>
        <v/>
      </c>
      <c r="C962" s="425" t="str">
        <f>IF(AND(NOT(ISBLANK(E962)),E962&lt;&gt;"(blank)"),IFERROR(IF(INDEX(HostBuild[],MATCH(E962,HostBuild[Alias],0),COLUMN(HostBuild[CTI Target Completion]))&lt;&gt;0,INDEX(HostBuild[],MATCH(E962,HostBuild[Alias],0),COLUMN(HostBuild[CTI Target Completion])),""),""),"")</f>
        <v/>
      </c>
      <c r="D962" s="262" t="str">
        <f>IF(AND(NOT(ISBLANK(E962)),E962&lt;&gt;"(blank)"),IFERROR(IF(INDEX(HostBuild[],MATCH(E962,HostBuild[Alias],0),COLUMN(HostBuild[Description]))&lt;&gt;0,INDEX(HostBuild[],MATCH(E962,HostBuild[Alias],0),COLUMN(HostBuild[Description])),""),""),"")</f>
        <v/>
      </c>
    </row>
    <row r="963" spans="1:4">
      <c r="A963" s="3" t="str">
        <f>IF(AND(NOT(ISBLANK(E963)),E963&lt;&gt;"(blank)"),IFERROR(IF(INDEX(HostBuild[],MATCH(E963,HostBuild[Alias],0),COLUMN(HostBuild[Hostname]))&lt;&gt;0,INDEX(HostBuild[],MATCH(E963,HostBuild[Alias],0),COLUMN(HostBuild[Hostname])),""),""),"")</f>
        <v/>
      </c>
      <c r="B963" s="424" t="str">
        <f>IF(AND(NOT(ISBLANK(E963)),E963&lt;&gt;"(blank)"),IFERROR(IF(INDEX(HostBuild[],MATCH(E963,HostBuild[Alias],0),COLUMN(HostBuild[Status]))&lt;&gt;0,INDEX(HostBuild[],MATCH(E963,HostBuild[Alias],0),COLUMN(HostBuild[Status])),""),""),"")</f>
        <v/>
      </c>
      <c r="C963" s="425" t="str">
        <f>IF(AND(NOT(ISBLANK(E963)),E963&lt;&gt;"(blank)"),IFERROR(IF(INDEX(HostBuild[],MATCH(E963,HostBuild[Alias],0),COLUMN(HostBuild[CTI Target Completion]))&lt;&gt;0,INDEX(HostBuild[],MATCH(E963,HostBuild[Alias],0),COLUMN(HostBuild[CTI Target Completion])),""),""),"")</f>
        <v/>
      </c>
      <c r="D963" s="262" t="str">
        <f>IF(AND(NOT(ISBLANK(E963)),E963&lt;&gt;"(blank)"),IFERROR(IF(INDEX(HostBuild[],MATCH(E963,HostBuild[Alias],0),COLUMN(HostBuild[Description]))&lt;&gt;0,INDEX(HostBuild[],MATCH(E963,HostBuild[Alias],0),COLUMN(HostBuild[Description])),""),""),"")</f>
        <v/>
      </c>
    </row>
    <row r="964" spans="1:4">
      <c r="A964" s="3" t="str">
        <f>IF(AND(NOT(ISBLANK(E964)),E964&lt;&gt;"(blank)"),IFERROR(IF(INDEX(HostBuild[],MATCH(E964,HostBuild[Alias],0),COLUMN(HostBuild[Hostname]))&lt;&gt;0,INDEX(HostBuild[],MATCH(E964,HostBuild[Alias],0),COLUMN(HostBuild[Hostname])),""),""),"")</f>
        <v/>
      </c>
      <c r="B964" s="424" t="str">
        <f>IF(AND(NOT(ISBLANK(E964)),E964&lt;&gt;"(blank)"),IFERROR(IF(INDEX(HostBuild[],MATCH(E964,HostBuild[Alias],0),COLUMN(HostBuild[Status]))&lt;&gt;0,INDEX(HostBuild[],MATCH(E964,HostBuild[Alias],0),COLUMN(HostBuild[Status])),""),""),"")</f>
        <v/>
      </c>
      <c r="C964" s="425" t="str">
        <f>IF(AND(NOT(ISBLANK(E964)),E964&lt;&gt;"(blank)"),IFERROR(IF(INDEX(HostBuild[],MATCH(E964,HostBuild[Alias],0),COLUMN(HostBuild[CTI Target Completion]))&lt;&gt;0,INDEX(HostBuild[],MATCH(E964,HostBuild[Alias],0),COLUMN(HostBuild[CTI Target Completion])),""),""),"")</f>
        <v/>
      </c>
      <c r="D964" s="262" t="str">
        <f>IF(AND(NOT(ISBLANK(E964)),E964&lt;&gt;"(blank)"),IFERROR(IF(INDEX(HostBuild[],MATCH(E964,HostBuild[Alias],0),COLUMN(HostBuild[Description]))&lt;&gt;0,INDEX(HostBuild[],MATCH(E964,HostBuild[Alias],0),COLUMN(HostBuild[Description])),""),""),"")</f>
        <v/>
      </c>
    </row>
    <row r="965" spans="1:4">
      <c r="A965" s="3" t="str">
        <f>IF(AND(NOT(ISBLANK(E965)),E965&lt;&gt;"(blank)"),IFERROR(IF(INDEX(HostBuild[],MATCH(E965,HostBuild[Alias],0),COLUMN(HostBuild[Hostname]))&lt;&gt;0,INDEX(HostBuild[],MATCH(E965,HostBuild[Alias],0),COLUMN(HostBuild[Hostname])),""),""),"")</f>
        <v/>
      </c>
      <c r="B965" s="424" t="str">
        <f>IF(AND(NOT(ISBLANK(E965)),E965&lt;&gt;"(blank)"),IFERROR(IF(INDEX(HostBuild[],MATCH(E965,HostBuild[Alias],0),COLUMN(HostBuild[Status]))&lt;&gt;0,INDEX(HostBuild[],MATCH(E965,HostBuild[Alias],0),COLUMN(HostBuild[Status])),""),""),"")</f>
        <v/>
      </c>
      <c r="C965" s="425" t="str">
        <f>IF(AND(NOT(ISBLANK(E965)),E965&lt;&gt;"(blank)"),IFERROR(IF(INDEX(HostBuild[],MATCH(E965,HostBuild[Alias],0),COLUMN(HostBuild[CTI Target Completion]))&lt;&gt;0,INDEX(HostBuild[],MATCH(E965,HostBuild[Alias],0),COLUMN(HostBuild[CTI Target Completion])),""),""),"")</f>
        <v/>
      </c>
      <c r="D965" s="262" t="str">
        <f>IF(AND(NOT(ISBLANK(E965)),E965&lt;&gt;"(blank)"),IFERROR(IF(INDEX(HostBuild[],MATCH(E965,HostBuild[Alias],0),COLUMN(HostBuild[Description]))&lt;&gt;0,INDEX(HostBuild[],MATCH(E965,HostBuild[Alias],0),COLUMN(HostBuild[Description])),""),""),"")</f>
        <v/>
      </c>
    </row>
    <row r="966" spans="1:4">
      <c r="A966" s="3" t="str">
        <f>IF(AND(NOT(ISBLANK(E966)),E966&lt;&gt;"(blank)"),IFERROR(IF(INDEX(HostBuild[],MATCH(E966,HostBuild[Alias],0),COLUMN(HostBuild[Hostname]))&lt;&gt;0,INDEX(HostBuild[],MATCH(E966,HostBuild[Alias],0),COLUMN(HostBuild[Hostname])),""),""),"")</f>
        <v/>
      </c>
      <c r="B966" s="424" t="str">
        <f>IF(AND(NOT(ISBLANK(E966)),E966&lt;&gt;"(blank)"),IFERROR(IF(INDEX(HostBuild[],MATCH(E966,HostBuild[Alias],0),COLUMN(HostBuild[Status]))&lt;&gt;0,INDEX(HostBuild[],MATCH(E966,HostBuild[Alias],0),COLUMN(HostBuild[Status])),""),""),"")</f>
        <v/>
      </c>
      <c r="C966" s="425" t="str">
        <f>IF(AND(NOT(ISBLANK(E966)),E966&lt;&gt;"(blank)"),IFERROR(IF(INDEX(HostBuild[],MATCH(E966,HostBuild[Alias],0),COLUMN(HostBuild[CTI Target Completion]))&lt;&gt;0,INDEX(HostBuild[],MATCH(E966,HostBuild[Alias],0),COLUMN(HostBuild[CTI Target Completion])),""),""),"")</f>
        <v/>
      </c>
      <c r="D966" s="262" t="str">
        <f>IF(AND(NOT(ISBLANK(E966)),E966&lt;&gt;"(blank)"),IFERROR(IF(INDEX(HostBuild[],MATCH(E966,HostBuild[Alias],0),COLUMN(HostBuild[Description]))&lt;&gt;0,INDEX(HostBuild[],MATCH(E966,HostBuild[Alias],0),COLUMN(HostBuild[Description])),""),""),"")</f>
        <v/>
      </c>
    </row>
    <row r="967" spans="1:4">
      <c r="A967" s="3" t="str">
        <f>IF(AND(NOT(ISBLANK(E967)),E967&lt;&gt;"(blank)"),IFERROR(IF(INDEX(HostBuild[],MATCH(E967,HostBuild[Alias],0),COLUMN(HostBuild[Hostname]))&lt;&gt;0,INDEX(HostBuild[],MATCH(E967,HostBuild[Alias],0),COLUMN(HostBuild[Hostname])),""),""),"")</f>
        <v/>
      </c>
      <c r="B967" s="424" t="str">
        <f>IF(AND(NOT(ISBLANK(E967)),E967&lt;&gt;"(blank)"),IFERROR(IF(INDEX(HostBuild[],MATCH(E967,HostBuild[Alias],0),COLUMN(HostBuild[Status]))&lt;&gt;0,INDEX(HostBuild[],MATCH(E967,HostBuild[Alias],0),COLUMN(HostBuild[Status])),""),""),"")</f>
        <v/>
      </c>
      <c r="C967" s="425" t="str">
        <f>IF(AND(NOT(ISBLANK(E967)),E967&lt;&gt;"(blank)"),IFERROR(IF(INDEX(HostBuild[],MATCH(E967,HostBuild[Alias],0),COLUMN(HostBuild[CTI Target Completion]))&lt;&gt;0,INDEX(HostBuild[],MATCH(E967,HostBuild[Alias],0),COLUMN(HostBuild[CTI Target Completion])),""),""),"")</f>
        <v/>
      </c>
      <c r="D967" s="262" t="str">
        <f>IF(AND(NOT(ISBLANK(E967)),E967&lt;&gt;"(blank)"),IFERROR(IF(INDEX(HostBuild[],MATCH(E967,HostBuild[Alias],0),COLUMN(HostBuild[Description]))&lt;&gt;0,INDEX(HostBuild[],MATCH(E967,HostBuild[Alias],0),COLUMN(HostBuild[Description])),""),""),"")</f>
        <v/>
      </c>
    </row>
    <row r="968" spans="1:4">
      <c r="A968" s="3" t="str">
        <f>IF(AND(NOT(ISBLANK(E968)),E968&lt;&gt;"(blank)"),IFERROR(IF(INDEX(HostBuild[],MATCH(E968,HostBuild[Alias],0),COLUMN(HostBuild[Hostname]))&lt;&gt;0,INDEX(HostBuild[],MATCH(E968,HostBuild[Alias],0),COLUMN(HostBuild[Hostname])),""),""),"")</f>
        <v/>
      </c>
      <c r="B968" s="424" t="str">
        <f>IF(AND(NOT(ISBLANK(E968)),E968&lt;&gt;"(blank)"),IFERROR(IF(INDEX(HostBuild[],MATCH(E968,HostBuild[Alias],0),COLUMN(HostBuild[Status]))&lt;&gt;0,INDEX(HostBuild[],MATCH(E968,HostBuild[Alias],0),COLUMN(HostBuild[Status])),""),""),"")</f>
        <v/>
      </c>
      <c r="C968" s="425" t="str">
        <f>IF(AND(NOT(ISBLANK(E968)),E968&lt;&gt;"(blank)"),IFERROR(IF(INDEX(HostBuild[],MATCH(E968,HostBuild[Alias],0),COLUMN(HostBuild[CTI Target Completion]))&lt;&gt;0,INDEX(HostBuild[],MATCH(E968,HostBuild[Alias],0),COLUMN(HostBuild[CTI Target Completion])),""),""),"")</f>
        <v/>
      </c>
      <c r="D968" s="262" t="str">
        <f>IF(AND(NOT(ISBLANK(E968)),E968&lt;&gt;"(blank)"),IFERROR(IF(INDEX(HostBuild[],MATCH(E968,HostBuild[Alias],0),COLUMN(HostBuild[Description]))&lt;&gt;0,INDEX(HostBuild[],MATCH(E968,HostBuild[Alias],0),COLUMN(HostBuild[Description])),""),""),"")</f>
        <v/>
      </c>
    </row>
    <row r="969" spans="1:4">
      <c r="A969" s="3" t="str">
        <f>IF(AND(NOT(ISBLANK(E969)),E969&lt;&gt;"(blank)"),IFERROR(IF(INDEX(HostBuild[],MATCH(E969,HostBuild[Alias],0),COLUMN(HostBuild[Hostname]))&lt;&gt;0,INDEX(HostBuild[],MATCH(E969,HostBuild[Alias],0),COLUMN(HostBuild[Hostname])),""),""),"")</f>
        <v/>
      </c>
      <c r="B969" s="424" t="str">
        <f>IF(AND(NOT(ISBLANK(E969)),E969&lt;&gt;"(blank)"),IFERROR(IF(INDEX(HostBuild[],MATCH(E969,HostBuild[Alias],0),COLUMN(HostBuild[Status]))&lt;&gt;0,INDEX(HostBuild[],MATCH(E969,HostBuild[Alias],0),COLUMN(HostBuild[Status])),""),""),"")</f>
        <v/>
      </c>
      <c r="C969" s="425" t="str">
        <f>IF(AND(NOT(ISBLANK(E969)),E969&lt;&gt;"(blank)"),IFERROR(IF(INDEX(HostBuild[],MATCH(E969,HostBuild[Alias],0),COLUMN(HostBuild[CTI Target Completion]))&lt;&gt;0,INDEX(HostBuild[],MATCH(E969,HostBuild[Alias],0),COLUMN(HostBuild[CTI Target Completion])),""),""),"")</f>
        <v/>
      </c>
      <c r="D969" s="262" t="str">
        <f>IF(AND(NOT(ISBLANK(E969)),E969&lt;&gt;"(blank)"),IFERROR(IF(INDEX(HostBuild[],MATCH(E969,HostBuild[Alias],0),COLUMN(HostBuild[Description]))&lt;&gt;0,INDEX(HostBuild[],MATCH(E969,HostBuild[Alias],0),COLUMN(HostBuild[Description])),""),""),"")</f>
        <v/>
      </c>
    </row>
    <row r="970" spans="1:4">
      <c r="A970" s="3" t="str">
        <f>IF(AND(NOT(ISBLANK(E970)),E970&lt;&gt;"(blank)"),IFERROR(IF(INDEX(HostBuild[],MATCH(E970,HostBuild[Alias],0),COLUMN(HostBuild[Hostname]))&lt;&gt;0,INDEX(HostBuild[],MATCH(E970,HostBuild[Alias],0),COLUMN(HostBuild[Hostname])),""),""),"")</f>
        <v/>
      </c>
      <c r="B970" s="424" t="str">
        <f>IF(AND(NOT(ISBLANK(E970)),E970&lt;&gt;"(blank)"),IFERROR(IF(INDEX(HostBuild[],MATCH(E970,HostBuild[Alias],0),COLUMN(HostBuild[Status]))&lt;&gt;0,INDEX(HostBuild[],MATCH(E970,HostBuild[Alias],0),COLUMN(HostBuild[Status])),""),""),"")</f>
        <v/>
      </c>
      <c r="C970" s="425" t="str">
        <f>IF(AND(NOT(ISBLANK(E970)),E970&lt;&gt;"(blank)"),IFERROR(IF(INDEX(HostBuild[],MATCH(E970,HostBuild[Alias],0),COLUMN(HostBuild[CTI Target Completion]))&lt;&gt;0,INDEX(HostBuild[],MATCH(E970,HostBuild[Alias],0),COLUMN(HostBuild[CTI Target Completion])),""),""),"")</f>
        <v/>
      </c>
      <c r="D970" s="262" t="str">
        <f>IF(AND(NOT(ISBLANK(E970)),E970&lt;&gt;"(blank)"),IFERROR(IF(INDEX(HostBuild[],MATCH(E970,HostBuild[Alias],0),COLUMN(HostBuild[Description]))&lt;&gt;0,INDEX(HostBuild[],MATCH(E970,HostBuild[Alias],0),COLUMN(HostBuild[Description])),""),""),"")</f>
        <v/>
      </c>
    </row>
    <row r="971" spans="1:4">
      <c r="A971" s="3" t="str">
        <f>IF(AND(NOT(ISBLANK(E971)),E971&lt;&gt;"(blank)"),IFERROR(IF(INDEX(HostBuild[],MATCH(E971,HostBuild[Alias],0),COLUMN(HostBuild[Hostname]))&lt;&gt;0,INDEX(HostBuild[],MATCH(E971,HostBuild[Alias],0),COLUMN(HostBuild[Hostname])),""),""),"")</f>
        <v/>
      </c>
      <c r="B971" s="424" t="str">
        <f>IF(AND(NOT(ISBLANK(E971)),E971&lt;&gt;"(blank)"),IFERROR(IF(INDEX(HostBuild[],MATCH(E971,HostBuild[Alias],0),COLUMN(HostBuild[Status]))&lt;&gt;0,INDEX(HostBuild[],MATCH(E971,HostBuild[Alias],0),COLUMN(HostBuild[Status])),""),""),"")</f>
        <v/>
      </c>
      <c r="C971" s="425" t="str">
        <f>IF(AND(NOT(ISBLANK(E971)),E971&lt;&gt;"(blank)"),IFERROR(IF(INDEX(HostBuild[],MATCH(E971,HostBuild[Alias],0),COLUMN(HostBuild[CTI Target Completion]))&lt;&gt;0,INDEX(HostBuild[],MATCH(E971,HostBuild[Alias],0),COLUMN(HostBuild[CTI Target Completion])),""),""),"")</f>
        <v/>
      </c>
      <c r="D971" s="262" t="str">
        <f>IF(AND(NOT(ISBLANK(E971)),E971&lt;&gt;"(blank)"),IFERROR(IF(INDEX(HostBuild[],MATCH(E971,HostBuild[Alias],0),COLUMN(HostBuild[Description]))&lt;&gt;0,INDEX(HostBuild[],MATCH(E971,HostBuild[Alias],0),COLUMN(HostBuild[Description])),""),""),"")</f>
        <v/>
      </c>
    </row>
    <row r="972" spans="1:4">
      <c r="A972" s="3" t="str">
        <f>IF(AND(NOT(ISBLANK(E972)),E972&lt;&gt;"(blank)"),IFERROR(IF(INDEX(HostBuild[],MATCH(E972,HostBuild[Alias],0),COLUMN(HostBuild[Hostname]))&lt;&gt;0,INDEX(HostBuild[],MATCH(E972,HostBuild[Alias],0),COLUMN(HostBuild[Hostname])),""),""),"")</f>
        <v/>
      </c>
      <c r="B972" s="424" t="str">
        <f>IF(AND(NOT(ISBLANK(E972)),E972&lt;&gt;"(blank)"),IFERROR(IF(INDEX(HostBuild[],MATCH(E972,HostBuild[Alias],0),COLUMN(HostBuild[Status]))&lt;&gt;0,INDEX(HostBuild[],MATCH(E972,HostBuild[Alias],0),COLUMN(HostBuild[Status])),""),""),"")</f>
        <v/>
      </c>
      <c r="C972" s="425" t="str">
        <f>IF(AND(NOT(ISBLANK(E972)),E972&lt;&gt;"(blank)"),IFERROR(IF(INDEX(HostBuild[],MATCH(E972,HostBuild[Alias],0),COLUMN(HostBuild[CTI Target Completion]))&lt;&gt;0,INDEX(HostBuild[],MATCH(E972,HostBuild[Alias],0),COLUMN(HostBuild[CTI Target Completion])),""),""),"")</f>
        <v/>
      </c>
      <c r="D972" s="262" t="str">
        <f>IF(AND(NOT(ISBLANK(E972)),E972&lt;&gt;"(blank)"),IFERROR(IF(INDEX(HostBuild[],MATCH(E972,HostBuild[Alias],0),COLUMN(HostBuild[Description]))&lt;&gt;0,INDEX(HostBuild[],MATCH(E972,HostBuild[Alias],0),COLUMN(HostBuild[Description])),""),""),"")</f>
        <v/>
      </c>
    </row>
    <row r="973" spans="1:4">
      <c r="A973" s="3" t="str">
        <f>IF(AND(NOT(ISBLANK(E973)),E973&lt;&gt;"(blank)"),IFERROR(IF(INDEX(HostBuild[],MATCH(E973,HostBuild[Alias],0),COLUMN(HostBuild[Hostname]))&lt;&gt;0,INDEX(HostBuild[],MATCH(E973,HostBuild[Alias],0),COLUMN(HostBuild[Hostname])),""),""),"")</f>
        <v/>
      </c>
      <c r="B973" s="424" t="str">
        <f>IF(AND(NOT(ISBLANK(E973)),E973&lt;&gt;"(blank)"),IFERROR(IF(INDEX(HostBuild[],MATCH(E973,HostBuild[Alias],0),COLUMN(HostBuild[Status]))&lt;&gt;0,INDEX(HostBuild[],MATCH(E973,HostBuild[Alias],0),COLUMN(HostBuild[Status])),""),""),"")</f>
        <v/>
      </c>
      <c r="C973" s="425" t="str">
        <f>IF(AND(NOT(ISBLANK(E973)),E973&lt;&gt;"(blank)"),IFERROR(IF(INDEX(HostBuild[],MATCH(E973,HostBuild[Alias],0),COLUMN(HostBuild[CTI Target Completion]))&lt;&gt;0,INDEX(HostBuild[],MATCH(E973,HostBuild[Alias],0),COLUMN(HostBuild[CTI Target Completion])),""),""),"")</f>
        <v/>
      </c>
      <c r="D973" s="262" t="str">
        <f>IF(AND(NOT(ISBLANK(E973)),E973&lt;&gt;"(blank)"),IFERROR(IF(INDEX(HostBuild[],MATCH(E973,HostBuild[Alias],0),COLUMN(HostBuild[Description]))&lt;&gt;0,INDEX(HostBuild[],MATCH(E973,HostBuild[Alias],0),COLUMN(HostBuild[Description])),""),""),"")</f>
        <v/>
      </c>
    </row>
    <row r="974" spans="1:4">
      <c r="A974" s="3" t="str">
        <f>IF(AND(NOT(ISBLANK(E974)),E974&lt;&gt;"(blank)"),IFERROR(IF(INDEX(HostBuild[],MATCH(E974,HostBuild[Alias],0),COLUMN(HostBuild[Hostname]))&lt;&gt;0,INDEX(HostBuild[],MATCH(E974,HostBuild[Alias],0),COLUMN(HostBuild[Hostname])),""),""),"")</f>
        <v/>
      </c>
      <c r="B974" s="424" t="str">
        <f>IF(AND(NOT(ISBLANK(E974)),E974&lt;&gt;"(blank)"),IFERROR(IF(INDEX(HostBuild[],MATCH(E974,HostBuild[Alias],0),COLUMN(HostBuild[Status]))&lt;&gt;0,INDEX(HostBuild[],MATCH(E974,HostBuild[Alias],0),COLUMN(HostBuild[Status])),""),""),"")</f>
        <v/>
      </c>
      <c r="C974" s="425" t="str">
        <f>IF(AND(NOT(ISBLANK(E974)),E974&lt;&gt;"(blank)"),IFERROR(IF(INDEX(HostBuild[],MATCH(E974,HostBuild[Alias],0),COLUMN(HostBuild[CTI Target Completion]))&lt;&gt;0,INDEX(HostBuild[],MATCH(E974,HostBuild[Alias],0),COLUMN(HostBuild[CTI Target Completion])),""),""),"")</f>
        <v/>
      </c>
      <c r="D974" s="262" t="str">
        <f>IF(AND(NOT(ISBLANK(E974)),E974&lt;&gt;"(blank)"),IFERROR(IF(INDEX(HostBuild[],MATCH(E974,HostBuild[Alias],0),COLUMN(HostBuild[Description]))&lt;&gt;0,INDEX(HostBuild[],MATCH(E974,HostBuild[Alias],0),COLUMN(HostBuild[Description])),""),""),"")</f>
        <v/>
      </c>
    </row>
    <row r="975" spans="1:4">
      <c r="A975" s="3" t="str">
        <f>IF(AND(NOT(ISBLANK(E975)),E975&lt;&gt;"(blank)"),IFERROR(IF(INDEX(HostBuild[],MATCH(E975,HostBuild[Alias],0),COLUMN(HostBuild[Hostname]))&lt;&gt;0,INDEX(HostBuild[],MATCH(E975,HostBuild[Alias],0),COLUMN(HostBuild[Hostname])),""),""),"")</f>
        <v/>
      </c>
      <c r="B975" s="424" t="str">
        <f>IF(AND(NOT(ISBLANK(E975)),E975&lt;&gt;"(blank)"),IFERROR(IF(INDEX(HostBuild[],MATCH(E975,HostBuild[Alias],0),COLUMN(HostBuild[Status]))&lt;&gt;0,INDEX(HostBuild[],MATCH(E975,HostBuild[Alias],0),COLUMN(HostBuild[Status])),""),""),"")</f>
        <v/>
      </c>
      <c r="C975" s="425" t="str">
        <f>IF(AND(NOT(ISBLANK(E975)),E975&lt;&gt;"(blank)"),IFERROR(IF(INDEX(HostBuild[],MATCH(E975,HostBuild[Alias],0),COLUMN(HostBuild[CTI Target Completion]))&lt;&gt;0,INDEX(HostBuild[],MATCH(E975,HostBuild[Alias],0),COLUMN(HostBuild[CTI Target Completion])),""),""),"")</f>
        <v/>
      </c>
      <c r="D975" s="262" t="str">
        <f>IF(AND(NOT(ISBLANK(E975)),E975&lt;&gt;"(blank)"),IFERROR(IF(INDEX(HostBuild[],MATCH(E975,HostBuild[Alias],0),COLUMN(HostBuild[Description]))&lt;&gt;0,INDEX(HostBuild[],MATCH(E975,HostBuild[Alias],0),COLUMN(HostBuild[Description])),""),""),"")</f>
        <v/>
      </c>
    </row>
    <row r="976" spans="1:4">
      <c r="A976" s="3" t="str">
        <f>IF(AND(NOT(ISBLANK(E976)),E976&lt;&gt;"(blank)"),IFERROR(IF(INDEX(HostBuild[],MATCH(E976,HostBuild[Alias],0),COLUMN(HostBuild[Hostname]))&lt;&gt;0,INDEX(HostBuild[],MATCH(E976,HostBuild[Alias],0),COLUMN(HostBuild[Hostname])),""),""),"")</f>
        <v/>
      </c>
      <c r="B976" s="424" t="str">
        <f>IF(AND(NOT(ISBLANK(E976)),E976&lt;&gt;"(blank)"),IFERROR(IF(INDEX(HostBuild[],MATCH(E976,HostBuild[Alias],0),COLUMN(HostBuild[Status]))&lt;&gt;0,INDEX(HostBuild[],MATCH(E976,HostBuild[Alias],0),COLUMN(HostBuild[Status])),""),""),"")</f>
        <v/>
      </c>
      <c r="C976" s="425" t="str">
        <f>IF(AND(NOT(ISBLANK(E976)),E976&lt;&gt;"(blank)"),IFERROR(IF(INDEX(HostBuild[],MATCH(E976,HostBuild[Alias],0),COLUMN(HostBuild[CTI Target Completion]))&lt;&gt;0,INDEX(HostBuild[],MATCH(E976,HostBuild[Alias],0),COLUMN(HostBuild[CTI Target Completion])),""),""),"")</f>
        <v/>
      </c>
      <c r="D976" s="262" t="str">
        <f>IF(AND(NOT(ISBLANK(E976)),E976&lt;&gt;"(blank)"),IFERROR(IF(INDEX(HostBuild[],MATCH(E976,HostBuild[Alias],0),COLUMN(HostBuild[Description]))&lt;&gt;0,INDEX(HostBuild[],MATCH(E976,HostBuild[Alias],0),COLUMN(HostBuild[Description])),""),""),"")</f>
        <v/>
      </c>
    </row>
    <row r="977" spans="1:4">
      <c r="A977" s="3" t="str">
        <f>IF(AND(NOT(ISBLANK(E977)),E977&lt;&gt;"(blank)"),IFERROR(IF(INDEX(HostBuild[],MATCH(E977,HostBuild[Alias],0),COLUMN(HostBuild[Hostname]))&lt;&gt;0,INDEX(HostBuild[],MATCH(E977,HostBuild[Alias],0),COLUMN(HostBuild[Hostname])),""),""),"")</f>
        <v/>
      </c>
      <c r="B977" s="424" t="str">
        <f>IF(AND(NOT(ISBLANK(E977)),E977&lt;&gt;"(blank)"),IFERROR(IF(INDEX(HostBuild[],MATCH(E977,HostBuild[Alias],0),COLUMN(HostBuild[Status]))&lt;&gt;0,INDEX(HostBuild[],MATCH(E977,HostBuild[Alias],0),COLUMN(HostBuild[Status])),""),""),"")</f>
        <v/>
      </c>
      <c r="C977" s="425" t="str">
        <f>IF(AND(NOT(ISBLANK(E977)),E977&lt;&gt;"(blank)"),IFERROR(IF(INDEX(HostBuild[],MATCH(E977,HostBuild[Alias],0),COLUMN(HostBuild[CTI Target Completion]))&lt;&gt;0,INDEX(HostBuild[],MATCH(E977,HostBuild[Alias],0),COLUMN(HostBuild[CTI Target Completion])),""),""),"")</f>
        <v/>
      </c>
      <c r="D977" s="262" t="str">
        <f>IF(AND(NOT(ISBLANK(E977)),E977&lt;&gt;"(blank)"),IFERROR(IF(INDEX(HostBuild[],MATCH(E977,HostBuild[Alias],0),COLUMN(HostBuild[Description]))&lt;&gt;0,INDEX(HostBuild[],MATCH(E977,HostBuild[Alias],0),COLUMN(HostBuild[Description])),""),""),"")</f>
        <v/>
      </c>
    </row>
    <row r="978" spans="1:4">
      <c r="A978" s="3" t="str">
        <f>IF(AND(NOT(ISBLANK(E978)),E978&lt;&gt;"(blank)"),IFERROR(IF(INDEX(HostBuild[],MATCH(E978,HostBuild[Alias],0),COLUMN(HostBuild[Hostname]))&lt;&gt;0,INDEX(HostBuild[],MATCH(E978,HostBuild[Alias],0),COLUMN(HostBuild[Hostname])),""),""),"")</f>
        <v/>
      </c>
      <c r="B978" s="424" t="str">
        <f>IF(AND(NOT(ISBLANK(E978)),E978&lt;&gt;"(blank)"),IFERROR(IF(INDEX(HostBuild[],MATCH(E978,HostBuild[Alias],0),COLUMN(HostBuild[Status]))&lt;&gt;0,INDEX(HostBuild[],MATCH(E978,HostBuild[Alias],0),COLUMN(HostBuild[Status])),""),""),"")</f>
        <v/>
      </c>
      <c r="C978" s="425" t="str">
        <f>IF(AND(NOT(ISBLANK(E978)),E978&lt;&gt;"(blank)"),IFERROR(IF(INDEX(HostBuild[],MATCH(E978,HostBuild[Alias],0),COLUMN(HostBuild[CTI Target Completion]))&lt;&gt;0,INDEX(HostBuild[],MATCH(E978,HostBuild[Alias],0),COLUMN(HostBuild[CTI Target Completion])),""),""),"")</f>
        <v/>
      </c>
      <c r="D978" s="262" t="str">
        <f>IF(AND(NOT(ISBLANK(E978)),E978&lt;&gt;"(blank)"),IFERROR(IF(INDEX(HostBuild[],MATCH(E978,HostBuild[Alias],0),COLUMN(HostBuild[Description]))&lt;&gt;0,INDEX(HostBuild[],MATCH(E978,HostBuild[Alias],0),COLUMN(HostBuild[Description])),""),""),"")</f>
        <v/>
      </c>
    </row>
    <row r="979" spans="1:4">
      <c r="A979" s="3" t="str">
        <f>IF(AND(NOT(ISBLANK(E979)),E979&lt;&gt;"(blank)"),IFERROR(IF(INDEX(HostBuild[],MATCH(E979,HostBuild[Alias],0),COLUMN(HostBuild[Hostname]))&lt;&gt;0,INDEX(HostBuild[],MATCH(E979,HostBuild[Alias],0),COLUMN(HostBuild[Hostname])),""),""),"")</f>
        <v/>
      </c>
      <c r="B979" s="424" t="str">
        <f>IF(AND(NOT(ISBLANK(E979)),E979&lt;&gt;"(blank)"),IFERROR(IF(INDEX(HostBuild[],MATCH(E979,HostBuild[Alias],0),COLUMN(HostBuild[Status]))&lt;&gt;0,INDEX(HostBuild[],MATCH(E979,HostBuild[Alias],0),COLUMN(HostBuild[Status])),""),""),"")</f>
        <v/>
      </c>
      <c r="C979" s="425" t="str">
        <f>IF(AND(NOT(ISBLANK(E979)),E979&lt;&gt;"(blank)"),IFERROR(IF(INDEX(HostBuild[],MATCH(E979,HostBuild[Alias],0),COLUMN(HostBuild[CTI Target Completion]))&lt;&gt;0,INDEX(HostBuild[],MATCH(E979,HostBuild[Alias],0),COLUMN(HostBuild[CTI Target Completion])),""),""),"")</f>
        <v/>
      </c>
      <c r="D979" s="262" t="str">
        <f>IF(AND(NOT(ISBLANK(E979)),E979&lt;&gt;"(blank)"),IFERROR(IF(INDEX(HostBuild[],MATCH(E979,HostBuild[Alias],0),COLUMN(HostBuild[Description]))&lt;&gt;0,INDEX(HostBuild[],MATCH(E979,HostBuild[Alias],0),COLUMN(HostBuild[Description])),""),""),"")</f>
        <v/>
      </c>
    </row>
    <row r="980" spans="1:4">
      <c r="A980" s="3" t="str">
        <f>IF(AND(NOT(ISBLANK(E980)),E980&lt;&gt;"(blank)"),IFERROR(IF(INDEX(HostBuild[],MATCH(E980,HostBuild[Alias],0),COLUMN(HostBuild[Hostname]))&lt;&gt;0,INDEX(HostBuild[],MATCH(E980,HostBuild[Alias],0),COLUMN(HostBuild[Hostname])),""),""),"")</f>
        <v/>
      </c>
      <c r="B980" s="424" t="str">
        <f>IF(AND(NOT(ISBLANK(E980)),E980&lt;&gt;"(blank)"),IFERROR(IF(INDEX(HostBuild[],MATCH(E980,HostBuild[Alias],0),COLUMN(HostBuild[Status]))&lt;&gt;0,INDEX(HostBuild[],MATCH(E980,HostBuild[Alias],0),COLUMN(HostBuild[Status])),""),""),"")</f>
        <v/>
      </c>
      <c r="C980" s="425" t="str">
        <f>IF(AND(NOT(ISBLANK(E980)),E980&lt;&gt;"(blank)"),IFERROR(IF(INDEX(HostBuild[],MATCH(E980,HostBuild[Alias],0),COLUMN(HostBuild[CTI Target Completion]))&lt;&gt;0,INDEX(HostBuild[],MATCH(E980,HostBuild[Alias],0),COLUMN(HostBuild[CTI Target Completion])),""),""),"")</f>
        <v/>
      </c>
      <c r="D980" s="262" t="str">
        <f>IF(AND(NOT(ISBLANK(E980)),E980&lt;&gt;"(blank)"),IFERROR(IF(INDEX(HostBuild[],MATCH(E980,HostBuild[Alias],0),COLUMN(HostBuild[Description]))&lt;&gt;0,INDEX(HostBuild[],MATCH(E980,HostBuild[Alias],0),COLUMN(HostBuild[Description])),""),""),"")</f>
        <v/>
      </c>
    </row>
    <row r="981" spans="1:4">
      <c r="A981" s="3" t="str">
        <f>IF(AND(NOT(ISBLANK(E981)),E981&lt;&gt;"(blank)"),IFERROR(IF(INDEX(HostBuild[],MATCH(E981,HostBuild[Alias],0),COLUMN(HostBuild[Hostname]))&lt;&gt;0,INDEX(HostBuild[],MATCH(E981,HostBuild[Alias],0),COLUMN(HostBuild[Hostname])),""),""),"")</f>
        <v/>
      </c>
      <c r="B981" s="424" t="str">
        <f>IF(AND(NOT(ISBLANK(E981)),E981&lt;&gt;"(blank)"),IFERROR(IF(INDEX(HostBuild[],MATCH(E981,HostBuild[Alias],0),COLUMN(HostBuild[Status]))&lt;&gt;0,INDEX(HostBuild[],MATCH(E981,HostBuild[Alias],0),COLUMN(HostBuild[Status])),""),""),"")</f>
        <v/>
      </c>
      <c r="C981" s="425" t="str">
        <f>IF(AND(NOT(ISBLANK(E981)),E981&lt;&gt;"(blank)"),IFERROR(IF(INDEX(HostBuild[],MATCH(E981,HostBuild[Alias],0),COLUMN(HostBuild[CTI Target Completion]))&lt;&gt;0,INDEX(HostBuild[],MATCH(E981,HostBuild[Alias],0),COLUMN(HostBuild[CTI Target Completion])),""),""),"")</f>
        <v/>
      </c>
      <c r="D981" s="262" t="str">
        <f>IF(AND(NOT(ISBLANK(E981)),E981&lt;&gt;"(blank)"),IFERROR(IF(INDEX(HostBuild[],MATCH(E981,HostBuild[Alias],0),COLUMN(HostBuild[Description]))&lt;&gt;0,INDEX(HostBuild[],MATCH(E981,HostBuild[Alias],0),COLUMN(HostBuild[Description])),""),""),"")</f>
        <v/>
      </c>
    </row>
    <row r="982" spans="1:4">
      <c r="A982" s="3" t="str">
        <f>IF(AND(NOT(ISBLANK(E982)),E982&lt;&gt;"(blank)"),IFERROR(IF(INDEX(HostBuild[],MATCH(E982,HostBuild[Alias],0),COLUMN(HostBuild[Hostname]))&lt;&gt;0,INDEX(HostBuild[],MATCH(E982,HostBuild[Alias],0),COLUMN(HostBuild[Hostname])),""),""),"")</f>
        <v/>
      </c>
      <c r="B982" s="424" t="str">
        <f>IF(AND(NOT(ISBLANK(E982)),E982&lt;&gt;"(blank)"),IFERROR(IF(INDEX(HostBuild[],MATCH(E982,HostBuild[Alias],0),COLUMN(HostBuild[Status]))&lt;&gt;0,INDEX(HostBuild[],MATCH(E982,HostBuild[Alias],0),COLUMN(HostBuild[Status])),""),""),"")</f>
        <v/>
      </c>
      <c r="C982" s="425" t="str">
        <f>IF(AND(NOT(ISBLANK(E982)),E982&lt;&gt;"(blank)"),IFERROR(IF(INDEX(HostBuild[],MATCH(E982,HostBuild[Alias],0),COLUMN(HostBuild[CTI Target Completion]))&lt;&gt;0,INDEX(HostBuild[],MATCH(E982,HostBuild[Alias],0),COLUMN(HostBuild[CTI Target Completion])),""),""),"")</f>
        <v/>
      </c>
      <c r="D982" s="262" t="str">
        <f>IF(AND(NOT(ISBLANK(E982)),E982&lt;&gt;"(blank)"),IFERROR(IF(INDEX(HostBuild[],MATCH(E982,HostBuild[Alias],0),COLUMN(HostBuild[Description]))&lt;&gt;0,INDEX(HostBuild[],MATCH(E982,HostBuild[Alias],0),COLUMN(HostBuild[Description])),""),""),"")</f>
        <v/>
      </c>
    </row>
    <row r="983" spans="1:4">
      <c r="A983" s="3" t="str">
        <f>IF(AND(NOT(ISBLANK(E983)),E983&lt;&gt;"(blank)"),IFERROR(IF(INDEX(HostBuild[],MATCH(E983,HostBuild[Alias],0),COLUMN(HostBuild[Hostname]))&lt;&gt;0,INDEX(HostBuild[],MATCH(E983,HostBuild[Alias],0),COLUMN(HostBuild[Hostname])),""),""),"")</f>
        <v/>
      </c>
      <c r="B983" s="424" t="str">
        <f>IF(AND(NOT(ISBLANK(E983)),E983&lt;&gt;"(blank)"),IFERROR(IF(INDEX(HostBuild[],MATCH(E983,HostBuild[Alias],0),COLUMN(HostBuild[Status]))&lt;&gt;0,INDEX(HostBuild[],MATCH(E983,HostBuild[Alias],0),COLUMN(HostBuild[Status])),""),""),"")</f>
        <v/>
      </c>
      <c r="C983" s="425" t="str">
        <f>IF(AND(NOT(ISBLANK(E983)),E983&lt;&gt;"(blank)"),IFERROR(IF(INDEX(HostBuild[],MATCH(E983,HostBuild[Alias],0),COLUMN(HostBuild[CTI Target Completion]))&lt;&gt;0,INDEX(HostBuild[],MATCH(E983,HostBuild[Alias],0),COLUMN(HostBuild[CTI Target Completion])),""),""),"")</f>
        <v/>
      </c>
      <c r="D983" s="262" t="str">
        <f>IF(AND(NOT(ISBLANK(E983)),E983&lt;&gt;"(blank)"),IFERROR(IF(INDEX(HostBuild[],MATCH(E983,HostBuild[Alias],0),COLUMN(HostBuild[Description]))&lt;&gt;0,INDEX(HostBuild[],MATCH(E983,HostBuild[Alias],0),COLUMN(HostBuild[Description])),""),""),"")</f>
        <v/>
      </c>
    </row>
    <row r="984" spans="1:4">
      <c r="A984" s="3" t="str">
        <f>IF(AND(NOT(ISBLANK(E984)),E984&lt;&gt;"(blank)"),IFERROR(IF(INDEX(HostBuild[],MATCH(E984,HostBuild[Alias],0),COLUMN(HostBuild[Hostname]))&lt;&gt;0,INDEX(HostBuild[],MATCH(E984,HostBuild[Alias],0),COLUMN(HostBuild[Hostname])),""),""),"")</f>
        <v/>
      </c>
      <c r="B984" s="424" t="str">
        <f>IF(AND(NOT(ISBLANK(E984)),E984&lt;&gt;"(blank)"),IFERROR(IF(INDEX(HostBuild[],MATCH(E984,HostBuild[Alias],0),COLUMN(HostBuild[Status]))&lt;&gt;0,INDEX(HostBuild[],MATCH(E984,HostBuild[Alias],0),COLUMN(HostBuild[Status])),""),""),"")</f>
        <v/>
      </c>
      <c r="C984" s="425" t="str">
        <f>IF(AND(NOT(ISBLANK(E984)),E984&lt;&gt;"(blank)"),IFERROR(IF(INDEX(HostBuild[],MATCH(E984,HostBuild[Alias],0),COLUMN(HostBuild[CTI Target Completion]))&lt;&gt;0,INDEX(HostBuild[],MATCH(E984,HostBuild[Alias],0),COLUMN(HostBuild[CTI Target Completion])),""),""),"")</f>
        <v/>
      </c>
      <c r="D984" s="262" t="str">
        <f>IF(AND(NOT(ISBLANK(E984)),E984&lt;&gt;"(blank)"),IFERROR(IF(INDEX(HostBuild[],MATCH(E984,HostBuild[Alias],0),COLUMN(HostBuild[Description]))&lt;&gt;0,INDEX(HostBuild[],MATCH(E984,HostBuild[Alias],0),COLUMN(HostBuild[Description])),""),""),"")</f>
        <v/>
      </c>
    </row>
    <row r="985" spans="1:4">
      <c r="A985" s="3" t="str">
        <f>IF(AND(NOT(ISBLANK(E985)),E985&lt;&gt;"(blank)"),IFERROR(IF(INDEX(HostBuild[],MATCH(E985,HostBuild[Alias],0),COLUMN(HostBuild[Hostname]))&lt;&gt;0,INDEX(HostBuild[],MATCH(E985,HostBuild[Alias],0),COLUMN(HostBuild[Hostname])),""),""),"")</f>
        <v/>
      </c>
      <c r="B985" s="424" t="str">
        <f>IF(AND(NOT(ISBLANK(E985)),E985&lt;&gt;"(blank)"),IFERROR(IF(INDEX(HostBuild[],MATCH(E985,HostBuild[Alias],0),COLUMN(HostBuild[Status]))&lt;&gt;0,INDEX(HostBuild[],MATCH(E985,HostBuild[Alias],0),COLUMN(HostBuild[Status])),""),""),"")</f>
        <v/>
      </c>
      <c r="C985" s="425" t="str">
        <f>IF(AND(NOT(ISBLANK(E985)),E985&lt;&gt;"(blank)"),IFERROR(IF(INDEX(HostBuild[],MATCH(E985,HostBuild[Alias],0),COLUMN(HostBuild[CTI Target Completion]))&lt;&gt;0,INDEX(HostBuild[],MATCH(E985,HostBuild[Alias],0),COLUMN(HostBuild[CTI Target Completion])),""),""),"")</f>
        <v/>
      </c>
      <c r="D985" s="262" t="str">
        <f>IF(AND(NOT(ISBLANK(E985)),E985&lt;&gt;"(blank)"),IFERROR(IF(INDEX(HostBuild[],MATCH(E985,HostBuild[Alias],0),COLUMN(HostBuild[Description]))&lt;&gt;0,INDEX(HostBuild[],MATCH(E985,HostBuild[Alias],0),COLUMN(HostBuild[Description])),""),""),"")</f>
        <v/>
      </c>
    </row>
    <row r="986" spans="1:4">
      <c r="A986" s="3" t="str">
        <f>IF(AND(NOT(ISBLANK(E986)),E986&lt;&gt;"(blank)"),IFERROR(IF(INDEX(HostBuild[],MATCH(E986,HostBuild[Alias],0),COLUMN(HostBuild[Hostname]))&lt;&gt;0,INDEX(HostBuild[],MATCH(E986,HostBuild[Alias],0),COLUMN(HostBuild[Hostname])),""),""),"")</f>
        <v/>
      </c>
      <c r="B986" s="424" t="str">
        <f>IF(AND(NOT(ISBLANK(E986)),E986&lt;&gt;"(blank)"),IFERROR(IF(INDEX(HostBuild[],MATCH(E986,HostBuild[Alias],0),COLUMN(HostBuild[Status]))&lt;&gt;0,INDEX(HostBuild[],MATCH(E986,HostBuild[Alias],0),COLUMN(HostBuild[Status])),""),""),"")</f>
        <v/>
      </c>
      <c r="C986" s="425" t="str">
        <f>IF(AND(NOT(ISBLANK(E986)),E986&lt;&gt;"(blank)"),IFERROR(IF(INDEX(HostBuild[],MATCH(E986,HostBuild[Alias],0),COLUMN(HostBuild[CTI Target Completion]))&lt;&gt;0,INDEX(HostBuild[],MATCH(E986,HostBuild[Alias],0),COLUMN(HostBuild[CTI Target Completion])),""),""),"")</f>
        <v/>
      </c>
      <c r="D986" s="262" t="str">
        <f>IF(AND(NOT(ISBLANK(E986)),E986&lt;&gt;"(blank)"),IFERROR(IF(INDEX(HostBuild[],MATCH(E986,HostBuild[Alias],0),COLUMN(HostBuild[Description]))&lt;&gt;0,INDEX(HostBuild[],MATCH(E986,HostBuild[Alias],0),COLUMN(HostBuild[Description])),""),""),"")</f>
        <v/>
      </c>
    </row>
    <row r="987" spans="1:4">
      <c r="A987" s="3" t="str">
        <f>IF(AND(NOT(ISBLANK(E987)),E987&lt;&gt;"(blank)"),IFERROR(IF(INDEX(HostBuild[],MATCH(E987,HostBuild[Alias],0),COLUMN(HostBuild[Hostname]))&lt;&gt;0,INDEX(HostBuild[],MATCH(E987,HostBuild[Alias],0),COLUMN(HostBuild[Hostname])),""),""),"")</f>
        <v/>
      </c>
      <c r="B987" s="424" t="str">
        <f>IF(AND(NOT(ISBLANK(E987)),E987&lt;&gt;"(blank)"),IFERROR(IF(INDEX(HostBuild[],MATCH(E987,HostBuild[Alias],0),COLUMN(HostBuild[Status]))&lt;&gt;0,INDEX(HostBuild[],MATCH(E987,HostBuild[Alias],0),COLUMN(HostBuild[Status])),""),""),"")</f>
        <v/>
      </c>
      <c r="C987" s="425" t="str">
        <f>IF(AND(NOT(ISBLANK(E987)),E987&lt;&gt;"(blank)"),IFERROR(IF(INDEX(HostBuild[],MATCH(E987,HostBuild[Alias],0),COLUMN(HostBuild[CTI Target Completion]))&lt;&gt;0,INDEX(HostBuild[],MATCH(E987,HostBuild[Alias],0),COLUMN(HostBuild[CTI Target Completion])),""),""),"")</f>
        <v/>
      </c>
      <c r="D987" s="262" t="str">
        <f>IF(AND(NOT(ISBLANK(E987)),E987&lt;&gt;"(blank)"),IFERROR(IF(INDEX(HostBuild[],MATCH(E987,HostBuild[Alias],0),COLUMN(HostBuild[Description]))&lt;&gt;0,INDEX(HostBuild[],MATCH(E987,HostBuild[Alias],0),COLUMN(HostBuild[Description])),""),""),"")</f>
        <v/>
      </c>
    </row>
    <row r="988" spans="1:4">
      <c r="A988" s="3" t="str">
        <f>IF(AND(NOT(ISBLANK(E988)),E988&lt;&gt;"(blank)"),IFERROR(IF(INDEX(HostBuild[],MATCH(E988,HostBuild[Alias],0),COLUMN(HostBuild[Hostname]))&lt;&gt;0,INDEX(HostBuild[],MATCH(E988,HostBuild[Alias],0),COLUMN(HostBuild[Hostname])),""),""),"")</f>
        <v/>
      </c>
      <c r="B988" s="424" t="str">
        <f>IF(AND(NOT(ISBLANK(E988)),E988&lt;&gt;"(blank)"),IFERROR(IF(INDEX(HostBuild[],MATCH(E988,HostBuild[Alias],0),COLUMN(HostBuild[Status]))&lt;&gt;0,INDEX(HostBuild[],MATCH(E988,HostBuild[Alias],0),COLUMN(HostBuild[Status])),""),""),"")</f>
        <v/>
      </c>
      <c r="C988" s="425" t="str">
        <f>IF(AND(NOT(ISBLANK(E988)),E988&lt;&gt;"(blank)"),IFERROR(IF(INDEX(HostBuild[],MATCH(E988,HostBuild[Alias],0),COLUMN(HostBuild[CTI Target Completion]))&lt;&gt;0,INDEX(HostBuild[],MATCH(E988,HostBuild[Alias],0),COLUMN(HostBuild[CTI Target Completion])),""),""),"")</f>
        <v/>
      </c>
      <c r="D988" s="262" t="str">
        <f>IF(AND(NOT(ISBLANK(E988)),E988&lt;&gt;"(blank)"),IFERROR(IF(INDEX(HostBuild[],MATCH(E988,HostBuild[Alias],0),COLUMN(HostBuild[Description]))&lt;&gt;0,INDEX(HostBuild[],MATCH(E988,HostBuild[Alias],0),COLUMN(HostBuild[Description])),""),""),"")</f>
        <v/>
      </c>
    </row>
    <row r="989" spans="1:4">
      <c r="A989" s="3" t="str">
        <f>IF(AND(NOT(ISBLANK(E989)),E989&lt;&gt;"(blank)"),IFERROR(IF(INDEX(HostBuild[],MATCH(E989,HostBuild[Alias],0),COLUMN(HostBuild[Hostname]))&lt;&gt;0,INDEX(HostBuild[],MATCH(E989,HostBuild[Alias],0),COLUMN(HostBuild[Hostname])),""),""),"")</f>
        <v/>
      </c>
      <c r="B989" s="424" t="str">
        <f>IF(AND(NOT(ISBLANK(E989)),E989&lt;&gt;"(blank)"),IFERROR(IF(INDEX(HostBuild[],MATCH(E989,HostBuild[Alias],0),COLUMN(HostBuild[Status]))&lt;&gt;0,INDEX(HostBuild[],MATCH(E989,HostBuild[Alias],0),COLUMN(HostBuild[Status])),""),""),"")</f>
        <v/>
      </c>
      <c r="C989" s="425" t="str">
        <f>IF(AND(NOT(ISBLANK(E989)),E989&lt;&gt;"(blank)"),IFERROR(IF(INDEX(HostBuild[],MATCH(E989,HostBuild[Alias],0),COLUMN(HostBuild[CTI Target Completion]))&lt;&gt;0,INDEX(HostBuild[],MATCH(E989,HostBuild[Alias],0),COLUMN(HostBuild[CTI Target Completion])),""),""),"")</f>
        <v/>
      </c>
      <c r="D989" s="262" t="str">
        <f>IF(AND(NOT(ISBLANK(E989)),E989&lt;&gt;"(blank)"),IFERROR(IF(INDEX(HostBuild[],MATCH(E989,HostBuild[Alias],0),COLUMN(HostBuild[Description]))&lt;&gt;0,INDEX(HostBuild[],MATCH(E989,HostBuild[Alias],0),COLUMN(HostBuild[Description])),""),""),"")</f>
        <v/>
      </c>
    </row>
    <row r="990" spans="1:4">
      <c r="A990" s="3" t="str">
        <f>IF(AND(NOT(ISBLANK(E990)),E990&lt;&gt;"(blank)"),IFERROR(IF(INDEX(HostBuild[],MATCH(E990,HostBuild[Alias],0),COLUMN(HostBuild[Hostname]))&lt;&gt;0,INDEX(HostBuild[],MATCH(E990,HostBuild[Alias],0),COLUMN(HostBuild[Hostname])),""),""),"")</f>
        <v/>
      </c>
      <c r="B990" s="424" t="str">
        <f>IF(AND(NOT(ISBLANK(E990)),E990&lt;&gt;"(blank)"),IFERROR(IF(INDEX(HostBuild[],MATCH(E990,HostBuild[Alias],0),COLUMN(HostBuild[Status]))&lt;&gt;0,INDEX(HostBuild[],MATCH(E990,HostBuild[Alias],0),COLUMN(HostBuild[Status])),""),""),"")</f>
        <v/>
      </c>
      <c r="C990" s="425" t="str">
        <f>IF(AND(NOT(ISBLANK(E990)),E990&lt;&gt;"(blank)"),IFERROR(IF(INDEX(HostBuild[],MATCH(E990,HostBuild[Alias],0),COLUMN(HostBuild[CTI Target Completion]))&lt;&gt;0,INDEX(HostBuild[],MATCH(E990,HostBuild[Alias],0),COLUMN(HostBuild[CTI Target Completion])),""),""),"")</f>
        <v/>
      </c>
      <c r="D990" s="262" t="str">
        <f>IF(AND(NOT(ISBLANK(E990)),E990&lt;&gt;"(blank)"),IFERROR(IF(INDEX(HostBuild[],MATCH(E990,HostBuild[Alias],0),COLUMN(HostBuild[Description]))&lt;&gt;0,INDEX(HostBuild[],MATCH(E990,HostBuild[Alias],0),COLUMN(HostBuild[Description])),""),""),"")</f>
        <v/>
      </c>
    </row>
    <row r="991" spans="1:4">
      <c r="A991" s="3" t="str">
        <f>IF(AND(NOT(ISBLANK(E991)),E991&lt;&gt;"(blank)"),IFERROR(IF(INDEX(HostBuild[],MATCH(E991,HostBuild[Alias],0),COLUMN(HostBuild[Hostname]))&lt;&gt;0,INDEX(HostBuild[],MATCH(E991,HostBuild[Alias],0),COLUMN(HostBuild[Hostname])),""),""),"")</f>
        <v/>
      </c>
      <c r="B991" s="424" t="str">
        <f>IF(AND(NOT(ISBLANK(E991)),E991&lt;&gt;"(blank)"),IFERROR(IF(INDEX(HostBuild[],MATCH(E991,HostBuild[Alias],0),COLUMN(HostBuild[Status]))&lt;&gt;0,INDEX(HostBuild[],MATCH(E991,HostBuild[Alias],0),COLUMN(HostBuild[Status])),""),""),"")</f>
        <v/>
      </c>
      <c r="C991" s="425" t="str">
        <f>IF(AND(NOT(ISBLANK(E991)),E991&lt;&gt;"(blank)"),IFERROR(IF(INDEX(HostBuild[],MATCH(E991,HostBuild[Alias],0),COLUMN(HostBuild[CTI Target Completion]))&lt;&gt;0,INDEX(HostBuild[],MATCH(E991,HostBuild[Alias],0),COLUMN(HostBuild[CTI Target Completion])),""),""),"")</f>
        <v/>
      </c>
      <c r="D991" s="262" t="str">
        <f>IF(AND(NOT(ISBLANK(E991)),E991&lt;&gt;"(blank)"),IFERROR(IF(INDEX(HostBuild[],MATCH(E991,HostBuild[Alias],0),COLUMN(HostBuild[Description]))&lt;&gt;0,INDEX(HostBuild[],MATCH(E991,HostBuild[Alias],0),COLUMN(HostBuild[Description])),""),""),"")</f>
        <v/>
      </c>
    </row>
    <row r="992" spans="1:4">
      <c r="A992" s="3" t="str">
        <f>IF(AND(NOT(ISBLANK(E992)),E992&lt;&gt;"(blank)"),IFERROR(IF(INDEX(HostBuild[],MATCH(E992,HostBuild[Alias],0),COLUMN(HostBuild[Hostname]))&lt;&gt;0,INDEX(HostBuild[],MATCH(E992,HostBuild[Alias],0),COLUMN(HostBuild[Hostname])),""),""),"")</f>
        <v/>
      </c>
      <c r="B992" s="424" t="str">
        <f>IF(AND(NOT(ISBLANK(E992)),E992&lt;&gt;"(blank)"),IFERROR(IF(INDEX(HostBuild[],MATCH(E992,HostBuild[Alias],0),COLUMN(HostBuild[Status]))&lt;&gt;0,INDEX(HostBuild[],MATCH(E992,HostBuild[Alias],0),COLUMN(HostBuild[Status])),""),""),"")</f>
        <v/>
      </c>
      <c r="C992" s="425" t="str">
        <f>IF(AND(NOT(ISBLANK(E992)),E992&lt;&gt;"(blank)"),IFERROR(IF(INDEX(HostBuild[],MATCH(E992,HostBuild[Alias],0),COLUMN(HostBuild[CTI Target Completion]))&lt;&gt;0,INDEX(HostBuild[],MATCH(E992,HostBuild[Alias],0),COLUMN(HostBuild[CTI Target Completion])),""),""),"")</f>
        <v/>
      </c>
      <c r="D992" s="262" t="str">
        <f>IF(AND(NOT(ISBLANK(E992)),E992&lt;&gt;"(blank)"),IFERROR(IF(INDEX(HostBuild[],MATCH(E992,HostBuild[Alias],0),COLUMN(HostBuild[Description]))&lt;&gt;0,INDEX(HostBuild[],MATCH(E992,HostBuild[Alias],0),COLUMN(HostBuild[Description])),""),""),"")</f>
        <v/>
      </c>
    </row>
    <row r="993" spans="1:4">
      <c r="A993" s="3" t="str">
        <f>IF(AND(NOT(ISBLANK(E993)),E993&lt;&gt;"(blank)"),IFERROR(IF(INDEX(HostBuild[],MATCH(E993,HostBuild[Alias],0),COLUMN(HostBuild[Hostname]))&lt;&gt;0,INDEX(HostBuild[],MATCH(E993,HostBuild[Alias],0),COLUMN(HostBuild[Hostname])),""),""),"")</f>
        <v/>
      </c>
      <c r="B993" s="424" t="str">
        <f>IF(AND(NOT(ISBLANK(E993)),E993&lt;&gt;"(blank)"),IFERROR(IF(INDEX(HostBuild[],MATCH(E993,HostBuild[Alias],0),COLUMN(HostBuild[Status]))&lt;&gt;0,INDEX(HostBuild[],MATCH(E993,HostBuild[Alias],0),COLUMN(HostBuild[Status])),""),""),"")</f>
        <v/>
      </c>
      <c r="C993" s="425" t="str">
        <f>IF(AND(NOT(ISBLANK(E993)),E993&lt;&gt;"(blank)"),IFERROR(IF(INDEX(HostBuild[],MATCH(E993,HostBuild[Alias],0),COLUMN(HostBuild[CTI Target Completion]))&lt;&gt;0,INDEX(HostBuild[],MATCH(E993,HostBuild[Alias],0),COLUMN(HostBuild[CTI Target Completion])),""),""),"")</f>
        <v/>
      </c>
      <c r="D993" s="262" t="str">
        <f>IF(AND(NOT(ISBLANK(E993)),E993&lt;&gt;"(blank)"),IFERROR(IF(INDEX(HostBuild[],MATCH(E993,HostBuild[Alias],0),COLUMN(HostBuild[Description]))&lt;&gt;0,INDEX(HostBuild[],MATCH(E993,HostBuild[Alias],0),COLUMN(HostBuild[Description])),""),""),"")</f>
        <v/>
      </c>
    </row>
    <row r="994" spans="1:4">
      <c r="A994" s="3" t="str">
        <f>IF(AND(NOT(ISBLANK(E994)),E994&lt;&gt;"(blank)"),IFERROR(IF(INDEX(HostBuild[],MATCH(E994,HostBuild[Alias],0),COLUMN(HostBuild[Hostname]))&lt;&gt;0,INDEX(HostBuild[],MATCH(E994,HostBuild[Alias],0),COLUMN(HostBuild[Hostname])),""),""),"")</f>
        <v/>
      </c>
      <c r="B994" s="424" t="str">
        <f>IF(AND(NOT(ISBLANK(E994)),E994&lt;&gt;"(blank)"),IFERROR(IF(INDEX(HostBuild[],MATCH(E994,HostBuild[Alias],0),COLUMN(HostBuild[Status]))&lt;&gt;0,INDEX(HostBuild[],MATCH(E994,HostBuild[Alias],0),COLUMN(HostBuild[Status])),""),""),"")</f>
        <v/>
      </c>
      <c r="C994" s="425" t="str">
        <f>IF(AND(NOT(ISBLANK(E994)),E994&lt;&gt;"(blank)"),IFERROR(IF(INDEX(HostBuild[],MATCH(E994,HostBuild[Alias],0),COLUMN(HostBuild[CTI Target Completion]))&lt;&gt;0,INDEX(HostBuild[],MATCH(E994,HostBuild[Alias],0),COLUMN(HostBuild[CTI Target Completion])),""),""),"")</f>
        <v/>
      </c>
      <c r="D994" s="262" t="str">
        <f>IF(AND(NOT(ISBLANK(E994)),E994&lt;&gt;"(blank)"),IFERROR(IF(INDEX(HostBuild[],MATCH(E994,HostBuild[Alias],0),COLUMN(HostBuild[Description]))&lt;&gt;0,INDEX(HostBuild[],MATCH(E994,HostBuild[Alias],0),COLUMN(HostBuild[Description])),""),""),"")</f>
        <v/>
      </c>
    </row>
    <row r="995" spans="1:4">
      <c r="A995" s="3" t="str">
        <f>IF(AND(NOT(ISBLANK(E995)),E995&lt;&gt;"(blank)"),IFERROR(IF(INDEX(HostBuild[],MATCH(E995,HostBuild[Alias],0),COLUMN(HostBuild[Hostname]))&lt;&gt;0,INDEX(HostBuild[],MATCH(E995,HostBuild[Alias],0),COLUMN(HostBuild[Hostname])),""),""),"")</f>
        <v/>
      </c>
      <c r="B995" s="424" t="str">
        <f>IF(AND(NOT(ISBLANK(E995)),E995&lt;&gt;"(blank)"),IFERROR(IF(INDEX(HostBuild[],MATCH(E995,HostBuild[Alias],0),COLUMN(HostBuild[Status]))&lt;&gt;0,INDEX(HostBuild[],MATCH(E995,HostBuild[Alias],0),COLUMN(HostBuild[Status])),""),""),"")</f>
        <v/>
      </c>
      <c r="C995" s="425" t="str">
        <f>IF(AND(NOT(ISBLANK(E995)),E995&lt;&gt;"(blank)"),IFERROR(IF(INDEX(HostBuild[],MATCH(E995,HostBuild[Alias],0),COLUMN(HostBuild[CTI Target Completion]))&lt;&gt;0,INDEX(HostBuild[],MATCH(E995,HostBuild[Alias],0),COLUMN(HostBuild[CTI Target Completion])),""),""),"")</f>
        <v/>
      </c>
      <c r="D995" s="262" t="str">
        <f>IF(AND(NOT(ISBLANK(E995)),E995&lt;&gt;"(blank)"),IFERROR(IF(INDEX(HostBuild[],MATCH(E995,HostBuild[Alias],0),COLUMN(HostBuild[Description]))&lt;&gt;0,INDEX(HostBuild[],MATCH(E995,HostBuild[Alias],0),COLUMN(HostBuild[Description])),""),""),"")</f>
        <v/>
      </c>
    </row>
    <row r="996" spans="1:4">
      <c r="A996" s="3" t="str">
        <f>IF(AND(NOT(ISBLANK(E996)),E996&lt;&gt;"(blank)"),IFERROR(IF(INDEX(HostBuild[],MATCH(E996,HostBuild[Alias],0),COLUMN(HostBuild[Hostname]))&lt;&gt;0,INDEX(HostBuild[],MATCH(E996,HostBuild[Alias],0),COLUMN(HostBuild[Hostname])),""),""),"")</f>
        <v/>
      </c>
      <c r="B996" s="424" t="str">
        <f>IF(AND(NOT(ISBLANK(E996)),E996&lt;&gt;"(blank)"),IFERROR(IF(INDEX(HostBuild[],MATCH(E996,HostBuild[Alias],0),COLUMN(HostBuild[Status]))&lt;&gt;0,INDEX(HostBuild[],MATCH(E996,HostBuild[Alias],0),COLUMN(HostBuild[Status])),""),""),"")</f>
        <v/>
      </c>
      <c r="C996" s="425" t="str">
        <f>IF(AND(NOT(ISBLANK(E996)),E996&lt;&gt;"(blank)"),IFERROR(IF(INDEX(HostBuild[],MATCH(E996,HostBuild[Alias],0),COLUMN(HostBuild[CTI Target Completion]))&lt;&gt;0,INDEX(HostBuild[],MATCH(E996,HostBuild[Alias],0),COLUMN(HostBuild[CTI Target Completion])),""),""),"")</f>
        <v/>
      </c>
      <c r="D996" s="262" t="str">
        <f>IF(AND(NOT(ISBLANK(E996)),E996&lt;&gt;"(blank)"),IFERROR(IF(INDEX(HostBuild[],MATCH(E996,HostBuild[Alias],0),COLUMN(HostBuild[Description]))&lt;&gt;0,INDEX(HostBuild[],MATCH(E996,HostBuild[Alias],0),COLUMN(HostBuild[Description])),""),""),"")</f>
        <v/>
      </c>
    </row>
    <row r="997" spans="1:4">
      <c r="A997" s="3" t="str">
        <f>IF(AND(NOT(ISBLANK(E997)),E997&lt;&gt;"(blank)"),IFERROR(IF(INDEX(HostBuild[],MATCH(E997,HostBuild[Alias],0),COLUMN(HostBuild[Hostname]))&lt;&gt;0,INDEX(HostBuild[],MATCH(E997,HostBuild[Alias],0),COLUMN(HostBuild[Hostname])),""),""),"")</f>
        <v/>
      </c>
      <c r="B997" s="424" t="str">
        <f>IF(AND(NOT(ISBLANK(E997)),E997&lt;&gt;"(blank)"),IFERROR(IF(INDEX(HostBuild[],MATCH(E997,HostBuild[Alias],0),COLUMN(HostBuild[Status]))&lt;&gt;0,INDEX(HostBuild[],MATCH(E997,HostBuild[Alias],0),COLUMN(HostBuild[Status])),""),""),"")</f>
        <v/>
      </c>
      <c r="C997" s="425" t="str">
        <f>IF(AND(NOT(ISBLANK(E997)),E997&lt;&gt;"(blank)"),IFERROR(IF(INDEX(HostBuild[],MATCH(E997,HostBuild[Alias],0),COLUMN(HostBuild[CTI Target Completion]))&lt;&gt;0,INDEX(HostBuild[],MATCH(E997,HostBuild[Alias],0),COLUMN(HostBuild[CTI Target Completion])),""),""),"")</f>
        <v/>
      </c>
      <c r="D997" s="262" t="str">
        <f>IF(AND(NOT(ISBLANK(E997)),E997&lt;&gt;"(blank)"),IFERROR(IF(INDEX(HostBuild[],MATCH(E997,HostBuild[Alias],0),COLUMN(HostBuild[Description]))&lt;&gt;0,INDEX(HostBuild[],MATCH(E997,HostBuild[Alias],0),COLUMN(HostBuild[Description])),""),""),"")</f>
        <v/>
      </c>
    </row>
    <row r="998" spans="1:4">
      <c r="A998" s="3" t="str">
        <f>IF(AND(NOT(ISBLANK(E998)),E998&lt;&gt;"(blank)"),IFERROR(IF(INDEX(HostBuild[],MATCH(E998,HostBuild[Alias],0),COLUMN(HostBuild[Hostname]))&lt;&gt;0,INDEX(HostBuild[],MATCH(E998,HostBuild[Alias],0),COLUMN(HostBuild[Hostname])),""),""),"")</f>
        <v/>
      </c>
      <c r="B998" s="424" t="str">
        <f>IF(AND(NOT(ISBLANK(E998)),E998&lt;&gt;"(blank)"),IFERROR(IF(INDEX(HostBuild[],MATCH(E998,HostBuild[Alias],0),COLUMN(HostBuild[Status]))&lt;&gt;0,INDEX(HostBuild[],MATCH(E998,HostBuild[Alias],0),COLUMN(HostBuild[Status])),""),""),"")</f>
        <v/>
      </c>
      <c r="C998" s="425" t="str">
        <f>IF(AND(NOT(ISBLANK(E998)),E998&lt;&gt;"(blank)"),IFERROR(IF(INDEX(HostBuild[],MATCH(E998,HostBuild[Alias],0),COLUMN(HostBuild[CTI Target Completion]))&lt;&gt;0,INDEX(HostBuild[],MATCH(E998,HostBuild[Alias],0),COLUMN(HostBuild[CTI Target Completion])),""),""),"")</f>
        <v/>
      </c>
      <c r="D998" s="262" t="str">
        <f>IF(AND(NOT(ISBLANK(E998)),E998&lt;&gt;"(blank)"),IFERROR(IF(INDEX(HostBuild[],MATCH(E998,HostBuild[Alias],0),COLUMN(HostBuild[Description]))&lt;&gt;0,INDEX(HostBuild[],MATCH(E998,HostBuild[Alias],0),COLUMN(HostBuild[Description])),""),""),"")</f>
        <v/>
      </c>
    </row>
    <row r="999" spans="1:4">
      <c r="A999" s="3" t="str">
        <f>IF(AND(NOT(ISBLANK(E999)),E999&lt;&gt;"(blank)"),IFERROR(IF(INDEX(HostBuild[],MATCH(E999,HostBuild[Alias],0),COLUMN(HostBuild[Hostname]))&lt;&gt;0,INDEX(HostBuild[],MATCH(E999,HostBuild[Alias],0),COLUMN(HostBuild[Hostname])),""),""),"")</f>
        <v/>
      </c>
      <c r="B999" s="424" t="str">
        <f>IF(AND(NOT(ISBLANK(E999)),E999&lt;&gt;"(blank)"),IFERROR(IF(INDEX(HostBuild[],MATCH(E999,HostBuild[Alias],0),COLUMN(HostBuild[Status]))&lt;&gt;0,INDEX(HostBuild[],MATCH(E999,HostBuild[Alias],0),COLUMN(HostBuild[Status])),""),""),"")</f>
        <v/>
      </c>
      <c r="C999" s="425" t="str">
        <f>IF(AND(NOT(ISBLANK(E999)),E999&lt;&gt;"(blank)"),IFERROR(IF(INDEX(HostBuild[],MATCH(E999,HostBuild[Alias],0),COLUMN(HostBuild[CTI Target Completion]))&lt;&gt;0,INDEX(HostBuild[],MATCH(E999,HostBuild[Alias],0),COLUMN(HostBuild[CTI Target Completion])),""),""),"")</f>
        <v/>
      </c>
      <c r="D999" s="262" t="str">
        <f>IF(AND(NOT(ISBLANK(E999)),E999&lt;&gt;"(blank)"),IFERROR(IF(INDEX(HostBuild[],MATCH(E999,HostBuild[Alias],0),COLUMN(HostBuild[Description]))&lt;&gt;0,INDEX(HostBuild[],MATCH(E999,HostBuild[Alias],0),COLUMN(HostBuild[Description])),""),""),"")</f>
        <v/>
      </c>
    </row>
    <row r="1000" spans="1:4">
      <c r="A1000" s="3" t="str">
        <f>IF(AND(NOT(ISBLANK(E1000)),E1000&lt;&gt;"(blank)"),IFERROR(IF(INDEX(HostBuild[],MATCH(E1000,HostBuild[Alias],0),COLUMN(HostBuild[Hostname]))&lt;&gt;0,INDEX(HostBuild[],MATCH(E1000,HostBuild[Alias],0),COLUMN(HostBuild[Hostname])),""),""),"")</f>
        <v/>
      </c>
      <c r="B1000" s="424" t="str">
        <f>IF(AND(NOT(ISBLANK(E1000)),E1000&lt;&gt;"(blank)"),IFERROR(IF(INDEX(HostBuild[],MATCH(E1000,HostBuild[Alias],0),COLUMN(HostBuild[Status]))&lt;&gt;0,INDEX(HostBuild[],MATCH(E1000,HostBuild[Alias],0),COLUMN(HostBuild[Status])),""),""),"")</f>
        <v/>
      </c>
      <c r="C1000" s="425" t="str">
        <f>IF(AND(NOT(ISBLANK(E1000)),E1000&lt;&gt;"(blank)"),IFERROR(IF(INDEX(HostBuild[],MATCH(E1000,HostBuild[Alias],0),COLUMN(HostBuild[CTI Target Completion]))&lt;&gt;0,INDEX(HostBuild[],MATCH(E1000,HostBuild[Alias],0),COLUMN(HostBuild[CTI Target Completion])),""),""),"")</f>
        <v/>
      </c>
      <c r="D1000" s="262" t="str">
        <f>IF(AND(NOT(ISBLANK(E1000)),E1000&lt;&gt;"(blank)"),IFERROR(IF(INDEX(HostBuild[],MATCH(E1000,HostBuild[Alias],0),COLUMN(HostBuild[Description]))&lt;&gt;0,INDEX(HostBuild[],MATCH(E1000,HostBuild[Alias],0),COLUMN(HostBuild[Description])),""),""),"")</f>
        <v/>
      </c>
    </row>
    <row r="1001" spans="1:4">
      <c r="A1001" s="3" t="str">
        <f>IF(AND(NOT(ISBLANK(E1001)),E1001&lt;&gt;"(blank)"),IFERROR(IF(INDEX(HostBuild[],MATCH(E1001,HostBuild[Alias],0),COLUMN(HostBuild[Hostname]))&lt;&gt;0,INDEX(HostBuild[],MATCH(E1001,HostBuild[Alias],0),COLUMN(HostBuild[Hostname])),""),""),"")</f>
        <v/>
      </c>
      <c r="B1001" s="424" t="str">
        <f>IF(AND(NOT(ISBLANK(E1001)),E1001&lt;&gt;"(blank)"),IFERROR(IF(INDEX(HostBuild[],MATCH(E1001,HostBuild[Alias],0),COLUMN(HostBuild[Status]))&lt;&gt;0,INDEX(HostBuild[],MATCH(E1001,HostBuild[Alias],0),COLUMN(HostBuild[Status])),""),""),"")</f>
        <v/>
      </c>
      <c r="C1001" s="425" t="str">
        <f>IF(AND(NOT(ISBLANK(E1001)),E1001&lt;&gt;"(blank)"),IFERROR(IF(INDEX(HostBuild[],MATCH(E1001,HostBuild[Alias],0),COLUMN(HostBuild[CTI Target Completion]))&lt;&gt;0,INDEX(HostBuild[],MATCH(E1001,HostBuild[Alias],0),COLUMN(HostBuild[CTI Target Completion])),""),""),"")</f>
        <v/>
      </c>
      <c r="D1001" s="262" t="str">
        <f>IF(AND(NOT(ISBLANK(E1001)),E1001&lt;&gt;"(blank)"),IFERROR(IF(INDEX(HostBuild[],MATCH(E1001,HostBuild[Alias],0),COLUMN(HostBuild[Description]))&lt;&gt;0,INDEX(HostBuild[],MATCH(E1001,HostBuild[Alias],0),COLUMN(HostBuild[Description])),""),""),"")</f>
        <v/>
      </c>
    </row>
    <row r="1002" spans="1:4">
      <c r="A1002" s="3" t="str">
        <f>IF(AND(NOT(ISBLANK(E1002)),E1002&lt;&gt;"(blank)"),IFERROR(IF(INDEX(HostBuild[],MATCH(E1002,HostBuild[Alias],0),COLUMN(HostBuild[Hostname]))&lt;&gt;0,INDEX(HostBuild[],MATCH(E1002,HostBuild[Alias],0),COLUMN(HostBuild[Hostname])),""),""),"")</f>
        <v/>
      </c>
      <c r="B1002" s="424" t="str">
        <f>IF(AND(NOT(ISBLANK(E1002)),E1002&lt;&gt;"(blank)"),IFERROR(IF(INDEX(HostBuild[],MATCH(E1002,HostBuild[Alias],0),COLUMN(HostBuild[Status]))&lt;&gt;0,INDEX(HostBuild[],MATCH(E1002,HostBuild[Alias],0),COLUMN(HostBuild[Status])),""),""),"")</f>
        <v/>
      </c>
      <c r="C1002" s="425" t="str">
        <f>IF(AND(NOT(ISBLANK(E1002)),E1002&lt;&gt;"(blank)"),IFERROR(IF(INDEX(HostBuild[],MATCH(E1002,HostBuild[Alias],0),COLUMN(HostBuild[CTI Target Completion]))&lt;&gt;0,INDEX(HostBuild[],MATCH(E1002,HostBuild[Alias],0),COLUMN(HostBuild[CTI Target Completion])),""),""),"")</f>
        <v/>
      </c>
      <c r="D1002" s="262" t="str">
        <f>IF(AND(NOT(ISBLANK(E1002)),E1002&lt;&gt;"(blank)"),IFERROR(IF(INDEX(HostBuild[],MATCH(E1002,HostBuild[Alias],0),COLUMN(HostBuild[Description]))&lt;&gt;0,INDEX(HostBuild[],MATCH(E1002,HostBuild[Alias],0),COLUMN(HostBuild[Description])),""),""),"")</f>
        <v/>
      </c>
    </row>
    <row r="1003" spans="1:4">
      <c r="A1003" s="3" t="str">
        <f>IF(AND(NOT(ISBLANK(E1003)),E1003&lt;&gt;"(blank)"),IFERROR(IF(INDEX(HostBuild[],MATCH(E1003,HostBuild[Alias],0),COLUMN(HostBuild[Hostname]))&lt;&gt;0,INDEX(HostBuild[],MATCH(E1003,HostBuild[Alias],0),COLUMN(HostBuild[Hostname])),""),""),"")</f>
        <v/>
      </c>
      <c r="B1003" s="424" t="str">
        <f>IF(AND(NOT(ISBLANK(E1003)),E1003&lt;&gt;"(blank)"),IFERROR(IF(INDEX(HostBuild[],MATCH(E1003,HostBuild[Alias],0),COLUMN(HostBuild[Status]))&lt;&gt;0,INDEX(HostBuild[],MATCH(E1003,HostBuild[Alias],0),COLUMN(HostBuild[Status])),""),""),"")</f>
        <v/>
      </c>
      <c r="C1003" s="425" t="str">
        <f>IF(AND(NOT(ISBLANK(E1003)),E1003&lt;&gt;"(blank)"),IFERROR(IF(INDEX(HostBuild[],MATCH(E1003,HostBuild[Alias],0),COLUMN(HostBuild[CTI Target Completion]))&lt;&gt;0,INDEX(HostBuild[],MATCH(E1003,HostBuild[Alias],0),COLUMN(HostBuild[CTI Target Completion])),""),""),"")</f>
        <v/>
      </c>
      <c r="D1003" s="262" t="str">
        <f>IF(AND(NOT(ISBLANK(E1003)),E1003&lt;&gt;"(blank)"),IFERROR(IF(INDEX(HostBuild[],MATCH(E1003,HostBuild[Alias],0),COLUMN(HostBuild[Description]))&lt;&gt;0,INDEX(HostBuild[],MATCH(E1003,HostBuild[Alias],0),COLUMN(HostBuild[Description])),""),""),"")</f>
        <v/>
      </c>
    </row>
    <row r="1004" spans="1:4">
      <c r="A1004" s="3" t="str">
        <f>IF(AND(NOT(ISBLANK(E1004)),E1004&lt;&gt;"(blank)"),IFERROR(IF(INDEX(HostBuild[],MATCH(E1004,HostBuild[Alias],0),COLUMN(HostBuild[Hostname]))&lt;&gt;0,INDEX(HostBuild[],MATCH(E1004,HostBuild[Alias],0),COLUMN(HostBuild[Hostname])),""),""),"")</f>
        <v/>
      </c>
      <c r="B1004" s="424" t="str">
        <f>IF(AND(NOT(ISBLANK(E1004)),E1004&lt;&gt;"(blank)"),IFERROR(IF(INDEX(HostBuild[],MATCH(E1004,HostBuild[Alias],0),COLUMN(HostBuild[Status]))&lt;&gt;0,INDEX(HostBuild[],MATCH(E1004,HostBuild[Alias],0),COLUMN(HostBuild[Status])),""),""),"")</f>
        <v/>
      </c>
      <c r="C1004" s="425" t="str">
        <f>IF(AND(NOT(ISBLANK(E1004)),E1004&lt;&gt;"(blank)"),IFERROR(IF(INDEX(HostBuild[],MATCH(E1004,HostBuild[Alias],0),COLUMN(HostBuild[CTI Target Completion]))&lt;&gt;0,INDEX(HostBuild[],MATCH(E1004,HostBuild[Alias],0),COLUMN(HostBuild[CTI Target Completion])),""),""),"")</f>
        <v/>
      </c>
      <c r="D1004" s="262" t="str">
        <f>IF(AND(NOT(ISBLANK(E1004)),E1004&lt;&gt;"(blank)"),IFERROR(IF(INDEX(HostBuild[],MATCH(E1004,HostBuild[Alias],0),COLUMN(HostBuild[Description]))&lt;&gt;0,INDEX(HostBuild[],MATCH(E1004,HostBuild[Alias],0),COLUMN(HostBuild[Description])),""),""),"")</f>
        <v/>
      </c>
    </row>
    <row r="1005" spans="1:4">
      <c r="A1005" s="3" t="str">
        <f>IF(AND(NOT(ISBLANK(E1005)),E1005&lt;&gt;"(blank)"),IFERROR(IF(INDEX(HostBuild[],MATCH(E1005,HostBuild[Alias],0),COLUMN(HostBuild[Hostname]))&lt;&gt;0,INDEX(HostBuild[],MATCH(E1005,HostBuild[Alias],0),COLUMN(HostBuild[Hostname])),""),""),"")</f>
        <v/>
      </c>
      <c r="B1005" s="424" t="str">
        <f>IF(AND(NOT(ISBLANK(E1005)),E1005&lt;&gt;"(blank)"),IFERROR(IF(INDEX(HostBuild[],MATCH(E1005,HostBuild[Alias],0),COLUMN(HostBuild[Status]))&lt;&gt;0,INDEX(HostBuild[],MATCH(E1005,HostBuild[Alias],0),COLUMN(HostBuild[Status])),""),""),"")</f>
        <v/>
      </c>
      <c r="C1005" s="425" t="str">
        <f>IF(AND(NOT(ISBLANK(E1005)),E1005&lt;&gt;"(blank)"),IFERROR(IF(INDEX(HostBuild[],MATCH(E1005,HostBuild[Alias],0),COLUMN(HostBuild[CTI Target Completion]))&lt;&gt;0,INDEX(HostBuild[],MATCH(E1005,HostBuild[Alias],0),COLUMN(HostBuild[CTI Target Completion])),""),""),"")</f>
        <v/>
      </c>
      <c r="D1005" s="262" t="str">
        <f>IF(AND(NOT(ISBLANK(E1005)),E1005&lt;&gt;"(blank)"),IFERROR(IF(INDEX(HostBuild[],MATCH(E1005,HostBuild[Alias],0),COLUMN(HostBuild[Description]))&lt;&gt;0,INDEX(HostBuild[],MATCH(E1005,HostBuild[Alias],0),COLUMN(HostBuild[Description])),""),""),"")</f>
        <v/>
      </c>
    </row>
    <row r="1006" spans="1:4">
      <c r="A1006" s="3" t="str">
        <f>IF(AND(NOT(ISBLANK(E1006)),E1006&lt;&gt;"(blank)"),IFERROR(IF(INDEX(HostBuild[],MATCH(E1006,HostBuild[Alias],0),COLUMN(HostBuild[Hostname]))&lt;&gt;0,INDEX(HostBuild[],MATCH(E1006,HostBuild[Alias],0),COLUMN(HostBuild[Hostname])),""),""),"")</f>
        <v/>
      </c>
      <c r="B1006" s="424" t="str">
        <f>IF(AND(NOT(ISBLANK(E1006)),E1006&lt;&gt;"(blank)"),IFERROR(IF(INDEX(HostBuild[],MATCH(E1006,HostBuild[Alias],0),COLUMN(HostBuild[Status]))&lt;&gt;0,INDEX(HostBuild[],MATCH(E1006,HostBuild[Alias],0),COLUMN(HostBuild[Status])),""),""),"")</f>
        <v/>
      </c>
      <c r="C1006" s="425" t="str">
        <f>IF(AND(NOT(ISBLANK(E1006)),E1006&lt;&gt;"(blank)"),IFERROR(IF(INDEX(HostBuild[],MATCH(E1006,HostBuild[Alias],0),COLUMN(HostBuild[CTI Target Completion]))&lt;&gt;0,INDEX(HostBuild[],MATCH(E1006,HostBuild[Alias],0),COLUMN(HostBuild[CTI Target Completion])),""),""),"")</f>
        <v/>
      </c>
      <c r="D1006" s="262" t="str">
        <f>IF(AND(NOT(ISBLANK(E1006)),E1006&lt;&gt;"(blank)"),IFERROR(IF(INDEX(HostBuild[],MATCH(E1006,HostBuild[Alias],0),COLUMN(HostBuild[Description]))&lt;&gt;0,INDEX(HostBuild[],MATCH(E1006,HostBuild[Alias],0),COLUMN(HostBuild[Description])),""),""),"")</f>
        <v/>
      </c>
    </row>
    <row r="1007" spans="1:4">
      <c r="A1007" s="3" t="str">
        <f>IF(AND(NOT(ISBLANK(E1007)),E1007&lt;&gt;"(blank)"),IFERROR(IF(INDEX(HostBuild[],MATCH(E1007,HostBuild[Alias],0),COLUMN(HostBuild[Hostname]))&lt;&gt;0,INDEX(HostBuild[],MATCH(E1007,HostBuild[Alias],0),COLUMN(HostBuild[Hostname])),""),""),"")</f>
        <v/>
      </c>
      <c r="B1007" s="424" t="str">
        <f>IF(AND(NOT(ISBLANK(E1007)),E1007&lt;&gt;"(blank)"),IFERROR(IF(INDEX(HostBuild[],MATCH(E1007,HostBuild[Alias],0),COLUMN(HostBuild[Status]))&lt;&gt;0,INDEX(HostBuild[],MATCH(E1007,HostBuild[Alias],0),COLUMN(HostBuild[Status])),""),""),"")</f>
        <v/>
      </c>
      <c r="C1007" s="425" t="str">
        <f>IF(AND(NOT(ISBLANK(E1007)),E1007&lt;&gt;"(blank)"),IFERROR(IF(INDEX(HostBuild[],MATCH(E1007,HostBuild[Alias],0),COLUMN(HostBuild[CTI Target Completion]))&lt;&gt;0,INDEX(HostBuild[],MATCH(E1007,HostBuild[Alias],0),COLUMN(HostBuild[CTI Target Completion])),""),""),"")</f>
        <v/>
      </c>
      <c r="D1007" s="262" t="str">
        <f>IF(AND(NOT(ISBLANK(E1007)),E1007&lt;&gt;"(blank)"),IFERROR(IF(INDEX(HostBuild[],MATCH(E1007,HostBuild[Alias],0),COLUMN(HostBuild[Description]))&lt;&gt;0,INDEX(HostBuild[],MATCH(E1007,HostBuild[Alias],0),COLUMN(HostBuild[Description])),""),""),"")</f>
        <v/>
      </c>
    </row>
    <row r="1008" spans="1:4">
      <c r="A1008" s="3" t="str">
        <f>IF(AND(NOT(ISBLANK(E1008)),E1008&lt;&gt;"(blank)"),IFERROR(IF(INDEX(HostBuild[],MATCH(E1008,HostBuild[Alias],0),COLUMN(HostBuild[Hostname]))&lt;&gt;0,INDEX(HostBuild[],MATCH(E1008,HostBuild[Alias],0),COLUMN(HostBuild[Hostname])),""),""),"")</f>
        <v/>
      </c>
      <c r="B1008" s="424" t="str">
        <f>IF(AND(NOT(ISBLANK(E1008)),E1008&lt;&gt;"(blank)"),IFERROR(IF(INDEX(HostBuild[],MATCH(E1008,HostBuild[Alias],0),COLUMN(HostBuild[Status]))&lt;&gt;0,INDEX(HostBuild[],MATCH(E1008,HostBuild[Alias],0),COLUMN(HostBuild[Status])),""),""),"")</f>
        <v/>
      </c>
      <c r="C1008" s="425" t="str">
        <f>IF(AND(NOT(ISBLANK(E1008)),E1008&lt;&gt;"(blank)"),IFERROR(IF(INDEX(HostBuild[],MATCH(E1008,HostBuild[Alias],0),COLUMN(HostBuild[CTI Target Completion]))&lt;&gt;0,INDEX(HostBuild[],MATCH(E1008,HostBuild[Alias],0),COLUMN(HostBuild[CTI Target Completion])),""),""),"")</f>
        <v/>
      </c>
      <c r="D1008" s="262" t="str">
        <f>IF(AND(NOT(ISBLANK(E1008)),E1008&lt;&gt;"(blank)"),IFERROR(IF(INDEX(HostBuild[],MATCH(E1008,HostBuild[Alias],0),COLUMN(HostBuild[Description]))&lt;&gt;0,INDEX(HostBuild[],MATCH(E1008,HostBuild[Alias],0),COLUMN(HostBuild[Description])),""),""),"")</f>
        <v/>
      </c>
    </row>
    <row r="1009" spans="1:4">
      <c r="A1009" s="3" t="str">
        <f>IF(AND(NOT(ISBLANK(E1009)),E1009&lt;&gt;"(blank)"),IFERROR(IF(INDEX(HostBuild[],MATCH(E1009,HostBuild[Alias],0),COLUMN(HostBuild[Hostname]))&lt;&gt;0,INDEX(HostBuild[],MATCH(E1009,HostBuild[Alias],0),COLUMN(HostBuild[Hostname])),""),""),"")</f>
        <v/>
      </c>
      <c r="B1009" s="424" t="str">
        <f>IF(AND(NOT(ISBLANK(E1009)),E1009&lt;&gt;"(blank)"),IFERROR(IF(INDEX(HostBuild[],MATCH(E1009,HostBuild[Alias],0),COLUMN(HostBuild[Status]))&lt;&gt;0,INDEX(HostBuild[],MATCH(E1009,HostBuild[Alias],0),COLUMN(HostBuild[Status])),""),""),"")</f>
        <v/>
      </c>
      <c r="C1009" s="425" t="str">
        <f>IF(AND(NOT(ISBLANK(E1009)),E1009&lt;&gt;"(blank)"),IFERROR(IF(INDEX(HostBuild[],MATCH(E1009,HostBuild[Alias],0),COLUMN(HostBuild[CTI Target Completion]))&lt;&gt;0,INDEX(HostBuild[],MATCH(E1009,HostBuild[Alias],0),COLUMN(HostBuild[CTI Target Completion])),""),""),"")</f>
        <v/>
      </c>
      <c r="D1009" s="262" t="str">
        <f>IF(AND(NOT(ISBLANK(E1009)),E1009&lt;&gt;"(blank)"),IFERROR(IF(INDEX(HostBuild[],MATCH(E1009,HostBuild[Alias],0),COLUMN(HostBuild[Description]))&lt;&gt;0,INDEX(HostBuild[],MATCH(E1009,HostBuild[Alias],0),COLUMN(HostBuild[Description])),""),""),"")</f>
        <v/>
      </c>
    </row>
    <row r="1010" spans="1:4">
      <c r="A1010" s="3" t="str">
        <f>IF(AND(NOT(ISBLANK(E1010)),E1010&lt;&gt;"(blank)"),IFERROR(IF(INDEX(HostBuild[],MATCH(E1010,HostBuild[Alias],0),COLUMN(HostBuild[Hostname]))&lt;&gt;0,INDEX(HostBuild[],MATCH(E1010,HostBuild[Alias],0),COLUMN(HostBuild[Hostname])),""),""),"")</f>
        <v/>
      </c>
      <c r="B1010" s="424" t="str">
        <f>IF(AND(NOT(ISBLANK(E1010)),E1010&lt;&gt;"(blank)"),IFERROR(IF(INDEX(HostBuild[],MATCH(E1010,HostBuild[Alias],0),COLUMN(HostBuild[Status]))&lt;&gt;0,INDEX(HostBuild[],MATCH(E1010,HostBuild[Alias],0),COLUMN(HostBuild[Status])),""),""),"")</f>
        <v/>
      </c>
      <c r="C1010" s="425" t="str">
        <f>IF(AND(NOT(ISBLANK(E1010)),E1010&lt;&gt;"(blank)"),IFERROR(IF(INDEX(HostBuild[],MATCH(E1010,HostBuild[Alias],0),COLUMN(HostBuild[CTI Target Completion]))&lt;&gt;0,INDEX(HostBuild[],MATCH(E1010,HostBuild[Alias],0),COLUMN(HostBuild[CTI Target Completion])),""),""),"")</f>
        <v/>
      </c>
      <c r="D1010" s="262" t="str">
        <f>IF(AND(NOT(ISBLANK(E1010)),E1010&lt;&gt;"(blank)"),IFERROR(IF(INDEX(HostBuild[],MATCH(E1010,HostBuild[Alias],0),COLUMN(HostBuild[Description]))&lt;&gt;0,INDEX(HostBuild[],MATCH(E1010,HostBuild[Alias],0),COLUMN(HostBuild[Description])),""),""),"")</f>
        <v/>
      </c>
    </row>
    <row r="1011" spans="1:4">
      <c r="A1011" s="3" t="str">
        <f>IF(AND(NOT(ISBLANK(E1011)),E1011&lt;&gt;"(blank)"),IFERROR(IF(INDEX(HostBuild[],MATCH(E1011,HostBuild[Alias],0),COLUMN(HostBuild[Hostname]))&lt;&gt;0,INDEX(HostBuild[],MATCH(E1011,HostBuild[Alias],0),COLUMN(HostBuild[Hostname])),""),""),"")</f>
        <v/>
      </c>
      <c r="B1011" s="424" t="str">
        <f>IF(AND(NOT(ISBLANK(E1011)),E1011&lt;&gt;"(blank)"),IFERROR(IF(INDEX(HostBuild[],MATCH(E1011,HostBuild[Alias],0),COLUMN(HostBuild[Status]))&lt;&gt;0,INDEX(HostBuild[],MATCH(E1011,HostBuild[Alias],0),COLUMN(HostBuild[Status])),""),""),"")</f>
        <v/>
      </c>
      <c r="C1011" s="425" t="str">
        <f>IF(AND(NOT(ISBLANK(E1011)),E1011&lt;&gt;"(blank)"),IFERROR(IF(INDEX(HostBuild[],MATCH(E1011,HostBuild[Alias],0),COLUMN(HostBuild[CTI Target Completion]))&lt;&gt;0,INDEX(HostBuild[],MATCH(E1011,HostBuild[Alias],0),COLUMN(HostBuild[CTI Target Completion])),""),""),"")</f>
        <v/>
      </c>
      <c r="D1011" s="262" t="str">
        <f>IF(AND(NOT(ISBLANK(E1011)),E1011&lt;&gt;"(blank)"),IFERROR(IF(INDEX(HostBuild[],MATCH(E1011,HostBuild[Alias],0),COLUMN(HostBuild[Description]))&lt;&gt;0,INDEX(HostBuild[],MATCH(E1011,HostBuild[Alias],0),COLUMN(HostBuild[Description])),""),""),"")</f>
        <v/>
      </c>
    </row>
    <row r="1012" spans="1:4">
      <c r="A1012" s="3" t="str">
        <f>IF(AND(NOT(ISBLANK(E1012)),E1012&lt;&gt;"(blank)"),IFERROR(IF(INDEX(HostBuild[],MATCH(E1012,HostBuild[Alias],0),COLUMN(HostBuild[Hostname]))&lt;&gt;0,INDEX(HostBuild[],MATCH(E1012,HostBuild[Alias],0),COLUMN(HostBuild[Hostname])),""),""),"")</f>
        <v/>
      </c>
      <c r="B1012" s="424" t="str">
        <f>IF(AND(NOT(ISBLANK(E1012)),E1012&lt;&gt;"(blank)"),IFERROR(IF(INDEX(HostBuild[],MATCH(E1012,HostBuild[Alias],0),COLUMN(HostBuild[Status]))&lt;&gt;0,INDEX(HostBuild[],MATCH(E1012,HostBuild[Alias],0),COLUMN(HostBuild[Status])),""),""),"")</f>
        <v/>
      </c>
      <c r="C1012" s="425" t="str">
        <f>IF(AND(NOT(ISBLANK(E1012)),E1012&lt;&gt;"(blank)"),IFERROR(IF(INDEX(HostBuild[],MATCH(E1012,HostBuild[Alias],0),COLUMN(HostBuild[CTI Target Completion]))&lt;&gt;0,INDEX(HostBuild[],MATCH(E1012,HostBuild[Alias],0),COLUMN(HostBuild[CTI Target Completion])),""),""),"")</f>
        <v/>
      </c>
      <c r="D1012" s="262" t="str">
        <f>IF(AND(NOT(ISBLANK(E1012)),E1012&lt;&gt;"(blank)"),IFERROR(IF(INDEX(HostBuild[],MATCH(E1012,HostBuild[Alias],0),COLUMN(HostBuild[Description]))&lt;&gt;0,INDEX(HostBuild[],MATCH(E1012,HostBuild[Alias],0),COLUMN(HostBuild[Description])),""),""),"")</f>
        <v/>
      </c>
    </row>
    <row r="1013" spans="1:4">
      <c r="A1013" s="3" t="str">
        <f>IF(AND(NOT(ISBLANK(E1013)),E1013&lt;&gt;"(blank)"),IFERROR(IF(INDEX(HostBuild[],MATCH(E1013,HostBuild[Alias],0),COLUMN(HostBuild[Hostname]))&lt;&gt;0,INDEX(HostBuild[],MATCH(E1013,HostBuild[Alias],0),COLUMN(HostBuild[Hostname])),""),""),"")</f>
        <v/>
      </c>
      <c r="B1013" s="424" t="str">
        <f>IF(AND(NOT(ISBLANK(E1013)),E1013&lt;&gt;"(blank)"),IFERROR(IF(INDEX(HostBuild[],MATCH(E1013,HostBuild[Alias],0),COLUMN(HostBuild[Status]))&lt;&gt;0,INDEX(HostBuild[],MATCH(E1013,HostBuild[Alias],0),COLUMN(HostBuild[Status])),""),""),"")</f>
        <v/>
      </c>
      <c r="C1013" s="425" t="str">
        <f>IF(AND(NOT(ISBLANK(E1013)),E1013&lt;&gt;"(blank)"),IFERROR(IF(INDEX(HostBuild[],MATCH(E1013,HostBuild[Alias],0),COLUMN(HostBuild[CTI Target Completion]))&lt;&gt;0,INDEX(HostBuild[],MATCH(E1013,HostBuild[Alias],0),COLUMN(HostBuild[CTI Target Completion])),""),""),"")</f>
        <v/>
      </c>
      <c r="D1013" s="262" t="str">
        <f>IF(AND(NOT(ISBLANK(E1013)),E1013&lt;&gt;"(blank)"),IFERROR(IF(INDEX(HostBuild[],MATCH(E1013,HostBuild[Alias],0),COLUMN(HostBuild[Description]))&lt;&gt;0,INDEX(HostBuild[],MATCH(E1013,HostBuild[Alias],0),COLUMN(HostBuild[Description])),""),""),"")</f>
        <v/>
      </c>
    </row>
    <row r="1014" spans="1:4">
      <c r="A1014" s="3" t="str">
        <f>IF(AND(NOT(ISBLANK(E1014)),E1014&lt;&gt;"(blank)"),IFERROR(IF(INDEX(HostBuild[],MATCH(E1014,HostBuild[Alias],0),COLUMN(HostBuild[Hostname]))&lt;&gt;0,INDEX(HostBuild[],MATCH(E1014,HostBuild[Alias],0),COLUMN(HostBuild[Hostname])),""),""),"")</f>
        <v/>
      </c>
      <c r="B1014" s="424" t="str">
        <f>IF(AND(NOT(ISBLANK(E1014)),E1014&lt;&gt;"(blank)"),IFERROR(IF(INDEX(HostBuild[],MATCH(E1014,HostBuild[Alias],0),COLUMN(HostBuild[Status]))&lt;&gt;0,INDEX(HostBuild[],MATCH(E1014,HostBuild[Alias],0),COLUMN(HostBuild[Status])),""),""),"")</f>
        <v/>
      </c>
      <c r="C1014" s="425" t="str">
        <f>IF(AND(NOT(ISBLANK(E1014)),E1014&lt;&gt;"(blank)"),IFERROR(IF(INDEX(HostBuild[],MATCH(E1014,HostBuild[Alias],0),COLUMN(HostBuild[CTI Target Completion]))&lt;&gt;0,INDEX(HostBuild[],MATCH(E1014,HostBuild[Alias],0),COLUMN(HostBuild[CTI Target Completion])),""),""),"")</f>
        <v/>
      </c>
      <c r="D1014" s="262" t="str">
        <f>IF(AND(NOT(ISBLANK(E1014)),E1014&lt;&gt;"(blank)"),IFERROR(IF(INDEX(HostBuild[],MATCH(E1014,HostBuild[Alias],0),COLUMN(HostBuild[Description]))&lt;&gt;0,INDEX(HostBuild[],MATCH(E1014,HostBuild[Alias],0),COLUMN(HostBuild[Description])),""),""),"")</f>
        <v/>
      </c>
    </row>
    <row r="1015" spans="1:4">
      <c r="A1015" s="3" t="str">
        <f>IF(AND(NOT(ISBLANK(E1015)),E1015&lt;&gt;"(blank)"),IFERROR(IF(INDEX(HostBuild[],MATCH(E1015,HostBuild[Alias],0),COLUMN(HostBuild[Hostname]))&lt;&gt;0,INDEX(HostBuild[],MATCH(E1015,HostBuild[Alias],0),COLUMN(HostBuild[Hostname])),""),""),"")</f>
        <v/>
      </c>
      <c r="B1015" s="424" t="str">
        <f>IF(AND(NOT(ISBLANK(E1015)),E1015&lt;&gt;"(blank)"),IFERROR(IF(INDEX(HostBuild[],MATCH(E1015,HostBuild[Alias],0),COLUMN(HostBuild[Status]))&lt;&gt;0,INDEX(HostBuild[],MATCH(E1015,HostBuild[Alias],0),COLUMN(HostBuild[Status])),""),""),"")</f>
        <v/>
      </c>
      <c r="C1015" s="425" t="str">
        <f>IF(AND(NOT(ISBLANK(E1015)),E1015&lt;&gt;"(blank)"),IFERROR(IF(INDEX(HostBuild[],MATCH(E1015,HostBuild[Alias],0),COLUMN(HostBuild[CTI Target Completion]))&lt;&gt;0,INDEX(HostBuild[],MATCH(E1015,HostBuild[Alias],0),COLUMN(HostBuild[CTI Target Completion])),""),""),"")</f>
        <v/>
      </c>
      <c r="D1015" s="262" t="str">
        <f>IF(AND(NOT(ISBLANK(E1015)),E1015&lt;&gt;"(blank)"),IFERROR(IF(INDEX(HostBuild[],MATCH(E1015,HostBuild[Alias],0),COLUMN(HostBuild[Description]))&lt;&gt;0,INDEX(HostBuild[],MATCH(E1015,HostBuild[Alias],0),COLUMN(HostBuild[Description])),""),""),"")</f>
        <v/>
      </c>
    </row>
    <row r="1016" spans="1:4">
      <c r="A1016" s="3" t="str">
        <f>IF(AND(NOT(ISBLANK(E1016)),E1016&lt;&gt;"(blank)"),IFERROR(IF(INDEX(HostBuild[],MATCH(E1016,HostBuild[Alias],0),COLUMN(HostBuild[Hostname]))&lt;&gt;0,INDEX(HostBuild[],MATCH(E1016,HostBuild[Alias],0),COLUMN(HostBuild[Hostname])),""),""),"")</f>
        <v/>
      </c>
      <c r="B1016" s="424" t="str">
        <f>IF(AND(NOT(ISBLANK(E1016)),E1016&lt;&gt;"(blank)"),IFERROR(IF(INDEX(HostBuild[],MATCH(E1016,HostBuild[Alias],0),COLUMN(HostBuild[Status]))&lt;&gt;0,INDEX(HostBuild[],MATCH(E1016,HostBuild[Alias],0),COLUMN(HostBuild[Status])),""),""),"")</f>
        <v/>
      </c>
      <c r="C1016" s="425" t="str">
        <f>IF(AND(NOT(ISBLANK(E1016)),E1016&lt;&gt;"(blank)"),IFERROR(IF(INDEX(HostBuild[],MATCH(E1016,HostBuild[Alias],0),COLUMN(HostBuild[CTI Target Completion]))&lt;&gt;0,INDEX(HostBuild[],MATCH(E1016,HostBuild[Alias],0),COLUMN(HostBuild[CTI Target Completion])),""),""),"")</f>
        <v/>
      </c>
      <c r="D1016" s="262" t="str">
        <f>IF(AND(NOT(ISBLANK(E1016)),E1016&lt;&gt;"(blank)"),IFERROR(IF(INDEX(HostBuild[],MATCH(E1016,HostBuild[Alias],0),COLUMN(HostBuild[Description]))&lt;&gt;0,INDEX(HostBuild[],MATCH(E1016,HostBuild[Alias],0),COLUMN(HostBuild[Description])),""),""),"")</f>
        <v/>
      </c>
    </row>
    <row r="1017" spans="1:4">
      <c r="A1017" s="3" t="str">
        <f>IF(AND(NOT(ISBLANK(E1017)),E1017&lt;&gt;"(blank)"),IFERROR(IF(INDEX(HostBuild[],MATCH(E1017,HostBuild[Alias],0),COLUMN(HostBuild[Hostname]))&lt;&gt;0,INDEX(HostBuild[],MATCH(E1017,HostBuild[Alias],0),COLUMN(HostBuild[Hostname])),""),""),"")</f>
        <v/>
      </c>
      <c r="B1017" s="424" t="str">
        <f>IF(AND(NOT(ISBLANK(E1017)),E1017&lt;&gt;"(blank)"),IFERROR(IF(INDEX(HostBuild[],MATCH(E1017,HostBuild[Alias],0),COLUMN(HostBuild[Status]))&lt;&gt;0,INDEX(HostBuild[],MATCH(E1017,HostBuild[Alias],0),COLUMN(HostBuild[Status])),""),""),"")</f>
        <v/>
      </c>
      <c r="C1017" s="425" t="str">
        <f>IF(AND(NOT(ISBLANK(E1017)),E1017&lt;&gt;"(blank)"),IFERROR(IF(INDEX(HostBuild[],MATCH(E1017,HostBuild[Alias],0),COLUMN(HostBuild[CTI Target Completion]))&lt;&gt;0,INDEX(HostBuild[],MATCH(E1017,HostBuild[Alias],0),COLUMN(HostBuild[CTI Target Completion])),""),""),"")</f>
        <v/>
      </c>
      <c r="D1017" s="262" t="str">
        <f>IF(AND(NOT(ISBLANK(E1017)),E1017&lt;&gt;"(blank)"),IFERROR(IF(INDEX(HostBuild[],MATCH(E1017,HostBuild[Alias],0),COLUMN(HostBuild[Description]))&lt;&gt;0,INDEX(HostBuild[],MATCH(E1017,HostBuild[Alias],0),COLUMN(HostBuild[Description])),""),""),"")</f>
        <v/>
      </c>
    </row>
    <row r="1018" spans="1:4">
      <c r="A1018" s="3" t="str">
        <f>IF(AND(NOT(ISBLANK(E1018)),E1018&lt;&gt;"(blank)"),IFERROR(IF(INDEX(HostBuild[],MATCH(E1018,HostBuild[Alias],0),COLUMN(HostBuild[Hostname]))&lt;&gt;0,INDEX(HostBuild[],MATCH(E1018,HostBuild[Alias],0),COLUMN(HostBuild[Hostname])),""),""),"")</f>
        <v/>
      </c>
      <c r="B1018" s="424" t="str">
        <f>IF(AND(NOT(ISBLANK(E1018)),E1018&lt;&gt;"(blank)"),IFERROR(IF(INDEX(HostBuild[],MATCH(E1018,HostBuild[Alias],0),COLUMN(HostBuild[Status]))&lt;&gt;0,INDEX(HostBuild[],MATCH(E1018,HostBuild[Alias],0),COLUMN(HostBuild[Status])),""),""),"")</f>
        <v/>
      </c>
      <c r="C1018" s="425" t="str">
        <f>IF(AND(NOT(ISBLANK(E1018)),E1018&lt;&gt;"(blank)"),IFERROR(IF(INDEX(HostBuild[],MATCH(E1018,HostBuild[Alias],0),COLUMN(HostBuild[CTI Target Completion]))&lt;&gt;0,INDEX(HostBuild[],MATCH(E1018,HostBuild[Alias],0),COLUMN(HostBuild[CTI Target Completion])),""),""),"")</f>
        <v/>
      </c>
      <c r="D1018" s="262" t="str">
        <f>IF(AND(NOT(ISBLANK(E1018)),E1018&lt;&gt;"(blank)"),IFERROR(IF(INDEX(HostBuild[],MATCH(E1018,HostBuild[Alias],0),COLUMN(HostBuild[Description]))&lt;&gt;0,INDEX(HostBuild[],MATCH(E1018,HostBuild[Alias],0),COLUMN(HostBuild[Description])),""),""),"")</f>
        <v/>
      </c>
    </row>
    <row r="1019" spans="1:4">
      <c r="A1019" s="3" t="str">
        <f>IF(AND(NOT(ISBLANK(E1019)),E1019&lt;&gt;"(blank)"),IFERROR(IF(INDEX(HostBuild[],MATCH(E1019,HostBuild[Alias],0),COLUMN(HostBuild[Hostname]))&lt;&gt;0,INDEX(HostBuild[],MATCH(E1019,HostBuild[Alias],0),COLUMN(HostBuild[Hostname])),""),""),"")</f>
        <v/>
      </c>
      <c r="B1019" s="424" t="str">
        <f>IF(AND(NOT(ISBLANK(E1019)),E1019&lt;&gt;"(blank)"),IFERROR(IF(INDEX(HostBuild[],MATCH(E1019,HostBuild[Alias],0),COLUMN(HostBuild[Status]))&lt;&gt;0,INDEX(HostBuild[],MATCH(E1019,HostBuild[Alias],0),COLUMN(HostBuild[Status])),""),""),"")</f>
        <v/>
      </c>
      <c r="C1019" s="425" t="str">
        <f>IF(AND(NOT(ISBLANK(E1019)),E1019&lt;&gt;"(blank)"),IFERROR(IF(INDEX(HostBuild[],MATCH(E1019,HostBuild[Alias],0),COLUMN(HostBuild[CTI Target Completion]))&lt;&gt;0,INDEX(HostBuild[],MATCH(E1019,HostBuild[Alias],0),COLUMN(HostBuild[CTI Target Completion])),""),""),"")</f>
        <v/>
      </c>
      <c r="D1019" s="262" t="str">
        <f>IF(AND(NOT(ISBLANK(E1019)),E1019&lt;&gt;"(blank)"),IFERROR(IF(INDEX(HostBuild[],MATCH(E1019,HostBuild[Alias],0),COLUMN(HostBuild[Description]))&lt;&gt;0,INDEX(HostBuild[],MATCH(E1019,HostBuild[Alias],0),COLUMN(HostBuild[Description])),""),""),"")</f>
        <v/>
      </c>
    </row>
    <row r="1020" spans="1:4">
      <c r="A1020" s="3" t="str">
        <f>IF(AND(NOT(ISBLANK(E1020)),E1020&lt;&gt;"(blank)"),IFERROR(IF(INDEX(HostBuild[],MATCH(E1020,HostBuild[Alias],0),COLUMN(HostBuild[Hostname]))&lt;&gt;0,INDEX(HostBuild[],MATCH(E1020,HostBuild[Alias],0),COLUMN(HostBuild[Hostname])),""),""),"")</f>
        <v/>
      </c>
      <c r="B1020" s="424" t="str">
        <f>IF(AND(NOT(ISBLANK(E1020)),E1020&lt;&gt;"(blank)"),IFERROR(IF(INDEX(HostBuild[],MATCH(E1020,HostBuild[Alias],0),COLUMN(HostBuild[Status]))&lt;&gt;0,INDEX(HostBuild[],MATCH(E1020,HostBuild[Alias],0),COLUMN(HostBuild[Status])),""),""),"")</f>
        <v/>
      </c>
      <c r="C1020" s="425" t="str">
        <f>IF(AND(NOT(ISBLANK(E1020)),E1020&lt;&gt;"(blank)"),IFERROR(IF(INDEX(HostBuild[],MATCH(E1020,HostBuild[Alias],0),COLUMN(HostBuild[CTI Target Completion]))&lt;&gt;0,INDEX(HostBuild[],MATCH(E1020,HostBuild[Alias],0),COLUMN(HostBuild[CTI Target Completion])),""),""),"")</f>
        <v/>
      </c>
      <c r="D1020" s="262" t="str">
        <f>IF(AND(NOT(ISBLANK(E1020)),E1020&lt;&gt;"(blank)"),IFERROR(IF(INDEX(HostBuild[],MATCH(E1020,HostBuild[Alias],0),COLUMN(HostBuild[Description]))&lt;&gt;0,INDEX(HostBuild[],MATCH(E1020,HostBuild[Alias],0),COLUMN(HostBuild[Description])),""),""),"")</f>
        <v/>
      </c>
    </row>
    <row r="1021" spans="1:4">
      <c r="A1021" s="3" t="str">
        <f>IF(AND(NOT(ISBLANK(E1021)),E1021&lt;&gt;"(blank)"),IFERROR(IF(INDEX(HostBuild[],MATCH(E1021,HostBuild[Alias],0),COLUMN(HostBuild[Hostname]))&lt;&gt;0,INDEX(HostBuild[],MATCH(E1021,HostBuild[Alias],0),COLUMN(HostBuild[Hostname])),""),""),"")</f>
        <v/>
      </c>
      <c r="B1021" s="424" t="str">
        <f>IF(AND(NOT(ISBLANK(E1021)),E1021&lt;&gt;"(blank)"),IFERROR(IF(INDEX(HostBuild[],MATCH(E1021,HostBuild[Alias],0),COLUMN(HostBuild[Status]))&lt;&gt;0,INDEX(HostBuild[],MATCH(E1021,HostBuild[Alias],0),COLUMN(HostBuild[Status])),""),""),"")</f>
        <v/>
      </c>
      <c r="C1021" s="425" t="str">
        <f>IF(AND(NOT(ISBLANK(E1021)),E1021&lt;&gt;"(blank)"),IFERROR(IF(INDEX(HostBuild[],MATCH(E1021,HostBuild[Alias],0),COLUMN(HostBuild[CTI Target Completion]))&lt;&gt;0,INDEX(HostBuild[],MATCH(E1021,HostBuild[Alias],0),COLUMN(HostBuild[CTI Target Completion])),""),""),"")</f>
        <v/>
      </c>
      <c r="D1021" s="262" t="str">
        <f>IF(AND(NOT(ISBLANK(E1021)),E1021&lt;&gt;"(blank)"),IFERROR(IF(INDEX(HostBuild[],MATCH(E1021,HostBuild[Alias],0),COLUMN(HostBuild[Description]))&lt;&gt;0,INDEX(HostBuild[],MATCH(E1021,HostBuild[Alias],0),COLUMN(HostBuild[Description])),""),""),"")</f>
        <v/>
      </c>
    </row>
    <row r="1022" spans="1:4">
      <c r="A1022" s="3" t="str">
        <f>IF(AND(NOT(ISBLANK(E1022)),E1022&lt;&gt;"(blank)"),IFERROR(IF(INDEX(HostBuild[],MATCH(E1022,HostBuild[Alias],0),COLUMN(HostBuild[Hostname]))&lt;&gt;0,INDEX(HostBuild[],MATCH(E1022,HostBuild[Alias],0),COLUMN(HostBuild[Hostname])),""),""),"")</f>
        <v/>
      </c>
      <c r="B1022" s="424" t="str">
        <f>IF(AND(NOT(ISBLANK(E1022)),E1022&lt;&gt;"(blank)"),IFERROR(IF(INDEX(HostBuild[],MATCH(E1022,HostBuild[Alias],0),COLUMN(HostBuild[Status]))&lt;&gt;0,INDEX(HostBuild[],MATCH(E1022,HostBuild[Alias],0),COLUMN(HostBuild[Status])),""),""),"")</f>
        <v/>
      </c>
      <c r="C1022" s="425" t="str">
        <f>IF(AND(NOT(ISBLANK(E1022)),E1022&lt;&gt;"(blank)"),IFERROR(IF(INDEX(HostBuild[],MATCH(E1022,HostBuild[Alias],0),COLUMN(HostBuild[CTI Target Completion]))&lt;&gt;0,INDEX(HostBuild[],MATCH(E1022,HostBuild[Alias],0),COLUMN(HostBuild[CTI Target Completion])),""),""),"")</f>
        <v/>
      </c>
      <c r="D1022" s="262" t="str">
        <f>IF(AND(NOT(ISBLANK(E1022)),E1022&lt;&gt;"(blank)"),IFERROR(IF(INDEX(HostBuild[],MATCH(E1022,HostBuild[Alias],0),COLUMN(HostBuild[Description]))&lt;&gt;0,INDEX(HostBuild[],MATCH(E1022,HostBuild[Alias],0),COLUMN(HostBuild[Description])),""),""),"")</f>
        <v/>
      </c>
    </row>
    <row r="1023" spans="1:4">
      <c r="A1023" s="3" t="str">
        <f>IF(AND(NOT(ISBLANK(E1023)),E1023&lt;&gt;"(blank)"),IFERROR(IF(INDEX(HostBuild[],MATCH(E1023,HostBuild[Alias],0),COLUMN(HostBuild[Hostname]))&lt;&gt;0,INDEX(HostBuild[],MATCH(E1023,HostBuild[Alias],0),COLUMN(HostBuild[Hostname])),""),""),"")</f>
        <v/>
      </c>
      <c r="B1023" s="424" t="str">
        <f>IF(AND(NOT(ISBLANK(E1023)),E1023&lt;&gt;"(blank)"),IFERROR(IF(INDEX(HostBuild[],MATCH(E1023,HostBuild[Alias],0),COLUMN(HostBuild[Status]))&lt;&gt;0,INDEX(HostBuild[],MATCH(E1023,HostBuild[Alias],0),COLUMN(HostBuild[Status])),""),""),"")</f>
        <v/>
      </c>
      <c r="C1023" s="425" t="str">
        <f>IF(AND(NOT(ISBLANK(E1023)),E1023&lt;&gt;"(blank)"),IFERROR(IF(INDEX(HostBuild[],MATCH(E1023,HostBuild[Alias],0),COLUMN(HostBuild[CTI Target Completion]))&lt;&gt;0,INDEX(HostBuild[],MATCH(E1023,HostBuild[Alias],0),COLUMN(HostBuild[CTI Target Completion])),""),""),"")</f>
        <v/>
      </c>
      <c r="D1023" s="262" t="str">
        <f>IF(AND(NOT(ISBLANK(E1023)),E1023&lt;&gt;"(blank)"),IFERROR(IF(INDEX(HostBuild[],MATCH(E1023,HostBuild[Alias],0),COLUMN(HostBuild[Description]))&lt;&gt;0,INDEX(HostBuild[],MATCH(E1023,HostBuild[Alias],0),COLUMN(HostBuild[Description])),""),""),"")</f>
        <v/>
      </c>
    </row>
    <row r="1024" spans="1:4">
      <c r="A1024" s="3" t="str">
        <f>IF(AND(NOT(ISBLANK(E1024)),E1024&lt;&gt;"(blank)"),IFERROR(IF(INDEX(HostBuild[],MATCH(E1024,HostBuild[Alias],0),COLUMN(HostBuild[Hostname]))&lt;&gt;0,INDEX(HostBuild[],MATCH(E1024,HostBuild[Alias],0),COLUMN(HostBuild[Hostname])),""),""),"")</f>
        <v/>
      </c>
      <c r="B1024" s="424" t="str">
        <f>IF(AND(NOT(ISBLANK(E1024)),E1024&lt;&gt;"(blank)"),IFERROR(IF(INDEX(HostBuild[],MATCH(E1024,HostBuild[Alias],0),COLUMN(HostBuild[Status]))&lt;&gt;0,INDEX(HostBuild[],MATCH(E1024,HostBuild[Alias],0),COLUMN(HostBuild[Status])),""),""),"")</f>
        <v/>
      </c>
      <c r="C1024" s="425" t="str">
        <f>IF(AND(NOT(ISBLANK(E1024)),E1024&lt;&gt;"(blank)"),IFERROR(IF(INDEX(HostBuild[],MATCH(E1024,HostBuild[Alias],0),COLUMN(HostBuild[CTI Target Completion]))&lt;&gt;0,INDEX(HostBuild[],MATCH(E1024,HostBuild[Alias],0),COLUMN(HostBuild[CTI Target Completion])),""),""),"")</f>
        <v/>
      </c>
      <c r="D1024" s="262" t="str">
        <f>IF(AND(NOT(ISBLANK(E1024)),E1024&lt;&gt;"(blank)"),IFERROR(IF(INDEX(HostBuild[],MATCH(E1024,HostBuild[Alias],0),COLUMN(HostBuild[Description]))&lt;&gt;0,INDEX(HostBuild[],MATCH(E1024,HostBuild[Alias],0),COLUMN(HostBuild[Description])),""),""),"")</f>
        <v/>
      </c>
    </row>
    <row r="1025" spans="1:4">
      <c r="A1025" s="3" t="str">
        <f>IF(AND(NOT(ISBLANK(E1025)),E1025&lt;&gt;"(blank)"),IFERROR(IF(INDEX(HostBuild[],MATCH(E1025,HostBuild[Alias],0),COLUMN(HostBuild[Hostname]))&lt;&gt;0,INDEX(HostBuild[],MATCH(E1025,HostBuild[Alias],0),COLUMN(HostBuild[Hostname])),""),""),"")</f>
        <v/>
      </c>
      <c r="B1025" s="424" t="str">
        <f>IF(AND(NOT(ISBLANK(E1025)),E1025&lt;&gt;"(blank)"),IFERROR(IF(INDEX(HostBuild[],MATCH(E1025,HostBuild[Alias],0),COLUMN(HostBuild[Status]))&lt;&gt;0,INDEX(HostBuild[],MATCH(E1025,HostBuild[Alias],0),COLUMN(HostBuild[Status])),""),""),"")</f>
        <v/>
      </c>
      <c r="C1025" s="425" t="str">
        <f>IF(AND(NOT(ISBLANK(E1025)),E1025&lt;&gt;"(blank)"),IFERROR(IF(INDEX(HostBuild[],MATCH(E1025,HostBuild[Alias],0),COLUMN(HostBuild[CTI Target Completion]))&lt;&gt;0,INDEX(HostBuild[],MATCH(E1025,HostBuild[Alias],0),COLUMN(HostBuild[CTI Target Completion])),""),""),"")</f>
        <v/>
      </c>
      <c r="D1025" s="262" t="str">
        <f>IF(AND(NOT(ISBLANK(E1025)),E1025&lt;&gt;"(blank)"),IFERROR(IF(INDEX(HostBuild[],MATCH(E1025,HostBuild[Alias],0),COLUMN(HostBuild[Description]))&lt;&gt;0,INDEX(HostBuild[],MATCH(E1025,HostBuild[Alias],0),COLUMN(HostBuild[Description])),""),""),"")</f>
        <v/>
      </c>
    </row>
    <row r="1026" spans="1:4">
      <c r="A1026" s="3" t="str">
        <f>IF(AND(NOT(ISBLANK(E1026)),E1026&lt;&gt;"(blank)"),IFERROR(IF(INDEX(HostBuild[],MATCH(E1026,HostBuild[Alias],0),COLUMN(HostBuild[Hostname]))&lt;&gt;0,INDEX(HostBuild[],MATCH(E1026,HostBuild[Alias],0),COLUMN(HostBuild[Hostname])),""),""),"")</f>
        <v/>
      </c>
      <c r="B1026" s="424" t="str">
        <f>IF(AND(NOT(ISBLANK(E1026)),E1026&lt;&gt;"(blank)"),IFERROR(IF(INDEX(HostBuild[],MATCH(E1026,HostBuild[Alias],0),COLUMN(HostBuild[Status]))&lt;&gt;0,INDEX(HostBuild[],MATCH(E1026,HostBuild[Alias],0),COLUMN(HostBuild[Status])),""),""),"")</f>
        <v/>
      </c>
      <c r="C1026" s="425" t="str">
        <f>IF(AND(NOT(ISBLANK(E1026)),E1026&lt;&gt;"(blank)"),IFERROR(IF(INDEX(HostBuild[],MATCH(E1026,HostBuild[Alias],0),COLUMN(HostBuild[CTI Target Completion]))&lt;&gt;0,INDEX(HostBuild[],MATCH(E1026,HostBuild[Alias],0),COLUMN(HostBuild[CTI Target Completion])),""),""),"")</f>
        <v/>
      </c>
      <c r="D1026" s="262" t="str">
        <f>IF(AND(NOT(ISBLANK(E1026)),E1026&lt;&gt;"(blank)"),IFERROR(IF(INDEX(HostBuild[],MATCH(E1026,HostBuild[Alias],0),COLUMN(HostBuild[Description]))&lt;&gt;0,INDEX(HostBuild[],MATCH(E1026,HostBuild[Alias],0),COLUMN(HostBuild[Description])),""),""),"")</f>
        <v/>
      </c>
    </row>
    <row r="1027" spans="1:4">
      <c r="A1027" s="3" t="str">
        <f>IF(AND(NOT(ISBLANK(E1027)),E1027&lt;&gt;"(blank)"),IFERROR(IF(INDEX(HostBuild[],MATCH(E1027,HostBuild[Alias],0),COLUMN(HostBuild[Hostname]))&lt;&gt;0,INDEX(HostBuild[],MATCH(E1027,HostBuild[Alias],0),COLUMN(HostBuild[Hostname])),""),""),"")</f>
        <v/>
      </c>
      <c r="B1027" s="424" t="str">
        <f>IF(AND(NOT(ISBLANK(E1027)),E1027&lt;&gt;"(blank)"),IFERROR(IF(INDEX(HostBuild[],MATCH(E1027,HostBuild[Alias],0),COLUMN(HostBuild[Status]))&lt;&gt;0,INDEX(HostBuild[],MATCH(E1027,HostBuild[Alias],0),COLUMN(HostBuild[Status])),""),""),"")</f>
        <v/>
      </c>
      <c r="C1027" s="425" t="str">
        <f>IF(AND(NOT(ISBLANK(E1027)),E1027&lt;&gt;"(blank)"),IFERROR(IF(INDEX(HostBuild[],MATCH(E1027,HostBuild[Alias],0),COLUMN(HostBuild[CTI Target Completion]))&lt;&gt;0,INDEX(HostBuild[],MATCH(E1027,HostBuild[Alias],0),COLUMN(HostBuild[CTI Target Completion])),""),""),"")</f>
        <v/>
      </c>
      <c r="D1027" s="262" t="str">
        <f>IF(AND(NOT(ISBLANK(E1027)),E1027&lt;&gt;"(blank)"),IFERROR(IF(INDEX(HostBuild[],MATCH(E1027,HostBuild[Alias],0),COLUMN(HostBuild[Description]))&lt;&gt;0,INDEX(HostBuild[],MATCH(E1027,HostBuild[Alias],0),COLUMN(HostBuild[Description])),""),""),"")</f>
        <v/>
      </c>
    </row>
    <row r="1028" spans="1:4">
      <c r="A1028" s="3" t="str">
        <f>IF(AND(NOT(ISBLANK(E1028)),E1028&lt;&gt;"(blank)"),IFERROR(IF(INDEX(HostBuild[],MATCH(E1028,HostBuild[Alias],0),COLUMN(HostBuild[Hostname]))&lt;&gt;0,INDEX(HostBuild[],MATCH(E1028,HostBuild[Alias],0),COLUMN(HostBuild[Hostname])),""),""),"")</f>
        <v/>
      </c>
      <c r="B1028" s="424" t="str">
        <f>IF(AND(NOT(ISBLANK(E1028)),E1028&lt;&gt;"(blank)"),IFERROR(IF(INDEX(HostBuild[],MATCH(E1028,HostBuild[Alias],0),COLUMN(HostBuild[Status]))&lt;&gt;0,INDEX(HostBuild[],MATCH(E1028,HostBuild[Alias],0),COLUMN(HostBuild[Status])),""),""),"")</f>
        <v/>
      </c>
      <c r="C1028" s="425" t="str">
        <f>IF(AND(NOT(ISBLANK(E1028)),E1028&lt;&gt;"(blank)"),IFERROR(IF(INDEX(HostBuild[],MATCH(E1028,HostBuild[Alias],0),COLUMN(HostBuild[CTI Target Completion]))&lt;&gt;0,INDEX(HostBuild[],MATCH(E1028,HostBuild[Alias],0),COLUMN(HostBuild[CTI Target Completion])),""),""),"")</f>
        <v/>
      </c>
      <c r="D1028" s="262" t="str">
        <f>IF(AND(NOT(ISBLANK(E1028)),E1028&lt;&gt;"(blank)"),IFERROR(IF(INDEX(HostBuild[],MATCH(E1028,HostBuild[Alias],0),COLUMN(HostBuild[Description]))&lt;&gt;0,INDEX(HostBuild[],MATCH(E1028,HostBuild[Alias],0),COLUMN(HostBuild[Description])),""),""),"")</f>
        <v/>
      </c>
    </row>
    <row r="1029" spans="1:4">
      <c r="A1029" s="3" t="str">
        <f>IF(AND(NOT(ISBLANK(E1029)),E1029&lt;&gt;"(blank)"),IFERROR(IF(INDEX(HostBuild[],MATCH(E1029,HostBuild[Alias],0),COLUMN(HostBuild[Hostname]))&lt;&gt;0,INDEX(HostBuild[],MATCH(E1029,HostBuild[Alias],0),COLUMN(HostBuild[Hostname])),""),""),"")</f>
        <v/>
      </c>
      <c r="B1029" s="424" t="str">
        <f>IF(AND(NOT(ISBLANK(E1029)),E1029&lt;&gt;"(blank)"),IFERROR(IF(INDEX(HostBuild[],MATCH(E1029,HostBuild[Alias],0),COLUMN(HostBuild[Status]))&lt;&gt;0,INDEX(HostBuild[],MATCH(E1029,HostBuild[Alias],0),COLUMN(HostBuild[Status])),""),""),"")</f>
        <v/>
      </c>
      <c r="C1029" s="425" t="str">
        <f>IF(AND(NOT(ISBLANK(E1029)),E1029&lt;&gt;"(blank)"),IFERROR(IF(INDEX(HostBuild[],MATCH(E1029,HostBuild[Alias],0),COLUMN(HostBuild[CTI Target Completion]))&lt;&gt;0,INDEX(HostBuild[],MATCH(E1029,HostBuild[Alias],0),COLUMN(HostBuild[CTI Target Completion])),""),""),"")</f>
        <v/>
      </c>
      <c r="D1029" s="262" t="str">
        <f>IF(AND(NOT(ISBLANK(E1029)),E1029&lt;&gt;"(blank)"),IFERROR(IF(INDEX(HostBuild[],MATCH(E1029,HostBuild[Alias],0),COLUMN(HostBuild[Description]))&lt;&gt;0,INDEX(HostBuild[],MATCH(E1029,HostBuild[Alias],0),COLUMN(HostBuild[Description])),""),""),"")</f>
        <v/>
      </c>
    </row>
    <row r="1030" spans="1:4">
      <c r="A1030" s="3" t="str">
        <f>IF(AND(NOT(ISBLANK(E1030)),E1030&lt;&gt;"(blank)"),IFERROR(IF(INDEX(HostBuild[],MATCH(E1030,HostBuild[Alias],0),COLUMN(HostBuild[Hostname]))&lt;&gt;0,INDEX(HostBuild[],MATCH(E1030,HostBuild[Alias],0),COLUMN(HostBuild[Hostname])),""),""),"")</f>
        <v/>
      </c>
      <c r="B1030" s="424" t="str">
        <f>IF(AND(NOT(ISBLANK(E1030)),E1030&lt;&gt;"(blank)"),IFERROR(IF(INDEX(HostBuild[],MATCH(E1030,HostBuild[Alias],0),COLUMN(HostBuild[Status]))&lt;&gt;0,INDEX(HostBuild[],MATCH(E1030,HostBuild[Alias],0),COLUMN(HostBuild[Status])),""),""),"")</f>
        <v/>
      </c>
      <c r="C1030" s="425" t="str">
        <f>IF(AND(NOT(ISBLANK(E1030)),E1030&lt;&gt;"(blank)"),IFERROR(IF(INDEX(HostBuild[],MATCH(E1030,HostBuild[Alias],0),COLUMN(HostBuild[CTI Target Completion]))&lt;&gt;0,INDEX(HostBuild[],MATCH(E1030,HostBuild[Alias],0),COLUMN(HostBuild[CTI Target Completion])),""),""),"")</f>
        <v/>
      </c>
      <c r="D1030" s="262" t="str">
        <f>IF(AND(NOT(ISBLANK(E1030)),E1030&lt;&gt;"(blank)"),IFERROR(IF(INDEX(HostBuild[],MATCH(E1030,HostBuild[Alias],0),COLUMN(HostBuild[Description]))&lt;&gt;0,INDEX(HostBuild[],MATCH(E1030,HostBuild[Alias],0),COLUMN(HostBuild[Description])),""),""),"")</f>
        <v/>
      </c>
    </row>
    <row r="1031" spans="1:4">
      <c r="A1031" s="3" t="str">
        <f>IF(AND(NOT(ISBLANK(E1031)),E1031&lt;&gt;"(blank)"),IFERROR(IF(INDEX(HostBuild[],MATCH(E1031,HostBuild[Alias],0),COLUMN(HostBuild[Hostname]))&lt;&gt;0,INDEX(HostBuild[],MATCH(E1031,HostBuild[Alias],0),COLUMN(HostBuild[Hostname])),""),""),"")</f>
        <v/>
      </c>
      <c r="B1031" s="424" t="str">
        <f>IF(AND(NOT(ISBLANK(E1031)),E1031&lt;&gt;"(blank)"),IFERROR(IF(INDEX(HostBuild[],MATCH(E1031,HostBuild[Alias],0),COLUMN(HostBuild[Status]))&lt;&gt;0,INDEX(HostBuild[],MATCH(E1031,HostBuild[Alias],0),COLUMN(HostBuild[Status])),""),""),"")</f>
        <v/>
      </c>
      <c r="C1031" s="425" t="str">
        <f>IF(AND(NOT(ISBLANK(E1031)),E1031&lt;&gt;"(blank)"),IFERROR(IF(INDEX(HostBuild[],MATCH(E1031,HostBuild[Alias],0),COLUMN(HostBuild[CTI Target Completion]))&lt;&gt;0,INDEX(HostBuild[],MATCH(E1031,HostBuild[Alias],0),COLUMN(HostBuild[CTI Target Completion])),""),""),"")</f>
        <v/>
      </c>
      <c r="D1031" s="262" t="str">
        <f>IF(AND(NOT(ISBLANK(E1031)),E1031&lt;&gt;"(blank)"),IFERROR(IF(INDEX(HostBuild[],MATCH(E1031,HostBuild[Alias],0),COLUMN(HostBuild[Description]))&lt;&gt;0,INDEX(HostBuild[],MATCH(E1031,HostBuild[Alias],0),COLUMN(HostBuild[Description])),""),""),"")</f>
        <v/>
      </c>
    </row>
    <row r="1032" spans="1:4">
      <c r="A1032" s="3" t="str">
        <f>IF(AND(NOT(ISBLANK(E1032)),E1032&lt;&gt;"(blank)"),IFERROR(IF(INDEX(HostBuild[],MATCH(E1032,HostBuild[Alias],0),COLUMN(HostBuild[Hostname]))&lt;&gt;0,INDEX(HostBuild[],MATCH(E1032,HostBuild[Alias],0),COLUMN(HostBuild[Hostname])),""),""),"")</f>
        <v/>
      </c>
      <c r="B1032" s="424" t="str">
        <f>IF(AND(NOT(ISBLANK(E1032)),E1032&lt;&gt;"(blank)"),IFERROR(IF(INDEX(HostBuild[],MATCH(E1032,HostBuild[Alias],0),COLUMN(HostBuild[Status]))&lt;&gt;0,INDEX(HostBuild[],MATCH(E1032,HostBuild[Alias],0),COLUMN(HostBuild[Status])),""),""),"")</f>
        <v/>
      </c>
      <c r="C1032" s="425" t="str">
        <f>IF(AND(NOT(ISBLANK(E1032)),E1032&lt;&gt;"(blank)"),IFERROR(IF(INDEX(HostBuild[],MATCH(E1032,HostBuild[Alias],0),COLUMN(HostBuild[CTI Target Completion]))&lt;&gt;0,INDEX(HostBuild[],MATCH(E1032,HostBuild[Alias],0),COLUMN(HostBuild[CTI Target Completion])),""),""),"")</f>
        <v/>
      </c>
      <c r="D1032" s="262" t="str">
        <f>IF(AND(NOT(ISBLANK(E1032)),E1032&lt;&gt;"(blank)"),IFERROR(IF(INDEX(HostBuild[],MATCH(E1032,HostBuild[Alias],0),COLUMN(HostBuild[Description]))&lt;&gt;0,INDEX(HostBuild[],MATCH(E1032,HostBuild[Alias],0),COLUMN(HostBuild[Description])),""),""),"")</f>
        <v/>
      </c>
    </row>
    <row r="1033" spans="1:4">
      <c r="A1033" s="3" t="str">
        <f>IF(AND(NOT(ISBLANK(E1033)),E1033&lt;&gt;"(blank)"),IFERROR(IF(INDEX(HostBuild[],MATCH(E1033,HostBuild[Alias],0),COLUMN(HostBuild[Hostname]))&lt;&gt;0,INDEX(HostBuild[],MATCH(E1033,HostBuild[Alias],0),COLUMN(HostBuild[Hostname])),""),""),"")</f>
        <v/>
      </c>
      <c r="B1033" s="424" t="str">
        <f>IF(AND(NOT(ISBLANK(E1033)),E1033&lt;&gt;"(blank)"),IFERROR(IF(INDEX(HostBuild[],MATCH(E1033,HostBuild[Alias],0),COLUMN(HostBuild[Status]))&lt;&gt;0,INDEX(HostBuild[],MATCH(E1033,HostBuild[Alias],0),COLUMN(HostBuild[Status])),""),""),"")</f>
        <v/>
      </c>
      <c r="C1033" s="425" t="str">
        <f>IF(AND(NOT(ISBLANK(E1033)),E1033&lt;&gt;"(blank)"),IFERROR(IF(INDEX(HostBuild[],MATCH(E1033,HostBuild[Alias],0),COLUMN(HostBuild[CTI Target Completion]))&lt;&gt;0,INDEX(HostBuild[],MATCH(E1033,HostBuild[Alias],0),COLUMN(HostBuild[CTI Target Completion])),""),""),"")</f>
        <v/>
      </c>
      <c r="D1033" s="262" t="str">
        <f>IF(AND(NOT(ISBLANK(E1033)),E1033&lt;&gt;"(blank)"),IFERROR(IF(INDEX(HostBuild[],MATCH(E1033,HostBuild[Alias],0),COLUMN(HostBuild[Description]))&lt;&gt;0,INDEX(HostBuild[],MATCH(E1033,HostBuild[Alias],0),COLUMN(HostBuild[Description])),""),""),"")</f>
        <v/>
      </c>
    </row>
    <row r="1034" spans="1:4">
      <c r="A1034" s="3" t="str">
        <f>IF(AND(NOT(ISBLANK(E1034)),E1034&lt;&gt;"(blank)"),IFERROR(IF(INDEX(HostBuild[],MATCH(E1034,HostBuild[Alias],0),COLUMN(HostBuild[Hostname]))&lt;&gt;0,INDEX(HostBuild[],MATCH(E1034,HostBuild[Alias],0),COLUMN(HostBuild[Hostname])),""),""),"")</f>
        <v/>
      </c>
      <c r="B1034" s="424" t="str">
        <f>IF(AND(NOT(ISBLANK(E1034)),E1034&lt;&gt;"(blank)"),IFERROR(IF(INDEX(HostBuild[],MATCH(E1034,HostBuild[Alias],0),COLUMN(HostBuild[Status]))&lt;&gt;0,INDEX(HostBuild[],MATCH(E1034,HostBuild[Alias],0),COLUMN(HostBuild[Status])),""),""),"")</f>
        <v/>
      </c>
      <c r="C1034" s="425" t="str">
        <f>IF(AND(NOT(ISBLANK(E1034)),E1034&lt;&gt;"(blank)"),IFERROR(IF(INDEX(HostBuild[],MATCH(E1034,HostBuild[Alias],0),COLUMN(HostBuild[CTI Target Completion]))&lt;&gt;0,INDEX(HostBuild[],MATCH(E1034,HostBuild[Alias],0),COLUMN(HostBuild[CTI Target Completion])),""),""),"")</f>
        <v/>
      </c>
      <c r="D1034" s="262" t="str">
        <f>IF(AND(NOT(ISBLANK(E1034)),E1034&lt;&gt;"(blank)"),IFERROR(IF(INDEX(HostBuild[],MATCH(E1034,HostBuild[Alias],0),COLUMN(HostBuild[Description]))&lt;&gt;0,INDEX(HostBuild[],MATCH(E1034,HostBuild[Alias],0),COLUMN(HostBuild[Description])),""),""),"")</f>
        <v/>
      </c>
    </row>
    <row r="1035" spans="1:4">
      <c r="A1035" s="3" t="str">
        <f>IF(AND(NOT(ISBLANK(E1035)),E1035&lt;&gt;"(blank)"),IFERROR(IF(INDEX(HostBuild[],MATCH(E1035,HostBuild[Alias],0),COLUMN(HostBuild[Hostname]))&lt;&gt;0,INDEX(HostBuild[],MATCH(E1035,HostBuild[Alias],0),COLUMN(HostBuild[Hostname])),""),""),"")</f>
        <v/>
      </c>
      <c r="B1035" s="424" t="str">
        <f>IF(AND(NOT(ISBLANK(E1035)),E1035&lt;&gt;"(blank)"),IFERROR(IF(INDEX(HostBuild[],MATCH(E1035,HostBuild[Alias],0),COLUMN(HostBuild[Status]))&lt;&gt;0,INDEX(HostBuild[],MATCH(E1035,HostBuild[Alias],0),COLUMN(HostBuild[Status])),""),""),"")</f>
        <v/>
      </c>
      <c r="C1035" s="425" t="str">
        <f>IF(AND(NOT(ISBLANK(E1035)),E1035&lt;&gt;"(blank)"),IFERROR(IF(INDEX(HostBuild[],MATCH(E1035,HostBuild[Alias],0),COLUMN(HostBuild[CTI Target Completion]))&lt;&gt;0,INDEX(HostBuild[],MATCH(E1035,HostBuild[Alias],0),COLUMN(HostBuild[CTI Target Completion])),""),""),"")</f>
        <v/>
      </c>
      <c r="D1035" s="262" t="str">
        <f>IF(AND(NOT(ISBLANK(E1035)),E1035&lt;&gt;"(blank)"),IFERROR(IF(INDEX(HostBuild[],MATCH(E1035,HostBuild[Alias],0),COLUMN(HostBuild[Description]))&lt;&gt;0,INDEX(HostBuild[],MATCH(E1035,HostBuild[Alias],0),COLUMN(HostBuild[Description])),""),""),"")</f>
        <v/>
      </c>
    </row>
    <row r="1036" spans="1:4">
      <c r="A1036" s="3" t="str">
        <f>IF(AND(NOT(ISBLANK(E1036)),E1036&lt;&gt;"(blank)"),IFERROR(IF(INDEX(HostBuild[],MATCH(E1036,HostBuild[Alias],0),COLUMN(HostBuild[Hostname]))&lt;&gt;0,INDEX(HostBuild[],MATCH(E1036,HostBuild[Alias],0),COLUMN(HostBuild[Hostname])),""),""),"")</f>
        <v/>
      </c>
      <c r="B1036" s="424" t="str">
        <f>IF(AND(NOT(ISBLANK(E1036)),E1036&lt;&gt;"(blank)"),IFERROR(IF(INDEX(HostBuild[],MATCH(E1036,HostBuild[Alias],0),COLUMN(HostBuild[Status]))&lt;&gt;0,INDEX(HostBuild[],MATCH(E1036,HostBuild[Alias],0),COLUMN(HostBuild[Status])),""),""),"")</f>
        <v/>
      </c>
      <c r="C1036" s="425" t="str">
        <f>IF(AND(NOT(ISBLANK(E1036)),E1036&lt;&gt;"(blank)"),IFERROR(IF(INDEX(HostBuild[],MATCH(E1036,HostBuild[Alias],0),COLUMN(HostBuild[CTI Target Completion]))&lt;&gt;0,INDEX(HostBuild[],MATCH(E1036,HostBuild[Alias],0),COLUMN(HostBuild[CTI Target Completion])),""),""),"")</f>
        <v/>
      </c>
      <c r="D1036" s="262" t="str">
        <f>IF(AND(NOT(ISBLANK(E1036)),E1036&lt;&gt;"(blank)"),IFERROR(IF(INDEX(HostBuild[],MATCH(E1036,HostBuild[Alias],0),COLUMN(HostBuild[Description]))&lt;&gt;0,INDEX(HostBuild[],MATCH(E1036,HostBuild[Alias],0),COLUMN(HostBuild[Description])),""),""),"")</f>
        <v/>
      </c>
    </row>
    <row r="1037" spans="1:4">
      <c r="A1037" s="3" t="str">
        <f>IF(AND(NOT(ISBLANK(E1037)),E1037&lt;&gt;"(blank)"),IFERROR(IF(INDEX(HostBuild[],MATCH(E1037,HostBuild[Alias],0),COLUMN(HostBuild[Hostname]))&lt;&gt;0,INDEX(HostBuild[],MATCH(E1037,HostBuild[Alias],0),COLUMN(HostBuild[Hostname])),""),""),"")</f>
        <v/>
      </c>
      <c r="B1037" s="424" t="str">
        <f>IF(AND(NOT(ISBLANK(E1037)),E1037&lt;&gt;"(blank)"),IFERROR(IF(INDEX(HostBuild[],MATCH(E1037,HostBuild[Alias],0),COLUMN(HostBuild[Status]))&lt;&gt;0,INDEX(HostBuild[],MATCH(E1037,HostBuild[Alias],0),COLUMN(HostBuild[Status])),""),""),"")</f>
        <v/>
      </c>
      <c r="C1037" s="425" t="str">
        <f>IF(AND(NOT(ISBLANK(E1037)),E1037&lt;&gt;"(blank)"),IFERROR(IF(INDEX(HostBuild[],MATCH(E1037,HostBuild[Alias],0),COLUMN(HostBuild[CTI Target Completion]))&lt;&gt;0,INDEX(HostBuild[],MATCH(E1037,HostBuild[Alias],0),COLUMN(HostBuild[CTI Target Completion])),""),""),"")</f>
        <v/>
      </c>
      <c r="D1037" s="262" t="str">
        <f>IF(AND(NOT(ISBLANK(E1037)),E1037&lt;&gt;"(blank)"),IFERROR(IF(INDEX(HostBuild[],MATCH(E1037,HostBuild[Alias],0),COLUMN(HostBuild[Description]))&lt;&gt;0,INDEX(HostBuild[],MATCH(E1037,HostBuild[Alias],0),COLUMN(HostBuild[Description])),""),""),"")</f>
        <v/>
      </c>
    </row>
    <row r="1038" spans="1:4">
      <c r="A1038" s="3" t="str">
        <f>IF(AND(NOT(ISBLANK(E1038)),E1038&lt;&gt;"(blank)"),IFERROR(IF(INDEX(HostBuild[],MATCH(E1038,HostBuild[Alias],0),COLUMN(HostBuild[Hostname]))&lt;&gt;0,INDEX(HostBuild[],MATCH(E1038,HostBuild[Alias],0),COLUMN(HostBuild[Hostname])),""),""),"")</f>
        <v/>
      </c>
      <c r="B1038" s="424" t="str">
        <f>IF(AND(NOT(ISBLANK(E1038)),E1038&lt;&gt;"(blank)"),IFERROR(IF(INDEX(HostBuild[],MATCH(E1038,HostBuild[Alias],0),COLUMN(HostBuild[Status]))&lt;&gt;0,INDEX(HostBuild[],MATCH(E1038,HostBuild[Alias],0),COLUMN(HostBuild[Status])),""),""),"")</f>
        <v/>
      </c>
      <c r="C1038" s="425" t="str">
        <f>IF(AND(NOT(ISBLANK(E1038)),E1038&lt;&gt;"(blank)"),IFERROR(IF(INDEX(HostBuild[],MATCH(E1038,HostBuild[Alias],0),COLUMN(HostBuild[CTI Target Completion]))&lt;&gt;0,INDEX(HostBuild[],MATCH(E1038,HostBuild[Alias],0),COLUMN(HostBuild[CTI Target Completion])),""),""),"")</f>
        <v/>
      </c>
      <c r="D1038" s="262" t="str">
        <f>IF(AND(NOT(ISBLANK(E1038)),E1038&lt;&gt;"(blank)"),IFERROR(IF(INDEX(HostBuild[],MATCH(E1038,HostBuild[Alias],0),COLUMN(HostBuild[Description]))&lt;&gt;0,INDEX(HostBuild[],MATCH(E1038,HostBuild[Alias],0),COLUMN(HostBuild[Description])),""),""),"")</f>
        <v/>
      </c>
    </row>
    <row r="1039" spans="1:4">
      <c r="A1039" s="3" t="str">
        <f>IF(AND(NOT(ISBLANK(E1039)),E1039&lt;&gt;"(blank)"),IFERROR(IF(INDEX(HostBuild[],MATCH(E1039,HostBuild[Alias],0),COLUMN(HostBuild[Hostname]))&lt;&gt;0,INDEX(HostBuild[],MATCH(E1039,HostBuild[Alias],0),COLUMN(HostBuild[Hostname])),""),""),"")</f>
        <v/>
      </c>
      <c r="B1039" s="424" t="str">
        <f>IF(AND(NOT(ISBLANK(E1039)),E1039&lt;&gt;"(blank)"),IFERROR(IF(INDEX(HostBuild[],MATCH(E1039,HostBuild[Alias],0),COLUMN(HostBuild[Status]))&lt;&gt;0,INDEX(HostBuild[],MATCH(E1039,HostBuild[Alias],0),COLUMN(HostBuild[Status])),""),""),"")</f>
        <v/>
      </c>
      <c r="C1039" s="425" t="str">
        <f>IF(AND(NOT(ISBLANK(E1039)),E1039&lt;&gt;"(blank)"),IFERROR(IF(INDEX(HostBuild[],MATCH(E1039,HostBuild[Alias],0),COLUMN(HostBuild[CTI Target Completion]))&lt;&gt;0,INDEX(HostBuild[],MATCH(E1039,HostBuild[Alias],0),COLUMN(HostBuild[CTI Target Completion])),""),""),"")</f>
        <v/>
      </c>
      <c r="D1039" s="262" t="str">
        <f>IF(AND(NOT(ISBLANK(E1039)),E1039&lt;&gt;"(blank)"),IFERROR(IF(INDEX(HostBuild[],MATCH(E1039,HostBuild[Alias],0),COLUMN(HostBuild[Description]))&lt;&gt;0,INDEX(HostBuild[],MATCH(E1039,HostBuild[Alias],0),COLUMN(HostBuild[Description])),""),""),"")</f>
        <v/>
      </c>
    </row>
    <row r="1040" spans="1:4">
      <c r="A1040" s="3" t="str">
        <f>IF(AND(NOT(ISBLANK(E1040)),E1040&lt;&gt;"(blank)"),IFERROR(IF(INDEX(HostBuild[],MATCH(E1040,HostBuild[Alias],0),COLUMN(HostBuild[Hostname]))&lt;&gt;0,INDEX(HostBuild[],MATCH(E1040,HostBuild[Alias],0),COLUMN(HostBuild[Hostname])),""),""),"")</f>
        <v/>
      </c>
      <c r="B1040" s="424" t="str">
        <f>IF(AND(NOT(ISBLANK(E1040)),E1040&lt;&gt;"(blank)"),IFERROR(IF(INDEX(HostBuild[],MATCH(E1040,HostBuild[Alias],0),COLUMN(HostBuild[Status]))&lt;&gt;0,INDEX(HostBuild[],MATCH(E1040,HostBuild[Alias],0),COLUMN(HostBuild[Status])),""),""),"")</f>
        <v/>
      </c>
      <c r="C1040" s="425" t="str">
        <f>IF(AND(NOT(ISBLANK(E1040)),E1040&lt;&gt;"(blank)"),IFERROR(IF(INDEX(HostBuild[],MATCH(E1040,HostBuild[Alias],0),COLUMN(HostBuild[CTI Target Completion]))&lt;&gt;0,INDEX(HostBuild[],MATCH(E1040,HostBuild[Alias],0),COLUMN(HostBuild[CTI Target Completion])),""),""),"")</f>
        <v/>
      </c>
      <c r="D1040" s="262" t="str">
        <f>IF(AND(NOT(ISBLANK(E1040)),E1040&lt;&gt;"(blank)"),IFERROR(IF(INDEX(HostBuild[],MATCH(E1040,HostBuild[Alias],0),COLUMN(HostBuild[Description]))&lt;&gt;0,INDEX(HostBuild[],MATCH(E1040,HostBuild[Alias],0),COLUMN(HostBuild[Description])),""),""),"")</f>
        <v/>
      </c>
    </row>
    <row r="1041" spans="1:4">
      <c r="A1041" s="3" t="str">
        <f>IF(AND(NOT(ISBLANK(E1041)),E1041&lt;&gt;"(blank)"),IFERROR(IF(INDEX(HostBuild[],MATCH(E1041,HostBuild[Alias],0),COLUMN(HostBuild[Hostname]))&lt;&gt;0,INDEX(HostBuild[],MATCH(E1041,HostBuild[Alias],0),COLUMN(HostBuild[Hostname])),""),""),"")</f>
        <v/>
      </c>
      <c r="B1041" s="424" t="str">
        <f>IF(AND(NOT(ISBLANK(E1041)),E1041&lt;&gt;"(blank)"),IFERROR(IF(INDEX(HostBuild[],MATCH(E1041,HostBuild[Alias],0),COLUMN(HostBuild[Status]))&lt;&gt;0,INDEX(HostBuild[],MATCH(E1041,HostBuild[Alias],0),COLUMN(HostBuild[Status])),""),""),"")</f>
        <v/>
      </c>
      <c r="C1041" s="425" t="str">
        <f>IF(AND(NOT(ISBLANK(E1041)),E1041&lt;&gt;"(blank)"),IFERROR(IF(INDEX(HostBuild[],MATCH(E1041,HostBuild[Alias],0),COLUMN(HostBuild[CTI Target Completion]))&lt;&gt;0,INDEX(HostBuild[],MATCH(E1041,HostBuild[Alias],0),COLUMN(HostBuild[CTI Target Completion])),""),""),"")</f>
        <v/>
      </c>
      <c r="D1041" s="262" t="str">
        <f>IF(AND(NOT(ISBLANK(E1041)),E1041&lt;&gt;"(blank)"),IFERROR(IF(INDEX(HostBuild[],MATCH(E1041,HostBuild[Alias],0),COLUMN(HostBuild[Description]))&lt;&gt;0,INDEX(HostBuild[],MATCH(E1041,HostBuild[Alias],0),COLUMN(HostBuild[Description])),""),""),"")</f>
        <v/>
      </c>
    </row>
    <row r="1042" spans="1:4">
      <c r="A1042" s="3" t="str">
        <f>IF(AND(NOT(ISBLANK(E1042)),E1042&lt;&gt;"(blank)"),IFERROR(IF(INDEX(HostBuild[],MATCH(E1042,HostBuild[Alias],0),COLUMN(HostBuild[Hostname]))&lt;&gt;0,INDEX(HostBuild[],MATCH(E1042,HostBuild[Alias],0),COLUMN(HostBuild[Hostname])),""),""),"")</f>
        <v/>
      </c>
      <c r="B1042" s="424" t="str">
        <f>IF(AND(NOT(ISBLANK(E1042)),E1042&lt;&gt;"(blank)"),IFERROR(IF(INDEX(HostBuild[],MATCH(E1042,HostBuild[Alias],0),COLUMN(HostBuild[Status]))&lt;&gt;0,INDEX(HostBuild[],MATCH(E1042,HostBuild[Alias],0),COLUMN(HostBuild[Status])),""),""),"")</f>
        <v/>
      </c>
      <c r="C1042" s="425" t="str">
        <f>IF(AND(NOT(ISBLANK(E1042)),E1042&lt;&gt;"(blank)"),IFERROR(IF(INDEX(HostBuild[],MATCH(E1042,HostBuild[Alias],0),COLUMN(HostBuild[CTI Target Completion]))&lt;&gt;0,INDEX(HostBuild[],MATCH(E1042,HostBuild[Alias],0),COLUMN(HostBuild[CTI Target Completion])),""),""),"")</f>
        <v/>
      </c>
      <c r="D1042" s="262" t="str">
        <f>IF(AND(NOT(ISBLANK(E1042)),E1042&lt;&gt;"(blank)"),IFERROR(IF(INDEX(HostBuild[],MATCH(E1042,HostBuild[Alias],0),COLUMN(HostBuild[Description]))&lt;&gt;0,INDEX(HostBuild[],MATCH(E1042,HostBuild[Alias],0),COLUMN(HostBuild[Description])),""),""),"")</f>
        <v/>
      </c>
    </row>
    <row r="1043" spans="1:4">
      <c r="A1043" s="3" t="str">
        <f>IF(AND(NOT(ISBLANK(E1043)),E1043&lt;&gt;"(blank)"),IFERROR(IF(INDEX(HostBuild[],MATCH(E1043,HostBuild[Alias],0),COLUMN(HostBuild[Hostname]))&lt;&gt;0,INDEX(HostBuild[],MATCH(E1043,HostBuild[Alias],0),COLUMN(HostBuild[Hostname])),""),""),"")</f>
        <v/>
      </c>
      <c r="B1043" s="424" t="str">
        <f>IF(AND(NOT(ISBLANK(E1043)),E1043&lt;&gt;"(blank)"),IFERROR(IF(INDEX(HostBuild[],MATCH(E1043,HostBuild[Alias],0),COLUMN(HostBuild[Status]))&lt;&gt;0,INDEX(HostBuild[],MATCH(E1043,HostBuild[Alias],0),COLUMN(HostBuild[Status])),""),""),"")</f>
        <v/>
      </c>
      <c r="C1043" s="425" t="str">
        <f>IF(AND(NOT(ISBLANK(E1043)),E1043&lt;&gt;"(blank)"),IFERROR(IF(INDEX(HostBuild[],MATCH(E1043,HostBuild[Alias],0),COLUMN(HostBuild[CTI Target Completion]))&lt;&gt;0,INDEX(HostBuild[],MATCH(E1043,HostBuild[Alias],0),COLUMN(HostBuild[CTI Target Completion])),""),""),"")</f>
        <v/>
      </c>
      <c r="D1043" s="262" t="str">
        <f>IF(AND(NOT(ISBLANK(E1043)),E1043&lt;&gt;"(blank)"),IFERROR(IF(INDEX(HostBuild[],MATCH(E1043,HostBuild[Alias],0),COLUMN(HostBuild[Description]))&lt;&gt;0,INDEX(HostBuild[],MATCH(E1043,HostBuild[Alias],0),COLUMN(HostBuild[Description])),""),""),"")</f>
        <v/>
      </c>
    </row>
    <row r="1044" spans="1:4">
      <c r="A1044" s="3" t="str">
        <f>IF(AND(NOT(ISBLANK(E1044)),E1044&lt;&gt;"(blank)"),IFERROR(IF(INDEX(HostBuild[],MATCH(E1044,HostBuild[Alias],0),COLUMN(HostBuild[Hostname]))&lt;&gt;0,INDEX(HostBuild[],MATCH(E1044,HostBuild[Alias],0),COLUMN(HostBuild[Hostname])),""),""),"")</f>
        <v/>
      </c>
      <c r="B1044" s="424" t="str">
        <f>IF(AND(NOT(ISBLANK(E1044)),E1044&lt;&gt;"(blank)"),IFERROR(IF(INDEX(HostBuild[],MATCH(E1044,HostBuild[Alias],0),COLUMN(HostBuild[Status]))&lt;&gt;0,INDEX(HostBuild[],MATCH(E1044,HostBuild[Alias],0),COLUMN(HostBuild[Status])),""),""),"")</f>
        <v/>
      </c>
      <c r="C1044" s="425" t="str">
        <f>IF(AND(NOT(ISBLANK(E1044)),E1044&lt;&gt;"(blank)"),IFERROR(IF(INDEX(HostBuild[],MATCH(E1044,HostBuild[Alias],0),COLUMN(HostBuild[CTI Target Completion]))&lt;&gt;0,INDEX(HostBuild[],MATCH(E1044,HostBuild[Alias],0),COLUMN(HostBuild[CTI Target Completion])),""),""),"")</f>
        <v/>
      </c>
      <c r="D1044" s="262" t="str">
        <f>IF(AND(NOT(ISBLANK(E1044)),E1044&lt;&gt;"(blank)"),IFERROR(IF(INDEX(HostBuild[],MATCH(E1044,HostBuild[Alias],0),COLUMN(HostBuild[Description]))&lt;&gt;0,INDEX(HostBuild[],MATCH(E1044,HostBuild[Alias],0),COLUMN(HostBuild[Description])),""),""),"")</f>
        <v/>
      </c>
    </row>
    <row r="1045" spans="1:4">
      <c r="A1045" s="3" t="str">
        <f>IF(AND(NOT(ISBLANK(E1045)),E1045&lt;&gt;"(blank)"),IFERROR(IF(INDEX(HostBuild[],MATCH(E1045,HostBuild[Alias],0),COLUMN(HostBuild[Hostname]))&lt;&gt;0,INDEX(HostBuild[],MATCH(E1045,HostBuild[Alias],0),COLUMN(HostBuild[Hostname])),""),""),"")</f>
        <v/>
      </c>
      <c r="B1045" s="424" t="str">
        <f>IF(AND(NOT(ISBLANK(E1045)),E1045&lt;&gt;"(blank)"),IFERROR(IF(INDEX(HostBuild[],MATCH(E1045,HostBuild[Alias],0),COLUMN(HostBuild[Status]))&lt;&gt;0,INDEX(HostBuild[],MATCH(E1045,HostBuild[Alias],0),COLUMN(HostBuild[Status])),""),""),"")</f>
        <v/>
      </c>
      <c r="C1045" s="425" t="str">
        <f>IF(AND(NOT(ISBLANK(E1045)),E1045&lt;&gt;"(blank)"),IFERROR(IF(INDEX(HostBuild[],MATCH(E1045,HostBuild[Alias],0),COLUMN(HostBuild[CTI Target Completion]))&lt;&gt;0,INDEX(HostBuild[],MATCH(E1045,HostBuild[Alias],0),COLUMN(HostBuild[CTI Target Completion])),""),""),"")</f>
        <v/>
      </c>
      <c r="D1045" s="262" t="str">
        <f>IF(AND(NOT(ISBLANK(E1045)),E1045&lt;&gt;"(blank)"),IFERROR(IF(INDEX(HostBuild[],MATCH(E1045,HostBuild[Alias],0),COLUMN(HostBuild[Description]))&lt;&gt;0,INDEX(HostBuild[],MATCH(E1045,HostBuild[Alias],0),COLUMN(HostBuild[Description])),""),""),"")</f>
        <v/>
      </c>
    </row>
    <row r="1046" spans="1:4">
      <c r="A1046" s="3" t="str">
        <f>IF(AND(NOT(ISBLANK(E1046)),E1046&lt;&gt;"(blank)"),IFERROR(IF(INDEX(HostBuild[],MATCH(E1046,HostBuild[Alias],0),COLUMN(HostBuild[Hostname]))&lt;&gt;0,INDEX(HostBuild[],MATCH(E1046,HostBuild[Alias],0),COLUMN(HostBuild[Hostname])),""),""),"")</f>
        <v/>
      </c>
      <c r="B1046" s="424" t="str">
        <f>IF(AND(NOT(ISBLANK(E1046)),E1046&lt;&gt;"(blank)"),IFERROR(IF(INDEX(HostBuild[],MATCH(E1046,HostBuild[Alias],0),COLUMN(HostBuild[Status]))&lt;&gt;0,INDEX(HostBuild[],MATCH(E1046,HostBuild[Alias],0),COLUMN(HostBuild[Status])),""),""),"")</f>
        <v/>
      </c>
      <c r="C1046" s="425" t="str">
        <f>IF(AND(NOT(ISBLANK(E1046)),E1046&lt;&gt;"(blank)"),IFERROR(IF(INDEX(HostBuild[],MATCH(E1046,HostBuild[Alias],0),COLUMN(HostBuild[CTI Target Completion]))&lt;&gt;0,INDEX(HostBuild[],MATCH(E1046,HostBuild[Alias],0),COLUMN(HostBuild[CTI Target Completion])),""),""),"")</f>
        <v/>
      </c>
      <c r="D1046" s="262" t="str">
        <f>IF(AND(NOT(ISBLANK(E1046)),E1046&lt;&gt;"(blank)"),IFERROR(IF(INDEX(HostBuild[],MATCH(E1046,HostBuild[Alias],0),COLUMN(HostBuild[Description]))&lt;&gt;0,INDEX(HostBuild[],MATCH(E1046,HostBuild[Alias],0),COLUMN(HostBuild[Description])),""),""),"")</f>
        <v/>
      </c>
    </row>
    <row r="1047" spans="1:4">
      <c r="A1047" s="3" t="str">
        <f>IF(AND(NOT(ISBLANK(E1047)),E1047&lt;&gt;"(blank)"),IFERROR(IF(INDEX(HostBuild[],MATCH(E1047,HostBuild[Alias],0),COLUMN(HostBuild[Hostname]))&lt;&gt;0,INDEX(HostBuild[],MATCH(E1047,HostBuild[Alias],0),COLUMN(HostBuild[Hostname])),""),""),"")</f>
        <v/>
      </c>
      <c r="B1047" s="424" t="str">
        <f>IF(AND(NOT(ISBLANK(E1047)),E1047&lt;&gt;"(blank)"),IFERROR(IF(INDEX(HostBuild[],MATCH(E1047,HostBuild[Alias],0),COLUMN(HostBuild[Status]))&lt;&gt;0,INDEX(HostBuild[],MATCH(E1047,HostBuild[Alias],0),COLUMN(HostBuild[Status])),""),""),"")</f>
        <v/>
      </c>
      <c r="C1047" s="425" t="str">
        <f>IF(AND(NOT(ISBLANK(E1047)),E1047&lt;&gt;"(blank)"),IFERROR(IF(INDEX(HostBuild[],MATCH(E1047,HostBuild[Alias],0),COLUMN(HostBuild[CTI Target Completion]))&lt;&gt;0,INDEX(HostBuild[],MATCH(E1047,HostBuild[Alias],0),COLUMN(HostBuild[CTI Target Completion])),""),""),"")</f>
        <v/>
      </c>
      <c r="D1047" s="262" t="str">
        <f>IF(AND(NOT(ISBLANK(E1047)),E1047&lt;&gt;"(blank)"),IFERROR(IF(INDEX(HostBuild[],MATCH(E1047,HostBuild[Alias],0),COLUMN(HostBuild[Description]))&lt;&gt;0,INDEX(HostBuild[],MATCH(E1047,HostBuild[Alias],0),COLUMN(HostBuild[Description])),""),""),"")</f>
        <v/>
      </c>
    </row>
    <row r="1048" spans="1:4">
      <c r="A1048" s="3" t="str">
        <f>IF(AND(NOT(ISBLANK(E1048)),E1048&lt;&gt;"(blank)"),IFERROR(IF(INDEX(HostBuild[],MATCH(E1048,HostBuild[Alias],0),COLUMN(HostBuild[Hostname]))&lt;&gt;0,INDEX(HostBuild[],MATCH(E1048,HostBuild[Alias],0),COLUMN(HostBuild[Hostname])),""),""),"")</f>
        <v/>
      </c>
      <c r="B1048" s="424" t="str">
        <f>IF(AND(NOT(ISBLANK(E1048)),E1048&lt;&gt;"(blank)"),IFERROR(IF(INDEX(HostBuild[],MATCH(E1048,HostBuild[Alias],0),COLUMN(HostBuild[Status]))&lt;&gt;0,INDEX(HostBuild[],MATCH(E1048,HostBuild[Alias],0),COLUMN(HostBuild[Status])),""),""),"")</f>
        <v/>
      </c>
      <c r="C1048" s="425" t="str">
        <f>IF(AND(NOT(ISBLANK(E1048)),E1048&lt;&gt;"(blank)"),IFERROR(IF(INDEX(HostBuild[],MATCH(E1048,HostBuild[Alias],0),COLUMN(HostBuild[CTI Target Completion]))&lt;&gt;0,INDEX(HostBuild[],MATCH(E1048,HostBuild[Alias],0),COLUMN(HostBuild[CTI Target Completion])),""),""),"")</f>
        <v/>
      </c>
      <c r="D1048" s="262" t="str">
        <f>IF(AND(NOT(ISBLANK(E1048)),E1048&lt;&gt;"(blank)"),IFERROR(IF(INDEX(HostBuild[],MATCH(E1048,HostBuild[Alias],0),COLUMN(HostBuild[Description]))&lt;&gt;0,INDEX(HostBuild[],MATCH(E1048,HostBuild[Alias],0),COLUMN(HostBuild[Description])),""),""),"")</f>
        <v/>
      </c>
    </row>
    <row r="1049" spans="1:4">
      <c r="A1049" s="3" t="str">
        <f>IF(AND(NOT(ISBLANK(E1049)),E1049&lt;&gt;"(blank)"),IFERROR(IF(INDEX(HostBuild[],MATCH(E1049,HostBuild[Alias],0),COLUMN(HostBuild[Hostname]))&lt;&gt;0,INDEX(HostBuild[],MATCH(E1049,HostBuild[Alias],0),COLUMN(HostBuild[Hostname])),""),""),"")</f>
        <v/>
      </c>
      <c r="B1049" s="424" t="str">
        <f>IF(AND(NOT(ISBLANK(E1049)),E1049&lt;&gt;"(blank)"),IFERROR(IF(INDEX(HostBuild[],MATCH(E1049,HostBuild[Alias],0),COLUMN(HostBuild[Status]))&lt;&gt;0,INDEX(HostBuild[],MATCH(E1049,HostBuild[Alias],0),COLUMN(HostBuild[Status])),""),""),"")</f>
        <v/>
      </c>
      <c r="C1049" s="425" t="str">
        <f>IF(AND(NOT(ISBLANK(E1049)),E1049&lt;&gt;"(blank)"),IFERROR(IF(INDEX(HostBuild[],MATCH(E1049,HostBuild[Alias],0),COLUMN(HostBuild[CTI Target Completion]))&lt;&gt;0,INDEX(HostBuild[],MATCH(E1049,HostBuild[Alias],0),COLUMN(HostBuild[CTI Target Completion])),""),""),"")</f>
        <v/>
      </c>
      <c r="D1049" s="262" t="str">
        <f>IF(AND(NOT(ISBLANK(E1049)),E1049&lt;&gt;"(blank)"),IFERROR(IF(INDEX(HostBuild[],MATCH(E1049,HostBuild[Alias],0),COLUMN(HostBuild[Description]))&lt;&gt;0,INDEX(HostBuild[],MATCH(E1049,HostBuild[Alias],0),COLUMN(HostBuild[Description])),""),""),"")</f>
        <v/>
      </c>
    </row>
    <row r="1050" spans="1:4">
      <c r="A1050" s="3" t="str">
        <f>IF(AND(NOT(ISBLANK(E1050)),E1050&lt;&gt;"(blank)"),IFERROR(IF(INDEX(HostBuild[],MATCH(E1050,HostBuild[Alias],0),COLUMN(HostBuild[Hostname]))&lt;&gt;0,INDEX(HostBuild[],MATCH(E1050,HostBuild[Alias],0),COLUMN(HostBuild[Hostname])),""),""),"")</f>
        <v/>
      </c>
      <c r="B1050" s="424" t="str">
        <f>IF(AND(NOT(ISBLANK(E1050)),E1050&lt;&gt;"(blank)"),IFERROR(IF(INDEX(HostBuild[],MATCH(E1050,HostBuild[Alias],0),COLUMN(HostBuild[Status]))&lt;&gt;0,INDEX(HostBuild[],MATCH(E1050,HostBuild[Alias],0),COLUMN(HostBuild[Status])),""),""),"")</f>
        <v/>
      </c>
      <c r="C1050" s="425" t="str">
        <f>IF(AND(NOT(ISBLANK(E1050)),E1050&lt;&gt;"(blank)"),IFERROR(IF(INDEX(HostBuild[],MATCH(E1050,HostBuild[Alias],0),COLUMN(HostBuild[CTI Target Completion]))&lt;&gt;0,INDEX(HostBuild[],MATCH(E1050,HostBuild[Alias],0),COLUMN(HostBuild[CTI Target Completion])),""),""),"")</f>
        <v/>
      </c>
      <c r="D1050" s="262" t="str">
        <f>IF(AND(NOT(ISBLANK(E1050)),E1050&lt;&gt;"(blank)"),IFERROR(IF(INDEX(HostBuild[],MATCH(E1050,HostBuild[Alias],0),COLUMN(HostBuild[Description]))&lt;&gt;0,INDEX(HostBuild[],MATCH(E1050,HostBuild[Alias],0),COLUMN(HostBuild[Description])),""),""),"")</f>
        <v/>
      </c>
    </row>
    <row r="1051" spans="1:4">
      <c r="A1051" s="3" t="str">
        <f>IF(AND(NOT(ISBLANK(E1051)),E1051&lt;&gt;"(blank)"),IFERROR(IF(INDEX(HostBuild[],MATCH(E1051,HostBuild[Alias],0),COLUMN(HostBuild[Hostname]))&lt;&gt;0,INDEX(HostBuild[],MATCH(E1051,HostBuild[Alias],0),COLUMN(HostBuild[Hostname])),""),""),"")</f>
        <v/>
      </c>
      <c r="B1051" s="424" t="str">
        <f>IF(AND(NOT(ISBLANK(E1051)),E1051&lt;&gt;"(blank)"),IFERROR(IF(INDEX(HostBuild[],MATCH(E1051,HostBuild[Alias],0),COLUMN(HostBuild[Status]))&lt;&gt;0,INDEX(HostBuild[],MATCH(E1051,HostBuild[Alias],0),COLUMN(HostBuild[Status])),""),""),"")</f>
        <v/>
      </c>
      <c r="C1051" s="425" t="str">
        <f>IF(AND(NOT(ISBLANK(E1051)),E1051&lt;&gt;"(blank)"),IFERROR(IF(INDEX(HostBuild[],MATCH(E1051,HostBuild[Alias],0),COLUMN(HostBuild[CTI Target Completion]))&lt;&gt;0,INDEX(HostBuild[],MATCH(E1051,HostBuild[Alias],0),COLUMN(HostBuild[CTI Target Completion])),""),""),"")</f>
        <v/>
      </c>
      <c r="D1051" s="262" t="str">
        <f>IF(AND(NOT(ISBLANK(E1051)),E1051&lt;&gt;"(blank)"),IFERROR(IF(INDEX(HostBuild[],MATCH(E1051,HostBuild[Alias],0),COLUMN(HostBuild[Description]))&lt;&gt;0,INDEX(HostBuild[],MATCH(E1051,HostBuild[Alias],0),COLUMN(HostBuild[Description])),""),""),"")</f>
        <v/>
      </c>
    </row>
    <row r="1052" spans="1:4">
      <c r="A1052" s="3" t="str">
        <f>IF(AND(NOT(ISBLANK(E1052)),E1052&lt;&gt;"(blank)"),IFERROR(IF(INDEX(HostBuild[],MATCH(E1052,HostBuild[Alias],0),COLUMN(HostBuild[Hostname]))&lt;&gt;0,INDEX(HostBuild[],MATCH(E1052,HostBuild[Alias],0),COLUMN(HostBuild[Hostname])),""),""),"")</f>
        <v/>
      </c>
      <c r="B1052" s="424" t="str">
        <f>IF(AND(NOT(ISBLANK(E1052)),E1052&lt;&gt;"(blank)"),IFERROR(IF(INDEX(HostBuild[],MATCH(E1052,HostBuild[Alias],0),COLUMN(HostBuild[Status]))&lt;&gt;0,INDEX(HostBuild[],MATCH(E1052,HostBuild[Alias],0),COLUMN(HostBuild[Status])),""),""),"")</f>
        <v/>
      </c>
      <c r="C1052" s="425" t="str">
        <f>IF(AND(NOT(ISBLANK(E1052)),E1052&lt;&gt;"(blank)"),IFERROR(IF(INDEX(HostBuild[],MATCH(E1052,HostBuild[Alias],0),COLUMN(HostBuild[CTI Target Completion]))&lt;&gt;0,INDEX(HostBuild[],MATCH(E1052,HostBuild[Alias],0),COLUMN(HostBuild[CTI Target Completion])),""),""),"")</f>
        <v/>
      </c>
      <c r="D1052" s="262" t="str">
        <f>IF(AND(NOT(ISBLANK(E1052)),E1052&lt;&gt;"(blank)"),IFERROR(IF(INDEX(HostBuild[],MATCH(E1052,HostBuild[Alias],0),COLUMN(HostBuild[Description]))&lt;&gt;0,INDEX(HostBuild[],MATCH(E1052,HostBuild[Alias],0),COLUMN(HostBuild[Description])),""),""),"")</f>
        <v/>
      </c>
    </row>
    <row r="1053" spans="1:4">
      <c r="A1053" s="3" t="str">
        <f>IF(AND(NOT(ISBLANK(E1053)),E1053&lt;&gt;"(blank)"),IFERROR(IF(INDEX(HostBuild[],MATCH(E1053,HostBuild[Alias],0),COLUMN(HostBuild[Hostname]))&lt;&gt;0,INDEX(HostBuild[],MATCH(E1053,HostBuild[Alias],0),COLUMN(HostBuild[Hostname])),""),""),"")</f>
        <v/>
      </c>
      <c r="B1053" s="424" t="str">
        <f>IF(AND(NOT(ISBLANK(E1053)),E1053&lt;&gt;"(blank)"),IFERROR(IF(INDEX(HostBuild[],MATCH(E1053,HostBuild[Alias],0),COLUMN(HostBuild[Status]))&lt;&gt;0,INDEX(HostBuild[],MATCH(E1053,HostBuild[Alias],0),COLUMN(HostBuild[Status])),""),""),"")</f>
        <v/>
      </c>
      <c r="C1053" s="425" t="str">
        <f>IF(AND(NOT(ISBLANK(E1053)),E1053&lt;&gt;"(blank)"),IFERROR(IF(INDEX(HostBuild[],MATCH(E1053,HostBuild[Alias],0),COLUMN(HostBuild[CTI Target Completion]))&lt;&gt;0,INDEX(HostBuild[],MATCH(E1053,HostBuild[Alias],0),COLUMN(HostBuild[CTI Target Completion])),""),""),"")</f>
        <v/>
      </c>
      <c r="D1053" s="262" t="str">
        <f>IF(AND(NOT(ISBLANK(E1053)),E1053&lt;&gt;"(blank)"),IFERROR(IF(INDEX(HostBuild[],MATCH(E1053,HostBuild[Alias],0),COLUMN(HostBuild[Description]))&lt;&gt;0,INDEX(HostBuild[],MATCH(E1053,HostBuild[Alias],0),COLUMN(HostBuild[Description])),""),""),"")</f>
        <v/>
      </c>
    </row>
    <row r="1054" spans="1:4">
      <c r="A1054" s="3" t="str">
        <f>IF(AND(NOT(ISBLANK(E1054)),E1054&lt;&gt;"(blank)"),IFERROR(IF(INDEX(HostBuild[],MATCH(E1054,HostBuild[Alias],0),COLUMN(HostBuild[Hostname]))&lt;&gt;0,INDEX(HostBuild[],MATCH(E1054,HostBuild[Alias],0),COLUMN(HostBuild[Hostname])),""),""),"")</f>
        <v/>
      </c>
      <c r="B1054" s="424" t="str">
        <f>IF(AND(NOT(ISBLANK(E1054)),E1054&lt;&gt;"(blank)"),IFERROR(IF(INDEX(HostBuild[],MATCH(E1054,HostBuild[Alias],0),COLUMN(HostBuild[Status]))&lt;&gt;0,INDEX(HostBuild[],MATCH(E1054,HostBuild[Alias],0),COLUMN(HostBuild[Status])),""),""),"")</f>
        <v/>
      </c>
      <c r="C1054" s="425" t="str">
        <f>IF(AND(NOT(ISBLANK(E1054)),E1054&lt;&gt;"(blank)"),IFERROR(IF(INDEX(HostBuild[],MATCH(E1054,HostBuild[Alias],0),COLUMN(HostBuild[CTI Target Completion]))&lt;&gt;0,INDEX(HostBuild[],MATCH(E1054,HostBuild[Alias],0),COLUMN(HostBuild[CTI Target Completion])),""),""),"")</f>
        <v/>
      </c>
      <c r="D1054" s="262" t="str">
        <f>IF(AND(NOT(ISBLANK(E1054)),E1054&lt;&gt;"(blank)"),IFERROR(IF(INDEX(HostBuild[],MATCH(E1054,HostBuild[Alias],0),COLUMN(HostBuild[Description]))&lt;&gt;0,INDEX(HostBuild[],MATCH(E1054,HostBuild[Alias],0),COLUMN(HostBuild[Description])),""),""),"")</f>
        <v/>
      </c>
    </row>
    <row r="1055" spans="1:4">
      <c r="A1055" s="3" t="str">
        <f>IF(AND(NOT(ISBLANK(E1055)),E1055&lt;&gt;"(blank)"),IFERROR(IF(INDEX(HostBuild[],MATCH(E1055,HostBuild[Alias],0),COLUMN(HostBuild[Hostname]))&lt;&gt;0,INDEX(HostBuild[],MATCH(E1055,HostBuild[Alias],0),COLUMN(HostBuild[Hostname])),""),""),"")</f>
        <v/>
      </c>
      <c r="B1055" s="424" t="str">
        <f>IF(AND(NOT(ISBLANK(E1055)),E1055&lt;&gt;"(blank)"),IFERROR(IF(INDEX(HostBuild[],MATCH(E1055,HostBuild[Alias],0),COLUMN(HostBuild[Status]))&lt;&gt;0,INDEX(HostBuild[],MATCH(E1055,HostBuild[Alias],0),COLUMN(HostBuild[Status])),""),""),"")</f>
        <v/>
      </c>
      <c r="C1055" s="425" t="str">
        <f>IF(AND(NOT(ISBLANK(E1055)),E1055&lt;&gt;"(blank)"),IFERROR(IF(INDEX(HostBuild[],MATCH(E1055,HostBuild[Alias],0),COLUMN(HostBuild[CTI Target Completion]))&lt;&gt;0,INDEX(HostBuild[],MATCH(E1055,HostBuild[Alias],0),COLUMN(HostBuild[CTI Target Completion])),""),""),"")</f>
        <v/>
      </c>
      <c r="D1055" s="262" t="str">
        <f>IF(AND(NOT(ISBLANK(E1055)),E1055&lt;&gt;"(blank)"),IFERROR(IF(INDEX(HostBuild[],MATCH(E1055,HostBuild[Alias],0),COLUMN(HostBuild[Description]))&lt;&gt;0,INDEX(HostBuild[],MATCH(E1055,HostBuild[Alias],0),COLUMN(HostBuild[Description])),""),""),"")</f>
        <v/>
      </c>
    </row>
    <row r="1056" spans="1:4">
      <c r="A1056" s="3" t="str">
        <f>IF(AND(NOT(ISBLANK(E1056)),E1056&lt;&gt;"(blank)"),IFERROR(IF(INDEX(HostBuild[],MATCH(E1056,HostBuild[Alias],0),COLUMN(HostBuild[Hostname]))&lt;&gt;0,INDEX(HostBuild[],MATCH(E1056,HostBuild[Alias],0),COLUMN(HostBuild[Hostname])),""),""),"")</f>
        <v/>
      </c>
      <c r="B1056" s="424" t="str">
        <f>IF(AND(NOT(ISBLANK(E1056)),E1056&lt;&gt;"(blank)"),IFERROR(IF(INDEX(HostBuild[],MATCH(E1056,HostBuild[Alias],0),COLUMN(HostBuild[Status]))&lt;&gt;0,INDEX(HostBuild[],MATCH(E1056,HostBuild[Alias],0),COLUMN(HostBuild[Status])),""),""),"")</f>
        <v/>
      </c>
      <c r="C1056" s="425" t="str">
        <f>IF(AND(NOT(ISBLANK(E1056)),E1056&lt;&gt;"(blank)"),IFERROR(IF(INDEX(HostBuild[],MATCH(E1056,HostBuild[Alias],0),COLUMN(HostBuild[CTI Target Completion]))&lt;&gt;0,INDEX(HostBuild[],MATCH(E1056,HostBuild[Alias],0),COLUMN(HostBuild[CTI Target Completion])),""),""),"")</f>
        <v/>
      </c>
      <c r="D1056" s="262" t="str">
        <f>IF(AND(NOT(ISBLANK(E1056)),E1056&lt;&gt;"(blank)"),IFERROR(IF(INDEX(HostBuild[],MATCH(E1056,HostBuild[Alias],0),COLUMN(HostBuild[Description]))&lt;&gt;0,INDEX(HostBuild[],MATCH(E1056,HostBuild[Alias],0),COLUMN(HostBuild[Description])),""),""),"")</f>
        <v/>
      </c>
    </row>
    <row r="1057" spans="1:4">
      <c r="A1057" s="3" t="str">
        <f>IF(AND(NOT(ISBLANK(E1057)),E1057&lt;&gt;"(blank)"),IFERROR(IF(INDEX(HostBuild[],MATCH(E1057,HostBuild[Alias],0),COLUMN(HostBuild[Hostname]))&lt;&gt;0,INDEX(HostBuild[],MATCH(E1057,HostBuild[Alias],0),COLUMN(HostBuild[Hostname])),""),""),"")</f>
        <v/>
      </c>
      <c r="B1057" s="424" t="str">
        <f>IF(AND(NOT(ISBLANK(E1057)),E1057&lt;&gt;"(blank)"),IFERROR(IF(INDEX(HostBuild[],MATCH(E1057,HostBuild[Alias],0),COLUMN(HostBuild[Status]))&lt;&gt;0,INDEX(HostBuild[],MATCH(E1057,HostBuild[Alias],0),COLUMN(HostBuild[Status])),""),""),"")</f>
        <v/>
      </c>
      <c r="C1057" s="425" t="str">
        <f>IF(AND(NOT(ISBLANK(E1057)),E1057&lt;&gt;"(blank)"),IFERROR(IF(INDEX(HostBuild[],MATCH(E1057,HostBuild[Alias],0),COLUMN(HostBuild[CTI Target Completion]))&lt;&gt;0,INDEX(HostBuild[],MATCH(E1057,HostBuild[Alias],0),COLUMN(HostBuild[CTI Target Completion])),""),""),"")</f>
        <v/>
      </c>
      <c r="D1057" s="262" t="str">
        <f>IF(AND(NOT(ISBLANK(E1057)),E1057&lt;&gt;"(blank)"),IFERROR(IF(INDEX(HostBuild[],MATCH(E1057,HostBuild[Alias],0),COLUMN(HostBuild[Description]))&lt;&gt;0,INDEX(HostBuild[],MATCH(E1057,HostBuild[Alias],0),COLUMN(HostBuild[Description])),""),""),"")</f>
        <v/>
      </c>
    </row>
    <row r="1058" spans="1:4">
      <c r="A1058" s="3" t="str">
        <f>IF(AND(NOT(ISBLANK(E1058)),E1058&lt;&gt;"(blank)"),IFERROR(IF(INDEX(HostBuild[],MATCH(E1058,HostBuild[Alias],0),COLUMN(HostBuild[Hostname]))&lt;&gt;0,INDEX(HostBuild[],MATCH(E1058,HostBuild[Alias],0),COLUMN(HostBuild[Hostname])),""),""),"")</f>
        <v/>
      </c>
      <c r="B1058" s="424" t="str">
        <f>IF(AND(NOT(ISBLANK(E1058)),E1058&lt;&gt;"(blank)"),IFERROR(IF(INDEX(HostBuild[],MATCH(E1058,HostBuild[Alias],0),COLUMN(HostBuild[Status]))&lt;&gt;0,INDEX(HostBuild[],MATCH(E1058,HostBuild[Alias],0),COLUMN(HostBuild[Status])),""),""),"")</f>
        <v/>
      </c>
      <c r="C1058" s="425" t="str">
        <f>IF(AND(NOT(ISBLANK(E1058)),E1058&lt;&gt;"(blank)"),IFERROR(IF(INDEX(HostBuild[],MATCH(E1058,HostBuild[Alias],0),COLUMN(HostBuild[CTI Target Completion]))&lt;&gt;0,INDEX(HostBuild[],MATCH(E1058,HostBuild[Alias],0),COLUMN(HostBuild[CTI Target Completion])),""),""),"")</f>
        <v/>
      </c>
      <c r="D1058" s="262" t="str">
        <f>IF(AND(NOT(ISBLANK(E1058)),E1058&lt;&gt;"(blank)"),IFERROR(IF(INDEX(HostBuild[],MATCH(E1058,HostBuild[Alias],0),COLUMN(HostBuild[Description]))&lt;&gt;0,INDEX(HostBuild[],MATCH(E1058,HostBuild[Alias],0),COLUMN(HostBuild[Description])),""),""),"")</f>
        <v/>
      </c>
    </row>
    <row r="1059" spans="1:4">
      <c r="A1059" s="3" t="str">
        <f>IF(AND(NOT(ISBLANK(E1059)),E1059&lt;&gt;"(blank)"),IFERROR(IF(INDEX(HostBuild[],MATCH(E1059,HostBuild[Alias],0),COLUMN(HostBuild[Hostname]))&lt;&gt;0,INDEX(HostBuild[],MATCH(E1059,HostBuild[Alias],0),COLUMN(HostBuild[Hostname])),""),""),"")</f>
        <v/>
      </c>
      <c r="B1059" s="424" t="str">
        <f>IF(AND(NOT(ISBLANK(E1059)),E1059&lt;&gt;"(blank)"),IFERROR(IF(INDEX(HostBuild[],MATCH(E1059,HostBuild[Alias],0),COLUMN(HostBuild[Status]))&lt;&gt;0,INDEX(HostBuild[],MATCH(E1059,HostBuild[Alias],0),COLUMN(HostBuild[Status])),""),""),"")</f>
        <v/>
      </c>
      <c r="C1059" s="425" t="str">
        <f>IF(AND(NOT(ISBLANK(E1059)),E1059&lt;&gt;"(blank)"),IFERROR(IF(INDEX(HostBuild[],MATCH(E1059,HostBuild[Alias],0),COLUMN(HostBuild[CTI Target Completion]))&lt;&gt;0,INDEX(HostBuild[],MATCH(E1059,HostBuild[Alias],0),COLUMN(HostBuild[CTI Target Completion])),""),""),"")</f>
        <v/>
      </c>
      <c r="D1059" s="262" t="str">
        <f>IF(AND(NOT(ISBLANK(E1059)),E1059&lt;&gt;"(blank)"),IFERROR(IF(INDEX(HostBuild[],MATCH(E1059,HostBuild[Alias],0),COLUMN(HostBuild[Description]))&lt;&gt;0,INDEX(HostBuild[],MATCH(E1059,HostBuild[Alias],0),COLUMN(HostBuild[Description])),""),""),"")</f>
        <v/>
      </c>
    </row>
    <row r="1060" spans="1:4">
      <c r="A1060" s="3" t="str">
        <f>IF(AND(NOT(ISBLANK(E1060)),E1060&lt;&gt;"(blank)"),IFERROR(IF(INDEX(HostBuild[],MATCH(E1060,HostBuild[Alias],0),COLUMN(HostBuild[Hostname]))&lt;&gt;0,INDEX(HostBuild[],MATCH(E1060,HostBuild[Alias],0),COLUMN(HostBuild[Hostname])),""),""),"")</f>
        <v/>
      </c>
      <c r="B1060" s="424" t="str">
        <f>IF(AND(NOT(ISBLANK(E1060)),E1060&lt;&gt;"(blank)"),IFERROR(IF(INDEX(HostBuild[],MATCH(E1060,HostBuild[Alias],0),COLUMN(HostBuild[Status]))&lt;&gt;0,INDEX(HostBuild[],MATCH(E1060,HostBuild[Alias],0),COLUMN(HostBuild[Status])),""),""),"")</f>
        <v/>
      </c>
      <c r="C1060" s="425" t="str">
        <f>IF(AND(NOT(ISBLANK(E1060)),E1060&lt;&gt;"(blank)"),IFERROR(IF(INDEX(HostBuild[],MATCH(E1060,HostBuild[Alias],0),COLUMN(HostBuild[CTI Target Completion]))&lt;&gt;0,INDEX(HostBuild[],MATCH(E1060,HostBuild[Alias],0),COLUMN(HostBuild[CTI Target Completion])),""),""),"")</f>
        <v/>
      </c>
      <c r="D1060" s="262" t="str">
        <f>IF(AND(NOT(ISBLANK(E1060)),E1060&lt;&gt;"(blank)"),IFERROR(IF(INDEX(HostBuild[],MATCH(E1060,HostBuild[Alias],0),COLUMN(HostBuild[Description]))&lt;&gt;0,INDEX(HostBuild[],MATCH(E1060,HostBuild[Alias],0),COLUMN(HostBuild[Description])),""),""),"")</f>
        <v/>
      </c>
    </row>
    <row r="1061" spans="1:4">
      <c r="A1061" s="3" t="str">
        <f>IF(AND(NOT(ISBLANK(E1061)),E1061&lt;&gt;"(blank)"),IFERROR(IF(INDEX(HostBuild[],MATCH(E1061,HostBuild[Alias],0),COLUMN(HostBuild[Hostname]))&lt;&gt;0,INDEX(HostBuild[],MATCH(E1061,HostBuild[Alias],0),COLUMN(HostBuild[Hostname])),""),""),"")</f>
        <v/>
      </c>
      <c r="B1061" s="424" t="str">
        <f>IF(AND(NOT(ISBLANK(E1061)),E1061&lt;&gt;"(blank)"),IFERROR(IF(INDEX(HostBuild[],MATCH(E1061,HostBuild[Alias],0),COLUMN(HostBuild[Status]))&lt;&gt;0,INDEX(HostBuild[],MATCH(E1061,HostBuild[Alias],0),COLUMN(HostBuild[Status])),""),""),"")</f>
        <v/>
      </c>
      <c r="C1061" s="425" t="str">
        <f>IF(AND(NOT(ISBLANK(E1061)),E1061&lt;&gt;"(blank)"),IFERROR(IF(INDEX(HostBuild[],MATCH(E1061,HostBuild[Alias],0),COLUMN(HostBuild[CTI Target Completion]))&lt;&gt;0,INDEX(HostBuild[],MATCH(E1061,HostBuild[Alias],0),COLUMN(HostBuild[CTI Target Completion])),""),""),"")</f>
        <v/>
      </c>
      <c r="D1061" s="262" t="str">
        <f>IF(AND(NOT(ISBLANK(E1061)),E1061&lt;&gt;"(blank)"),IFERROR(IF(INDEX(HostBuild[],MATCH(E1061,HostBuild[Alias],0),COLUMN(HostBuild[Description]))&lt;&gt;0,INDEX(HostBuild[],MATCH(E1061,HostBuild[Alias],0),COLUMN(HostBuild[Description])),""),""),"")</f>
        <v/>
      </c>
    </row>
    <row r="1062" spans="1:4">
      <c r="A1062" s="3" t="str">
        <f>IF(AND(NOT(ISBLANK(E1062)),E1062&lt;&gt;"(blank)"),IFERROR(IF(INDEX(HostBuild[],MATCH(E1062,HostBuild[Alias],0),COLUMN(HostBuild[Hostname]))&lt;&gt;0,INDEX(HostBuild[],MATCH(E1062,HostBuild[Alias],0),COLUMN(HostBuild[Hostname])),""),""),"")</f>
        <v/>
      </c>
      <c r="B1062" s="424" t="str">
        <f>IF(AND(NOT(ISBLANK(E1062)),E1062&lt;&gt;"(blank)"),IFERROR(IF(INDEX(HostBuild[],MATCH(E1062,HostBuild[Alias],0),COLUMN(HostBuild[Status]))&lt;&gt;0,INDEX(HostBuild[],MATCH(E1062,HostBuild[Alias],0),COLUMN(HostBuild[Status])),""),""),"")</f>
        <v/>
      </c>
      <c r="C1062" s="425" t="str">
        <f>IF(AND(NOT(ISBLANK(E1062)),E1062&lt;&gt;"(blank)"),IFERROR(IF(INDEX(HostBuild[],MATCH(E1062,HostBuild[Alias],0),COLUMN(HostBuild[CTI Target Completion]))&lt;&gt;0,INDEX(HostBuild[],MATCH(E1062,HostBuild[Alias],0),COLUMN(HostBuild[CTI Target Completion])),""),""),"")</f>
        <v/>
      </c>
      <c r="D1062" s="262" t="str">
        <f>IF(AND(NOT(ISBLANK(E1062)),E1062&lt;&gt;"(blank)"),IFERROR(IF(INDEX(HostBuild[],MATCH(E1062,HostBuild[Alias],0),COLUMN(HostBuild[Description]))&lt;&gt;0,INDEX(HostBuild[],MATCH(E1062,HostBuild[Alias],0),COLUMN(HostBuild[Description])),""),""),"")</f>
        <v/>
      </c>
    </row>
    <row r="1063" spans="1:4">
      <c r="A1063" s="3" t="str">
        <f>IF(AND(NOT(ISBLANK(E1063)),E1063&lt;&gt;"(blank)"),IFERROR(IF(INDEX(HostBuild[],MATCH(E1063,HostBuild[Alias],0),COLUMN(HostBuild[Hostname]))&lt;&gt;0,INDEX(HostBuild[],MATCH(E1063,HostBuild[Alias],0),COLUMN(HostBuild[Hostname])),""),""),"")</f>
        <v/>
      </c>
      <c r="B1063" s="424" t="str">
        <f>IF(AND(NOT(ISBLANK(E1063)),E1063&lt;&gt;"(blank)"),IFERROR(IF(INDEX(HostBuild[],MATCH(E1063,HostBuild[Alias],0),COLUMN(HostBuild[Status]))&lt;&gt;0,INDEX(HostBuild[],MATCH(E1063,HostBuild[Alias],0),COLUMN(HostBuild[Status])),""),""),"")</f>
        <v/>
      </c>
      <c r="C1063" s="425" t="str">
        <f>IF(AND(NOT(ISBLANK(E1063)),E1063&lt;&gt;"(blank)"),IFERROR(IF(INDEX(HostBuild[],MATCH(E1063,HostBuild[Alias],0),COLUMN(HostBuild[CTI Target Completion]))&lt;&gt;0,INDEX(HostBuild[],MATCH(E1063,HostBuild[Alias],0),COLUMN(HostBuild[CTI Target Completion])),""),""),"")</f>
        <v/>
      </c>
      <c r="D1063" s="262" t="str">
        <f>IF(AND(NOT(ISBLANK(E1063)),E1063&lt;&gt;"(blank)"),IFERROR(IF(INDEX(HostBuild[],MATCH(E1063,HostBuild[Alias],0),COLUMN(HostBuild[Description]))&lt;&gt;0,INDEX(HostBuild[],MATCH(E1063,HostBuild[Alias],0),COLUMN(HostBuild[Description])),""),""),"")</f>
        <v/>
      </c>
    </row>
    <row r="1064" spans="1:4">
      <c r="A1064" s="3" t="str">
        <f>IF(AND(NOT(ISBLANK(E1064)),E1064&lt;&gt;"(blank)"),IFERROR(IF(INDEX(HostBuild[],MATCH(E1064,HostBuild[Alias],0),COLUMN(HostBuild[Hostname]))&lt;&gt;0,INDEX(HostBuild[],MATCH(E1064,HostBuild[Alias],0),COLUMN(HostBuild[Hostname])),""),""),"")</f>
        <v/>
      </c>
      <c r="B1064" s="424" t="str">
        <f>IF(AND(NOT(ISBLANK(E1064)),E1064&lt;&gt;"(blank)"),IFERROR(IF(INDEX(HostBuild[],MATCH(E1064,HostBuild[Alias],0),COLUMN(HostBuild[Status]))&lt;&gt;0,INDEX(HostBuild[],MATCH(E1064,HostBuild[Alias],0),COLUMN(HostBuild[Status])),""),""),"")</f>
        <v/>
      </c>
      <c r="C1064" s="425" t="str">
        <f>IF(AND(NOT(ISBLANK(E1064)),E1064&lt;&gt;"(blank)"),IFERROR(IF(INDEX(HostBuild[],MATCH(E1064,HostBuild[Alias],0),COLUMN(HostBuild[CTI Target Completion]))&lt;&gt;0,INDEX(HostBuild[],MATCH(E1064,HostBuild[Alias],0),COLUMN(HostBuild[CTI Target Completion])),""),""),"")</f>
        <v/>
      </c>
      <c r="D1064" s="262" t="str">
        <f>IF(AND(NOT(ISBLANK(E1064)),E1064&lt;&gt;"(blank)"),IFERROR(IF(INDEX(HostBuild[],MATCH(E1064,HostBuild[Alias],0),COLUMN(HostBuild[Description]))&lt;&gt;0,INDEX(HostBuild[],MATCH(E1064,HostBuild[Alias],0),COLUMN(HostBuild[Description])),""),""),"")</f>
        <v/>
      </c>
    </row>
    <row r="1065" spans="1:4">
      <c r="A1065" s="3" t="str">
        <f>IF(AND(NOT(ISBLANK(E1065)),E1065&lt;&gt;"(blank)"),IFERROR(IF(INDEX(HostBuild[],MATCH(E1065,HostBuild[Alias],0),COLUMN(HostBuild[Hostname]))&lt;&gt;0,INDEX(HostBuild[],MATCH(E1065,HostBuild[Alias],0),COLUMN(HostBuild[Hostname])),""),""),"")</f>
        <v/>
      </c>
      <c r="B1065" s="424" t="str">
        <f>IF(AND(NOT(ISBLANK(E1065)),E1065&lt;&gt;"(blank)"),IFERROR(IF(INDEX(HostBuild[],MATCH(E1065,HostBuild[Alias],0),COLUMN(HostBuild[Status]))&lt;&gt;0,INDEX(HostBuild[],MATCH(E1065,HostBuild[Alias],0),COLUMN(HostBuild[Status])),""),""),"")</f>
        <v/>
      </c>
      <c r="C1065" s="425" t="str">
        <f>IF(AND(NOT(ISBLANK(E1065)),E1065&lt;&gt;"(blank)"),IFERROR(IF(INDEX(HostBuild[],MATCH(E1065,HostBuild[Alias],0),COLUMN(HostBuild[CTI Target Completion]))&lt;&gt;0,INDEX(HostBuild[],MATCH(E1065,HostBuild[Alias],0),COLUMN(HostBuild[CTI Target Completion])),""),""),"")</f>
        <v/>
      </c>
      <c r="D1065" s="262" t="str">
        <f>IF(AND(NOT(ISBLANK(E1065)),E1065&lt;&gt;"(blank)"),IFERROR(IF(INDEX(HostBuild[],MATCH(E1065,HostBuild[Alias],0),COLUMN(HostBuild[Description]))&lt;&gt;0,INDEX(HostBuild[],MATCH(E1065,HostBuild[Alias],0),COLUMN(HostBuild[Description])),""),""),"")</f>
        <v/>
      </c>
    </row>
    <row r="1066" spans="1:4">
      <c r="A1066" s="3" t="str">
        <f>IF(AND(NOT(ISBLANK(E1066)),E1066&lt;&gt;"(blank)"),IFERROR(IF(INDEX(HostBuild[],MATCH(E1066,HostBuild[Alias],0),COLUMN(HostBuild[Hostname]))&lt;&gt;0,INDEX(HostBuild[],MATCH(E1066,HostBuild[Alias],0),COLUMN(HostBuild[Hostname])),""),""),"")</f>
        <v/>
      </c>
      <c r="B1066" s="424" t="str">
        <f>IF(AND(NOT(ISBLANK(E1066)),E1066&lt;&gt;"(blank)"),IFERROR(IF(INDEX(HostBuild[],MATCH(E1066,HostBuild[Alias],0),COLUMN(HostBuild[Status]))&lt;&gt;0,INDEX(HostBuild[],MATCH(E1066,HostBuild[Alias],0),COLUMN(HostBuild[Status])),""),""),"")</f>
        <v/>
      </c>
      <c r="C1066" s="425" t="str">
        <f>IF(AND(NOT(ISBLANK(E1066)),E1066&lt;&gt;"(blank)"),IFERROR(IF(INDEX(HostBuild[],MATCH(E1066,HostBuild[Alias],0),COLUMN(HostBuild[CTI Target Completion]))&lt;&gt;0,INDEX(HostBuild[],MATCH(E1066,HostBuild[Alias],0),COLUMN(HostBuild[CTI Target Completion])),""),""),"")</f>
        <v/>
      </c>
      <c r="D1066" s="262" t="str">
        <f>IF(AND(NOT(ISBLANK(E1066)),E1066&lt;&gt;"(blank)"),IFERROR(IF(INDEX(HostBuild[],MATCH(E1066,HostBuild[Alias],0),COLUMN(HostBuild[Description]))&lt;&gt;0,INDEX(HostBuild[],MATCH(E1066,HostBuild[Alias],0),COLUMN(HostBuild[Description])),""),""),"")</f>
        <v/>
      </c>
    </row>
    <row r="1067" spans="1:4">
      <c r="A1067" s="3" t="str">
        <f>IF(AND(NOT(ISBLANK(E1067)),E1067&lt;&gt;"(blank)"),IFERROR(IF(INDEX(HostBuild[],MATCH(E1067,HostBuild[Alias],0),COLUMN(HostBuild[Hostname]))&lt;&gt;0,INDEX(HostBuild[],MATCH(E1067,HostBuild[Alias],0),COLUMN(HostBuild[Hostname])),""),""),"")</f>
        <v/>
      </c>
      <c r="B1067" s="424" t="str">
        <f>IF(AND(NOT(ISBLANK(E1067)),E1067&lt;&gt;"(blank)"),IFERROR(IF(INDEX(HostBuild[],MATCH(E1067,HostBuild[Alias],0),COLUMN(HostBuild[Status]))&lt;&gt;0,INDEX(HostBuild[],MATCH(E1067,HostBuild[Alias],0),COLUMN(HostBuild[Status])),""),""),"")</f>
        <v/>
      </c>
      <c r="C1067" s="425" t="str">
        <f>IF(AND(NOT(ISBLANK(E1067)),E1067&lt;&gt;"(blank)"),IFERROR(IF(INDEX(HostBuild[],MATCH(E1067,HostBuild[Alias],0),COLUMN(HostBuild[CTI Target Completion]))&lt;&gt;0,INDEX(HostBuild[],MATCH(E1067,HostBuild[Alias],0),COLUMN(HostBuild[CTI Target Completion])),""),""),"")</f>
        <v/>
      </c>
      <c r="D1067" s="262" t="str">
        <f>IF(AND(NOT(ISBLANK(E1067)),E1067&lt;&gt;"(blank)"),IFERROR(IF(INDEX(HostBuild[],MATCH(E1067,HostBuild[Alias],0),COLUMN(HostBuild[Description]))&lt;&gt;0,INDEX(HostBuild[],MATCH(E1067,HostBuild[Alias],0),COLUMN(HostBuild[Description])),""),""),"")</f>
        <v/>
      </c>
    </row>
    <row r="1068" spans="1:4">
      <c r="A1068" s="3" t="str">
        <f>IF(AND(NOT(ISBLANK(E1068)),E1068&lt;&gt;"(blank)"),IFERROR(IF(INDEX(HostBuild[],MATCH(E1068,HostBuild[Alias],0),COLUMN(HostBuild[Hostname]))&lt;&gt;0,INDEX(HostBuild[],MATCH(E1068,HostBuild[Alias],0),COLUMN(HostBuild[Hostname])),""),""),"")</f>
        <v/>
      </c>
      <c r="B1068" s="424" t="str">
        <f>IF(AND(NOT(ISBLANK(E1068)),E1068&lt;&gt;"(blank)"),IFERROR(IF(INDEX(HostBuild[],MATCH(E1068,HostBuild[Alias],0),COLUMN(HostBuild[Status]))&lt;&gt;0,INDEX(HostBuild[],MATCH(E1068,HostBuild[Alias],0),COLUMN(HostBuild[Status])),""),""),"")</f>
        <v/>
      </c>
      <c r="C1068" s="425" t="str">
        <f>IF(AND(NOT(ISBLANK(E1068)),E1068&lt;&gt;"(blank)"),IFERROR(IF(INDEX(HostBuild[],MATCH(E1068,HostBuild[Alias],0),COLUMN(HostBuild[CTI Target Completion]))&lt;&gt;0,INDEX(HostBuild[],MATCH(E1068,HostBuild[Alias],0),COLUMN(HostBuild[CTI Target Completion])),""),""),"")</f>
        <v/>
      </c>
      <c r="D1068" s="262" t="str">
        <f>IF(AND(NOT(ISBLANK(E1068)),E1068&lt;&gt;"(blank)"),IFERROR(IF(INDEX(HostBuild[],MATCH(E1068,HostBuild[Alias],0),COLUMN(HostBuild[Description]))&lt;&gt;0,INDEX(HostBuild[],MATCH(E1068,HostBuild[Alias],0),COLUMN(HostBuild[Description])),""),""),"")</f>
        <v/>
      </c>
    </row>
    <row r="1069" spans="1:4">
      <c r="A1069" s="3" t="str">
        <f>IF(AND(NOT(ISBLANK(E1069)),E1069&lt;&gt;"(blank)"),IFERROR(IF(INDEX(HostBuild[],MATCH(E1069,HostBuild[Alias],0),COLUMN(HostBuild[Hostname]))&lt;&gt;0,INDEX(HostBuild[],MATCH(E1069,HostBuild[Alias],0),COLUMN(HostBuild[Hostname])),""),""),"")</f>
        <v/>
      </c>
      <c r="B1069" s="424" t="str">
        <f>IF(AND(NOT(ISBLANK(E1069)),E1069&lt;&gt;"(blank)"),IFERROR(IF(INDEX(HostBuild[],MATCH(E1069,HostBuild[Alias],0),COLUMN(HostBuild[Status]))&lt;&gt;0,INDEX(HostBuild[],MATCH(E1069,HostBuild[Alias],0),COLUMN(HostBuild[Status])),""),""),"")</f>
        <v/>
      </c>
      <c r="C1069" s="425" t="str">
        <f>IF(AND(NOT(ISBLANK(E1069)),E1069&lt;&gt;"(blank)"),IFERROR(IF(INDEX(HostBuild[],MATCH(E1069,HostBuild[Alias],0),COLUMN(HostBuild[CTI Target Completion]))&lt;&gt;0,INDEX(HostBuild[],MATCH(E1069,HostBuild[Alias],0),COLUMN(HostBuild[CTI Target Completion])),""),""),"")</f>
        <v/>
      </c>
      <c r="D1069" s="262" t="str">
        <f>IF(AND(NOT(ISBLANK(E1069)),E1069&lt;&gt;"(blank)"),IFERROR(IF(INDEX(HostBuild[],MATCH(E1069,HostBuild[Alias],0),COLUMN(HostBuild[Description]))&lt;&gt;0,INDEX(HostBuild[],MATCH(E1069,HostBuild[Alias],0),COLUMN(HostBuild[Description])),""),""),"")</f>
        <v/>
      </c>
    </row>
    <row r="1070" spans="1:4">
      <c r="A1070" s="3" t="str">
        <f>IF(AND(NOT(ISBLANK(E1070)),E1070&lt;&gt;"(blank)"),IFERROR(IF(INDEX(HostBuild[],MATCH(E1070,HostBuild[Alias],0),COLUMN(HostBuild[Hostname]))&lt;&gt;0,INDEX(HostBuild[],MATCH(E1070,HostBuild[Alias],0),COLUMN(HostBuild[Hostname])),""),""),"")</f>
        <v/>
      </c>
      <c r="B1070" s="424" t="str">
        <f>IF(AND(NOT(ISBLANK(E1070)),E1070&lt;&gt;"(blank)"),IFERROR(IF(INDEX(HostBuild[],MATCH(E1070,HostBuild[Alias],0),COLUMN(HostBuild[Status]))&lt;&gt;0,INDEX(HostBuild[],MATCH(E1070,HostBuild[Alias],0),COLUMN(HostBuild[Status])),""),""),"")</f>
        <v/>
      </c>
      <c r="C1070" s="425" t="str">
        <f>IF(AND(NOT(ISBLANK(E1070)),E1070&lt;&gt;"(blank)"),IFERROR(IF(INDEX(HostBuild[],MATCH(E1070,HostBuild[Alias],0),COLUMN(HostBuild[CTI Target Completion]))&lt;&gt;0,INDEX(HostBuild[],MATCH(E1070,HostBuild[Alias],0),COLUMN(HostBuild[CTI Target Completion])),""),""),"")</f>
        <v/>
      </c>
      <c r="D1070" s="262" t="str">
        <f>IF(AND(NOT(ISBLANK(E1070)),E1070&lt;&gt;"(blank)"),IFERROR(IF(INDEX(HostBuild[],MATCH(E1070,HostBuild[Alias],0),COLUMN(HostBuild[Description]))&lt;&gt;0,INDEX(HostBuild[],MATCH(E1070,HostBuild[Alias],0),COLUMN(HostBuild[Description])),""),""),"")</f>
        <v/>
      </c>
    </row>
    <row r="1071" spans="1:4">
      <c r="A1071" s="3" t="str">
        <f>IF(AND(NOT(ISBLANK(E1071)),E1071&lt;&gt;"(blank)"),IFERROR(IF(INDEX(HostBuild[],MATCH(E1071,HostBuild[Alias],0),COLUMN(HostBuild[Hostname]))&lt;&gt;0,INDEX(HostBuild[],MATCH(E1071,HostBuild[Alias],0),COLUMN(HostBuild[Hostname])),""),""),"")</f>
        <v/>
      </c>
      <c r="B1071" s="424" t="str">
        <f>IF(AND(NOT(ISBLANK(E1071)),E1071&lt;&gt;"(blank)"),IFERROR(IF(INDEX(HostBuild[],MATCH(E1071,HostBuild[Alias],0),COLUMN(HostBuild[Status]))&lt;&gt;0,INDEX(HostBuild[],MATCH(E1071,HostBuild[Alias],0),COLUMN(HostBuild[Status])),""),""),"")</f>
        <v/>
      </c>
      <c r="C1071" s="425" t="str">
        <f>IF(AND(NOT(ISBLANK(E1071)),E1071&lt;&gt;"(blank)"),IFERROR(IF(INDEX(HostBuild[],MATCH(E1071,HostBuild[Alias],0),COLUMN(HostBuild[CTI Target Completion]))&lt;&gt;0,INDEX(HostBuild[],MATCH(E1071,HostBuild[Alias],0),COLUMN(HostBuild[CTI Target Completion])),""),""),"")</f>
        <v/>
      </c>
      <c r="D1071" s="262" t="str">
        <f>IF(AND(NOT(ISBLANK(E1071)),E1071&lt;&gt;"(blank)"),IFERROR(IF(INDEX(HostBuild[],MATCH(E1071,HostBuild[Alias],0),COLUMN(HostBuild[Description]))&lt;&gt;0,INDEX(HostBuild[],MATCH(E1071,HostBuild[Alias],0),COLUMN(HostBuild[Description])),""),""),"")</f>
        <v/>
      </c>
    </row>
    <row r="1072" spans="1:4">
      <c r="A1072" s="3" t="str">
        <f>IF(AND(NOT(ISBLANK(E1072)),E1072&lt;&gt;"(blank)"),IFERROR(IF(INDEX(HostBuild[],MATCH(E1072,HostBuild[Alias],0),COLUMN(HostBuild[Hostname]))&lt;&gt;0,INDEX(HostBuild[],MATCH(E1072,HostBuild[Alias],0),COLUMN(HostBuild[Hostname])),""),""),"")</f>
        <v/>
      </c>
      <c r="B1072" s="424" t="str">
        <f>IF(AND(NOT(ISBLANK(E1072)),E1072&lt;&gt;"(blank)"),IFERROR(IF(INDEX(HostBuild[],MATCH(E1072,HostBuild[Alias],0),COLUMN(HostBuild[Status]))&lt;&gt;0,INDEX(HostBuild[],MATCH(E1072,HostBuild[Alias],0),COLUMN(HostBuild[Status])),""),""),"")</f>
        <v/>
      </c>
      <c r="C1072" s="425" t="str">
        <f>IF(AND(NOT(ISBLANK(E1072)),E1072&lt;&gt;"(blank)"),IFERROR(IF(INDEX(HostBuild[],MATCH(E1072,HostBuild[Alias],0),COLUMN(HostBuild[CTI Target Completion]))&lt;&gt;0,INDEX(HostBuild[],MATCH(E1072,HostBuild[Alias],0),COLUMN(HostBuild[CTI Target Completion])),""),""),"")</f>
        <v/>
      </c>
      <c r="D1072" s="262" t="str">
        <f>IF(AND(NOT(ISBLANK(E1072)),E1072&lt;&gt;"(blank)"),IFERROR(IF(INDEX(HostBuild[],MATCH(E1072,HostBuild[Alias],0),COLUMN(HostBuild[Description]))&lt;&gt;0,INDEX(HostBuild[],MATCH(E1072,HostBuild[Alias],0),COLUMN(HostBuild[Description])),""),""),"")</f>
        <v/>
      </c>
    </row>
    <row r="1073" spans="1:4">
      <c r="A1073" s="3" t="str">
        <f>IF(AND(NOT(ISBLANK(E1073)),E1073&lt;&gt;"(blank)"),IFERROR(IF(INDEX(HostBuild[],MATCH(E1073,HostBuild[Alias],0),COLUMN(HostBuild[Hostname]))&lt;&gt;0,INDEX(HostBuild[],MATCH(E1073,HostBuild[Alias],0),COLUMN(HostBuild[Hostname])),""),""),"")</f>
        <v/>
      </c>
      <c r="B1073" s="424" t="str">
        <f>IF(AND(NOT(ISBLANK(E1073)),E1073&lt;&gt;"(blank)"),IFERROR(IF(INDEX(HostBuild[],MATCH(E1073,HostBuild[Alias],0),COLUMN(HostBuild[Status]))&lt;&gt;0,INDEX(HostBuild[],MATCH(E1073,HostBuild[Alias],0),COLUMN(HostBuild[Status])),""),""),"")</f>
        <v/>
      </c>
      <c r="C1073" s="425" t="str">
        <f>IF(AND(NOT(ISBLANK(E1073)),E1073&lt;&gt;"(blank)"),IFERROR(IF(INDEX(HostBuild[],MATCH(E1073,HostBuild[Alias],0),COLUMN(HostBuild[CTI Target Completion]))&lt;&gt;0,INDEX(HostBuild[],MATCH(E1073,HostBuild[Alias],0),COLUMN(HostBuild[CTI Target Completion])),""),""),"")</f>
        <v/>
      </c>
      <c r="D1073" s="262" t="str">
        <f>IF(AND(NOT(ISBLANK(E1073)),E1073&lt;&gt;"(blank)"),IFERROR(IF(INDEX(HostBuild[],MATCH(E1073,HostBuild[Alias],0),COLUMN(HostBuild[Description]))&lt;&gt;0,INDEX(HostBuild[],MATCH(E1073,HostBuild[Alias],0),COLUMN(HostBuild[Description])),""),""),"")</f>
        <v/>
      </c>
    </row>
    <row r="1074" spans="1:4">
      <c r="A1074" s="3" t="str">
        <f>IF(AND(NOT(ISBLANK(E1074)),E1074&lt;&gt;"(blank)"),IFERROR(IF(INDEX(HostBuild[],MATCH(E1074,HostBuild[Alias],0),COLUMN(HostBuild[Hostname]))&lt;&gt;0,INDEX(HostBuild[],MATCH(E1074,HostBuild[Alias],0),COLUMN(HostBuild[Hostname])),""),""),"")</f>
        <v/>
      </c>
      <c r="B1074" s="424" t="str">
        <f>IF(AND(NOT(ISBLANK(E1074)),E1074&lt;&gt;"(blank)"),IFERROR(IF(INDEX(HostBuild[],MATCH(E1074,HostBuild[Alias],0),COLUMN(HostBuild[Status]))&lt;&gt;0,INDEX(HostBuild[],MATCH(E1074,HostBuild[Alias],0),COLUMN(HostBuild[Status])),""),""),"")</f>
        <v/>
      </c>
      <c r="C1074" s="425" t="str">
        <f>IF(AND(NOT(ISBLANK(E1074)),E1074&lt;&gt;"(blank)"),IFERROR(IF(INDEX(HostBuild[],MATCH(E1074,HostBuild[Alias],0),COLUMN(HostBuild[CTI Target Completion]))&lt;&gt;0,INDEX(HostBuild[],MATCH(E1074,HostBuild[Alias],0),COLUMN(HostBuild[CTI Target Completion])),""),""),"")</f>
        <v/>
      </c>
      <c r="D1074" s="262" t="str">
        <f>IF(AND(NOT(ISBLANK(E1074)),E1074&lt;&gt;"(blank)"),IFERROR(IF(INDEX(HostBuild[],MATCH(E1074,HostBuild[Alias],0),COLUMN(HostBuild[Description]))&lt;&gt;0,INDEX(HostBuild[],MATCH(E1074,HostBuild[Alias],0),COLUMN(HostBuild[Description])),""),""),"")</f>
        <v/>
      </c>
    </row>
    <row r="1075" spans="1:4">
      <c r="A1075" s="3" t="str">
        <f>IF(AND(NOT(ISBLANK(E1075)),E1075&lt;&gt;"(blank)"),IFERROR(IF(INDEX(HostBuild[],MATCH(E1075,HostBuild[Alias],0),COLUMN(HostBuild[Hostname]))&lt;&gt;0,INDEX(HostBuild[],MATCH(E1075,HostBuild[Alias],0),COLUMN(HostBuild[Hostname])),""),""),"")</f>
        <v/>
      </c>
      <c r="B1075" s="424" t="str">
        <f>IF(AND(NOT(ISBLANK(E1075)),E1075&lt;&gt;"(blank)"),IFERROR(IF(INDEX(HostBuild[],MATCH(E1075,HostBuild[Alias],0),COLUMN(HostBuild[Status]))&lt;&gt;0,INDEX(HostBuild[],MATCH(E1075,HostBuild[Alias],0),COLUMN(HostBuild[Status])),""),""),"")</f>
        <v/>
      </c>
      <c r="C1075" s="425" t="str">
        <f>IF(AND(NOT(ISBLANK(E1075)),E1075&lt;&gt;"(blank)"),IFERROR(IF(INDEX(HostBuild[],MATCH(E1075,HostBuild[Alias],0),COLUMN(HostBuild[CTI Target Completion]))&lt;&gt;0,INDEX(HostBuild[],MATCH(E1075,HostBuild[Alias],0),COLUMN(HostBuild[CTI Target Completion])),""),""),"")</f>
        <v/>
      </c>
      <c r="D1075" s="262" t="str">
        <f>IF(AND(NOT(ISBLANK(E1075)),E1075&lt;&gt;"(blank)"),IFERROR(IF(INDEX(HostBuild[],MATCH(E1075,HostBuild[Alias],0),COLUMN(HostBuild[Description]))&lt;&gt;0,INDEX(HostBuild[],MATCH(E1075,HostBuild[Alias],0),COLUMN(HostBuild[Description])),""),""),"")</f>
        <v/>
      </c>
    </row>
    <row r="1076" spans="1:4">
      <c r="A1076" s="3" t="str">
        <f>IF(AND(NOT(ISBLANK(E1076)),E1076&lt;&gt;"(blank)"),IFERROR(IF(INDEX(HostBuild[],MATCH(E1076,HostBuild[Alias],0),COLUMN(HostBuild[Hostname]))&lt;&gt;0,INDEX(HostBuild[],MATCH(E1076,HostBuild[Alias],0),COLUMN(HostBuild[Hostname])),""),""),"")</f>
        <v/>
      </c>
      <c r="B1076" s="424" t="str">
        <f>IF(AND(NOT(ISBLANK(E1076)),E1076&lt;&gt;"(blank)"),IFERROR(IF(INDEX(HostBuild[],MATCH(E1076,HostBuild[Alias],0),COLUMN(HostBuild[Status]))&lt;&gt;0,INDEX(HostBuild[],MATCH(E1076,HostBuild[Alias],0),COLUMN(HostBuild[Status])),""),""),"")</f>
        <v/>
      </c>
      <c r="C1076" s="425" t="str">
        <f>IF(AND(NOT(ISBLANK(E1076)),E1076&lt;&gt;"(blank)"),IFERROR(IF(INDEX(HostBuild[],MATCH(E1076,HostBuild[Alias],0),COLUMN(HostBuild[CTI Target Completion]))&lt;&gt;0,INDEX(HostBuild[],MATCH(E1076,HostBuild[Alias],0),COLUMN(HostBuild[CTI Target Completion])),""),""),"")</f>
        <v/>
      </c>
      <c r="D1076" s="262" t="str">
        <f>IF(AND(NOT(ISBLANK(E1076)),E1076&lt;&gt;"(blank)"),IFERROR(IF(INDEX(HostBuild[],MATCH(E1076,HostBuild[Alias],0),COLUMN(HostBuild[Description]))&lt;&gt;0,INDEX(HostBuild[],MATCH(E1076,HostBuild[Alias],0),COLUMN(HostBuild[Description])),""),""),"")</f>
        <v/>
      </c>
    </row>
    <row r="1077" spans="1:4">
      <c r="A1077" s="3" t="str">
        <f>IF(AND(NOT(ISBLANK(E1077)),E1077&lt;&gt;"(blank)"),IFERROR(IF(INDEX(HostBuild[],MATCH(E1077,HostBuild[Alias],0),COLUMN(HostBuild[Hostname]))&lt;&gt;0,INDEX(HostBuild[],MATCH(E1077,HostBuild[Alias],0),COLUMN(HostBuild[Hostname])),""),""),"")</f>
        <v/>
      </c>
      <c r="B1077" s="424" t="str">
        <f>IF(AND(NOT(ISBLANK(E1077)),E1077&lt;&gt;"(blank)"),IFERROR(IF(INDEX(HostBuild[],MATCH(E1077,HostBuild[Alias],0),COLUMN(HostBuild[Status]))&lt;&gt;0,INDEX(HostBuild[],MATCH(E1077,HostBuild[Alias],0),COLUMN(HostBuild[Status])),""),""),"")</f>
        <v/>
      </c>
      <c r="C1077" s="425" t="str">
        <f>IF(AND(NOT(ISBLANK(E1077)),E1077&lt;&gt;"(blank)"),IFERROR(IF(INDEX(HostBuild[],MATCH(E1077,HostBuild[Alias],0),COLUMN(HostBuild[CTI Target Completion]))&lt;&gt;0,INDEX(HostBuild[],MATCH(E1077,HostBuild[Alias],0),COLUMN(HostBuild[CTI Target Completion])),""),""),"")</f>
        <v/>
      </c>
      <c r="D1077" s="262" t="str">
        <f>IF(AND(NOT(ISBLANK(E1077)),E1077&lt;&gt;"(blank)"),IFERROR(IF(INDEX(HostBuild[],MATCH(E1077,HostBuild[Alias],0),COLUMN(HostBuild[Description]))&lt;&gt;0,INDEX(HostBuild[],MATCH(E1077,HostBuild[Alias],0),COLUMN(HostBuild[Description])),""),""),"")</f>
        <v/>
      </c>
    </row>
    <row r="1078" spans="1:4">
      <c r="A1078" s="3" t="str">
        <f>IF(AND(NOT(ISBLANK(E1078)),E1078&lt;&gt;"(blank)"),IFERROR(IF(INDEX(HostBuild[],MATCH(E1078,HostBuild[Alias],0),COLUMN(HostBuild[Hostname]))&lt;&gt;0,INDEX(HostBuild[],MATCH(E1078,HostBuild[Alias],0),COLUMN(HostBuild[Hostname])),""),""),"")</f>
        <v/>
      </c>
      <c r="B1078" s="424" t="str">
        <f>IF(AND(NOT(ISBLANK(E1078)),E1078&lt;&gt;"(blank)"),IFERROR(IF(INDEX(HostBuild[],MATCH(E1078,HostBuild[Alias],0),COLUMN(HostBuild[Status]))&lt;&gt;0,INDEX(HostBuild[],MATCH(E1078,HostBuild[Alias],0),COLUMN(HostBuild[Status])),""),""),"")</f>
        <v/>
      </c>
      <c r="C1078" s="425" t="str">
        <f>IF(AND(NOT(ISBLANK(E1078)),E1078&lt;&gt;"(blank)"),IFERROR(IF(INDEX(HostBuild[],MATCH(E1078,HostBuild[Alias],0),COLUMN(HostBuild[CTI Target Completion]))&lt;&gt;0,INDEX(HostBuild[],MATCH(E1078,HostBuild[Alias],0),COLUMN(HostBuild[CTI Target Completion])),""),""),"")</f>
        <v/>
      </c>
      <c r="D1078" s="262" t="str">
        <f>IF(AND(NOT(ISBLANK(E1078)),E1078&lt;&gt;"(blank)"),IFERROR(IF(INDEX(HostBuild[],MATCH(E1078,HostBuild[Alias],0),COLUMN(HostBuild[Description]))&lt;&gt;0,INDEX(HostBuild[],MATCH(E1078,HostBuild[Alias],0),COLUMN(HostBuild[Description])),""),""),"")</f>
        <v/>
      </c>
    </row>
    <row r="1079" spans="1:4">
      <c r="A1079" s="3" t="str">
        <f>IF(AND(NOT(ISBLANK(E1079)),E1079&lt;&gt;"(blank)"),IFERROR(IF(INDEX(HostBuild[],MATCH(E1079,HostBuild[Alias],0),COLUMN(HostBuild[Hostname]))&lt;&gt;0,INDEX(HostBuild[],MATCH(E1079,HostBuild[Alias],0),COLUMN(HostBuild[Hostname])),""),""),"")</f>
        <v/>
      </c>
      <c r="B1079" s="424" t="str">
        <f>IF(AND(NOT(ISBLANK(E1079)),E1079&lt;&gt;"(blank)"),IFERROR(IF(INDEX(HostBuild[],MATCH(E1079,HostBuild[Alias],0),COLUMN(HostBuild[Status]))&lt;&gt;0,INDEX(HostBuild[],MATCH(E1079,HostBuild[Alias],0),COLUMN(HostBuild[Status])),""),""),"")</f>
        <v/>
      </c>
      <c r="C1079" s="425" t="str">
        <f>IF(AND(NOT(ISBLANK(E1079)),E1079&lt;&gt;"(blank)"),IFERROR(IF(INDEX(HostBuild[],MATCH(E1079,HostBuild[Alias],0),COLUMN(HostBuild[CTI Target Completion]))&lt;&gt;0,INDEX(HostBuild[],MATCH(E1079,HostBuild[Alias],0),COLUMN(HostBuild[CTI Target Completion])),""),""),"")</f>
        <v/>
      </c>
      <c r="D1079" s="262" t="str">
        <f>IF(AND(NOT(ISBLANK(E1079)),E1079&lt;&gt;"(blank)"),IFERROR(IF(INDEX(HostBuild[],MATCH(E1079,HostBuild[Alias],0),COLUMN(HostBuild[Description]))&lt;&gt;0,INDEX(HostBuild[],MATCH(E1079,HostBuild[Alias],0),COLUMN(HostBuild[Description])),""),""),"")</f>
        <v/>
      </c>
    </row>
    <row r="1080" spans="1:4">
      <c r="A1080" s="3" t="str">
        <f>IF(AND(NOT(ISBLANK(E1080)),E1080&lt;&gt;"(blank)"),IFERROR(IF(INDEX(HostBuild[],MATCH(E1080,HostBuild[Alias],0),COLUMN(HostBuild[Hostname]))&lt;&gt;0,INDEX(HostBuild[],MATCH(E1080,HostBuild[Alias],0),COLUMN(HostBuild[Hostname])),""),""),"")</f>
        <v/>
      </c>
      <c r="B1080" s="424" t="str">
        <f>IF(AND(NOT(ISBLANK(E1080)),E1080&lt;&gt;"(blank)"),IFERROR(IF(INDEX(HostBuild[],MATCH(E1080,HostBuild[Alias],0),COLUMN(HostBuild[Status]))&lt;&gt;0,INDEX(HostBuild[],MATCH(E1080,HostBuild[Alias],0),COLUMN(HostBuild[Status])),""),""),"")</f>
        <v/>
      </c>
      <c r="C1080" s="425" t="str">
        <f>IF(AND(NOT(ISBLANK(E1080)),E1080&lt;&gt;"(blank)"),IFERROR(IF(INDEX(HostBuild[],MATCH(E1080,HostBuild[Alias],0),COLUMN(HostBuild[CTI Target Completion]))&lt;&gt;0,INDEX(HostBuild[],MATCH(E1080,HostBuild[Alias],0),COLUMN(HostBuild[CTI Target Completion])),""),""),"")</f>
        <v/>
      </c>
      <c r="D1080" s="262" t="str">
        <f>IF(AND(NOT(ISBLANK(E1080)),E1080&lt;&gt;"(blank)"),IFERROR(IF(INDEX(HostBuild[],MATCH(E1080,HostBuild[Alias],0),COLUMN(HostBuild[Description]))&lt;&gt;0,INDEX(HostBuild[],MATCH(E1080,HostBuild[Alias],0),COLUMN(HostBuild[Description])),""),""),"")</f>
        <v/>
      </c>
    </row>
    <row r="1081" spans="1:4">
      <c r="A1081" s="3" t="str">
        <f>IF(AND(NOT(ISBLANK(E1081)),E1081&lt;&gt;"(blank)"),IFERROR(IF(INDEX(HostBuild[],MATCH(E1081,HostBuild[Alias],0),COLUMN(HostBuild[Hostname]))&lt;&gt;0,INDEX(HostBuild[],MATCH(E1081,HostBuild[Alias],0),COLUMN(HostBuild[Hostname])),""),""),"")</f>
        <v/>
      </c>
      <c r="B1081" s="424" t="str">
        <f>IF(AND(NOT(ISBLANK(E1081)),E1081&lt;&gt;"(blank)"),IFERROR(IF(INDEX(HostBuild[],MATCH(E1081,HostBuild[Alias],0),COLUMN(HostBuild[Status]))&lt;&gt;0,INDEX(HostBuild[],MATCH(E1081,HostBuild[Alias],0),COLUMN(HostBuild[Status])),""),""),"")</f>
        <v/>
      </c>
      <c r="C1081" s="425" t="str">
        <f>IF(AND(NOT(ISBLANK(E1081)),E1081&lt;&gt;"(blank)"),IFERROR(IF(INDEX(HostBuild[],MATCH(E1081,HostBuild[Alias],0),COLUMN(HostBuild[CTI Target Completion]))&lt;&gt;0,INDEX(HostBuild[],MATCH(E1081,HostBuild[Alias],0),COLUMN(HostBuild[CTI Target Completion])),""),""),"")</f>
        <v/>
      </c>
      <c r="D1081" s="262" t="str">
        <f>IF(AND(NOT(ISBLANK(E1081)),E1081&lt;&gt;"(blank)"),IFERROR(IF(INDEX(HostBuild[],MATCH(E1081,HostBuild[Alias],0),COLUMN(HostBuild[Description]))&lt;&gt;0,INDEX(HostBuild[],MATCH(E1081,HostBuild[Alias],0),COLUMN(HostBuild[Description])),""),""),"")</f>
        <v/>
      </c>
    </row>
    <row r="1082" spans="1:4">
      <c r="A1082" s="3" t="str">
        <f>IF(AND(NOT(ISBLANK(E1082)),E1082&lt;&gt;"(blank)"),IFERROR(IF(INDEX(HostBuild[],MATCH(E1082,HostBuild[Alias],0),COLUMN(HostBuild[Hostname]))&lt;&gt;0,INDEX(HostBuild[],MATCH(E1082,HostBuild[Alias],0),COLUMN(HostBuild[Hostname])),""),""),"")</f>
        <v/>
      </c>
      <c r="B1082" s="424" t="str">
        <f>IF(AND(NOT(ISBLANK(E1082)),E1082&lt;&gt;"(blank)"),IFERROR(IF(INDEX(HostBuild[],MATCH(E1082,HostBuild[Alias],0),COLUMN(HostBuild[Status]))&lt;&gt;0,INDEX(HostBuild[],MATCH(E1082,HostBuild[Alias],0),COLUMN(HostBuild[Status])),""),""),"")</f>
        <v/>
      </c>
      <c r="C1082" s="425" t="str">
        <f>IF(AND(NOT(ISBLANK(E1082)),E1082&lt;&gt;"(blank)"),IFERROR(IF(INDEX(HostBuild[],MATCH(E1082,HostBuild[Alias],0),COLUMN(HostBuild[CTI Target Completion]))&lt;&gt;0,INDEX(HostBuild[],MATCH(E1082,HostBuild[Alias],0),COLUMN(HostBuild[CTI Target Completion])),""),""),"")</f>
        <v/>
      </c>
      <c r="D1082" s="262" t="str">
        <f>IF(AND(NOT(ISBLANK(E1082)),E1082&lt;&gt;"(blank)"),IFERROR(IF(INDEX(HostBuild[],MATCH(E1082,HostBuild[Alias],0),COLUMN(HostBuild[Description]))&lt;&gt;0,INDEX(HostBuild[],MATCH(E1082,HostBuild[Alias],0),COLUMN(HostBuild[Description])),""),""),"")</f>
        <v/>
      </c>
    </row>
    <row r="1083" spans="1:4">
      <c r="A1083" s="3" t="str">
        <f>IF(AND(NOT(ISBLANK(E1083)),E1083&lt;&gt;"(blank)"),IFERROR(IF(INDEX(HostBuild[],MATCH(E1083,HostBuild[Alias],0),COLUMN(HostBuild[Hostname]))&lt;&gt;0,INDEX(HostBuild[],MATCH(E1083,HostBuild[Alias],0),COLUMN(HostBuild[Hostname])),""),""),"")</f>
        <v/>
      </c>
      <c r="B1083" s="424" t="str">
        <f>IF(AND(NOT(ISBLANK(E1083)),E1083&lt;&gt;"(blank)"),IFERROR(IF(INDEX(HostBuild[],MATCH(E1083,HostBuild[Alias],0),COLUMN(HostBuild[Status]))&lt;&gt;0,INDEX(HostBuild[],MATCH(E1083,HostBuild[Alias],0),COLUMN(HostBuild[Status])),""),""),"")</f>
        <v/>
      </c>
      <c r="C1083" s="425" t="str">
        <f>IF(AND(NOT(ISBLANK(E1083)),E1083&lt;&gt;"(blank)"),IFERROR(IF(INDEX(HostBuild[],MATCH(E1083,HostBuild[Alias],0),COLUMN(HostBuild[CTI Target Completion]))&lt;&gt;0,INDEX(HostBuild[],MATCH(E1083,HostBuild[Alias],0),COLUMN(HostBuild[CTI Target Completion])),""),""),"")</f>
        <v/>
      </c>
      <c r="D1083" s="262" t="str">
        <f>IF(AND(NOT(ISBLANK(E1083)),E1083&lt;&gt;"(blank)"),IFERROR(IF(INDEX(HostBuild[],MATCH(E1083,HostBuild[Alias],0),COLUMN(HostBuild[Description]))&lt;&gt;0,INDEX(HostBuild[],MATCH(E1083,HostBuild[Alias],0),COLUMN(HostBuild[Description])),""),""),"")</f>
        <v/>
      </c>
    </row>
    <row r="1084" spans="1:4">
      <c r="A1084" s="3" t="str">
        <f>IF(AND(NOT(ISBLANK(E1084)),E1084&lt;&gt;"(blank)"),IFERROR(IF(INDEX(HostBuild[],MATCH(E1084,HostBuild[Alias],0),COLUMN(HostBuild[Hostname]))&lt;&gt;0,INDEX(HostBuild[],MATCH(E1084,HostBuild[Alias],0),COLUMN(HostBuild[Hostname])),""),""),"")</f>
        <v/>
      </c>
      <c r="B1084" s="424" t="str">
        <f>IF(AND(NOT(ISBLANK(E1084)),E1084&lt;&gt;"(blank)"),IFERROR(IF(INDEX(HostBuild[],MATCH(E1084,HostBuild[Alias],0),COLUMN(HostBuild[Status]))&lt;&gt;0,INDEX(HostBuild[],MATCH(E1084,HostBuild[Alias],0),COLUMN(HostBuild[Status])),""),""),"")</f>
        <v/>
      </c>
      <c r="C1084" s="425" t="str">
        <f>IF(AND(NOT(ISBLANK(E1084)),E1084&lt;&gt;"(blank)"),IFERROR(IF(INDEX(HostBuild[],MATCH(E1084,HostBuild[Alias],0),COLUMN(HostBuild[CTI Target Completion]))&lt;&gt;0,INDEX(HostBuild[],MATCH(E1084,HostBuild[Alias],0),COLUMN(HostBuild[CTI Target Completion])),""),""),"")</f>
        <v/>
      </c>
      <c r="D1084" s="262" t="str">
        <f>IF(AND(NOT(ISBLANK(E1084)),E1084&lt;&gt;"(blank)"),IFERROR(IF(INDEX(HostBuild[],MATCH(E1084,HostBuild[Alias],0),COLUMN(HostBuild[Description]))&lt;&gt;0,INDEX(HostBuild[],MATCH(E1084,HostBuild[Alias],0),COLUMN(HostBuild[Description])),""),""),"")</f>
        <v/>
      </c>
    </row>
    <row r="1085" spans="1:4">
      <c r="A1085" s="3" t="str">
        <f>IF(AND(NOT(ISBLANK(E1085)),E1085&lt;&gt;"(blank)"),IFERROR(IF(INDEX(HostBuild[],MATCH(E1085,HostBuild[Alias],0),COLUMN(HostBuild[Hostname]))&lt;&gt;0,INDEX(HostBuild[],MATCH(E1085,HostBuild[Alias],0),COLUMN(HostBuild[Hostname])),""),""),"")</f>
        <v/>
      </c>
      <c r="B1085" s="424" t="str">
        <f>IF(AND(NOT(ISBLANK(E1085)),E1085&lt;&gt;"(blank)"),IFERROR(IF(INDEX(HostBuild[],MATCH(E1085,HostBuild[Alias],0),COLUMN(HostBuild[Status]))&lt;&gt;0,INDEX(HostBuild[],MATCH(E1085,HostBuild[Alias],0),COLUMN(HostBuild[Status])),""),""),"")</f>
        <v/>
      </c>
      <c r="C1085" s="425" t="str">
        <f>IF(AND(NOT(ISBLANK(E1085)),E1085&lt;&gt;"(blank)"),IFERROR(IF(INDEX(HostBuild[],MATCH(E1085,HostBuild[Alias],0),COLUMN(HostBuild[CTI Target Completion]))&lt;&gt;0,INDEX(HostBuild[],MATCH(E1085,HostBuild[Alias],0),COLUMN(HostBuild[CTI Target Completion])),""),""),"")</f>
        <v/>
      </c>
      <c r="D1085" s="262" t="str">
        <f>IF(AND(NOT(ISBLANK(E1085)),E1085&lt;&gt;"(blank)"),IFERROR(IF(INDEX(HostBuild[],MATCH(E1085,HostBuild[Alias],0),COLUMN(HostBuild[Description]))&lt;&gt;0,INDEX(HostBuild[],MATCH(E1085,HostBuild[Alias],0),COLUMN(HostBuild[Description])),""),""),"")</f>
        <v/>
      </c>
    </row>
    <row r="1086" spans="1:4">
      <c r="A1086" s="3" t="str">
        <f>IF(AND(NOT(ISBLANK(E1086)),E1086&lt;&gt;"(blank)"),IFERROR(IF(INDEX(HostBuild[],MATCH(E1086,HostBuild[Alias],0),COLUMN(HostBuild[Hostname]))&lt;&gt;0,INDEX(HostBuild[],MATCH(E1086,HostBuild[Alias],0),COLUMN(HostBuild[Hostname])),""),""),"")</f>
        <v/>
      </c>
      <c r="B1086" s="424" t="str">
        <f>IF(AND(NOT(ISBLANK(E1086)),E1086&lt;&gt;"(blank)"),IFERROR(IF(INDEX(HostBuild[],MATCH(E1086,HostBuild[Alias],0),COLUMN(HostBuild[Status]))&lt;&gt;0,INDEX(HostBuild[],MATCH(E1086,HostBuild[Alias],0),COLUMN(HostBuild[Status])),""),""),"")</f>
        <v/>
      </c>
      <c r="C1086" s="425" t="str">
        <f>IF(AND(NOT(ISBLANK(E1086)),E1086&lt;&gt;"(blank)"),IFERROR(IF(INDEX(HostBuild[],MATCH(E1086,HostBuild[Alias],0),COLUMN(HostBuild[CTI Target Completion]))&lt;&gt;0,INDEX(HostBuild[],MATCH(E1086,HostBuild[Alias],0),COLUMN(HostBuild[CTI Target Completion])),""),""),"")</f>
        <v/>
      </c>
      <c r="D1086" s="262" t="str">
        <f>IF(AND(NOT(ISBLANK(E1086)),E1086&lt;&gt;"(blank)"),IFERROR(IF(INDEX(HostBuild[],MATCH(E1086,HostBuild[Alias],0),COLUMN(HostBuild[Description]))&lt;&gt;0,INDEX(HostBuild[],MATCH(E1086,HostBuild[Alias],0),COLUMN(HostBuild[Description])),""),""),"")</f>
        <v/>
      </c>
    </row>
    <row r="1087" spans="1:4">
      <c r="A1087" s="3" t="str">
        <f>IF(AND(NOT(ISBLANK(E1087)),E1087&lt;&gt;"(blank)"),IFERROR(IF(INDEX(HostBuild[],MATCH(E1087,HostBuild[Alias],0),COLUMN(HostBuild[Hostname]))&lt;&gt;0,INDEX(HostBuild[],MATCH(E1087,HostBuild[Alias],0),COLUMN(HostBuild[Hostname])),""),""),"")</f>
        <v/>
      </c>
      <c r="B1087" s="424" t="str">
        <f>IF(AND(NOT(ISBLANK(E1087)),E1087&lt;&gt;"(blank)"),IFERROR(IF(INDEX(HostBuild[],MATCH(E1087,HostBuild[Alias],0),COLUMN(HostBuild[Status]))&lt;&gt;0,INDEX(HostBuild[],MATCH(E1087,HostBuild[Alias],0),COLUMN(HostBuild[Status])),""),""),"")</f>
        <v/>
      </c>
      <c r="C1087" s="425" t="str">
        <f>IF(AND(NOT(ISBLANK(E1087)),E1087&lt;&gt;"(blank)"),IFERROR(IF(INDEX(HostBuild[],MATCH(E1087,HostBuild[Alias],0),COLUMN(HostBuild[CTI Target Completion]))&lt;&gt;0,INDEX(HostBuild[],MATCH(E1087,HostBuild[Alias],0),COLUMN(HostBuild[CTI Target Completion])),""),""),"")</f>
        <v/>
      </c>
      <c r="D1087" s="262" t="str">
        <f>IF(AND(NOT(ISBLANK(E1087)),E1087&lt;&gt;"(blank)"),IFERROR(IF(INDEX(HostBuild[],MATCH(E1087,HostBuild[Alias],0),COLUMN(HostBuild[Description]))&lt;&gt;0,INDEX(HostBuild[],MATCH(E1087,HostBuild[Alias],0),COLUMN(HostBuild[Description])),""),""),"")</f>
        <v/>
      </c>
    </row>
    <row r="1088" spans="1:4">
      <c r="A1088" s="3" t="str">
        <f>IF(AND(NOT(ISBLANK(E1088)),E1088&lt;&gt;"(blank)"),IFERROR(IF(INDEX(HostBuild[],MATCH(E1088,HostBuild[Alias],0),COLUMN(HostBuild[Hostname]))&lt;&gt;0,INDEX(HostBuild[],MATCH(E1088,HostBuild[Alias],0),COLUMN(HostBuild[Hostname])),""),""),"")</f>
        <v/>
      </c>
      <c r="B1088" s="424" t="str">
        <f>IF(AND(NOT(ISBLANK(E1088)),E1088&lt;&gt;"(blank)"),IFERROR(IF(INDEX(HostBuild[],MATCH(E1088,HostBuild[Alias],0),COLUMN(HostBuild[Status]))&lt;&gt;0,INDEX(HostBuild[],MATCH(E1088,HostBuild[Alias],0),COLUMN(HostBuild[Status])),""),""),"")</f>
        <v/>
      </c>
      <c r="C1088" s="425" t="str">
        <f>IF(AND(NOT(ISBLANK(E1088)),E1088&lt;&gt;"(blank)"),IFERROR(IF(INDEX(HostBuild[],MATCH(E1088,HostBuild[Alias],0),COLUMN(HostBuild[CTI Target Completion]))&lt;&gt;0,INDEX(HostBuild[],MATCH(E1088,HostBuild[Alias],0),COLUMN(HostBuild[CTI Target Completion])),""),""),"")</f>
        <v/>
      </c>
      <c r="D1088" s="262" t="str">
        <f>IF(AND(NOT(ISBLANK(E1088)),E1088&lt;&gt;"(blank)"),IFERROR(IF(INDEX(HostBuild[],MATCH(E1088,HostBuild[Alias],0),COLUMN(HostBuild[Description]))&lt;&gt;0,INDEX(HostBuild[],MATCH(E1088,HostBuild[Alias],0),COLUMN(HostBuild[Description])),""),""),"")</f>
        <v/>
      </c>
    </row>
    <row r="1089" spans="1:4">
      <c r="A1089" s="3" t="str">
        <f>IF(AND(NOT(ISBLANK(E1089)),E1089&lt;&gt;"(blank)"),IFERROR(IF(INDEX(HostBuild[],MATCH(E1089,HostBuild[Alias],0),COLUMN(HostBuild[Hostname]))&lt;&gt;0,INDEX(HostBuild[],MATCH(E1089,HostBuild[Alias],0),COLUMN(HostBuild[Hostname])),""),""),"")</f>
        <v/>
      </c>
      <c r="B1089" s="424" t="str">
        <f>IF(AND(NOT(ISBLANK(E1089)),E1089&lt;&gt;"(blank)"),IFERROR(IF(INDEX(HostBuild[],MATCH(E1089,HostBuild[Alias],0),COLUMN(HostBuild[Status]))&lt;&gt;0,INDEX(HostBuild[],MATCH(E1089,HostBuild[Alias],0),COLUMN(HostBuild[Status])),""),""),"")</f>
        <v/>
      </c>
      <c r="C1089" s="425" t="str">
        <f>IF(AND(NOT(ISBLANK(E1089)),E1089&lt;&gt;"(blank)"),IFERROR(IF(INDEX(HostBuild[],MATCH(E1089,HostBuild[Alias],0),COLUMN(HostBuild[CTI Target Completion]))&lt;&gt;0,INDEX(HostBuild[],MATCH(E1089,HostBuild[Alias],0),COLUMN(HostBuild[CTI Target Completion])),""),""),"")</f>
        <v/>
      </c>
      <c r="D1089" s="262" t="str">
        <f>IF(AND(NOT(ISBLANK(E1089)),E1089&lt;&gt;"(blank)"),IFERROR(IF(INDEX(HostBuild[],MATCH(E1089,HostBuild[Alias],0),COLUMN(HostBuild[Description]))&lt;&gt;0,INDEX(HostBuild[],MATCH(E1089,HostBuild[Alias],0),COLUMN(HostBuild[Description])),""),""),"")</f>
        <v/>
      </c>
    </row>
    <row r="1090" spans="1:4">
      <c r="A1090" s="3" t="str">
        <f>IF(AND(NOT(ISBLANK(E1090)),E1090&lt;&gt;"(blank)"),IFERROR(IF(INDEX(HostBuild[],MATCH(E1090,HostBuild[Alias],0),COLUMN(HostBuild[Hostname]))&lt;&gt;0,INDEX(HostBuild[],MATCH(E1090,HostBuild[Alias],0),COLUMN(HostBuild[Hostname])),""),""),"")</f>
        <v/>
      </c>
      <c r="B1090" s="424" t="str">
        <f>IF(AND(NOT(ISBLANK(E1090)),E1090&lt;&gt;"(blank)"),IFERROR(IF(INDEX(HostBuild[],MATCH(E1090,HostBuild[Alias],0),COLUMN(HostBuild[Status]))&lt;&gt;0,INDEX(HostBuild[],MATCH(E1090,HostBuild[Alias],0),COLUMN(HostBuild[Status])),""),""),"")</f>
        <v/>
      </c>
      <c r="C1090" s="425" t="str">
        <f>IF(AND(NOT(ISBLANK(E1090)),E1090&lt;&gt;"(blank)"),IFERROR(IF(INDEX(HostBuild[],MATCH(E1090,HostBuild[Alias],0),COLUMN(HostBuild[CTI Target Completion]))&lt;&gt;0,INDEX(HostBuild[],MATCH(E1090,HostBuild[Alias],0),COLUMN(HostBuild[CTI Target Completion])),""),""),"")</f>
        <v/>
      </c>
      <c r="D1090" s="262" t="str">
        <f>IF(AND(NOT(ISBLANK(E1090)),E1090&lt;&gt;"(blank)"),IFERROR(IF(INDEX(HostBuild[],MATCH(E1090,HostBuild[Alias],0),COLUMN(HostBuild[Description]))&lt;&gt;0,INDEX(HostBuild[],MATCH(E1090,HostBuild[Alias],0),COLUMN(HostBuild[Description])),""),""),"")</f>
        <v/>
      </c>
    </row>
    <row r="1091" spans="1:4">
      <c r="A1091" s="3" t="str">
        <f>IF(AND(NOT(ISBLANK(E1091)),E1091&lt;&gt;"(blank)"),IFERROR(IF(INDEX(HostBuild[],MATCH(E1091,HostBuild[Alias],0),COLUMN(HostBuild[Hostname]))&lt;&gt;0,INDEX(HostBuild[],MATCH(E1091,HostBuild[Alias],0),COLUMN(HostBuild[Hostname])),""),""),"")</f>
        <v/>
      </c>
      <c r="B1091" s="424" t="str">
        <f>IF(AND(NOT(ISBLANK(E1091)),E1091&lt;&gt;"(blank)"),IFERROR(IF(INDEX(HostBuild[],MATCH(E1091,HostBuild[Alias],0),COLUMN(HostBuild[Status]))&lt;&gt;0,INDEX(HostBuild[],MATCH(E1091,HostBuild[Alias],0),COLUMN(HostBuild[Status])),""),""),"")</f>
        <v/>
      </c>
      <c r="C1091" s="425" t="str">
        <f>IF(AND(NOT(ISBLANK(E1091)),E1091&lt;&gt;"(blank)"),IFERROR(IF(INDEX(HostBuild[],MATCH(E1091,HostBuild[Alias],0),COLUMN(HostBuild[CTI Target Completion]))&lt;&gt;0,INDEX(HostBuild[],MATCH(E1091,HostBuild[Alias],0),COLUMN(HostBuild[CTI Target Completion])),""),""),"")</f>
        <v/>
      </c>
      <c r="D1091" s="262" t="str">
        <f>IF(AND(NOT(ISBLANK(E1091)),E1091&lt;&gt;"(blank)"),IFERROR(IF(INDEX(HostBuild[],MATCH(E1091,HostBuild[Alias],0),COLUMN(HostBuild[Description]))&lt;&gt;0,INDEX(HostBuild[],MATCH(E1091,HostBuild[Alias],0),COLUMN(HostBuild[Description])),""),""),"")</f>
        <v/>
      </c>
    </row>
    <row r="1092" spans="1:4">
      <c r="A1092" s="3" t="str">
        <f>IF(AND(NOT(ISBLANK(E1092)),E1092&lt;&gt;"(blank)"),IFERROR(IF(INDEX(HostBuild[],MATCH(E1092,HostBuild[Alias],0),COLUMN(HostBuild[Hostname]))&lt;&gt;0,INDEX(HostBuild[],MATCH(E1092,HostBuild[Alias],0),COLUMN(HostBuild[Hostname])),""),""),"")</f>
        <v/>
      </c>
      <c r="B1092" s="424" t="str">
        <f>IF(AND(NOT(ISBLANK(E1092)),E1092&lt;&gt;"(blank)"),IFERROR(IF(INDEX(HostBuild[],MATCH(E1092,HostBuild[Alias],0),COLUMN(HostBuild[Status]))&lt;&gt;0,INDEX(HostBuild[],MATCH(E1092,HostBuild[Alias],0),COLUMN(HostBuild[Status])),""),""),"")</f>
        <v/>
      </c>
      <c r="C1092" s="425" t="str">
        <f>IF(AND(NOT(ISBLANK(E1092)),E1092&lt;&gt;"(blank)"),IFERROR(IF(INDEX(HostBuild[],MATCH(E1092,HostBuild[Alias],0),COLUMN(HostBuild[CTI Target Completion]))&lt;&gt;0,INDEX(HostBuild[],MATCH(E1092,HostBuild[Alias],0),COLUMN(HostBuild[CTI Target Completion])),""),""),"")</f>
        <v/>
      </c>
      <c r="D1092" s="262" t="str">
        <f>IF(AND(NOT(ISBLANK(E1092)),E1092&lt;&gt;"(blank)"),IFERROR(IF(INDEX(HostBuild[],MATCH(E1092,HostBuild[Alias],0),COLUMN(HostBuild[Description]))&lt;&gt;0,INDEX(HostBuild[],MATCH(E1092,HostBuild[Alias],0),COLUMN(HostBuild[Description])),""),""),"")</f>
        <v/>
      </c>
    </row>
    <row r="1093" spans="1:4">
      <c r="A1093" s="3" t="str">
        <f>IF(AND(NOT(ISBLANK(E1093)),E1093&lt;&gt;"(blank)"),IFERROR(IF(INDEX(HostBuild[],MATCH(E1093,HostBuild[Alias],0),COLUMN(HostBuild[Hostname]))&lt;&gt;0,INDEX(HostBuild[],MATCH(E1093,HostBuild[Alias],0),COLUMN(HostBuild[Hostname])),""),""),"")</f>
        <v/>
      </c>
      <c r="B1093" s="424" t="str">
        <f>IF(AND(NOT(ISBLANK(E1093)),E1093&lt;&gt;"(blank)"),IFERROR(IF(INDEX(HostBuild[],MATCH(E1093,HostBuild[Alias],0),COLUMN(HostBuild[Status]))&lt;&gt;0,INDEX(HostBuild[],MATCH(E1093,HostBuild[Alias],0),COLUMN(HostBuild[Status])),""),""),"")</f>
        <v/>
      </c>
      <c r="C1093" s="425" t="str">
        <f>IF(AND(NOT(ISBLANK(E1093)),E1093&lt;&gt;"(blank)"),IFERROR(IF(INDEX(HostBuild[],MATCH(E1093,HostBuild[Alias],0),COLUMN(HostBuild[CTI Target Completion]))&lt;&gt;0,INDEX(HostBuild[],MATCH(E1093,HostBuild[Alias],0),COLUMN(HostBuild[CTI Target Completion])),""),""),"")</f>
        <v/>
      </c>
      <c r="D1093" s="262" t="str">
        <f>IF(AND(NOT(ISBLANK(E1093)),E1093&lt;&gt;"(blank)"),IFERROR(IF(INDEX(HostBuild[],MATCH(E1093,HostBuild[Alias],0),COLUMN(HostBuild[Description]))&lt;&gt;0,INDEX(HostBuild[],MATCH(E1093,HostBuild[Alias],0),COLUMN(HostBuild[Description])),""),""),"")</f>
        <v/>
      </c>
    </row>
    <row r="1094" spans="1:4">
      <c r="A1094" s="3" t="str">
        <f>IF(AND(NOT(ISBLANK(E1094)),E1094&lt;&gt;"(blank)"),IFERROR(IF(INDEX(HostBuild[],MATCH(E1094,HostBuild[Alias],0),COLUMN(HostBuild[Hostname]))&lt;&gt;0,INDEX(HostBuild[],MATCH(E1094,HostBuild[Alias],0),COLUMN(HostBuild[Hostname])),""),""),"")</f>
        <v/>
      </c>
      <c r="B1094" s="424" t="str">
        <f>IF(AND(NOT(ISBLANK(E1094)),E1094&lt;&gt;"(blank)"),IFERROR(IF(INDEX(HostBuild[],MATCH(E1094,HostBuild[Alias],0),COLUMN(HostBuild[Status]))&lt;&gt;0,INDEX(HostBuild[],MATCH(E1094,HostBuild[Alias],0),COLUMN(HostBuild[Status])),""),""),"")</f>
        <v/>
      </c>
      <c r="C1094" s="425" t="str">
        <f>IF(AND(NOT(ISBLANK(E1094)),E1094&lt;&gt;"(blank)"),IFERROR(IF(INDEX(HostBuild[],MATCH(E1094,HostBuild[Alias],0),COLUMN(HostBuild[CTI Target Completion]))&lt;&gt;0,INDEX(HostBuild[],MATCH(E1094,HostBuild[Alias],0),COLUMN(HostBuild[CTI Target Completion])),""),""),"")</f>
        <v/>
      </c>
      <c r="D1094" s="262" t="str">
        <f>IF(AND(NOT(ISBLANK(E1094)),E1094&lt;&gt;"(blank)"),IFERROR(IF(INDEX(HostBuild[],MATCH(E1094,HostBuild[Alias],0),COLUMN(HostBuild[Description]))&lt;&gt;0,INDEX(HostBuild[],MATCH(E1094,HostBuild[Alias],0),COLUMN(HostBuild[Description])),""),""),"")</f>
        <v/>
      </c>
    </row>
    <row r="1095" spans="1:4">
      <c r="A1095" s="3" t="str">
        <f>IF(AND(NOT(ISBLANK(E1095)),E1095&lt;&gt;"(blank)"),IFERROR(IF(INDEX(HostBuild[],MATCH(E1095,HostBuild[Alias],0),COLUMN(HostBuild[Hostname]))&lt;&gt;0,INDEX(HostBuild[],MATCH(E1095,HostBuild[Alias],0),COLUMN(HostBuild[Hostname])),""),""),"")</f>
        <v/>
      </c>
      <c r="B1095" s="424" t="str">
        <f>IF(AND(NOT(ISBLANK(E1095)),E1095&lt;&gt;"(blank)"),IFERROR(IF(INDEX(HostBuild[],MATCH(E1095,HostBuild[Alias],0),COLUMN(HostBuild[Status]))&lt;&gt;0,INDEX(HostBuild[],MATCH(E1095,HostBuild[Alias],0),COLUMN(HostBuild[Status])),""),""),"")</f>
        <v/>
      </c>
      <c r="C1095" s="425" t="str">
        <f>IF(AND(NOT(ISBLANK(E1095)),E1095&lt;&gt;"(blank)"),IFERROR(IF(INDEX(HostBuild[],MATCH(E1095,HostBuild[Alias],0),COLUMN(HostBuild[CTI Target Completion]))&lt;&gt;0,INDEX(HostBuild[],MATCH(E1095,HostBuild[Alias],0),COLUMN(HostBuild[CTI Target Completion])),""),""),"")</f>
        <v/>
      </c>
      <c r="D1095" s="262" t="str">
        <f>IF(AND(NOT(ISBLANK(E1095)),E1095&lt;&gt;"(blank)"),IFERROR(IF(INDEX(HostBuild[],MATCH(E1095,HostBuild[Alias],0),COLUMN(HostBuild[Description]))&lt;&gt;0,INDEX(HostBuild[],MATCH(E1095,HostBuild[Alias],0),COLUMN(HostBuild[Description])),""),""),"")</f>
        <v/>
      </c>
    </row>
    <row r="1096" spans="1:4">
      <c r="A1096" s="3" t="str">
        <f>IF(AND(NOT(ISBLANK(E1096)),E1096&lt;&gt;"(blank)"),IFERROR(IF(INDEX(HostBuild[],MATCH(E1096,HostBuild[Alias],0),COLUMN(HostBuild[Hostname]))&lt;&gt;0,INDEX(HostBuild[],MATCH(E1096,HostBuild[Alias],0),COLUMN(HostBuild[Hostname])),""),""),"")</f>
        <v/>
      </c>
      <c r="B1096" s="424" t="str">
        <f>IF(AND(NOT(ISBLANK(E1096)),E1096&lt;&gt;"(blank)"),IFERROR(IF(INDEX(HostBuild[],MATCH(E1096,HostBuild[Alias],0),COLUMN(HostBuild[Status]))&lt;&gt;0,INDEX(HostBuild[],MATCH(E1096,HostBuild[Alias],0),COLUMN(HostBuild[Status])),""),""),"")</f>
        <v/>
      </c>
      <c r="C1096" s="425" t="str">
        <f>IF(AND(NOT(ISBLANK(E1096)),E1096&lt;&gt;"(blank)"),IFERROR(IF(INDEX(HostBuild[],MATCH(E1096,HostBuild[Alias],0),COLUMN(HostBuild[CTI Target Completion]))&lt;&gt;0,INDEX(HostBuild[],MATCH(E1096,HostBuild[Alias],0),COLUMN(HostBuild[CTI Target Completion])),""),""),"")</f>
        <v/>
      </c>
      <c r="D1096" s="262" t="str">
        <f>IF(AND(NOT(ISBLANK(E1096)),E1096&lt;&gt;"(blank)"),IFERROR(IF(INDEX(HostBuild[],MATCH(E1096,HostBuild[Alias],0),COLUMN(HostBuild[Description]))&lt;&gt;0,INDEX(HostBuild[],MATCH(E1096,HostBuild[Alias],0),COLUMN(HostBuild[Description])),""),""),"")</f>
        <v/>
      </c>
    </row>
    <row r="1097" spans="1:4">
      <c r="A1097" s="3" t="str">
        <f>IF(AND(NOT(ISBLANK(E1097)),E1097&lt;&gt;"(blank)"),IFERROR(IF(INDEX(HostBuild[],MATCH(E1097,HostBuild[Alias],0),COLUMN(HostBuild[Hostname]))&lt;&gt;0,INDEX(HostBuild[],MATCH(E1097,HostBuild[Alias],0),COLUMN(HostBuild[Hostname])),""),""),"")</f>
        <v/>
      </c>
      <c r="B1097" s="424" t="str">
        <f>IF(AND(NOT(ISBLANK(E1097)),E1097&lt;&gt;"(blank)"),IFERROR(IF(INDEX(HostBuild[],MATCH(E1097,HostBuild[Alias],0),COLUMN(HostBuild[Status]))&lt;&gt;0,INDEX(HostBuild[],MATCH(E1097,HostBuild[Alias],0),COLUMN(HostBuild[Status])),""),""),"")</f>
        <v/>
      </c>
      <c r="C1097" s="425" t="str">
        <f>IF(AND(NOT(ISBLANK(E1097)),E1097&lt;&gt;"(blank)"),IFERROR(IF(INDEX(HostBuild[],MATCH(E1097,HostBuild[Alias],0),COLUMN(HostBuild[CTI Target Completion]))&lt;&gt;0,INDEX(HostBuild[],MATCH(E1097,HostBuild[Alias],0),COLUMN(HostBuild[CTI Target Completion])),""),""),"")</f>
        <v/>
      </c>
      <c r="D1097" s="262" t="str">
        <f>IF(AND(NOT(ISBLANK(E1097)),E1097&lt;&gt;"(blank)"),IFERROR(IF(INDEX(HostBuild[],MATCH(E1097,HostBuild[Alias],0),COLUMN(HostBuild[Description]))&lt;&gt;0,INDEX(HostBuild[],MATCH(E1097,HostBuild[Alias],0),COLUMN(HostBuild[Description])),""),""),"")</f>
        <v/>
      </c>
    </row>
    <row r="1098" spans="1:4">
      <c r="A1098" s="3" t="str">
        <f>IF(AND(NOT(ISBLANK(E1098)),E1098&lt;&gt;"(blank)"),IFERROR(IF(INDEX(HostBuild[],MATCH(E1098,HostBuild[Alias],0),COLUMN(HostBuild[Hostname]))&lt;&gt;0,INDEX(HostBuild[],MATCH(E1098,HostBuild[Alias],0),COLUMN(HostBuild[Hostname])),""),""),"")</f>
        <v/>
      </c>
      <c r="B1098" s="424" t="str">
        <f>IF(AND(NOT(ISBLANK(E1098)),E1098&lt;&gt;"(blank)"),IFERROR(IF(INDEX(HostBuild[],MATCH(E1098,HostBuild[Alias],0),COLUMN(HostBuild[Status]))&lt;&gt;0,INDEX(HostBuild[],MATCH(E1098,HostBuild[Alias],0),COLUMN(HostBuild[Status])),""),""),"")</f>
        <v/>
      </c>
      <c r="C1098" s="425" t="str">
        <f>IF(AND(NOT(ISBLANK(E1098)),E1098&lt;&gt;"(blank)"),IFERROR(IF(INDEX(HostBuild[],MATCH(E1098,HostBuild[Alias],0),COLUMN(HostBuild[CTI Target Completion]))&lt;&gt;0,INDEX(HostBuild[],MATCH(E1098,HostBuild[Alias],0),COLUMN(HostBuild[CTI Target Completion])),""),""),"")</f>
        <v/>
      </c>
      <c r="D1098" s="262" t="str">
        <f>IF(AND(NOT(ISBLANK(E1098)),E1098&lt;&gt;"(blank)"),IFERROR(IF(INDEX(HostBuild[],MATCH(E1098,HostBuild[Alias],0),COLUMN(HostBuild[Description]))&lt;&gt;0,INDEX(HostBuild[],MATCH(E1098,HostBuild[Alias],0),COLUMN(HostBuild[Description])),""),""),"")</f>
        <v/>
      </c>
    </row>
    <row r="1099" spans="1:4">
      <c r="A1099" s="3" t="str">
        <f>IF(AND(NOT(ISBLANK(E1099)),E1099&lt;&gt;"(blank)"),IFERROR(IF(INDEX(HostBuild[],MATCH(E1099,HostBuild[Alias],0),COLUMN(HostBuild[Hostname]))&lt;&gt;0,INDEX(HostBuild[],MATCH(E1099,HostBuild[Alias],0),COLUMN(HostBuild[Hostname])),""),""),"")</f>
        <v/>
      </c>
      <c r="B1099" s="424" t="str">
        <f>IF(AND(NOT(ISBLANK(E1099)),E1099&lt;&gt;"(blank)"),IFERROR(IF(INDEX(HostBuild[],MATCH(E1099,HostBuild[Alias],0),COLUMN(HostBuild[Status]))&lt;&gt;0,INDEX(HostBuild[],MATCH(E1099,HostBuild[Alias],0),COLUMN(HostBuild[Status])),""),""),"")</f>
        <v/>
      </c>
      <c r="C1099" s="425" t="str">
        <f>IF(AND(NOT(ISBLANK(E1099)),E1099&lt;&gt;"(blank)"),IFERROR(IF(INDEX(HostBuild[],MATCH(E1099,HostBuild[Alias],0),COLUMN(HostBuild[CTI Target Completion]))&lt;&gt;0,INDEX(HostBuild[],MATCH(E1099,HostBuild[Alias],0),COLUMN(HostBuild[CTI Target Completion])),""),""),"")</f>
        <v/>
      </c>
      <c r="D1099" s="262" t="str">
        <f>IF(AND(NOT(ISBLANK(E1099)),E1099&lt;&gt;"(blank)"),IFERROR(IF(INDEX(HostBuild[],MATCH(E1099,HostBuild[Alias],0),COLUMN(HostBuild[Description]))&lt;&gt;0,INDEX(HostBuild[],MATCH(E1099,HostBuild[Alias],0),COLUMN(HostBuild[Description])),""),""),"")</f>
        <v/>
      </c>
    </row>
    <row r="1100" spans="1:4">
      <c r="A1100" s="3" t="str">
        <f>IF(AND(NOT(ISBLANK(E1100)),E1100&lt;&gt;"(blank)"),IFERROR(IF(INDEX(HostBuild[],MATCH(E1100,HostBuild[Alias],0),COLUMN(HostBuild[Hostname]))&lt;&gt;0,INDEX(HostBuild[],MATCH(E1100,HostBuild[Alias],0),COLUMN(HostBuild[Hostname])),""),""),"")</f>
        <v/>
      </c>
      <c r="B1100" s="424" t="str">
        <f>IF(AND(NOT(ISBLANK(E1100)),E1100&lt;&gt;"(blank)"),IFERROR(IF(INDEX(HostBuild[],MATCH(E1100,HostBuild[Alias],0),COLUMN(HostBuild[Status]))&lt;&gt;0,INDEX(HostBuild[],MATCH(E1100,HostBuild[Alias],0),COLUMN(HostBuild[Status])),""),""),"")</f>
        <v/>
      </c>
      <c r="C1100" s="425" t="str">
        <f>IF(AND(NOT(ISBLANK(E1100)),E1100&lt;&gt;"(blank)"),IFERROR(IF(INDEX(HostBuild[],MATCH(E1100,HostBuild[Alias],0),COLUMN(HostBuild[CTI Target Completion]))&lt;&gt;0,INDEX(HostBuild[],MATCH(E1100,HostBuild[Alias],0),COLUMN(HostBuild[CTI Target Completion])),""),""),"")</f>
        <v/>
      </c>
      <c r="D1100" s="262" t="str">
        <f>IF(AND(NOT(ISBLANK(E1100)),E1100&lt;&gt;"(blank)"),IFERROR(IF(INDEX(HostBuild[],MATCH(E1100,HostBuild[Alias],0),COLUMN(HostBuild[Description]))&lt;&gt;0,INDEX(HostBuild[],MATCH(E1100,HostBuild[Alias],0),COLUMN(HostBuild[Description])),""),""),"")</f>
        <v/>
      </c>
    </row>
    <row r="1101" spans="1:4">
      <c r="A1101" s="3" t="str">
        <f>IF(AND(NOT(ISBLANK(E1101)),E1101&lt;&gt;"(blank)"),IFERROR(IF(INDEX(HostBuild[],MATCH(E1101,HostBuild[Alias],0),COLUMN(HostBuild[Hostname]))&lt;&gt;0,INDEX(HostBuild[],MATCH(E1101,HostBuild[Alias],0),COLUMN(HostBuild[Hostname])),""),""),"")</f>
        <v/>
      </c>
      <c r="B1101" s="424" t="str">
        <f>IF(AND(NOT(ISBLANK(E1101)),E1101&lt;&gt;"(blank)"),IFERROR(IF(INDEX(HostBuild[],MATCH(E1101,HostBuild[Alias],0),COLUMN(HostBuild[Status]))&lt;&gt;0,INDEX(HostBuild[],MATCH(E1101,HostBuild[Alias],0),COLUMN(HostBuild[Status])),""),""),"")</f>
        <v/>
      </c>
      <c r="C1101" s="425" t="str">
        <f>IF(AND(NOT(ISBLANK(E1101)),E1101&lt;&gt;"(blank)"),IFERROR(IF(INDEX(HostBuild[],MATCH(E1101,HostBuild[Alias],0),COLUMN(HostBuild[CTI Target Completion]))&lt;&gt;0,INDEX(HostBuild[],MATCH(E1101,HostBuild[Alias],0),COLUMN(HostBuild[CTI Target Completion])),""),""),"")</f>
        <v/>
      </c>
      <c r="D1101" s="262" t="str">
        <f>IF(AND(NOT(ISBLANK(E1101)),E1101&lt;&gt;"(blank)"),IFERROR(IF(INDEX(HostBuild[],MATCH(E1101,HostBuild[Alias],0),COLUMN(HostBuild[Description]))&lt;&gt;0,INDEX(HostBuild[],MATCH(E1101,HostBuild[Alias],0),COLUMN(HostBuild[Description])),""),""),"")</f>
        <v/>
      </c>
    </row>
    <row r="1102" spans="1:4">
      <c r="A1102" s="3" t="str">
        <f>IF(AND(NOT(ISBLANK(E1102)),E1102&lt;&gt;"(blank)"),IFERROR(IF(INDEX(HostBuild[],MATCH(E1102,HostBuild[Alias],0),COLUMN(HostBuild[Hostname]))&lt;&gt;0,INDEX(HostBuild[],MATCH(E1102,HostBuild[Alias],0),COLUMN(HostBuild[Hostname])),""),""),"")</f>
        <v/>
      </c>
      <c r="B1102" s="424" t="str">
        <f>IF(AND(NOT(ISBLANK(E1102)),E1102&lt;&gt;"(blank)"),IFERROR(IF(INDEX(HostBuild[],MATCH(E1102,HostBuild[Alias],0),COLUMN(HostBuild[Status]))&lt;&gt;0,INDEX(HostBuild[],MATCH(E1102,HostBuild[Alias],0),COLUMN(HostBuild[Status])),""),""),"")</f>
        <v/>
      </c>
      <c r="C1102" s="425" t="str">
        <f>IF(AND(NOT(ISBLANK(E1102)),E1102&lt;&gt;"(blank)"),IFERROR(IF(INDEX(HostBuild[],MATCH(E1102,HostBuild[Alias],0),COLUMN(HostBuild[CTI Target Completion]))&lt;&gt;0,INDEX(HostBuild[],MATCH(E1102,HostBuild[Alias],0),COLUMN(HostBuild[CTI Target Completion])),""),""),"")</f>
        <v/>
      </c>
      <c r="D1102" s="262" t="str">
        <f>IF(AND(NOT(ISBLANK(E1102)),E1102&lt;&gt;"(blank)"),IFERROR(IF(INDEX(HostBuild[],MATCH(E1102,HostBuild[Alias],0),COLUMN(HostBuild[Description]))&lt;&gt;0,INDEX(HostBuild[],MATCH(E1102,HostBuild[Alias],0),COLUMN(HostBuild[Description])),""),""),"")</f>
        <v/>
      </c>
    </row>
    <row r="1103" spans="1:4">
      <c r="A1103" s="3" t="str">
        <f>IF(AND(NOT(ISBLANK(E1103)),E1103&lt;&gt;"(blank)"),IFERROR(IF(INDEX(HostBuild[],MATCH(E1103,HostBuild[Alias],0),COLUMN(HostBuild[Hostname]))&lt;&gt;0,INDEX(HostBuild[],MATCH(E1103,HostBuild[Alias],0),COLUMN(HostBuild[Hostname])),""),""),"")</f>
        <v/>
      </c>
      <c r="B1103" s="424" t="str">
        <f>IF(AND(NOT(ISBLANK(E1103)),E1103&lt;&gt;"(blank)"),IFERROR(IF(INDEX(HostBuild[],MATCH(E1103,HostBuild[Alias],0),COLUMN(HostBuild[Status]))&lt;&gt;0,INDEX(HostBuild[],MATCH(E1103,HostBuild[Alias],0),COLUMN(HostBuild[Status])),""),""),"")</f>
        <v/>
      </c>
      <c r="C1103" s="425" t="str">
        <f>IF(AND(NOT(ISBLANK(E1103)),E1103&lt;&gt;"(blank)"),IFERROR(IF(INDEX(HostBuild[],MATCH(E1103,HostBuild[Alias],0),COLUMN(HostBuild[CTI Target Completion]))&lt;&gt;0,INDEX(HostBuild[],MATCH(E1103,HostBuild[Alias],0),COLUMN(HostBuild[CTI Target Completion])),""),""),"")</f>
        <v/>
      </c>
      <c r="D1103" s="262" t="str">
        <f>IF(AND(NOT(ISBLANK(E1103)),E1103&lt;&gt;"(blank)"),IFERROR(IF(INDEX(HostBuild[],MATCH(E1103,HostBuild[Alias],0),COLUMN(HostBuild[Description]))&lt;&gt;0,INDEX(HostBuild[],MATCH(E1103,HostBuild[Alias],0),COLUMN(HostBuild[Description])),""),""),"")</f>
        <v/>
      </c>
    </row>
    <row r="1104" spans="1:4">
      <c r="A1104" s="3" t="str">
        <f>IF(AND(NOT(ISBLANK(E1104)),E1104&lt;&gt;"(blank)"),IFERROR(IF(INDEX(HostBuild[],MATCH(E1104,HostBuild[Alias],0),COLUMN(HostBuild[Hostname]))&lt;&gt;0,INDEX(HostBuild[],MATCH(E1104,HostBuild[Alias],0),COLUMN(HostBuild[Hostname])),""),""),"")</f>
        <v/>
      </c>
      <c r="B1104" s="424" t="str">
        <f>IF(AND(NOT(ISBLANK(E1104)),E1104&lt;&gt;"(blank)"),IFERROR(IF(INDEX(HostBuild[],MATCH(E1104,HostBuild[Alias],0),COLUMN(HostBuild[Status]))&lt;&gt;0,INDEX(HostBuild[],MATCH(E1104,HostBuild[Alias],0),COLUMN(HostBuild[Status])),""),""),"")</f>
        <v/>
      </c>
      <c r="C1104" s="425" t="str">
        <f>IF(AND(NOT(ISBLANK(E1104)),E1104&lt;&gt;"(blank)"),IFERROR(IF(INDEX(HostBuild[],MATCH(E1104,HostBuild[Alias],0),COLUMN(HostBuild[CTI Target Completion]))&lt;&gt;0,INDEX(HostBuild[],MATCH(E1104,HostBuild[Alias],0),COLUMN(HostBuild[CTI Target Completion])),""),""),"")</f>
        <v/>
      </c>
      <c r="D1104" s="262" t="str">
        <f>IF(AND(NOT(ISBLANK(E1104)),E1104&lt;&gt;"(blank)"),IFERROR(IF(INDEX(HostBuild[],MATCH(E1104,HostBuild[Alias],0),COLUMN(HostBuild[Description]))&lt;&gt;0,INDEX(HostBuild[],MATCH(E1104,HostBuild[Alias],0),COLUMN(HostBuild[Description])),""),""),"")</f>
        <v/>
      </c>
    </row>
    <row r="1105" spans="1:4">
      <c r="A1105" s="3" t="str">
        <f>IF(AND(NOT(ISBLANK(E1105)),E1105&lt;&gt;"(blank)"),IFERROR(IF(INDEX(HostBuild[],MATCH(E1105,HostBuild[Alias],0),COLUMN(HostBuild[Hostname]))&lt;&gt;0,INDEX(HostBuild[],MATCH(E1105,HostBuild[Alias],0),COLUMN(HostBuild[Hostname])),""),""),"")</f>
        <v/>
      </c>
      <c r="B1105" s="424" t="str">
        <f>IF(AND(NOT(ISBLANK(E1105)),E1105&lt;&gt;"(blank)"),IFERROR(IF(INDEX(HostBuild[],MATCH(E1105,HostBuild[Alias],0),COLUMN(HostBuild[Status]))&lt;&gt;0,INDEX(HostBuild[],MATCH(E1105,HostBuild[Alias],0),COLUMN(HostBuild[Status])),""),""),"")</f>
        <v/>
      </c>
      <c r="C1105" s="425" t="str">
        <f>IF(AND(NOT(ISBLANK(E1105)),E1105&lt;&gt;"(blank)"),IFERROR(IF(INDEX(HostBuild[],MATCH(E1105,HostBuild[Alias],0),COLUMN(HostBuild[CTI Target Completion]))&lt;&gt;0,INDEX(HostBuild[],MATCH(E1105,HostBuild[Alias],0),COLUMN(HostBuild[CTI Target Completion])),""),""),"")</f>
        <v/>
      </c>
      <c r="D1105" s="262" t="str">
        <f>IF(AND(NOT(ISBLANK(E1105)),E1105&lt;&gt;"(blank)"),IFERROR(IF(INDEX(HostBuild[],MATCH(E1105,HostBuild[Alias],0),COLUMN(HostBuild[Description]))&lt;&gt;0,INDEX(HostBuild[],MATCH(E1105,HostBuild[Alias],0),COLUMN(HostBuild[Description])),""),""),"")</f>
        <v/>
      </c>
    </row>
    <row r="1106" spans="1:4">
      <c r="A1106" s="3" t="str">
        <f>IF(AND(NOT(ISBLANK(E1106)),E1106&lt;&gt;"(blank)"),IFERROR(IF(INDEX(HostBuild[],MATCH(E1106,HostBuild[Alias],0),COLUMN(HostBuild[Hostname]))&lt;&gt;0,INDEX(HostBuild[],MATCH(E1106,HostBuild[Alias],0),COLUMN(HostBuild[Hostname])),""),""),"")</f>
        <v/>
      </c>
      <c r="B1106" s="424" t="str">
        <f>IF(AND(NOT(ISBLANK(E1106)),E1106&lt;&gt;"(blank)"),IFERROR(IF(INDEX(HostBuild[],MATCH(E1106,HostBuild[Alias],0),COLUMN(HostBuild[Status]))&lt;&gt;0,INDEX(HostBuild[],MATCH(E1106,HostBuild[Alias],0),COLUMN(HostBuild[Status])),""),""),"")</f>
        <v/>
      </c>
      <c r="C1106" s="425" t="str">
        <f>IF(AND(NOT(ISBLANK(E1106)),E1106&lt;&gt;"(blank)"),IFERROR(IF(INDEX(HostBuild[],MATCH(E1106,HostBuild[Alias],0),COLUMN(HostBuild[CTI Target Completion]))&lt;&gt;0,INDEX(HostBuild[],MATCH(E1106,HostBuild[Alias],0),COLUMN(HostBuild[CTI Target Completion])),""),""),"")</f>
        <v/>
      </c>
      <c r="D1106" s="262" t="str">
        <f>IF(AND(NOT(ISBLANK(E1106)),E1106&lt;&gt;"(blank)"),IFERROR(IF(INDEX(HostBuild[],MATCH(E1106,HostBuild[Alias],0),COLUMN(HostBuild[Description]))&lt;&gt;0,INDEX(HostBuild[],MATCH(E1106,HostBuild[Alias],0),COLUMN(HostBuild[Description])),""),""),"")</f>
        <v/>
      </c>
    </row>
    <row r="1107" spans="1:4">
      <c r="A1107" s="3" t="str">
        <f>IF(AND(NOT(ISBLANK(E1107)),E1107&lt;&gt;"(blank)"),IFERROR(IF(INDEX(HostBuild[],MATCH(E1107,HostBuild[Alias],0),COLUMN(HostBuild[Hostname]))&lt;&gt;0,INDEX(HostBuild[],MATCH(E1107,HostBuild[Alias],0),COLUMN(HostBuild[Hostname])),""),""),"")</f>
        <v/>
      </c>
      <c r="B1107" s="424" t="str">
        <f>IF(AND(NOT(ISBLANK(E1107)),E1107&lt;&gt;"(blank)"),IFERROR(IF(INDEX(HostBuild[],MATCH(E1107,HostBuild[Alias],0),COLUMN(HostBuild[Status]))&lt;&gt;0,INDEX(HostBuild[],MATCH(E1107,HostBuild[Alias],0),COLUMN(HostBuild[Status])),""),""),"")</f>
        <v/>
      </c>
      <c r="C1107" s="425" t="str">
        <f>IF(AND(NOT(ISBLANK(E1107)),E1107&lt;&gt;"(blank)"),IFERROR(IF(INDEX(HostBuild[],MATCH(E1107,HostBuild[Alias],0),COLUMN(HostBuild[CTI Target Completion]))&lt;&gt;0,INDEX(HostBuild[],MATCH(E1107,HostBuild[Alias],0),COLUMN(HostBuild[CTI Target Completion])),""),""),"")</f>
        <v/>
      </c>
      <c r="D1107" s="262" t="str">
        <f>IF(AND(NOT(ISBLANK(E1107)),E1107&lt;&gt;"(blank)"),IFERROR(IF(INDEX(HostBuild[],MATCH(E1107,HostBuild[Alias],0),COLUMN(HostBuild[Description]))&lt;&gt;0,INDEX(HostBuild[],MATCH(E1107,HostBuild[Alias],0),COLUMN(HostBuild[Description])),""),""),"")</f>
        <v/>
      </c>
    </row>
    <row r="1108" spans="1:4">
      <c r="A1108" s="3" t="str">
        <f>IF(AND(NOT(ISBLANK(E1108)),E1108&lt;&gt;"(blank)"),IFERROR(IF(INDEX(HostBuild[],MATCH(E1108,HostBuild[Alias],0),COLUMN(HostBuild[Hostname]))&lt;&gt;0,INDEX(HostBuild[],MATCH(E1108,HostBuild[Alias],0),COLUMN(HostBuild[Hostname])),""),""),"")</f>
        <v/>
      </c>
      <c r="B1108" s="424" t="str">
        <f>IF(AND(NOT(ISBLANK(E1108)),E1108&lt;&gt;"(blank)"),IFERROR(IF(INDEX(HostBuild[],MATCH(E1108,HostBuild[Alias],0),COLUMN(HostBuild[Status]))&lt;&gt;0,INDEX(HostBuild[],MATCH(E1108,HostBuild[Alias],0),COLUMN(HostBuild[Status])),""),""),"")</f>
        <v/>
      </c>
      <c r="C1108" s="425" t="str">
        <f>IF(AND(NOT(ISBLANK(E1108)),E1108&lt;&gt;"(blank)"),IFERROR(IF(INDEX(HostBuild[],MATCH(E1108,HostBuild[Alias],0),COLUMN(HostBuild[CTI Target Completion]))&lt;&gt;0,INDEX(HostBuild[],MATCH(E1108,HostBuild[Alias],0),COLUMN(HostBuild[CTI Target Completion])),""),""),"")</f>
        <v/>
      </c>
      <c r="D1108" s="262" t="str">
        <f>IF(AND(NOT(ISBLANK(E1108)),E1108&lt;&gt;"(blank)"),IFERROR(IF(INDEX(HostBuild[],MATCH(E1108,HostBuild[Alias],0),COLUMN(HostBuild[Description]))&lt;&gt;0,INDEX(HostBuild[],MATCH(E1108,HostBuild[Alias],0),COLUMN(HostBuild[Description])),""),""),"")</f>
        <v/>
      </c>
    </row>
    <row r="1109" spans="1:4">
      <c r="A1109" s="3" t="str">
        <f>IF(AND(NOT(ISBLANK(E1109)),E1109&lt;&gt;"(blank)"),IFERROR(IF(INDEX(HostBuild[],MATCH(E1109,HostBuild[Alias],0),COLUMN(HostBuild[Hostname]))&lt;&gt;0,INDEX(HostBuild[],MATCH(E1109,HostBuild[Alias],0),COLUMN(HostBuild[Hostname])),""),""),"")</f>
        <v/>
      </c>
      <c r="B1109" s="424" t="str">
        <f>IF(AND(NOT(ISBLANK(E1109)),E1109&lt;&gt;"(blank)"),IFERROR(IF(INDEX(HostBuild[],MATCH(E1109,HostBuild[Alias],0),COLUMN(HostBuild[Status]))&lt;&gt;0,INDEX(HostBuild[],MATCH(E1109,HostBuild[Alias],0),COLUMN(HostBuild[Status])),""),""),"")</f>
        <v/>
      </c>
      <c r="C1109" s="425" t="str">
        <f>IF(AND(NOT(ISBLANK(E1109)),E1109&lt;&gt;"(blank)"),IFERROR(IF(INDEX(HostBuild[],MATCH(E1109,HostBuild[Alias],0),COLUMN(HostBuild[CTI Target Completion]))&lt;&gt;0,INDEX(HostBuild[],MATCH(E1109,HostBuild[Alias],0),COLUMN(HostBuild[CTI Target Completion])),""),""),"")</f>
        <v/>
      </c>
      <c r="D1109" s="262" t="str">
        <f>IF(AND(NOT(ISBLANK(E1109)),E1109&lt;&gt;"(blank)"),IFERROR(IF(INDEX(HostBuild[],MATCH(E1109,HostBuild[Alias],0),COLUMN(HostBuild[Description]))&lt;&gt;0,INDEX(HostBuild[],MATCH(E1109,HostBuild[Alias],0),COLUMN(HostBuild[Description])),""),""),"")</f>
        <v/>
      </c>
    </row>
    <row r="1110" spans="1:4">
      <c r="A1110" s="3" t="str">
        <f>IF(AND(NOT(ISBLANK(E1110)),E1110&lt;&gt;"(blank)"),IFERROR(IF(INDEX(HostBuild[],MATCH(E1110,HostBuild[Alias],0),COLUMN(HostBuild[Hostname]))&lt;&gt;0,INDEX(HostBuild[],MATCH(E1110,HostBuild[Alias],0),COLUMN(HostBuild[Hostname])),""),""),"")</f>
        <v/>
      </c>
      <c r="B1110" s="424" t="str">
        <f>IF(AND(NOT(ISBLANK(E1110)),E1110&lt;&gt;"(blank)"),IFERROR(IF(INDEX(HostBuild[],MATCH(E1110,HostBuild[Alias],0),COLUMN(HostBuild[Status]))&lt;&gt;0,INDEX(HostBuild[],MATCH(E1110,HostBuild[Alias],0),COLUMN(HostBuild[Status])),""),""),"")</f>
        <v/>
      </c>
      <c r="C1110" s="425" t="str">
        <f>IF(AND(NOT(ISBLANK(E1110)),E1110&lt;&gt;"(blank)"),IFERROR(IF(INDEX(HostBuild[],MATCH(E1110,HostBuild[Alias],0),COLUMN(HostBuild[CTI Target Completion]))&lt;&gt;0,INDEX(HostBuild[],MATCH(E1110,HostBuild[Alias],0),COLUMN(HostBuild[CTI Target Completion])),""),""),"")</f>
        <v/>
      </c>
      <c r="D1110" s="262" t="str">
        <f>IF(AND(NOT(ISBLANK(E1110)),E1110&lt;&gt;"(blank)"),IFERROR(IF(INDEX(HostBuild[],MATCH(E1110,HostBuild[Alias],0),COLUMN(HostBuild[Description]))&lt;&gt;0,INDEX(HostBuild[],MATCH(E1110,HostBuild[Alias],0),COLUMN(HostBuild[Description])),""),""),"")</f>
        <v/>
      </c>
    </row>
    <row r="1111" spans="1:4">
      <c r="A1111" s="3" t="str">
        <f>IF(AND(NOT(ISBLANK(E1111)),E1111&lt;&gt;"(blank)"),IFERROR(IF(INDEX(HostBuild[],MATCH(E1111,HostBuild[Alias],0),COLUMN(HostBuild[Hostname]))&lt;&gt;0,INDEX(HostBuild[],MATCH(E1111,HostBuild[Alias],0),COLUMN(HostBuild[Hostname])),""),""),"")</f>
        <v/>
      </c>
      <c r="B1111" s="424" t="str">
        <f>IF(AND(NOT(ISBLANK(E1111)),E1111&lt;&gt;"(blank)"),IFERROR(IF(INDEX(HostBuild[],MATCH(E1111,HostBuild[Alias],0),COLUMN(HostBuild[Status]))&lt;&gt;0,INDEX(HostBuild[],MATCH(E1111,HostBuild[Alias],0),COLUMN(HostBuild[Status])),""),""),"")</f>
        <v/>
      </c>
      <c r="C1111" s="425" t="str">
        <f>IF(AND(NOT(ISBLANK(E1111)),E1111&lt;&gt;"(blank)"),IFERROR(IF(INDEX(HostBuild[],MATCH(E1111,HostBuild[Alias],0),COLUMN(HostBuild[CTI Target Completion]))&lt;&gt;0,INDEX(HostBuild[],MATCH(E1111,HostBuild[Alias],0),COLUMN(HostBuild[CTI Target Completion])),""),""),"")</f>
        <v/>
      </c>
      <c r="D1111" s="262" t="str">
        <f>IF(AND(NOT(ISBLANK(E1111)),E1111&lt;&gt;"(blank)"),IFERROR(IF(INDEX(HostBuild[],MATCH(E1111,HostBuild[Alias],0),COLUMN(HostBuild[Description]))&lt;&gt;0,INDEX(HostBuild[],MATCH(E1111,HostBuild[Alias],0),COLUMN(HostBuild[Description])),""),""),"")</f>
        <v/>
      </c>
    </row>
    <row r="1112" spans="1:4">
      <c r="A1112" s="3" t="str">
        <f>IF(AND(NOT(ISBLANK(E1112)),E1112&lt;&gt;"(blank)"),IFERROR(IF(INDEX(HostBuild[],MATCH(E1112,HostBuild[Alias],0),COLUMN(HostBuild[Hostname]))&lt;&gt;0,INDEX(HostBuild[],MATCH(E1112,HostBuild[Alias],0),COLUMN(HostBuild[Hostname])),""),""),"")</f>
        <v/>
      </c>
      <c r="B1112" s="424" t="str">
        <f>IF(AND(NOT(ISBLANK(E1112)),E1112&lt;&gt;"(blank)"),IFERROR(IF(INDEX(HostBuild[],MATCH(E1112,HostBuild[Alias],0),COLUMN(HostBuild[Status]))&lt;&gt;0,INDEX(HostBuild[],MATCH(E1112,HostBuild[Alias],0),COLUMN(HostBuild[Status])),""),""),"")</f>
        <v/>
      </c>
      <c r="C1112" s="425" t="str">
        <f>IF(AND(NOT(ISBLANK(E1112)),E1112&lt;&gt;"(blank)"),IFERROR(IF(INDEX(HostBuild[],MATCH(E1112,HostBuild[Alias],0),COLUMN(HostBuild[CTI Target Completion]))&lt;&gt;0,INDEX(HostBuild[],MATCH(E1112,HostBuild[Alias],0),COLUMN(HostBuild[CTI Target Completion])),""),""),"")</f>
        <v/>
      </c>
      <c r="D1112" s="262" t="str">
        <f>IF(AND(NOT(ISBLANK(E1112)),E1112&lt;&gt;"(blank)"),IFERROR(IF(INDEX(HostBuild[],MATCH(E1112,HostBuild[Alias],0),COLUMN(HostBuild[Description]))&lt;&gt;0,INDEX(HostBuild[],MATCH(E1112,HostBuild[Alias],0),COLUMN(HostBuild[Description])),""),""),"")</f>
        <v/>
      </c>
    </row>
    <row r="1113" spans="1:4">
      <c r="A1113" s="3" t="str">
        <f>IF(AND(NOT(ISBLANK(E1113)),E1113&lt;&gt;"(blank)"),IFERROR(IF(INDEX(HostBuild[],MATCH(E1113,HostBuild[Alias],0),COLUMN(HostBuild[Hostname]))&lt;&gt;0,INDEX(HostBuild[],MATCH(E1113,HostBuild[Alias],0),COLUMN(HostBuild[Hostname])),""),""),"")</f>
        <v/>
      </c>
      <c r="B1113" s="424" t="str">
        <f>IF(AND(NOT(ISBLANK(E1113)),E1113&lt;&gt;"(blank)"),IFERROR(IF(INDEX(HostBuild[],MATCH(E1113,HostBuild[Alias],0),COLUMN(HostBuild[Status]))&lt;&gt;0,INDEX(HostBuild[],MATCH(E1113,HostBuild[Alias],0),COLUMN(HostBuild[Status])),""),""),"")</f>
        <v/>
      </c>
      <c r="C1113" s="425" t="str">
        <f>IF(AND(NOT(ISBLANK(E1113)),E1113&lt;&gt;"(blank)"),IFERROR(IF(INDEX(HostBuild[],MATCH(E1113,HostBuild[Alias],0),COLUMN(HostBuild[CTI Target Completion]))&lt;&gt;0,INDEX(HostBuild[],MATCH(E1113,HostBuild[Alias],0),COLUMN(HostBuild[CTI Target Completion])),""),""),"")</f>
        <v/>
      </c>
      <c r="D1113" s="262" t="str">
        <f>IF(AND(NOT(ISBLANK(E1113)),E1113&lt;&gt;"(blank)"),IFERROR(IF(INDEX(HostBuild[],MATCH(E1113,HostBuild[Alias],0),COLUMN(HostBuild[Description]))&lt;&gt;0,INDEX(HostBuild[],MATCH(E1113,HostBuild[Alias],0),COLUMN(HostBuild[Description])),""),""),"")</f>
        <v/>
      </c>
    </row>
    <row r="1114" spans="1:4">
      <c r="A1114" s="3" t="str">
        <f>IF(AND(NOT(ISBLANK(E1114)),E1114&lt;&gt;"(blank)"),IFERROR(IF(INDEX(HostBuild[],MATCH(E1114,HostBuild[Alias],0),COLUMN(HostBuild[Hostname]))&lt;&gt;0,INDEX(HostBuild[],MATCH(E1114,HostBuild[Alias],0),COLUMN(HostBuild[Hostname])),""),""),"")</f>
        <v/>
      </c>
      <c r="B1114" s="424" t="str">
        <f>IF(AND(NOT(ISBLANK(E1114)),E1114&lt;&gt;"(blank)"),IFERROR(IF(INDEX(HostBuild[],MATCH(E1114,HostBuild[Alias],0),COLUMN(HostBuild[Status]))&lt;&gt;0,INDEX(HostBuild[],MATCH(E1114,HostBuild[Alias],0),COLUMN(HostBuild[Status])),""),""),"")</f>
        <v/>
      </c>
      <c r="C1114" s="425" t="str">
        <f>IF(AND(NOT(ISBLANK(E1114)),E1114&lt;&gt;"(blank)"),IFERROR(IF(INDEX(HostBuild[],MATCH(E1114,HostBuild[Alias],0),COLUMN(HostBuild[CTI Target Completion]))&lt;&gt;0,INDEX(HostBuild[],MATCH(E1114,HostBuild[Alias],0),COLUMN(HostBuild[CTI Target Completion])),""),""),"")</f>
        <v/>
      </c>
      <c r="D1114" s="262" t="str">
        <f>IF(AND(NOT(ISBLANK(E1114)),E1114&lt;&gt;"(blank)"),IFERROR(IF(INDEX(HostBuild[],MATCH(E1114,HostBuild[Alias],0),COLUMN(HostBuild[Description]))&lt;&gt;0,INDEX(HostBuild[],MATCH(E1114,HostBuild[Alias],0),COLUMN(HostBuild[Description])),""),""),"")</f>
        <v/>
      </c>
    </row>
    <row r="1115" spans="1:4">
      <c r="A1115" s="3" t="str">
        <f>IF(AND(NOT(ISBLANK(E1115)),E1115&lt;&gt;"(blank)"),IFERROR(IF(INDEX(HostBuild[],MATCH(E1115,HostBuild[Alias],0),COLUMN(HostBuild[Hostname]))&lt;&gt;0,INDEX(HostBuild[],MATCH(E1115,HostBuild[Alias],0),COLUMN(HostBuild[Hostname])),""),""),"")</f>
        <v/>
      </c>
      <c r="B1115" s="424" t="str">
        <f>IF(AND(NOT(ISBLANK(E1115)),E1115&lt;&gt;"(blank)"),IFERROR(IF(INDEX(HostBuild[],MATCH(E1115,HostBuild[Alias],0),COLUMN(HostBuild[Status]))&lt;&gt;0,INDEX(HostBuild[],MATCH(E1115,HostBuild[Alias],0),COLUMN(HostBuild[Status])),""),""),"")</f>
        <v/>
      </c>
      <c r="C1115" s="425" t="str">
        <f>IF(AND(NOT(ISBLANK(E1115)),E1115&lt;&gt;"(blank)"),IFERROR(IF(INDEX(HostBuild[],MATCH(E1115,HostBuild[Alias],0),COLUMN(HostBuild[CTI Target Completion]))&lt;&gt;0,INDEX(HostBuild[],MATCH(E1115,HostBuild[Alias],0),COLUMN(HostBuild[CTI Target Completion])),""),""),"")</f>
        <v/>
      </c>
      <c r="D1115" s="262" t="str">
        <f>IF(AND(NOT(ISBLANK(E1115)),E1115&lt;&gt;"(blank)"),IFERROR(IF(INDEX(HostBuild[],MATCH(E1115,HostBuild[Alias],0),COLUMN(HostBuild[Description]))&lt;&gt;0,INDEX(HostBuild[],MATCH(E1115,HostBuild[Alias],0),COLUMN(HostBuild[Description])),""),""),"")</f>
        <v/>
      </c>
    </row>
    <row r="1116" spans="1:4">
      <c r="A1116" s="3" t="str">
        <f>IF(AND(NOT(ISBLANK(E1116)),E1116&lt;&gt;"(blank)"),IFERROR(IF(INDEX(HostBuild[],MATCH(E1116,HostBuild[Alias],0),COLUMN(HostBuild[Hostname]))&lt;&gt;0,INDEX(HostBuild[],MATCH(E1116,HostBuild[Alias],0),COLUMN(HostBuild[Hostname])),""),""),"")</f>
        <v/>
      </c>
      <c r="B1116" s="424" t="str">
        <f>IF(AND(NOT(ISBLANK(E1116)),E1116&lt;&gt;"(blank)"),IFERROR(IF(INDEX(HostBuild[],MATCH(E1116,HostBuild[Alias],0),COLUMN(HostBuild[Status]))&lt;&gt;0,INDEX(HostBuild[],MATCH(E1116,HostBuild[Alias],0),COLUMN(HostBuild[Status])),""),""),"")</f>
        <v/>
      </c>
      <c r="C1116" s="425" t="str">
        <f>IF(AND(NOT(ISBLANK(E1116)),E1116&lt;&gt;"(blank)"),IFERROR(IF(INDEX(HostBuild[],MATCH(E1116,HostBuild[Alias],0),COLUMN(HostBuild[CTI Target Completion]))&lt;&gt;0,INDEX(HostBuild[],MATCH(E1116,HostBuild[Alias],0),COLUMN(HostBuild[CTI Target Completion])),""),""),"")</f>
        <v/>
      </c>
      <c r="D1116" s="262" t="str">
        <f>IF(AND(NOT(ISBLANK(E1116)),E1116&lt;&gt;"(blank)"),IFERROR(IF(INDEX(HostBuild[],MATCH(E1116,HostBuild[Alias],0),COLUMN(HostBuild[Description]))&lt;&gt;0,INDEX(HostBuild[],MATCH(E1116,HostBuild[Alias],0),COLUMN(HostBuild[Description])),""),""),"")</f>
        <v/>
      </c>
    </row>
    <row r="1117" spans="1:4">
      <c r="A1117" s="3" t="str">
        <f>IF(AND(NOT(ISBLANK(E1117)),E1117&lt;&gt;"(blank)"),IFERROR(IF(INDEX(HostBuild[],MATCH(E1117,HostBuild[Alias],0),COLUMN(HostBuild[Hostname]))&lt;&gt;0,INDEX(HostBuild[],MATCH(E1117,HostBuild[Alias],0),COLUMN(HostBuild[Hostname])),""),""),"")</f>
        <v/>
      </c>
      <c r="B1117" s="424" t="str">
        <f>IF(AND(NOT(ISBLANK(E1117)),E1117&lt;&gt;"(blank)"),IFERROR(IF(INDEX(HostBuild[],MATCH(E1117,HostBuild[Alias],0),COLUMN(HostBuild[Status]))&lt;&gt;0,INDEX(HostBuild[],MATCH(E1117,HostBuild[Alias],0),COLUMN(HostBuild[Status])),""),""),"")</f>
        <v/>
      </c>
      <c r="C1117" s="425" t="str">
        <f>IF(AND(NOT(ISBLANK(E1117)),E1117&lt;&gt;"(blank)"),IFERROR(IF(INDEX(HostBuild[],MATCH(E1117,HostBuild[Alias],0),COLUMN(HostBuild[CTI Target Completion]))&lt;&gt;0,INDEX(HostBuild[],MATCH(E1117,HostBuild[Alias],0),COLUMN(HostBuild[CTI Target Completion])),""),""),"")</f>
        <v/>
      </c>
      <c r="D1117" s="262" t="str">
        <f>IF(AND(NOT(ISBLANK(E1117)),E1117&lt;&gt;"(blank)"),IFERROR(IF(INDEX(HostBuild[],MATCH(E1117,HostBuild[Alias],0),COLUMN(HostBuild[Description]))&lt;&gt;0,INDEX(HostBuild[],MATCH(E1117,HostBuild[Alias],0),COLUMN(HostBuild[Description])),""),""),"")</f>
        <v/>
      </c>
    </row>
    <row r="1118" spans="1:4">
      <c r="A1118" s="3" t="str">
        <f>IF(AND(NOT(ISBLANK(E1118)),E1118&lt;&gt;"(blank)"),IFERROR(IF(INDEX(HostBuild[],MATCH(E1118,HostBuild[Alias],0),COLUMN(HostBuild[Hostname]))&lt;&gt;0,INDEX(HostBuild[],MATCH(E1118,HostBuild[Alias],0),COLUMN(HostBuild[Hostname])),""),""),"")</f>
        <v/>
      </c>
      <c r="B1118" s="424" t="str">
        <f>IF(AND(NOT(ISBLANK(E1118)),E1118&lt;&gt;"(blank)"),IFERROR(IF(INDEX(HostBuild[],MATCH(E1118,HostBuild[Alias],0),COLUMN(HostBuild[Status]))&lt;&gt;0,INDEX(HostBuild[],MATCH(E1118,HostBuild[Alias],0),COLUMN(HostBuild[Status])),""),""),"")</f>
        <v/>
      </c>
      <c r="C1118" s="425" t="str">
        <f>IF(AND(NOT(ISBLANK(E1118)),E1118&lt;&gt;"(blank)"),IFERROR(IF(INDEX(HostBuild[],MATCH(E1118,HostBuild[Alias],0),COLUMN(HostBuild[CTI Target Completion]))&lt;&gt;0,INDEX(HostBuild[],MATCH(E1118,HostBuild[Alias],0),COLUMN(HostBuild[CTI Target Completion])),""),""),"")</f>
        <v/>
      </c>
      <c r="D1118" s="262" t="str">
        <f>IF(AND(NOT(ISBLANK(E1118)),E1118&lt;&gt;"(blank)"),IFERROR(IF(INDEX(HostBuild[],MATCH(E1118,HostBuild[Alias],0),COLUMN(HostBuild[Description]))&lt;&gt;0,INDEX(HostBuild[],MATCH(E1118,HostBuild[Alias],0),COLUMN(HostBuild[Description])),""),""),"")</f>
        <v/>
      </c>
    </row>
    <row r="1119" spans="1:4">
      <c r="A1119" s="3" t="str">
        <f>IF(AND(NOT(ISBLANK(E1119)),E1119&lt;&gt;"(blank)"),IFERROR(IF(INDEX(HostBuild[],MATCH(E1119,HostBuild[Alias],0),COLUMN(HostBuild[Hostname]))&lt;&gt;0,INDEX(HostBuild[],MATCH(E1119,HostBuild[Alias],0),COLUMN(HostBuild[Hostname])),""),""),"")</f>
        <v/>
      </c>
      <c r="B1119" s="424" t="str">
        <f>IF(AND(NOT(ISBLANK(E1119)),E1119&lt;&gt;"(blank)"),IFERROR(IF(INDEX(HostBuild[],MATCH(E1119,HostBuild[Alias],0),COLUMN(HostBuild[Status]))&lt;&gt;0,INDEX(HostBuild[],MATCH(E1119,HostBuild[Alias],0),COLUMN(HostBuild[Status])),""),""),"")</f>
        <v/>
      </c>
      <c r="C1119" s="425" t="str">
        <f>IF(AND(NOT(ISBLANK(E1119)),E1119&lt;&gt;"(blank)"),IFERROR(IF(INDEX(HostBuild[],MATCH(E1119,HostBuild[Alias],0),COLUMN(HostBuild[CTI Target Completion]))&lt;&gt;0,INDEX(HostBuild[],MATCH(E1119,HostBuild[Alias],0),COLUMN(HostBuild[CTI Target Completion])),""),""),"")</f>
        <v/>
      </c>
      <c r="D1119" s="262" t="str">
        <f>IF(AND(NOT(ISBLANK(E1119)),E1119&lt;&gt;"(blank)"),IFERROR(IF(INDEX(HostBuild[],MATCH(E1119,HostBuild[Alias],0),COLUMN(HostBuild[Description]))&lt;&gt;0,INDEX(HostBuild[],MATCH(E1119,HostBuild[Alias],0),COLUMN(HostBuild[Description])),""),""),"")</f>
        <v/>
      </c>
    </row>
    <row r="1120" spans="1:4">
      <c r="A1120" s="3" t="str">
        <f>IF(AND(NOT(ISBLANK(E1120)),E1120&lt;&gt;"(blank)"),IFERROR(IF(INDEX(HostBuild[],MATCH(E1120,HostBuild[Alias],0),COLUMN(HostBuild[Hostname]))&lt;&gt;0,INDEX(HostBuild[],MATCH(E1120,HostBuild[Alias],0),COLUMN(HostBuild[Hostname])),""),""),"")</f>
        <v/>
      </c>
      <c r="B1120" s="424" t="str">
        <f>IF(AND(NOT(ISBLANK(E1120)),E1120&lt;&gt;"(blank)"),IFERROR(IF(INDEX(HostBuild[],MATCH(E1120,HostBuild[Alias],0),COLUMN(HostBuild[Status]))&lt;&gt;0,INDEX(HostBuild[],MATCH(E1120,HostBuild[Alias],0),COLUMN(HostBuild[Status])),""),""),"")</f>
        <v/>
      </c>
      <c r="C1120" s="425" t="str">
        <f>IF(AND(NOT(ISBLANK(E1120)),E1120&lt;&gt;"(blank)"),IFERROR(IF(INDEX(HostBuild[],MATCH(E1120,HostBuild[Alias],0),COLUMN(HostBuild[CTI Target Completion]))&lt;&gt;0,INDEX(HostBuild[],MATCH(E1120,HostBuild[Alias],0),COLUMN(HostBuild[CTI Target Completion])),""),""),"")</f>
        <v/>
      </c>
      <c r="D1120" s="262" t="str">
        <f>IF(AND(NOT(ISBLANK(E1120)),E1120&lt;&gt;"(blank)"),IFERROR(IF(INDEX(HostBuild[],MATCH(E1120,HostBuild[Alias],0),COLUMN(HostBuild[Description]))&lt;&gt;0,INDEX(HostBuild[],MATCH(E1120,HostBuild[Alias],0),COLUMN(HostBuild[Description])),""),""),"")</f>
        <v/>
      </c>
    </row>
    <row r="1121" spans="1:4">
      <c r="A1121" s="3" t="str">
        <f>IF(AND(NOT(ISBLANK(E1121)),E1121&lt;&gt;"(blank)"),IFERROR(IF(INDEX(HostBuild[],MATCH(E1121,HostBuild[Alias],0),COLUMN(HostBuild[Hostname]))&lt;&gt;0,INDEX(HostBuild[],MATCH(E1121,HostBuild[Alias],0),COLUMN(HostBuild[Hostname])),""),""),"")</f>
        <v/>
      </c>
      <c r="B1121" s="424" t="str">
        <f>IF(AND(NOT(ISBLANK(E1121)),E1121&lt;&gt;"(blank)"),IFERROR(IF(INDEX(HostBuild[],MATCH(E1121,HostBuild[Alias],0),COLUMN(HostBuild[Status]))&lt;&gt;0,INDEX(HostBuild[],MATCH(E1121,HostBuild[Alias],0),COLUMN(HostBuild[Status])),""),""),"")</f>
        <v/>
      </c>
      <c r="C1121" s="425" t="str">
        <f>IF(AND(NOT(ISBLANK(E1121)),E1121&lt;&gt;"(blank)"),IFERROR(IF(INDEX(HostBuild[],MATCH(E1121,HostBuild[Alias],0),COLUMN(HostBuild[CTI Target Completion]))&lt;&gt;0,INDEX(HostBuild[],MATCH(E1121,HostBuild[Alias],0),COLUMN(HostBuild[CTI Target Completion])),""),""),"")</f>
        <v/>
      </c>
      <c r="D1121" s="262" t="str">
        <f>IF(AND(NOT(ISBLANK(E1121)),E1121&lt;&gt;"(blank)"),IFERROR(IF(INDEX(HostBuild[],MATCH(E1121,HostBuild[Alias],0),COLUMN(HostBuild[Description]))&lt;&gt;0,INDEX(HostBuild[],MATCH(E1121,HostBuild[Alias],0),COLUMN(HostBuild[Description])),""),""),"")</f>
        <v/>
      </c>
    </row>
    <row r="1122" spans="1:4">
      <c r="A1122" s="3" t="str">
        <f>IF(AND(NOT(ISBLANK(E1122)),E1122&lt;&gt;"(blank)"),IFERROR(IF(INDEX(HostBuild[],MATCH(E1122,HostBuild[Alias],0),COLUMN(HostBuild[Hostname]))&lt;&gt;0,INDEX(HostBuild[],MATCH(E1122,HostBuild[Alias],0),COLUMN(HostBuild[Hostname])),""),""),"")</f>
        <v/>
      </c>
      <c r="B1122" s="424" t="str">
        <f>IF(AND(NOT(ISBLANK(E1122)),E1122&lt;&gt;"(blank)"),IFERROR(IF(INDEX(HostBuild[],MATCH(E1122,HostBuild[Alias],0),COLUMN(HostBuild[Status]))&lt;&gt;0,INDEX(HostBuild[],MATCH(E1122,HostBuild[Alias],0),COLUMN(HostBuild[Status])),""),""),"")</f>
        <v/>
      </c>
      <c r="C1122" s="425" t="str">
        <f>IF(AND(NOT(ISBLANK(E1122)),E1122&lt;&gt;"(blank)"),IFERROR(IF(INDEX(HostBuild[],MATCH(E1122,HostBuild[Alias],0),COLUMN(HostBuild[CTI Target Completion]))&lt;&gt;0,INDEX(HostBuild[],MATCH(E1122,HostBuild[Alias],0),COLUMN(HostBuild[CTI Target Completion])),""),""),"")</f>
        <v/>
      </c>
      <c r="D1122" s="262" t="str">
        <f>IF(AND(NOT(ISBLANK(E1122)),E1122&lt;&gt;"(blank)"),IFERROR(IF(INDEX(HostBuild[],MATCH(E1122,HostBuild[Alias],0),COLUMN(HostBuild[Description]))&lt;&gt;0,INDEX(HostBuild[],MATCH(E1122,HostBuild[Alias],0),COLUMN(HostBuild[Description])),""),""),"")</f>
        <v/>
      </c>
    </row>
    <row r="1123" spans="1:4">
      <c r="A1123" s="3" t="str">
        <f>IF(AND(NOT(ISBLANK(E1123)),E1123&lt;&gt;"(blank)"),IFERROR(IF(INDEX(HostBuild[],MATCH(E1123,HostBuild[Alias],0),COLUMN(HostBuild[Hostname]))&lt;&gt;0,INDEX(HostBuild[],MATCH(E1123,HostBuild[Alias],0),COLUMN(HostBuild[Hostname])),""),""),"")</f>
        <v/>
      </c>
      <c r="B1123" s="424" t="str">
        <f>IF(AND(NOT(ISBLANK(E1123)),E1123&lt;&gt;"(blank)"),IFERROR(IF(INDEX(HostBuild[],MATCH(E1123,HostBuild[Alias],0),COLUMN(HostBuild[Status]))&lt;&gt;0,INDEX(HostBuild[],MATCH(E1123,HostBuild[Alias],0),COLUMN(HostBuild[Status])),""),""),"")</f>
        <v/>
      </c>
      <c r="C1123" s="425" t="str">
        <f>IF(AND(NOT(ISBLANK(E1123)),E1123&lt;&gt;"(blank)"),IFERROR(IF(INDEX(HostBuild[],MATCH(E1123,HostBuild[Alias],0),COLUMN(HostBuild[CTI Target Completion]))&lt;&gt;0,INDEX(HostBuild[],MATCH(E1123,HostBuild[Alias],0),COLUMN(HostBuild[CTI Target Completion])),""),""),"")</f>
        <v/>
      </c>
      <c r="D1123" s="262" t="str">
        <f>IF(AND(NOT(ISBLANK(E1123)),E1123&lt;&gt;"(blank)"),IFERROR(IF(INDEX(HostBuild[],MATCH(E1123,HostBuild[Alias],0),COLUMN(HostBuild[Description]))&lt;&gt;0,INDEX(HostBuild[],MATCH(E1123,HostBuild[Alias],0),COLUMN(HostBuild[Description])),""),""),"")</f>
        <v/>
      </c>
    </row>
    <row r="1124" spans="1:4">
      <c r="A1124" s="3" t="str">
        <f>IF(AND(NOT(ISBLANK(E1124)),E1124&lt;&gt;"(blank)"),IFERROR(IF(INDEX(HostBuild[],MATCH(E1124,HostBuild[Alias],0),COLUMN(HostBuild[Hostname]))&lt;&gt;0,INDEX(HostBuild[],MATCH(E1124,HostBuild[Alias],0),COLUMN(HostBuild[Hostname])),""),""),"")</f>
        <v/>
      </c>
      <c r="B1124" s="424" t="str">
        <f>IF(AND(NOT(ISBLANK(E1124)),E1124&lt;&gt;"(blank)"),IFERROR(IF(INDEX(HostBuild[],MATCH(E1124,HostBuild[Alias],0),COLUMN(HostBuild[Status]))&lt;&gt;0,INDEX(HostBuild[],MATCH(E1124,HostBuild[Alias],0),COLUMN(HostBuild[Status])),""),""),"")</f>
        <v/>
      </c>
      <c r="C1124" s="425" t="str">
        <f>IF(AND(NOT(ISBLANK(E1124)),E1124&lt;&gt;"(blank)"),IFERROR(IF(INDEX(HostBuild[],MATCH(E1124,HostBuild[Alias],0),COLUMN(HostBuild[CTI Target Completion]))&lt;&gt;0,INDEX(HostBuild[],MATCH(E1124,HostBuild[Alias],0),COLUMN(HostBuild[CTI Target Completion])),""),""),"")</f>
        <v/>
      </c>
      <c r="D1124" s="262" t="str">
        <f>IF(AND(NOT(ISBLANK(E1124)),E1124&lt;&gt;"(blank)"),IFERROR(IF(INDEX(HostBuild[],MATCH(E1124,HostBuild[Alias],0),COLUMN(HostBuild[Description]))&lt;&gt;0,INDEX(HostBuild[],MATCH(E1124,HostBuild[Alias],0),COLUMN(HostBuild[Description])),""),""),"")</f>
        <v/>
      </c>
    </row>
    <row r="1125" spans="1:4">
      <c r="A1125" s="3" t="str">
        <f>IF(AND(NOT(ISBLANK(E1125)),E1125&lt;&gt;"(blank)"),IFERROR(IF(INDEX(HostBuild[],MATCH(E1125,HostBuild[Alias],0),COLUMN(HostBuild[Hostname]))&lt;&gt;0,INDEX(HostBuild[],MATCH(E1125,HostBuild[Alias],0),COLUMN(HostBuild[Hostname])),""),""),"")</f>
        <v/>
      </c>
      <c r="B1125" s="424" t="str">
        <f>IF(AND(NOT(ISBLANK(E1125)),E1125&lt;&gt;"(blank)"),IFERROR(IF(INDEX(HostBuild[],MATCH(E1125,HostBuild[Alias],0),COLUMN(HostBuild[Status]))&lt;&gt;0,INDEX(HostBuild[],MATCH(E1125,HostBuild[Alias],0),COLUMN(HostBuild[Status])),""),""),"")</f>
        <v/>
      </c>
      <c r="C1125" s="425" t="str">
        <f>IF(AND(NOT(ISBLANK(E1125)),E1125&lt;&gt;"(blank)"),IFERROR(IF(INDEX(HostBuild[],MATCH(E1125,HostBuild[Alias],0),COLUMN(HostBuild[CTI Target Completion]))&lt;&gt;0,INDEX(HostBuild[],MATCH(E1125,HostBuild[Alias],0),COLUMN(HostBuild[CTI Target Completion])),""),""),"")</f>
        <v/>
      </c>
      <c r="D1125" s="262" t="str">
        <f>IF(AND(NOT(ISBLANK(E1125)),E1125&lt;&gt;"(blank)"),IFERROR(IF(INDEX(HostBuild[],MATCH(E1125,HostBuild[Alias],0),COLUMN(HostBuild[Description]))&lt;&gt;0,INDEX(HostBuild[],MATCH(E1125,HostBuild[Alias],0),COLUMN(HostBuild[Description])),""),""),"")</f>
        <v/>
      </c>
    </row>
    <row r="1126" spans="1:4">
      <c r="A1126" s="3" t="str">
        <f>IF(AND(NOT(ISBLANK(E1126)),E1126&lt;&gt;"(blank)"),IFERROR(IF(INDEX(HostBuild[],MATCH(E1126,HostBuild[Alias],0),COLUMN(HostBuild[Hostname]))&lt;&gt;0,INDEX(HostBuild[],MATCH(E1126,HostBuild[Alias],0),COLUMN(HostBuild[Hostname])),""),""),"")</f>
        <v/>
      </c>
      <c r="B1126" s="424" t="str">
        <f>IF(AND(NOT(ISBLANK(E1126)),E1126&lt;&gt;"(blank)"),IFERROR(IF(INDEX(HostBuild[],MATCH(E1126,HostBuild[Alias],0),COLUMN(HostBuild[Status]))&lt;&gt;0,INDEX(HostBuild[],MATCH(E1126,HostBuild[Alias],0),COLUMN(HostBuild[Status])),""),""),"")</f>
        <v/>
      </c>
      <c r="C1126" s="425" t="str">
        <f>IF(AND(NOT(ISBLANK(E1126)),E1126&lt;&gt;"(blank)"),IFERROR(IF(INDEX(HostBuild[],MATCH(E1126,HostBuild[Alias],0),COLUMN(HostBuild[CTI Target Completion]))&lt;&gt;0,INDEX(HostBuild[],MATCH(E1126,HostBuild[Alias],0),COLUMN(HostBuild[CTI Target Completion])),""),""),"")</f>
        <v/>
      </c>
      <c r="D1126" s="262" t="str">
        <f>IF(AND(NOT(ISBLANK(E1126)),E1126&lt;&gt;"(blank)"),IFERROR(IF(INDEX(HostBuild[],MATCH(E1126,HostBuild[Alias],0),COLUMN(HostBuild[Description]))&lt;&gt;0,INDEX(HostBuild[],MATCH(E1126,HostBuild[Alias],0),COLUMN(HostBuild[Description])),""),""),"")</f>
        <v/>
      </c>
    </row>
    <row r="1127" spans="1:4">
      <c r="A1127" s="3" t="str">
        <f>IF(AND(NOT(ISBLANK(E1127)),E1127&lt;&gt;"(blank)"),IFERROR(IF(INDEX(HostBuild[],MATCH(E1127,HostBuild[Alias],0),COLUMN(HostBuild[Hostname]))&lt;&gt;0,INDEX(HostBuild[],MATCH(E1127,HostBuild[Alias],0),COLUMN(HostBuild[Hostname])),""),""),"")</f>
        <v/>
      </c>
      <c r="B1127" s="424" t="str">
        <f>IF(AND(NOT(ISBLANK(E1127)),E1127&lt;&gt;"(blank)"),IFERROR(IF(INDEX(HostBuild[],MATCH(E1127,HostBuild[Alias],0),COLUMN(HostBuild[Status]))&lt;&gt;0,INDEX(HostBuild[],MATCH(E1127,HostBuild[Alias],0),COLUMN(HostBuild[Status])),""),""),"")</f>
        <v/>
      </c>
      <c r="C1127" s="425" t="str">
        <f>IF(AND(NOT(ISBLANK(E1127)),E1127&lt;&gt;"(blank)"),IFERROR(IF(INDEX(HostBuild[],MATCH(E1127,HostBuild[Alias],0),COLUMN(HostBuild[CTI Target Completion]))&lt;&gt;0,INDEX(HostBuild[],MATCH(E1127,HostBuild[Alias],0),COLUMN(HostBuild[CTI Target Completion])),""),""),"")</f>
        <v/>
      </c>
      <c r="D1127" s="262" t="str">
        <f>IF(AND(NOT(ISBLANK(E1127)),E1127&lt;&gt;"(blank)"),IFERROR(IF(INDEX(HostBuild[],MATCH(E1127,HostBuild[Alias],0),COLUMN(HostBuild[Description]))&lt;&gt;0,INDEX(HostBuild[],MATCH(E1127,HostBuild[Alias],0),COLUMN(HostBuild[Description])),""),""),"")</f>
        <v/>
      </c>
    </row>
    <row r="1128" spans="1:4">
      <c r="A1128" s="3" t="str">
        <f>IF(AND(NOT(ISBLANK(E1128)),E1128&lt;&gt;"(blank)"),IFERROR(IF(INDEX(HostBuild[],MATCH(E1128,HostBuild[Alias],0),COLUMN(HostBuild[Hostname]))&lt;&gt;0,INDEX(HostBuild[],MATCH(E1128,HostBuild[Alias],0),COLUMN(HostBuild[Hostname])),""),""),"")</f>
        <v/>
      </c>
      <c r="B1128" s="424" t="str">
        <f>IF(AND(NOT(ISBLANK(E1128)),E1128&lt;&gt;"(blank)"),IFERROR(IF(INDEX(HostBuild[],MATCH(E1128,HostBuild[Alias],0),COLUMN(HostBuild[Status]))&lt;&gt;0,INDEX(HostBuild[],MATCH(E1128,HostBuild[Alias],0),COLUMN(HostBuild[Status])),""),""),"")</f>
        <v/>
      </c>
      <c r="C1128" s="425" t="str">
        <f>IF(AND(NOT(ISBLANK(E1128)),E1128&lt;&gt;"(blank)"),IFERROR(IF(INDEX(HostBuild[],MATCH(E1128,HostBuild[Alias],0),COLUMN(HostBuild[CTI Target Completion]))&lt;&gt;0,INDEX(HostBuild[],MATCH(E1128,HostBuild[Alias],0),COLUMN(HostBuild[CTI Target Completion])),""),""),"")</f>
        <v/>
      </c>
      <c r="D1128" s="262" t="str">
        <f>IF(AND(NOT(ISBLANK(E1128)),E1128&lt;&gt;"(blank)"),IFERROR(IF(INDEX(HostBuild[],MATCH(E1128,HostBuild[Alias],0),COLUMN(HostBuild[Description]))&lt;&gt;0,INDEX(HostBuild[],MATCH(E1128,HostBuild[Alias],0),COLUMN(HostBuild[Description])),""),""),"")</f>
        <v/>
      </c>
    </row>
    <row r="1129" spans="1:4">
      <c r="A1129" s="3" t="str">
        <f>IF(AND(NOT(ISBLANK(E1129)),E1129&lt;&gt;"(blank)"),IFERROR(IF(INDEX(HostBuild[],MATCH(E1129,HostBuild[Alias],0),COLUMN(HostBuild[Hostname]))&lt;&gt;0,INDEX(HostBuild[],MATCH(E1129,HostBuild[Alias],0),COLUMN(HostBuild[Hostname])),""),""),"")</f>
        <v/>
      </c>
      <c r="B1129" s="424" t="str">
        <f>IF(AND(NOT(ISBLANK(E1129)),E1129&lt;&gt;"(blank)"),IFERROR(IF(INDEX(HostBuild[],MATCH(E1129,HostBuild[Alias],0),COLUMN(HostBuild[Status]))&lt;&gt;0,INDEX(HostBuild[],MATCH(E1129,HostBuild[Alias],0),COLUMN(HostBuild[Status])),""),""),"")</f>
        <v/>
      </c>
      <c r="C1129" s="425" t="str">
        <f>IF(AND(NOT(ISBLANK(E1129)),E1129&lt;&gt;"(blank)"),IFERROR(IF(INDEX(HostBuild[],MATCH(E1129,HostBuild[Alias],0),COLUMN(HostBuild[CTI Target Completion]))&lt;&gt;0,INDEX(HostBuild[],MATCH(E1129,HostBuild[Alias],0),COLUMN(HostBuild[CTI Target Completion])),""),""),"")</f>
        <v/>
      </c>
      <c r="D1129" s="262" t="str">
        <f>IF(AND(NOT(ISBLANK(E1129)),E1129&lt;&gt;"(blank)"),IFERROR(IF(INDEX(HostBuild[],MATCH(E1129,HostBuild[Alias],0),COLUMN(HostBuild[Description]))&lt;&gt;0,INDEX(HostBuild[],MATCH(E1129,HostBuild[Alias],0),COLUMN(HostBuild[Description])),""),""),"")</f>
        <v/>
      </c>
    </row>
    <row r="1130" spans="1:4">
      <c r="A1130" s="3" t="str">
        <f>IF(AND(NOT(ISBLANK(E1130)),E1130&lt;&gt;"(blank)"),IFERROR(IF(INDEX(HostBuild[],MATCH(E1130,HostBuild[Alias],0),COLUMN(HostBuild[Hostname]))&lt;&gt;0,INDEX(HostBuild[],MATCH(E1130,HostBuild[Alias],0),COLUMN(HostBuild[Hostname])),""),""),"")</f>
        <v/>
      </c>
      <c r="B1130" s="424" t="str">
        <f>IF(AND(NOT(ISBLANK(E1130)),E1130&lt;&gt;"(blank)"),IFERROR(IF(INDEX(HostBuild[],MATCH(E1130,HostBuild[Alias],0),COLUMN(HostBuild[Status]))&lt;&gt;0,INDEX(HostBuild[],MATCH(E1130,HostBuild[Alias],0),COLUMN(HostBuild[Status])),""),""),"")</f>
        <v/>
      </c>
      <c r="C1130" s="425" t="str">
        <f>IF(AND(NOT(ISBLANK(E1130)),E1130&lt;&gt;"(blank)"),IFERROR(IF(INDEX(HostBuild[],MATCH(E1130,HostBuild[Alias],0),COLUMN(HostBuild[CTI Target Completion]))&lt;&gt;0,INDEX(HostBuild[],MATCH(E1130,HostBuild[Alias],0),COLUMN(HostBuild[CTI Target Completion])),""),""),"")</f>
        <v/>
      </c>
      <c r="D1130" s="262" t="str">
        <f>IF(AND(NOT(ISBLANK(E1130)),E1130&lt;&gt;"(blank)"),IFERROR(IF(INDEX(HostBuild[],MATCH(E1130,HostBuild[Alias],0),COLUMN(HostBuild[Description]))&lt;&gt;0,INDEX(HostBuild[],MATCH(E1130,HostBuild[Alias],0),COLUMN(HostBuild[Description])),""),""),"")</f>
        <v/>
      </c>
    </row>
    <row r="1131" spans="1:4">
      <c r="A1131" s="3" t="str">
        <f>IF(AND(NOT(ISBLANK(E1131)),E1131&lt;&gt;"(blank)"),IFERROR(IF(INDEX(HostBuild[],MATCH(E1131,HostBuild[Alias],0),COLUMN(HostBuild[Hostname]))&lt;&gt;0,INDEX(HostBuild[],MATCH(E1131,HostBuild[Alias],0),COLUMN(HostBuild[Hostname])),""),""),"")</f>
        <v/>
      </c>
      <c r="B1131" s="424" t="str">
        <f>IF(AND(NOT(ISBLANK(E1131)),E1131&lt;&gt;"(blank)"),IFERROR(IF(INDEX(HostBuild[],MATCH(E1131,HostBuild[Alias],0),COLUMN(HostBuild[Status]))&lt;&gt;0,INDEX(HostBuild[],MATCH(E1131,HostBuild[Alias],0),COLUMN(HostBuild[Status])),""),""),"")</f>
        <v/>
      </c>
      <c r="C1131" s="425" t="str">
        <f>IF(AND(NOT(ISBLANK(E1131)),E1131&lt;&gt;"(blank)"),IFERROR(IF(INDEX(HostBuild[],MATCH(E1131,HostBuild[Alias],0),COLUMN(HostBuild[CTI Target Completion]))&lt;&gt;0,INDEX(HostBuild[],MATCH(E1131,HostBuild[Alias],0),COLUMN(HostBuild[CTI Target Completion])),""),""),"")</f>
        <v/>
      </c>
      <c r="D1131" s="262" t="str">
        <f>IF(AND(NOT(ISBLANK(E1131)),E1131&lt;&gt;"(blank)"),IFERROR(IF(INDEX(HostBuild[],MATCH(E1131,HostBuild[Alias],0),COLUMN(HostBuild[Description]))&lt;&gt;0,INDEX(HostBuild[],MATCH(E1131,HostBuild[Alias],0),COLUMN(HostBuild[Description])),""),""),"")</f>
        <v/>
      </c>
    </row>
    <row r="1132" spans="1:4">
      <c r="A1132" s="3" t="str">
        <f>IF(AND(NOT(ISBLANK(E1132)),E1132&lt;&gt;"(blank)"),IFERROR(IF(INDEX(HostBuild[],MATCH(E1132,HostBuild[Alias],0),COLUMN(HostBuild[Hostname]))&lt;&gt;0,INDEX(HostBuild[],MATCH(E1132,HostBuild[Alias],0),COLUMN(HostBuild[Hostname])),""),""),"")</f>
        <v/>
      </c>
      <c r="B1132" s="424" t="str">
        <f>IF(AND(NOT(ISBLANK(E1132)),E1132&lt;&gt;"(blank)"),IFERROR(IF(INDEX(HostBuild[],MATCH(E1132,HostBuild[Alias],0),COLUMN(HostBuild[Status]))&lt;&gt;0,INDEX(HostBuild[],MATCH(E1132,HostBuild[Alias],0),COLUMN(HostBuild[Status])),""),""),"")</f>
        <v/>
      </c>
      <c r="C1132" s="425" t="str">
        <f>IF(AND(NOT(ISBLANK(E1132)),E1132&lt;&gt;"(blank)"),IFERROR(IF(INDEX(HostBuild[],MATCH(E1132,HostBuild[Alias],0),COLUMN(HostBuild[CTI Target Completion]))&lt;&gt;0,INDEX(HostBuild[],MATCH(E1132,HostBuild[Alias],0),COLUMN(HostBuild[CTI Target Completion])),""),""),"")</f>
        <v/>
      </c>
      <c r="D1132" s="262" t="str">
        <f>IF(AND(NOT(ISBLANK(E1132)),E1132&lt;&gt;"(blank)"),IFERROR(IF(INDEX(HostBuild[],MATCH(E1132,HostBuild[Alias],0),COLUMN(HostBuild[Description]))&lt;&gt;0,INDEX(HostBuild[],MATCH(E1132,HostBuild[Alias],0),COLUMN(HostBuild[Description])),""),""),"")</f>
        <v/>
      </c>
    </row>
    <row r="1133" spans="1:4">
      <c r="A1133" s="3" t="str">
        <f>IF(AND(NOT(ISBLANK(E1133)),E1133&lt;&gt;"(blank)"),IFERROR(IF(INDEX(HostBuild[],MATCH(E1133,HostBuild[Alias],0),COLUMN(HostBuild[Hostname]))&lt;&gt;0,INDEX(HostBuild[],MATCH(E1133,HostBuild[Alias],0),COLUMN(HostBuild[Hostname])),""),""),"")</f>
        <v/>
      </c>
      <c r="B1133" s="424" t="str">
        <f>IF(AND(NOT(ISBLANK(E1133)),E1133&lt;&gt;"(blank)"),IFERROR(IF(INDEX(HostBuild[],MATCH(E1133,HostBuild[Alias],0),COLUMN(HostBuild[Status]))&lt;&gt;0,INDEX(HostBuild[],MATCH(E1133,HostBuild[Alias],0),COLUMN(HostBuild[Status])),""),""),"")</f>
        <v/>
      </c>
      <c r="C1133" s="425" t="str">
        <f>IF(AND(NOT(ISBLANK(E1133)),E1133&lt;&gt;"(blank)"),IFERROR(IF(INDEX(HostBuild[],MATCH(E1133,HostBuild[Alias],0),COLUMN(HostBuild[CTI Target Completion]))&lt;&gt;0,INDEX(HostBuild[],MATCH(E1133,HostBuild[Alias],0),COLUMN(HostBuild[CTI Target Completion])),""),""),"")</f>
        <v/>
      </c>
      <c r="D1133" s="262" t="str">
        <f>IF(AND(NOT(ISBLANK(E1133)),E1133&lt;&gt;"(blank)"),IFERROR(IF(INDEX(HostBuild[],MATCH(E1133,HostBuild[Alias],0),COLUMN(HostBuild[Description]))&lt;&gt;0,INDEX(HostBuild[],MATCH(E1133,HostBuild[Alias],0),COLUMN(HostBuild[Description])),""),""),"")</f>
        <v/>
      </c>
    </row>
    <row r="1134" spans="1:4">
      <c r="A1134" s="3" t="str">
        <f>IF(AND(NOT(ISBLANK(E1134)),E1134&lt;&gt;"(blank)"),IFERROR(IF(INDEX(HostBuild[],MATCH(E1134,HostBuild[Alias],0),COLUMN(HostBuild[Hostname]))&lt;&gt;0,INDEX(HostBuild[],MATCH(E1134,HostBuild[Alias],0),COLUMN(HostBuild[Hostname])),""),""),"")</f>
        <v/>
      </c>
      <c r="B1134" s="424" t="str">
        <f>IF(AND(NOT(ISBLANK(E1134)),E1134&lt;&gt;"(blank)"),IFERROR(IF(INDEX(HostBuild[],MATCH(E1134,HostBuild[Alias],0),COLUMN(HostBuild[Status]))&lt;&gt;0,INDEX(HostBuild[],MATCH(E1134,HostBuild[Alias],0),COLUMN(HostBuild[Status])),""),""),"")</f>
        <v/>
      </c>
      <c r="C1134" s="425" t="str">
        <f>IF(AND(NOT(ISBLANK(E1134)),E1134&lt;&gt;"(blank)"),IFERROR(IF(INDEX(HostBuild[],MATCH(E1134,HostBuild[Alias],0),COLUMN(HostBuild[CTI Target Completion]))&lt;&gt;0,INDEX(HostBuild[],MATCH(E1134,HostBuild[Alias],0),COLUMN(HostBuild[CTI Target Completion])),""),""),"")</f>
        <v/>
      </c>
      <c r="D1134" s="262" t="str">
        <f>IF(AND(NOT(ISBLANK(E1134)),E1134&lt;&gt;"(blank)"),IFERROR(IF(INDEX(HostBuild[],MATCH(E1134,HostBuild[Alias],0),COLUMN(HostBuild[Description]))&lt;&gt;0,INDEX(HostBuild[],MATCH(E1134,HostBuild[Alias],0),COLUMN(HostBuild[Description])),""),""),"")</f>
        <v/>
      </c>
    </row>
    <row r="1135" spans="1:4">
      <c r="A1135" s="3" t="str">
        <f>IF(AND(NOT(ISBLANK(E1135)),E1135&lt;&gt;"(blank)"),IFERROR(IF(INDEX(HostBuild[],MATCH(E1135,HostBuild[Alias],0),COLUMN(HostBuild[Hostname]))&lt;&gt;0,INDEX(HostBuild[],MATCH(E1135,HostBuild[Alias],0),COLUMN(HostBuild[Hostname])),""),""),"")</f>
        <v/>
      </c>
      <c r="B1135" s="424" t="str">
        <f>IF(AND(NOT(ISBLANK(E1135)),E1135&lt;&gt;"(blank)"),IFERROR(IF(INDEX(HostBuild[],MATCH(E1135,HostBuild[Alias],0),COLUMN(HostBuild[Status]))&lt;&gt;0,INDEX(HostBuild[],MATCH(E1135,HostBuild[Alias],0),COLUMN(HostBuild[Status])),""),""),"")</f>
        <v/>
      </c>
      <c r="C1135" s="425" t="str">
        <f>IF(AND(NOT(ISBLANK(E1135)),E1135&lt;&gt;"(blank)"),IFERROR(IF(INDEX(HostBuild[],MATCH(E1135,HostBuild[Alias],0),COLUMN(HostBuild[CTI Target Completion]))&lt;&gt;0,INDEX(HostBuild[],MATCH(E1135,HostBuild[Alias],0),COLUMN(HostBuild[CTI Target Completion])),""),""),"")</f>
        <v/>
      </c>
      <c r="D1135" s="262" t="str">
        <f>IF(AND(NOT(ISBLANK(E1135)),E1135&lt;&gt;"(blank)"),IFERROR(IF(INDEX(HostBuild[],MATCH(E1135,HostBuild[Alias],0),COLUMN(HostBuild[Description]))&lt;&gt;0,INDEX(HostBuild[],MATCH(E1135,HostBuild[Alias],0),COLUMN(HostBuild[Description])),""),""),"")</f>
        <v/>
      </c>
    </row>
    <row r="1136" spans="1:4">
      <c r="A1136" s="3" t="str">
        <f>IF(AND(NOT(ISBLANK(E1136)),E1136&lt;&gt;"(blank)"),IFERROR(IF(INDEX(HostBuild[],MATCH(E1136,HostBuild[Alias],0),COLUMN(HostBuild[Hostname]))&lt;&gt;0,INDEX(HostBuild[],MATCH(E1136,HostBuild[Alias],0),COLUMN(HostBuild[Hostname])),""),""),"")</f>
        <v/>
      </c>
      <c r="B1136" s="424" t="str">
        <f>IF(AND(NOT(ISBLANK(E1136)),E1136&lt;&gt;"(blank)"),IFERROR(IF(INDEX(HostBuild[],MATCH(E1136,HostBuild[Alias],0),COLUMN(HostBuild[Status]))&lt;&gt;0,INDEX(HostBuild[],MATCH(E1136,HostBuild[Alias],0),COLUMN(HostBuild[Status])),""),""),"")</f>
        <v/>
      </c>
      <c r="C1136" s="425" t="str">
        <f>IF(AND(NOT(ISBLANK(E1136)),E1136&lt;&gt;"(blank)"),IFERROR(IF(INDEX(HostBuild[],MATCH(E1136,HostBuild[Alias],0),COLUMN(HostBuild[CTI Target Completion]))&lt;&gt;0,INDEX(HostBuild[],MATCH(E1136,HostBuild[Alias],0),COLUMN(HostBuild[CTI Target Completion])),""),""),"")</f>
        <v/>
      </c>
      <c r="D1136" s="262" t="str">
        <f>IF(AND(NOT(ISBLANK(E1136)),E1136&lt;&gt;"(blank)"),IFERROR(IF(INDEX(HostBuild[],MATCH(E1136,HostBuild[Alias],0),COLUMN(HostBuild[Description]))&lt;&gt;0,INDEX(HostBuild[],MATCH(E1136,HostBuild[Alias],0),COLUMN(HostBuild[Description])),""),""),"")</f>
        <v/>
      </c>
    </row>
    <row r="1137" spans="1:4">
      <c r="A1137" s="3" t="str">
        <f>IF(AND(NOT(ISBLANK(E1137)),E1137&lt;&gt;"(blank)"),IFERROR(IF(INDEX(HostBuild[],MATCH(E1137,HostBuild[Alias],0),COLUMN(HostBuild[Hostname]))&lt;&gt;0,INDEX(HostBuild[],MATCH(E1137,HostBuild[Alias],0),COLUMN(HostBuild[Hostname])),""),""),"")</f>
        <v/>
      </c>
      <c r="B1137" s="424" t="str">
        <f>IF(AND(NOT(ISBLANK(E1137)),E1137&lt;&gt;"(blank)"),IFERROR(IF(INDEX(HostBuild[],MATCH(E1137,HostBuild[Alias],0),COLUMN(HostBuild[Status]))&lt;&gt;0,INDEX(HostBuild[],MATCH(E1137,HostBuild[Alias],0),COLUMN(HostBuild[Status])),""),""),"")</f>
        <v/>
      </c>
      <c r="C1137" s="425" t="str">
        <f>IF(AND(NOT(ISBLANK(E1137)),E1137&lt;&gt;"(blank)"),IFERROR(IF(INDEX(HostBuild[],MATCH(E1137,HostBuild[Alias],0),COLUMN(HostBuild[CTI Target Completion]))&lt;&gt;0,INDEX(HostBuild[],MATCH(E1137,HostBuild[Alias],0),COLUMN(HostBuild[CTI Target Completion])),""),""),"")</f>
        <v/>
      </c>
      <c r="D1137" s="262" t="str">
        <f>IF(AND(NOT(ISBLANK(E1137)),E1137&lt;&gt;"(blank)"),IFERROR(IF(INDEX(HostBuild[],MATCH(E1137,HostBuild[Alias],0),COLUMN(HostBuild[Description]))&lt;&gt;0,INDEX(HostBuild[],MATCH(E1137,HostBuild[Alias],0),COLUMN(HostBuild[Description])),""),""),"")</f>
        <v/>
      </c>
    </row>
    <row r="1138" spans="1:4">
      <c r="A1138" s="3" t="str">
        <f>IF(AND(NOT(ISBLANK(E1138)),E1138&lt;&gt;"(blank)"),IFERROR(IF(INDEX(HostBuild[],MATCH(E1138,HostBuild[Alias],0),COLUMN(HostBuild[Hostname]))&lt;&gt;0,INDEX(HostBuild[],MATCH(E1138,HostBuild[Alias],0),COLUMN(HostBuild[Hostname])),""),""),"")</f>
        <v/>
      </c>
      <c r="B1138" s="424" t="str">
        <f>IF(AND(NOT(ISBLANK(E1138)),E1138&lt;&gt;"(blank)"),IFERROR(IF(INDEX(HostBuild[],MATCH(E1138,HostBuild[Alias],0),COLUMN(HostBuild[Status]))&lt;&gt;0,INDEX(HostBuild[],MATCH(E1138,HostBuild[Alias],0),COLUMN(HostBuild[Status])),""),""),"")</f>
        <v/>
      </c>
      <c r="C1138" s="425" t="str">
        <f>IF(AND(NOT(ISBLANK(E1138)),E1138&lt;&gt;"(blank)"),IFERROR(IF(INDEX(HostBuild[],MATCH(E1138,HostBuild[Alias],0),COLUMN(HostBuild[CTI Target Completion]))&lt;&gt;0,INDEX(HostBuild[],MATCH(E1138,HostBuild[Alias],0),COLUMN(HostBuild[CTI Target Completion])),""),""),"")</f>
        <v/>
      </c>
      <c r="D1138" s="262" t="str">
        <f>IF(AND(NOT(ISBLANK(E1138)),E1138&lt;&gt;"(blank)"),IFERROR(IF(INDEX(HostBuild[],MATCH(E1138,HostBuild[Alias],0),COLUMN(HostBuild[Description]))&lt;&gt;0,INDEX(HostBuild[],MATCH(E1138,HostBuild[Alias],0),COLUMN(HostBuild[Description])),""),""),"")</f>
        <v/>
      </c>
    </row>
    <row r="1139" spans="1:4">
      <c r="A1139" s="3" t="str">
        <f>IF(AND(NOT(ISBLANK(E1139)),E1139&lt;&gt;"(blank)"),IFERROR(IF(INDEX(HostBuild[],MATCH(E1139,HostBuild[Alias],0),COLUMN(HostBuild[Hostname]))&lt;&gt;0,INDEX(HostBuild[],MATCH(E1139,HostBuild[Alias],0),COLUMN(HostBuild[Hostname])),""),""),"")</f>
        <v/>
      </c>
      <c r="B1139" s="424" t="str">
        <f>IF(AND(NOT(ISBLANK(E1139)),E1139&lt;&gt;"(blank)"),IFERROR(IF(INDEX(HostBuild[],MATCH(E1139,HostBuild[Alias],0),COLUMN(HostBuild[Status]))&lt;&gt;0,INDEX(HostBuild[],MATCH(E1139,HostBuild[Alias],0),COLUMN(HostBuild[Status])),""),""),"")</f>
        <v/>
      </c>
      <c r="C1139" s="425" t="str">
        <f>IF(AND(NOT(ISBLANK(E1139)),E1139&lt;&gt;"(blank)"),IFERROR(IF(INDEX(HostBuild[],MATCH(E1139,HostBuild[Alias],0),COLUMN(HostBuild[CTI Target Completion]))&lt;&gt;0,INDEX(HostBuild[],MATCH(E1139,HostBuild[Alias],0),COLUMN(HostBuild[CTI Target Completion])),""),""),"")</f>
        <v/>
      </c>
      <c r="D1139" s="262" t="str">
        <f>IF(AND(NOT(ISBLANK(E1139)),E1139&lt;&gt;"(blank)"),IFERROR(IF(INDEX(HostBuild[],MATCH(E1139,HostBuild[Alias],0),COLUMN(HostBuild[Description]))&lt;&gt;0,INDEX(HostBuild[],MATCH(E1139,HostBuild[Alias],0),COLUMN(HostBuild[Description])),""),""),"")</f>
        <v/>
      </c>
    </row>
    <row r="1140" spans="1:4">
      <c r="A1140" s="3" t="str">
        <f>IF(AND(NOT(ISBLANK(E1140)),E1140&lt;&gt;"(blank)"),IFERROR(IF(INDEX(HostBuild[],MATCH(E1140,HostBuild[Alias],0),COLUMN(HostBuild[Hostname]))&lt;&gt;0,INDEX(HostBuild[],MATCH(E1140,HostBuild[Alias],0),COLUMN(HostBuild[Hostname])),""),""),"")</f>
        <v/>
      </c>
      <c r="B1140" s="424" t="str">
        <f>IF(AND(NOT(ISBLANK(E1140)),E1140&lt;&gt;"(blank)"),IFERROR(IF(INDEX(HostBuild[],MATCH(E1140,HostBuild[Alias],0),COLUMN(HostBuild[Status]))&lt;&gt;0,INDEX(HostBuild[],MATCH(E1140,HostBuild[Alias],0),COLUMN(HostBuild[Status])),""),""),"")</f>
        <v/>
      </c>
      <c r="C1140" s="425" t="str">
        <f>IF(AND(NOT(ISBLANK(E1140)),E1140&lt;&gt;"(blank)"),IFERROR(IF(INDEX(HostBuild[],MATCH(E1140,HostBuild[Alias],0),COLUMN(HostBuild[CTI Target Completion]))&lt;&gt;0,INDEX(HostBuild[],MATCH(E1140,HostBuild[Alias],0),COLUMN(HostBuild[CTI Target Completion])),""),""),"")</f>
        <v/>
      </c>
      <c r="D1140" s="262" t="str">
        <f>IF(AND(NOT(ISBLANK(E1140)),E1140&lt;&gt;"(blank)"),IFERROR(IF(INDEX(HostBuild[],MATCH(E1140,HostBuild[Alias],0),COLUMN(HostBuild[Description]))&lt;&gt;0,INDEX(HostBuild[],MATCH(E1140,HostBuild[Alias],0),COLUMN(HostBuild[Description])),""),""),"")</f>
        <v/>
      </c>
    </row>
    <row r="1141" spans="1:4">
      <c r="A1141" s="3" t="str">
        <f>IF(AND(NOT(ISBLANK(E1141)),E1141&lt;&gt;"(blank)"),IFERROR(IF(INDEX(HostBuild[],MATCH(E1141,HostBuild[Alias],0),COLUMN(HostBuild[Hostname]))&lt;&gt;0,INDEX(HostBuild[],MATCH(E1141,HostBuild[Alias],0),COLUMN(HostBuild[Hostname])),""),""),"")</f>
        <v/>
      </c>
      <c r="B1141" s="424" t="str">
        <f>IF(AND(NOT(ISBLANK(E1141)),E1141&lt;&gt;"(blank)"),IFERROR(IF(INDEX(HostBuild[],MATCH(E1141,HostBuild[Alias],0),COLUMN(HostBuild[Status]))&lt;&gt;0,INDEX(HostBuild[],MATCH(E1141,HostBuild[Alias],0),COLUMN(HostBuild[Status])),""),""),"")</f>
        <v/>
      </c>
      <c r="C1141" s="425" t="str">
        <f>IF(AND(NOT(ISBLANK(E1141)),E1141&lt;&gt;"(blank)"),IFERROR(IF(INDEX(HostBuild[],MATCH(E1141,HostBuild[Alias],0),COLUMN(HostBuild[CTI Target Completion]))&lt;&gt;0,INDEX(HostBuild[],MATCH(E1141,HostBuild[Alias],0),COLUMN(HostBuild[CTI Target Completion])),""),""),"")</f>
        <v/>
      </c>
      <c r="D1141" s="262" t="str">
        <f>IF(AND(NOT(ISBLANK(E1141)),E1141&lt;&gt;"(blank)"),IFERROR(IF(INDEX(HostBuild[],MATCH(E1141,HostBuild[Alias],0),COLUMN(HostBuild[Description]))&lt;&gt;0,INDEX(HostBuild[],MATCH(E1141,HostBuild[Alias],0),COLUMN(HostBuild[Description])),""),""),"")</f>
        <v/>
      </c>
    </row>
    <row r="1142" spans="1:4">
      <c r="A1142" s="3" t="str">
        <f>IF(AND(NOT(ISBLANK(E1142)),E1142&lt;&gt;"(blank)"),IFERROR(IF(INDEX(HostBuild[],MATCH(E1142,HostBuild[Alias],0),COLUMN(HostBuild[Hostname]))&lt;&gt;0,INDEX(HostBuild[],MATCH(E1142,HostBuild[Alias],0),COLUMN(HostBuild[Hostname])),""),""),"")</f>
        <v/>
      </c>
      <c r="B1142" s="424" t="str">
        <f>IF(AND(NOT(ISBLANK(E1142)),E1142&lt;&gt;"(blank)"),IFERROR(IF(INDEX(HostBuild[],MATCH(E1142,HostBuild[Alias],0),COLUMN(HostBuild[Status]))&lt;&gt;0,INDEX(HostBuild[],MATCH(E1142,HostBuild[Alias],0),COLUMN(HostBuild[Status])),""),""),"")</f>
        <v/>
      </c>
      <c r="C1142" s="425" t="str">
        <f>IF(AND(NOT(ISBLANK(E1142)),E1142&lt;&gt;"(blank)"),IFERROR(IF(INDEX(HostBuild[],MATCH(E1142,HostBuild[Alias],0),COLUMN(HostBuild[CTI Target Completion]))&lt;&gt;0,INDEX(HostBuild[],MATCH(E1142,HostBuild[Alias],0),COLUMN(HostBuild[CTI Target Completion])),""),""),"")</f>
        <v/>
      </c>
      <c r="D1142" s="262" t="str">
        <f>IF(AND(NOT(ISBLANK(E1142)),E1142&lt;&gt;"(blank)"),IFERROR(IF(INDEX(HostBuild[],MATCH(E1142,HostBuild[Alias],0),COLUMN(HostBuild[Description]))&lt;&gt;0,INDEX(HostBuild[],MATCH(E1142,HostBuild[Alias],0),COLUMN(HostBuild[Description])),""),""),"")</f>
        <v/>
      </c>
    </row>
    <row r="1143" spans="1:4">
      <c r="A1143" s="3" t="str">
        <f>IF(AND(NOT(ISBLANK(E1143)),E1143&lt;&gt;"(blank)"),IFERROR(IF(INDEX(HostBuild[],MATCH(E1143,HostBuild[Alias],0),COLUMN(HostBuild[Hostname]))&lt;&gt;0,INDEX(HostBuild[],MATCH(E1143,HostBuild[Alias],0),COLUMN(HostBuild[Hostname])),""),""),"")</f>
        <v/>
      </c>
      <c r="B1143" s="424" t="str">
        <f>IF(AND(NOT(ISBLANK(E1143)),E1143&lt;&gt;"(blank)"),IFERROR(IF(INDEX(HostBuild[],MATCH(E1143,HostBuild[Alias],0),COLUMN(HostBuild[Status]))&lt;&gt;0,INDEX(HostBuild[],MATCH(E1143,HostBuild[Alias],0),COLUMN(HostBuild[Status])),""),""),"")</f>
        <v/>
      </c>
      <c r="C1143" s="425" t="str">
        <f>IF(AND(NOT(ISBLANK(E1143)),E1143&lt;&gt;"(blank)"),IFERROR(IF(INDEX(HostBuild[],MATCH(E1143,HostBuild[Alias],0),COLUMN(HostBuild[CTI Target Completion]))&lt;&gt;0,INDEX(HostBuild[],MATCH(E1143,HostBuild[Alias],0),COLUMN(HostBuild[CTI Target Completion])),""),""),"")</f>
        <v/>
      </c>
      <c r="D1143" s="262" t="str">
        <f>IF(AND(NOT(ISBLANK(E1143)),E1143&lt;&gt;"(blank)"),IFERROR(IF(INDEX(HostBuild[],MATCH(E1143,HostBuild[Alias],0),COLUMN(HostBuild[Description]))&lt;&gt;0,INDEX(HostBuild[],MATCH(E1143,HostBuild[Alias],0),COLUMN(HostBuild[Description])),""),""),"")</f>
        <v/>
      </c>
    </row>
    <row r="1144" spans="1:4">
      <c r="A1144" s="3" t="str">
        <f>IF(AND(NOT(ISBLANK(E1144)),E1144&lt;&gt;"(blank)"),IFERROR(IF(INDEX(HostBuild[],MATCH(E1144,HostBuild[Alias],0),COLUMN(HostBuild[Hostname]))&lt;&gt;0,INDEX(HostBuild[],MATCH(E1144,HostBuild[Alias],0),COLUMN(HostBuild[Hostname])),""),""),"")</f>
        <v/>
      </c>
      <c r="B1144" s="424" t="str">
        <f>IF(AND(NOT(ISBLANK(E1144)),E1144&lt;&gt;"(blank)"),IFERROR(IF(INDEX(HostBuild[],MATCH(E1144,HostBuild[Alias],0),COLUMN(HostBuild[Status]))&lt;&gt;0,INDEX(HostBuild[],MATCH(E1144,HostBuild[Alias],0),COLUMN(HostBuild[Status])),""),""),"")</f>
        <v/>
      </c>
      <c r="C1144" s="425" t="str">
        <f>IF(AND(NOT(ISBLANK(E1144)),E1144&lt;&gt;"(blank)"),IFERROR(IF(INDEX(HostBuild[],MATCH(E1144,HostBuild[Alias],0),COLUMN(HostBuild[CTI Target Completion]))&lt;&gt;0,INDEX(HostBuild[],MATCH(E1144,HostBuild[Alias],0),COLUMN(HostBuild[CTI Target Completion])),""),""),"")</f>
        <v/>
      </c>
      <c r="D1144" s="262" t="str">
        <f>IF(AND(NOT(ISBLANK(E1144)),E1144&lt;&gt;"(blank)"),IFERROR(IF(INDEX(HostBuild[],MATCH(E1144,HostBuild[Alias],0),COLUMN(HostBuild[Description]))&lt;&gt;0,INDEX(HostBuild[],MATCH(E1144,HostBuild[Alias],0),COLUMN(HostBuild[Description])),""),""),"")</f>
        <v/>
      </c>
    </row>
    <row r="1145" spans="1:4">
      <c r="A1145" s="3" t="str">
        <f>IF(AND(NOT(ISBLANK(E1145)),E1145&lt;&gt;"(blank)"),IFERROR(IF(INDEX(HostBuild[],MATCH(E1145,HostBuild[Alias],0),COLUMN(HostBuild[Hostname]))&lt;&gt;0,INDEX(HostBuild[],MATCH(E1145,HostBuild[Alias],0),COLUMN(HostBuild[Hostname])),""),""),"")</f>
        <v/>
      </c>
      <c r="B1145" s="424" t="str">
        <f>IF(AND(NOT(ISBLANK(E1145)),E1145&lt;&gt;"(blank)"),IFERROR(IF(INDEX(HostBuild[],MATCH(E1145,HostBuild[Alias],0),COLUMN(HostBuild[Status]))&lt;&gt;0,INDEX(HostBuild[],MATCH(E1145,HostBuild[Alias],0),COLUMN(HostBuild[Status])),""),""),"")</f>
        <v/>
      </c>
      <c r="C1145" s="425" t="str">
        <f>IF(AND(NOT(ISBLANK(E1145)),E1145&lt;&gt;"(blank)"),IFERROR(IF(INDEX(HostBuild[],MATCH(E1145,HostBuild[Alias],0),COLUMN(HostBuild[CTI Target Completion]))&lt;&gt;0,INDEX(HostBuild[],MATCH(E1145,HostBuild[Alias],0),COLUMN(HostBuild[CTI Target Completion])),""),""),"")</f>
        <v/>
      </c>
      <c r="D1145" s="262" t="str">
        <f>IF(AND(NOT(ISBLANK(E1145)),E1145&lt;&gt;"(blank)"),IFERROR(IF(INDEX(HostBuild[],MATCH(E1145,HostBuild[Alias],0),COLUMN(HostBuild[Description]))&lt;&gt;0,INDEX(HostBuild[],MATCH(E1145,HostBuild[Alias],0),COLUMN(HostBuild[Description])),""),""),"")</f>
        <v/>
      </c>
    </row>
    <row r="1146" spans="1:4">
      <c r="A1146" s="3" t="str">
        <f>IF(AND(NOT(ISBLANK(E1146)),E1146&lt;&gt;"(blank)"),IFERROR(IF(INDEX(HostBuild[],MATCH(E1146,HostBuild[Alias],0),COLUMN(HostBuild[Hostname]))&lt;&gt;0,INDEX(HostBuild[],MATCH(E1146,HostBuild[Alias],0),COLUMN(HostBuild[Hostname])),""),""),"")</f>
        <v/>
      </c>
      <c r="B1146" s="424" t="str">
        <f>IF(AND(NOT(ISBLANK(E1146)),E1146&lt;&gt;"(blank)"),IFERROR(IF(INDEX(HostBuild[],MATCH(E1146,HostBuild[Alias],0),COLUMN(HostBuild[Status]))&lt;&gt;0,INDEX(HostBuild[],MATCH(E1146,HostBuild[Alias],0),COLUMN(HostBuild[Status])),""),""),"")</f>
        <v/>
      </c>
      <c r="C1146" s="425" t="str">
        <f>IF(AND(NOT(ISBLANK(E1146)),E1146&lt;&gt;"(blank)"),IFERROR(IF(INDEX(HostBuild[],MATCH(E1146,HostBuild[Alias],0),COLUMN(HostBuild[CTI Target Completion]))&lt;&gt;0,INDEX(HostBuild[],MATCH(E1146,HostBuild[Alias],0),COLUMN(HostBuild[CTI Target Completion])),""),""),"")</f>
        <v/>
      </c>
      <c r="D1146" s="262" t="str">
        <f>IF(AND(NOT(ISBLANK(E1146)),E1146&lt;&gt;"(blank)"),IFERROR(IF(INDEX(HostBuild[],MATCH(E1146,HostBuild[Alias],0),COLUMN(HostBuild[Description]))&lt;&gt;0,INDEX(HostBuild[],MATCH(E1146,HostBuild[Alias],0),COLUMN(HostBuild[Description])),""),""),"")</f>
        <v/>
      </c>
    </row>
    <row r="1147" spans="1:4">
      <c r="A1147" s="3" t="str">
        <f>IF(AND(NOT(ISBLANK(E1147)),E1147&lt;&gt;"(blank)"),IFERROR(IF(INDEX(HostBuild[],MATCH(E1147,HostBuild[Alias],0),COLUMN(HostBuild[Hostname]))&lt;&gt;0,INDEX(HostBuild[],MATCH(E1147,HostBuild[Alias],0),COLUMN(HostBuild[Hostname])),""),""),"")</f>
        <v/>
      </c>
      <c r="B1147" s="424" t="str">
        <f>IF(AND(NOT(ISBLANK(E1147)),E1147&lt;&gt;"(blank)"),IFERROR(IF(INDEX(HostBuild[],MATCH(E1147,HostBuild[Alias],0),COLUMN(HostBuild[Status]))&lt;&gt;0,INDEX(HostBuild[],MATCH(E1147,HostBuild[Alias],0),COLUMN(HostBuild[Status])),""),""),"")</f>
        <v/>
      </c>
      <c r="C1147" s="425" t="str">
        <f>IF(AND(NOT(ISBLANK(E1147)),E1147&lt;&gt;"(blank)"),IFERROR(IF(INDEX(HostBuild[],MATCH(E1147,HostBuild[Alias],0),COLUMN(HostBuild[CTI Target Completion]))&lt;&gt;0,INDEX(HostBuild[],MATCH(E1147,HostBuild[Alias],0),COLUMN(HostBuild[CTI Target Completion])),""),""),"")</f>
        <v/>
      </c>
      <c r="D1147" s="262" t="str">
        <f>IF(AND(NOT(ISBLANK(E1147)),E1147&lt;&gt;"(blank)"),IFERROR(IF(INDEX(HostBuild[],MATCH(E1147,HostBuild[Alias],0),COLUMN(HostBuild[Description]))&lt;&gt;0,INDEX(HostBuild[],MATCH(E1147,HostBuild[Alias],0),COLUMN(HostBuild[Description])),""),""),"")</f>
        <v/>
      </c>
    </row>
    <row r="1148" spans="1:4">
      <c r="A1148" s="3" t="str">
        <f>IF(AND(NOT(ISBLANK(E1148)),E1148&lt;&gt;"(blank)"),IFERROR(IF(INDEX(HostBuild[],MATCH(E1148,HostBuild[Alias],0),COLUMN(HostBuild[Hostname]))&lt;&gt;0,INDEX(HostBuild[],MATCH(E1148,HostBuild[Alias],0),COLUMN(HostBuild[Hostname])),""),""),"")</f>
        <v/>
      </c>
      <c r="B1148" s="424" t="str">
        <f>IF(AND(NOT(ISBLANK(E1148)),E1148&lt;&gt;"(blank)"),IFERROR(IF(INDEX(HostBuild[],MATCH(E1148,HostBuild[Alias],0),COLUMN(HostBuild[Status]))&lt;&gt;0,INDEX(HostBuild[],MATCH(E1148,HostBuild[Alias],0),COLUMN(HostBuild[Status])),""),""),"")</f>
        <v/>
      </c>
      <c r="C1148" s="425" t="str">
        <f>IF(AND(NOT(ISBLANK(E1148)),E1148&lt;&gt;"(blank)"),IFERROR(IF(INDEX(HostBuild[],MATCH(E1148,HostBuild[Alias],0),COLUMN(HostBuild[CTI Target Completion]))&lt;&gt;0,INDEX(HostBuild[],MATCH(E1148,HostBuild[Alias],0),COLUMN(HostBuild[CTI Target Completion])),""),""),"")</f>
        <v/>
      </c>
      <c r="D1148" s="262" t="str">
        <f>IF(AND(NOT(ISBLANK(E1148)),E1148&lt;&gt;"(blank)"),IFERROR(IF(INDEX(HostBuild[],MATCH(E1148,HostBuild[Alias],0),COLUMN(HostBuild[Description]))&lt;&gt;0,INDEX(HostBuild[],MATCH(E1148,HostBuild[Alias],0),COLUMN(HostBuild[Description])),""),""),"")</f>
        <v/>
      </c>
    </row>
    <row r="1149" spans="1:4">
      <c r="A1149" s="3" t="str">
        <f>IF(AND(NOT(ISBLANK(E1149)),E1149&lt;&gt;"(blank)"),IFERROR(IF(INDEX(HostBuild[],MATCH(E1149,HostBuild[Alias],0),COLUMN(HostBuild[Hostname]))&lt;&gt;0,INDEX(HostBuild[],MATCH(E1149,HostBuild[Alias],0),COLUMN(HostBuild[Hostname])),""),""),"")</f>
        <v/>
      </c>
      <c r="B1149" s="424" t="str">
        <f>IF(AND(NOT(ISBLANK(E1149)),E1149&lt;&gt;"(blank)"),IFERROR(IF(INDEX(HostBuild[],MATCH(E1149,HostBuild[Alias],0),COLUMN(HostBuild[Status]))&lt;&gt;0,INDEX(HostBuild[],MATCH(E1149,HostBuild[Alias],0),COLUMN(HostBuild[Status])),""),""),"")</f>
        <v/>
      </c>
      <c r="C1149" s="425" t="str">
        <f>IF(AND(NOT(ISBLANK(E1149)),E1149&lt;&gt;"(blank)"),IFERROR(IF(INDEX(HostBuild[],MATCH(E1149,HostBuild[Alias],0),COLUMN(HostBuild[CTI Target Completion]))&lt;&gt;0,INDEX(HostBuild[],MATCH(E1149,HostBuild[Alias],0),COLUMN(HostBuild[CTI Target Completion])),""),""),"")</f>
        <v/>
      </c>
      <c r="D1149" s="262" t="str">
        <f>IF(AND(NOT(ISBLANK(E1149)),E1149&lt;&gt;"(blank)"),IFERROR(IF(INDEX(HostBuild[],MATCH(E1149,HostBuild[Alias],0),COLUMN(HostBuild[Description]))&lt;&gt;0,INDEX(HostBuild[],MATCH(E1149,HostBuild[Alias],0),COLUMN(HostBuild[Description])),""),""),"")</f>
        <v/>
      </c>
    </row>
    <row r="1150" spans="1:4">
      <c r="A1150" s="3" t="str">
        <f>IF(AND(NOT(ISBLANK(E1150)),E1150&lt;&gt;"(blank)"),IFERROR(IF(INDEX(HostBuild[],MATCH(E1150,HostBuild[Alias],0),COLUMN(HostBuild[Hostname]))&lt;&gt;0,INDEX(HostBuild[],MATCH(E1150,HostBuild[Alias],0),COLUMN(HostBuild[Hostname])),""),""),"")</f>
        <v/>
      </c>
      <c r="B1150" s="424" t="str">
        <f>IF(AND(NOT(ISBLANK(E1150)),E1150&lt;&gt;"(blank)"),IFERROR(IF(INDEX(HostBuild[],MATCH(E1150,HostBuild[Alias],0),COLUMN(HostBuild[Status]))&lt;&gt;0,INDEX(HostBuild[],MATCH(E1150,HostBuild[Alias],0),COLUMN(HostBuild[Status])),""),""),"")</f>
        <v/>
      </c>
      <c r="C1150" s="425" t="str">
        <f>IF(AND(NOT(ISBLANK(E1150)),E1150&lt;&gt;"(blank)"),IFERROR(IF(INDEX(HostBuild[],MATCH(E1150,HostBuild[Alias],0),COLUMN(HostBuild[CTI Target Completion]))&lt;&gt;0,INDEX(HostBuild[],MATCH(E1150,HostBuild[Alias],0),COLUMN(HostBuild[CTI Target Completion])),""),""),"")</f>
        <v/>
      </c>
      <c r="D1150" s="262" t="str">
        <f>IF(AND(NOT(ISBLANK(E1150)),E1150&lt;&gt;"(blank)"),IFERROR(IF(INDEX(HostBuild[],MATCH(E1150,HostBuild[Alias],0),COLUMN(HostBuild[Description]))&lt;&gt;0,INDEX(HostBuild[],MATCH(E1150,HostBuild[Alias],0),COLUMN(HostBuild[Description])),""),""),"")</f>
        <v/>
      </c>
    </row>
    <row r="1151" spans="1:4">
      <c r="A1151" s="3" t="str">
        <f>IF(AND(NOT(ISBLANK(E1151)),E1151&lt;&gt;"(blank)"),IFERROR(IF(INDEX(HostBuild[],MATCH(E1151,HostBuild[Alias],0),COLUMN(HostBuild[Hostname]))&lt;&gt;0,INDEX(HostBuild[],MATCH(E1151,HostBuild[Alias],0),COLUMN(HostBuild[Hostname])),""),""),"")</f>
        <v/>
      </c>
      <c r="B1151" s="424" t="str">
        <f>IF(AND(NOT(ISBLANK(E1151)),E1151&lt;&gt;"(blank)"),IFERROR(IF(INDEX(HostBuild[],MATCH(E1151,HostBuild[Alias],0),COLUMN(HostBuild[Status]))&lt;&gt;0,INDEX(HostBuild[],MATCH(E1151,HostBuild[Alias],0),COLUMN(HostBuild[Status])),""),""),"")</f>
        <v/>
      </c>
      <c r="C1151" s="425" t="str">
        <f>IF(AND(NOT(ISBLANK(E1151)),E1151&lt;&gt;"(blank)"),IFERROR(IF(INDEX(HostBuild[],MATCH(E1151,HostBuild[Alias],0),COLUMN(HostBuild[CTI Target Completion]))&lt;&gt;0,INDEX(HostBuild[],MATCH(E1151,HostBuild[Alias],0),COLUMN(HostBuild[CTI Target Completion])),""),""),"")</f>
        <v/>
      </c>
      <c r="D1151" s="262" t="str">
        <f>IF(AND(NOT(ISBLANK(E1151)),E1151&lt;&gt;"(blank)"),IFERROR(IF(INDEX(HostBuild[],MATCH(E1151,HostBuild[Alias],0),COLUMN(HostBuild[Description]))&lt;&gt;0,INDEX(HostBuild[],MATCH(E1151,HostBuild[Alias],0),COLUMN(HostBuild[Description])),""),""),"")</f>
        <v/>
      </c>
    </row>
    <row r="1152" spans="1:4">
      <c r="A1152" s="3" t="str">
        <f>IF(AND(NOT(ISBLANK(E1152)),E1152&lt;&gt;"(blank)"),IFERROR(IF(INDEX(HostBuild[],MATCH(E1152,HostBuild[Alias],0),COLUMN(HostBuild[Hostname]))&lt;&gt;0,INDEX(HostBuild[],MATCH(E1152,HostBuild[Alias],0),COLUMN(HostBuild[Hostname])),""),""),"")</f>
        <v/>
      </c>
      <c r="B1152" s="424" t="str">
        <f>IF(AND(NOT(ISBLANK(E1152)),E1152&lt;&gt;"(blank)"),IFERROR(IF(INDEX(HostBuild[],MATCH(E1152,HostBuild[Alias],0),COLUMN(HostBuild[Status]))&lt;&gt;0,INDEX(HostBuild[],MATCH(E1152,HostBuild[Alias],0),COLUMN(HostBuild[Status])),""),""),"")</f>
        <v/>
      </c>
      <c r="C1152" s="425" t="str">
        <f>IF(AND(NOT(ISBLANK(E1152)),E1152&lt;&gt;"(blank)"),IFERROR(IF(INDEX(HostBuild[],MATCH(E1152,HostBuild[Alias],0),COLUMN(HostBuild[CTI Target Completion]))&lt;&gt;0,INDEX(HostBuild[],MATCH(E1152,HostBuild[Alias],0),COLUMN(HostBuild[CTI Target Completion])),""),""),"")</f>
        <v/>
      </c>
      <c r="D1152" s="262" t="str">
        <f>IF(AND(NOT(ISBLANK(E1152)),E1152&lt;&gt;"(blank)"),IFERROR(IF(INDEX(HostBuild[],MATCH(E1152,HostBuild[Alias],0),COLUMN(HostBuild[Description]))&lt;&gt;0,INDEX(HostBuild[],MATCH(E1152,HostBuild[Alias],0),COLUMN(HostBuild[Description])),""),""),"")</f>
        <v/>
      </c>
    </row>
    <row r="1153" spans="1:4">
      <c r="A1153" s="3" t="str">
        <f>IF(AND(NOT(ISBLANK(E1153)),E1153&lt;&gt;"(blank)"),IFERROR(IF(INDEX(HostBuild[],MATCH(E1153,HostBuild[Alias],0),COLUMN(HostBuild[Hostname]))&lt;&gt;0,INDEX(HostBuild[],MATCH(E1153,HostBuild[Alias],0),COLUMN(HostBuild[Hostname])),""),""),"")</f>
        <v/>
      </c>
      <c r="B1153" s="424" t="str">
        <f>IF(AND(NOT(ISBLANK(E1153)),E1153&lt;&gt;"(blank)"),IFERROR(IF(INDEX(HostBuild[],MATCH(E1153,HostBuild[Alias],0),COLUMN(HostBuild[Status]))&lt;&gt;0,INDEX(HostBuild[],MATCH(E1153,HostBuild[Alias],0),COLUMN(HostBuild[Status])),""),""),"")</f>
        <v/>
      </c>
      <c r="C1153" s="425" t="str">
        <f>IF(AND(NOT(ISBLANK(E1153)),E1153&lt;&gt;"(blank)"),IFERROR(IF(INDEX(HostBuild[],MATCH(E1153,HostBuild[Alias],0),COLUMN(HostBuild[CTI Target Completion]))&lt;&gt;0,INDEX(HostBuild[],MATCH(E1153,HostBuild[Alias],0),COLUMN(HostBuild[CTI Target Completion])),""),""),"")</f>
        <v/>
      </c>
      <c r="D1153" s="262" t="str">
        <f>IF(AND(NOT(ISBLANK(E1153)),E1153&lt;&gt;"(blank)"),IFERROR(IF(INDEX(HostBuild[],MATCH(E1153,HostBuild[Alias],0),COLUMN(HostBuild[Description]))&lt;&gt;0,INDEX(HostBuild[],MATCH(E1153,HostBuild[Alias],0),COLUMN(HostBuild[Description])),""),""),"")</f>
        <v/>
      </c>
    </row>
    <row r="1154" spans="1:4">
      <c r="A1154" s="3" t="str">
        <f>IF(AND(NOT(ISBLANK(E1154)),E1154&lt;&gt;"(blank)"),IFERROR(IF(INDEX(HostBuild[],MATCH(E1154,HostBuild[Alias],0),COLUMN(HostBuild[Hostname]))&lt;&gt;0,INDEX(HostBuild[],MATCH(E1154,HostBuild[Alias],0),COLUMN(HostBuild[Hostname])),""),""),"")</f>
        <v/>
      </c>
      <c r="B1154" s="424" t="str">
        <f>IF(AND(NOT(ISBLANK(E1154)),E1154&lt;&gt;"(blank)"),IFERROR(IF(INDEX(HostBuild[],MATCH(E1154,HostBuild[Alias],0),COLUMN(HostBuild[Status]))&lt;&gt;0,INDEX(HostBuild[],MATCH(E1154,HostBuild[Alias],0),COLUMN(HostBuild[Status])),""),""),"")</f>
        <v/>
      </c>
      <c r="C1154" s="425" t="str">
        <f>IF(AND(NOT(ISBLANK(E1154)),E1154&lt;&gt;"(blank)"),IFERROR(IF(INDEX(HostBuild[],MATCH(E1154,HostBuild[Alias],0),COLUMN(HostBuild[CTI Target Completion]))&lt;&gt;0,INDEX(HostBuild[],MATCH(E1154,HostBuild[Alias],0),COLUMN(HostBuild[CTI Target Completion])),""),""),"")</f>
        <v/>
      </c>
      <c r="D1154" s="262" t="str">
        <f>IF(AND(NOT(ISBLANK(E1154)),E1154&lt;&gt;"(blank)"),IFERROR(IF(INDEX(HostBuild[],MATCH(E1154,HostBuild[Alias],0),COLUMN(HostBuild[Description]))&lt;&gt;0,INDEX(HostBuild[],MATCH(E1154,HostBuild[Alias],0),COLUMN(HostBuild[Description])),""),""),"")</f>
        <v/>
      </c>
    </row>
    <row r="1155" spans="1:4">
      <c r="A1155" s="3" t="str">
        <f>IF(AND(NOT(ISBLANK(E1155)),E1155&lt;&gt;"(blank)"),IFERROR(IF(INDEX(HostBuild[],MATCH(E1155,HostBuild[Alias],0),COLUMN(HostBuild[Hostname]))&lt;&gt;0,INDEX(HostBuild[],MATCH(E1155,HostBuild[Alias],0),COLUMN(HostBuild[Hostname])),""),""),"")</f>
        <v/>
      </c>
      <c r="B1155" s="424" t="str">
        <f>IF(AND(NOT(ISBLANK(E1155)),E1155&lt;&gt;"(blank)"),IFERROR(IF(INDEX(HostBuild[],MATCH(E1155,HostBuild[Alias],0),COLUMN(HostBuild[Status]))&lt;&gt;0,INDEX(HostBuild[],MATCH(E1155,HostBuild[Alias],0),COLUMN(HostBuild[Status])),""),""),"")</f>
        <v/>
      </c>
      <c r="C1155" s="425" t="str">
        <f>IF(AND(NOT(ISBLANK(E1155)),E1155&lt;&gt;"(blank)"),IFERROR(IF(INDEX(HostBuild[],MATCH(E1155,HostBuild[Alias],0),COLUMN(HostBuild[CTI Target Completion]))&lt;&gt;0,INDEX(HostBuild[],MATCH(E1155,HostBuild[Alias],0),COLUMN(HostBuild[CTI Target Completion])),""),""),"")</f>
        <v/>
      </c>
      <c r="D1155" s="262" t="str">
        <f>IF(AND(NOT(ISBLANK(E1155)),E1155&lt;&gt;"(blank)"),IFERROR(IF(INDEX(HostBuild[],MATCH(E1155,HostBuild[Alias],0),COLUMN(HostBuild[Description]))&lt;&gt;0,INDEX(HostBuild[],MATCH(E1155,HostBuild[Alias],0),COLUMN(HostBuild[Description])),""),""),"")</f>
        <v/>
      </c>
    </row>
    <row r="1156" spans="1:4">
      <c r="A1156" s="3" t="str">
        <f>IF(AND(NOT(ISBLANK(E1156)),E1156&lt;&gt;"(blank)"),IFERROR(IF(INDEX(HostBuild[],MATCH(E1156,HostBuild[Alias],0),COLUMN(HostBuild[Hostname]))&lt;&gt;0,INDEX(HostBuild[],MATCH(E1156,HostBuild[Alias],0),COLUMN(HostBuild[Hostname])),""),""),"")</f>
        <v/>
      </c>
      <c r="B1156" s="424" t="str">
        <f>IF(AND(NOT(ISBLANK(E1156)),E1156&lt;&gt;"(blank)"),IFERROR(IF(INDEX(HostBuild[],MATCH(E1156,HostBuild[Alias],0),COLUMN(HostBuild[Status]))&lt;&gt;0,INDEX(HostBuild[],MATCH(E1156,HostBuild[Alias],0),COLUMN(HostBuild[Status])),""),""),"")</f>
        <v/>
      </c>
      <c r="C1156" s="425" t="str">
        <f>IF(AND(NOT(ISBLANK(E1156)),E1156&lt;&gt;"(blank)"),IFERROR(IF(INDEX(HostBuild[],MATCH(E1156,HostBuild[Alias],0),COLUMN(HostBuild[CTI Target Completion]))&lt;&gt;0,INDEX(HostBuild[],MATCH(E1156,HostBuild[Alias],0),COLUMN(HostBuild[CTI Target Completion])),""),""),"")</f>
        <v/>
      </c>
      <c r="D1156" s="262" t="str">
        <f>IF(AND(NOT(ISBLANK(E1156)),E1156&lt;&gt;"(blank)"),IFERROR(IF(INDEX(HostBuild[],MATCH(E1156,HostBuild[Alias],0),COLUMN(HostBuild[Description]))&lt;&gt;0,INDEX(HostBuild[],MATCH(E1156,HostBuild[Alias],0),COLUMN(HostBuild[Description])),""),""),"")</f>
        <v/>
      </c>
    </row>
    <row r="1157" spans="1:4">
      <c r="A1157" s="3" t="str">
        <f>IF(AND(NOT(ISBLANK(E1157)),E1157&lt;&gt;"(blank)"),IFERROR(IF(INDEX(HostBuild[],MATCH(E1157,HostBuild[Alias],0),COLUMN(HostBuild[Hostname]))&lt;&gt;0,INDEX(HostBuild[],MATCH(E1157,HostBuild[Alias],0),COLUMN(HostBuild[Hostname])),""),""),"")</f>
        <v/>
      </c>
      <c r="B1157" s="424" t="str">
        <f>IF(AND(NOT(ISBLANK(E1157)),E1157&lt;&gt;"(blank)"),IFERROR(IF(INDEX(HostBuild[],MATCH(E1157,HostBuild[Alias],0),COLUMN(HostBuild[Status]))&lt;&gt;0,INDEX(HostBuild[],MATCH(E1157,HostBuild[Alias],0),COLUMN(HostBuild[Status])),""),""),"")</f>
        <v/>
      </c>
      <c r="C1157" s="425" t="str">
        <f>IF(AND(NOT(ISBLANK(E1157)),E1157&lt;&gt;"(blank)"),IFERROR(IF(INDEX(HostBuild[],MATCH(E1157,HostBuild[Alias],0),COLUMN(HostBuild[CTI Target Completion]))&lt;&gt;0,INDEX(HostBuild[],MATCH(E1157,HostBuild[Alias],0),COLUMN(HostBuild[CTI Target Completion])),""),""),"")</f>
        <v/>
      </c>
      <c r="D1157" s="262" t="str">
        <f>IF(AND(NOT(ISBLANK(E1157)),E1157&lt;&gt;"(blank)"),IFERROR(IF(INDEX(HostBuild[],MATCH(E1157,HostBuild[Alias],0),COLUMN(HostBuild[Description]))&lt;&gt;0,INDEX(HostBuild[],MATCH(E1157,HostBuild[Alias],0),COLUMN(HostBuild[Description])),""),""),"")</f>
        <v/>
      </c>
    </row>
    <row r="1158" spans="1:4">
      <c r="A1158" s="3" t="str">
        <f>IF(AND(NOT(ISBLANK(E1158)),E1158&lt;&gt;"(blank)"),IFERROR(IF(INDEX(HostBuild[],MATCH(E1158,HostBuild[Alias],0),COLUMN(HostBuild[Hostname]))&lt;&gt;0,INDEX(HostBuild[],MATCH(E1158,HostBuild[Alias],0),COLUMN(HostBuild[Hostname])),""),""),"")</f>
        <v/>
      </c>
      <c r="B1158" s="424" t="str">
        <f>IF(AND(NOT(ISBLANK(E1158)),E1158&lt;&gt;"(blank)"),IFERROR(IF(INDEX(HostBuild[],MATCH(E1158,HostBuild[Alias],0),COLUMN(HostBuild[Status]))&lt;&gt;0,INDEX(HostBuild[],MATCH(E1158,HostBuild[Alias],0),COLUMN(HostBuild[Status])),""),""),"")</f>
        <v/>
      </c>
      <c r="C1158" s="425" t="str">
        <f>IF(AND(NOT(ISBLANK(E1158)),E1158&lt;&gt;"(blank)"),IFERROR(IF(INDEX(HostBuild[],MATCH(E1158,HostBuild[Alias],0),COLUMN(HostBuild[CTI Target Completion]))&lt;&gt;0,INDEX(HostBuild[],MATCH(E1158,HostBuild[Alias],0),COLUMN(HostBuild[CTI Target Completion])),""),""),"")</f>
        <v/>
      </c>
      <c r="D1158" s="262" t="str">
        <f>IF(AND(NOT(ISBLANK(E1158)),E1158&lt;&gt;"(blank)"),IFERROR(IF(INDEX(HostBuild[],MATCH(E1158,HostBuild[Alias],0),COLUMN(HostBuild[Description]))&lt;&gt;0,INDEX(HostBuild[],MATCH(E1158,HostBuild[Alias],0),COLUMN(HostBuild[Description])),""),""),"")</f>
        <v/>
      </c>
    </row>
    <row r="1159" spans="1:4">
      <c r="A1159" s="3" t="str">
        <f>IF(AND(NOT(ISBLANK(E1159)),E1159&lt;&gt;"(blank)"),IFERROR(IF(INDEX(HostBuild[],MATCH(E1159,HostBuild[Alias],0),COLUMN(HostBuild[Hostname]))&lt;&gt;0,INDEX(HostBuild[],MATCH(E1159,HostBuild[Alias],0),COLUMN(HostBuild[Hostname])),""),""),"")</f>
        <v/>
      </c>
      <c r="B1159" s="424" t="str">
        <f>IF(AND(NOT(ISBLANK(E1159)),E1159&lt;&gt;"(blank)"),IFERROR(IF(INDEX(HostBuild[],MATCH(E1159,HostBuild[Alias],0),COLUMN(HostBuild[Status]))&lt;&gt;0,INDEX(HostBuild[],MATCH(E1159,HostBuild[Alias],0),COLUMN(HostBuild[Status])),""),""),"")</f>
        <v/>
      </c>
      <c r="C1159" s="425" t="str">
        <f>IF(AND(NOT(ISBLANK(E1159)),E1159&lt;&gt;"(blank)"),IFERROR(IF(INDEX(HostBuild[],MATCH(E1159,HostBuild[Alias],0),COLUMN(HostBuild[CTI Target Completion]))&lt;&gt;0,INDEX(HostBuild[],MATCH(E1159,HostBuild[Alias],0),COLUMN(HostBuild[CTI Target Completion])),""),""),"")</f>
        <v/>
      </c>
      <c r="D1159" s="262" t="str">
        <f>IF(AND(NOT(ISBLANK(E1159)),E1159&lt;&gt;"(blank)"),IFERROR(IF(INDEX(HostBuild[],MATCH(E1159,HostBuild[Alias],0),COLUMN(HostBuild[Description]))&lt;&gt;0,INDEX(HostBuild[],MATCH(E1159,HostBuild[Alias],0),COLUMN(HostBuild[Description])),""),""),"")</f>
        <v/>
      </c>
    </row>
    <row r="1160" spans="1:4">
      <c r="A1160" s="3" t="str">
        <f>IF(AND(NOT(ISBLANK(E1160)),E1160&lt;&gt;"(blank)"),IFERROR(IF(INDEX(HostBuild[],MATCH(E1160,HostBuild[Alias],0),COLUMN(HostBuild[Hostname]))&lt;&gt;0,INDEX(HostBuild[],MATCH(E1160,HostBuild[Alias],0),COLUMN(HostBuild[Hostname])),""),""),"")</f>
        <v/>
      </c>
      <c r="B1160" s="424" t="str">
        <f>IF(AND(NOT(ISBLANK(E1160)),E1160&lt;&gt;"(blank)"),IFERROR(IF(INDEX(HostBuild[],MATCH(E1160,HostBuild[Alias],0),COLUMN(HostBuild[Status]))&lt;&gt;0,INDEX(HostBuild[],MATCH(E1160,HostBuild[Alias],0),COLUMN(HostBuild[Status])),""),""),"")</f>
        <v/>
      </c>
      <c r="C1160" s="425" t="str">
        <f>IF(AND(NOT(ISBLANK(E1160)),E1160&lt;&gt;"(blank)"),IFERROR(IF(INDEX(HostBuild[],MATCH(E1160,HostBuild[Alias],0),COLUMN(HostBuild[CTI Target Completion]))&lt;&gt;0,INDEX(HostBuild[],MATCH(E1160,HostBuild[Alias],0),COLUMN(HostBuild[CTI Target Completion])),""),""),"")</f>
        <v/>
      </c>
      <c r="D1160" s="262" t="str">
        <f>IF(AND(NOT(ISBLANK(E1160)),E1160&lt;&gt;"(blank)"),IFERROR(IF(INDEX(HostBuild[],MATCH(E1160,HostBuild[Alias],0),COLUMN(HostBuild[Description]))&lt;&gt;0,INDEX(HostBuild[],MATCH(E1160,HostBuild[Alias],0),COLUMN(HostBuild[Description])),""),""),"")</f>
        <v/>
      </c>
    </row>
    <row r="1161" spans="1:4">
      <c r="A1161" s="3" t="str">
        <f>IF(AND(NOT(ISBLANK(E1161)),E1161&lt;&gt;"(blank)"),IFERROR(IF(INDEX(HostBuild[],MATCH(E1161,HostBuild[Alias],0),COLUMN(HostBuild[Hostname]))&lt;&gt;0,INDEX(HostBuild[],MATCH(E1161,HostBuild[Alias],0),COLUMN(HostBuild[Hostname])),""),""),"")</f>
        <v/>
      </c>
      <c r="B1161" s="424" t="str">
        <f>IF(AND(NOT(ISBLANK(E1161)),E1161&lt;&gt;"(blank)"),IFERROR(IF(INDEX(HostBuild[],MATCH(E1161,HostBuild[Alias],0),COLUMN(HostBuild[Status]))&lt;&gt;0,INDEX(HostBuild[],MATCH(E1161,HostBuild[Alias],0),COLUMN(HostBuild[Status])),""),""),"")</f>
        <v/>
      </c>
      <c r="C1161" s="425" t="str">
        <f>IF(AND(NOT(ISBLANK(E1161)),E1161&lt;&gt;"(blank)"),IFERROR(IF(INDEX(HostBuild[],MATCH(E1161,HostBuild[Alias],0),COLUMN(HostBuild[CTI Target Completion]))&lt;&gt;0,INDEX(HostBuild[],MATCH(E1161,HostBuild[Alias],0),COLUMN(HostBuild[CTI Target Completion])),""),""),"")</f>
        <v/>
      </c>
      <c r="D1161" s="262" t="str">
        <f>IF(AND(NOT(ISBLANK(E1161)),E1161&lt;&gt;"(blank)"),IFERROR(IF(INDEX(HostBuild[],MATCH(E1161,HostBuild[Alias],0),COLUMN(HostBuild[Description]))&lt;&gt;0,INDEX(HostBuild[],MATCH(E1161,HostBuild[Alias],0),COLUMN(HostBuild[Description])),""),""),"")</f>
        <v/>
      </c>
    </row>
    <row r="1162" spans="1:4">
      <c r="A1162" s="3" t="str">
        <f>IF(AND(NOT(ISBLANK(E1162)),E1162&lt;&gt;"(blank)"),IFERROR(IF(INDEX(HostBuild[],MATCH(E1162,HostBuild[Alias],0),COLUMN(HostBuild[Hostname]))&lt;&gt;0,INDEX(HostBuild[],MATCH(E1162,HostBuild[Alias],0),COLUMN(HostBuild[Hostname])),""),""),"")</f>
        <v/>
      </c>
      <c r="B1162" s="424" t="str">
        <f>IF(AND(NOT(ISBLANK(E1162)),E1162&lt;&gt;"(blank)"),IFERROR(IF(INDEX(HostBuild[],MATCH(E1162,HostBuild[Alias],0),COLUMN(HostBuild[Status]))&lt;&gt;0,INDEX(HostBuild[],MATCH(E1162,HostBuild[Alias],0),COLUMN(HostBuild[Status])),""),""),"")</f>
        <v/>
      </c>
      <c r="C1162" s="425" t="str">
        <f>IF(AND(NOT(ISBLANK(E1162)),E1162&lt;&gt;"(blank)"),IFERROR(IF(INDEX(HostBuild[],MATCH(E1162,HostBuild[Alias],0),COLUMN(HostBuild[CTI Target Completion]))&lt;&gt;0,INDEX(HostBuild[],MATCH(E1162,HostBuild[Alias],0),COLUMN(HostBuild[CTI Target Completion])),""),""),"")</f>
        <v/>
      </c>
      <c r="D1162" s="262" t="str">
        <f>IF(AND(NOT(ISBLANK(E1162)),E1162&lt;&gt;"(blank)"),IFERROR(IF(INDEX(HostBuild[],MATCH(E1162,HostBuild[Alias],0),COLUMN(HostBuild[Description]))&lt;&gt;0,INDEX(HostBuild[],MATCH(E1162,HostBuild[Alias],0),COLUMN(HostBuild[Description])),""),""),"")</f>
        <v/>
      </c>
    </row>
    <row r="1163" spans="1:4">
      <c r="A1163" s="3" t="str">
        <f>IF(AND(NOT(ISBLANK(E1163)),E1163&lt;&gt;"(blank)"),IFERROR(IF(INDEX(HostBuild[],MATCH(E1163,HostBuild[Alias],0),COLUMN(HostBuild[Hostname]))&lt;&gt;0,INDEX(HostBuild[],MATCH(E1163,HostBuild[Alias],0),COLUMN(HostBuild[Hostname])),""),""),"")</f>
        <v/>
      </c>
      <c r="B1163" s="424" t="str">
        <f>IF(AND(NOT(ISBLANK(E1163)),E1163&lt;&gt;"(blank)"),IFERROR(IF(INDEX(HostBuild[],MATCH(E1163,HostBuild[Alias],0),COLUMN(HostBuild[Status]))&lt;&gt;0,INDEX(HostBuild[],MATCH(E1163,HostBuild[Alias],0),COLUMN(HostBuild[Status])),""),""),"")</f>
        <v/>
      </c>
      <c r="C1163" s="425" t="str">
        <f>IF(AND(NOT(ISBLANK(E1163)),E1163&lt;&gt;"(blank)"),IFERROR(IF(INDEX(HostBuild[],MATCH(E1163,HostBuild[Alias],0),COLUMN(HostBuild[CTI Target Completion]))&lt;&gt;0,INDEX(HostBuild[],MATCH(E1163,HostBuild[Alias],0),COLUMN(HostBuild[CTI Target Completion])),""),""),"")</f>
        <v/>
      </c>
      <c r="D1163" s="262" t="str">
        <f>IF(AND(NOT(ISBLANK(E1163)),E1163&lt;&gt;"(blank)"),IFERROR(IF(INDEX(HostBuild[],MATCH(E1163,HostBuild[Alias],0),COLUMN(HostBuild[Description]))&lt;&gt;0,INDEX(HostBuild[],MATCH(E1163,HostBuild[Alias],0),COLUMN(HostBuild[Description])),""),""),"")</f>
        <v/>
      </c>
    </row>
    <row r="1164" spans="1:4">
      <c r="A1164" s="3" t="str">
        <f>IF(AND(NOT(ISBLANK(E1164)),E1164&lt;&gt;"(blank)"),IFERROR(IF(INDEX(HostBuild[],MATCH(E1164,HostBuild[Alias],0),COLUMN(HostBuild[Hostname]))&lt;&gt;0,INDEX(HostBuild[],MATCH(E1164,HostBuild[Alias],0),COLUMN(HostBuild[Hostname])),""),""),"")</f>
        <v/>
      </c>
      <c r="B1164" s="424" t="str">
        <f>IF(AND(NOT(ISBLANK(E1164)),E1164&lt;&gt;"(blank)"),IFERROR(IF(INDEX(HostBuild[],MATCH(E1164,HostBuild[Alias],0),COLUMN(HostBuild[Status]))&lt;&gt;0,INDEX(HostBuild[],MATCH(E1164,HostBuild[Alias],0),COLUMN(HostBuild[Status])),""),""),"")</f>
        <v/>
      </c>
      <c r="C1164" s="425" t="str">
        <f>IF(AND(NOT(ISBLANK(E1164)),E1164&lt;&gt;"(blank)"),IFERROR(IF(INDEX(HostBuild[],MATCH(E1164,HostBuild[Alias],0),COLUMN(HostBuild[CTI Target Completion]))&lt;&gt;0,INDEX(HostBuild[],MATCH(E1164,HostBuild[Alias],0),COLUMN(HostBuild[CTI Target Completion])),""),""),"")</f>
        <v/>
      </c>
      <c r="D1164" s="262" t="str">
        <f>IF(AND(NOT(ISBLANK(E1164)),E1164&lt;&gt;"(blank)"),IFERROR(IF(INDEX(HostBuild[],MATCH(E1164,HostBuild[Alias],0),COLUMN(HostBuild[Description]))&lt;&gt;0,INDEX(HostBuild[],MATCH(E1164,HostBuild[Alias],0),COLUMN(HostBuild[Description])),""),""),"")</f>
        <v/>
      </c>
    </row>
    <row r="1165" spans="1:4">
      <c r="A1165" s="3" t="str">
        <f>IF(AND(NOT(ISBLANK(E1165)),E1165&lt;&gt;"(blank)"),IFERROR(IF(INDEX(HostBuild[],MATCH(E1165,HostBuild[Alias],0),COLUMN(HostBuild[Hostname]))&lt;&gt;0,INDEX(HostBuild[],MATCH(E1165,HostBuild[Alias],0),COLUMN(HostBuild[Hostname])),""),""),"")</f>
        <v/>
      </c>
      <c r="B1165" s="424" t="str">
        <f>IF(AND(NOT(ISBLANK(E1165)),E1165&lt;&gt;"(blank)"),IFERROR(IF(INDEX(HostBuild[],MATCH(E1165,HostBuild[Alias],0),COLUMN(HostBuild[Status]))&lt;&gt;0,INDEX(HostBuild[],MATCH(E1165,HostBuild[Alias],0),COLUMN(HostBuild[Status])),""),""),"")</f>
        <v/>
      </c>
      <c r="C1165" s="425" t="str">
        <f>IF(AND(NOT(ISBLANK(E1165)),E1165&lt;&gt;"(blank)"),IFERROR(IF(INDEX(HostBuild[],MATCH(E1165,HostBuild[Alias],0),COLUMN(HostBuild[CTI Target Completion]))&lt;&gt;0,INDEX(HostBuild[],MATCH(E1165,HostBuild[Alias],0),COLUMN(HostBuild[CTI Target Completion])),""),""),"")</f>
        <v/>
      </c>
      <c r="D1165" s="262" t="str">
        <f>IF(AND(NOT(ISBLANK(E1165)),E1165&lt;&gt;"(blank)"),IFERROR(IF(INDEX(HostBuild[],MATCH(E1165,HostBuild[Alias],0),COLUMN(HostBuild[Description]))&lt;&gt;0,INDEX(HostBuild[],MATCH(E1165,HostBuild[Alias],0),COLUMN(HostBuild[Description])),""),""),"")</f>
        <v/>
      </c>
    </row>
    <row r="1166" spans="1:4">
      <c r="A1166" s="3" t="str">
        <f>IF(AND(NOT(ISBLANK(E1166)),E1166&lt;&gt;"(blank)"),IFERROR(IF(INDEX(HostBuild[],MATCH(E1166,HostBuild[Alias],0),COLUMN(HostBuild[Hostname]))&lt;&gt;0,INDEX(HostBuild[],MATCH(E1166,HostBuild[Alias],0),COLUMN(HostBuild[Hostname])),""),""),"")</f>
        <v/>
      </c>
      <c r="B1166" s="424" t="str">
        <f>IF(AND(NOT(ISBLANK(E1166)),E1166&lt;&gt;"(blank)"),IFERROR(IF(INDEX(HostBuild[],MATCH(E1166,HostBuild[Alias],0),COLUMN(HostBuild[Status]))&lt;&gt;0,INDEX(HostBuild[],MATCH(E1166,HostBuild[Alias],0),COLUMN(HostBuild[Status])),""),""),"")</f>
        <v/>
      </c>
      <c r="C1166" s="425" t="str">
        <f>IF(AND(NOT(ISBLANK(E1166)),E1166&lt;&gt;"(blank)"),IFERROR(IF(INDEX(HostBuild[],MATCH(E1166,HostBuild[Alias],0),COLUMN(HostBuild[CTI Target Completion]))&lt;&gt;0,INDEX(HostBuild[],MATCH(E1166,HostBuild[Alias],0),COLUMN(HostBuild[CTI Target Completion])),""),""),"")</f>
        <v/>
      </c>
      <c r="D1166" s="262" t="str">
        <f>IF(AND(NOT(ISBLANK(E1166)),E1166&lt;&gt;"(blank)"),IFERROR(IF(INDEX(HostBuild[],MATCH(E1166,HostBuild[Alias],0),COLUMN(HostBuild[Description]))&lt;&gt;0,INDEX(HostBuild[],MATCH(E1166,HostBuild[Alias],0),COLUMN(HostBuild[Description])),""),""),"")</f>
        <v/>
      </c>
    </row>
    <row r="1167" spans="1:4">
      <c r="A1167" s="3" t="str">
        <f>IF(AND(NOT(ISBLANK(E1167)),E1167&lt;&gt;"(blank)"),IFERROR(IF(INDEX(HostBuild[],MATCH(E1167,HostBuild[Alias],0),COLUMN(HostBuild[Hostname]))&lt;&gt;0,INDEX(HostBuild[],MATCH(E1167,HostBuild[Alias],0),COLUMN(HostBuild[Hostname])),""),""),"")</f>
        <v/>
      </c>
      <c r="B1167" s="424" t="str">
        <f>IF(AND(NOT(ISBLANK(E1167)),E1167&lt;&gt;"(blank)"),IFERROR(IF(INDEX(HostBuild[],MATCH(E1167,HostBuild[Alias],0),COLUMN(HostBuild[Status]))&lt;&gt;0,INDEX(HostBuild[],MATCH(E1167,HostBuild[Alias],0),COLUMN(HostBuild[Status])),""),""),"")</f>
        <v/>
      </c>
      <c r="C1167" s="425" t="str">
        <f>IF(AND(NOT(ISBLANK(E1167)),E1167&lt;&gt;"(blank)"),IFERROR(IF(INDEX(HostBuild[],MATCH(E1167,HostBuild[Alias],0),COLUMN(HostBuild[CTI Target Completion]))&lt;&gt;0,INDEX(HostBuild[],MATCH(E1167,HostBuild[Alias],0),COLUMN(HostBuild[CTI Target Completion])),""),""),"")</f>
        <v/>
      </c>
      <c r="D1167" s="262" t="str">
        <f>IF(AND(NOT(ISBLANK(E1167)),E1167&lt;&gt;"(blank)"),IFERROR(IF(INDEX(HostBuild[],MATCH(E1167,HostBuild[Alias],0),COLUMN(HostBuild[Description]))&lt;&gt;0,INDEX(HostBuild[],MATCH(E1167,HostBuild[Alias],0),COLUMN(HostBuild[Description])),""),""),"")</f>
        <v/>
      </c>
    </row>
    <row r="1168" spans="1:4">
      <c r="A1168" s="3" t="str">
        <f>IF(AND(NOT(ISBLANK(E1168)),E1168&lt;&gt;"(blank)"),IFERROR(IF(INDEX(HostBuild[],MATCH(E1168,HostBuild[Alias],0),COLUMN(HostBuild[Hostname]))&lt;&gt;0,INDEX(HostBuild[],MATCH(E1168,HostBuild[Alias],0),COLUMN(HostBuild[Hostname])),""),""),"")</f>
        <v/>
      </c>
      <c r="B1168" s="424" t="str">
        <f>IF(AND(NOT(ISBLANK(E1168)),E1168&lt;&gt;"(blank)"),IFERROR(IF(INDEX(HostBuild[],MATCH(E1168,HostBuild[Alias],0),COLUMN(HostBuild[Status]))&lt;&gt;0,INDEX(HostBuild[],MATCH(E1168,HostBuild[Alias],0),COLUMN(HostBuild[Status])),""),""),"")</f>
        <v/>
      </c>
      <c r="C1168" s="425" t="str">
        <f>IF(AND(NOT(ISBLANK(E1168)),E1168&lt;&gt;"(blank)"),IFERROR(IF(INDEX(HostBuild[],MATCH(E1168,HostBuild[Alias],0),COLUMN(HostBuild[CTI Target Completion]))&lt;&gt;0,INDEX(HostBuild[],MATCH(E1168,HostBuild[Alias],0),COLUMN(HostBuild[CTI Target Completion])),""),""),"")</f>
        <v/>
      </c>
      <c r="D1168" s="262" t="str">
        <f>IF(AND(NOT(ISBLANK(E1168)),E1168&lt;&gt;"(blank)"),IFERROR(IF(INDEX(HostBuild[],MATCH(E1168,HostBuild[Alias],0),COLUMN(HostBuild[Description]))&lt;&gt;0,INDEX(HostBuild[],MATCH(E1168,HostBuild[Alias],0),COLUMN(HostBuild[Description])),""),""),"")</f>
        <v/>
      </c>
    </row>
    <row r="1169" spans="1:4">
      <c r="A1169" s="3" t="str">
        <f>IF(AND(NOT(ISBLANK(E1169)),E1169&lt;&gt;"(blank)"),IFERROR(IF(INDEX(HostBuild[],MATCH(E1169,HostBuild[Alias],0),COLUMN(HostBuild[Hostname]))&lt;&gt;0,INDEX(HostBuild[],MATCH(E1169,HostBuild[Alias],0),COLUMN(HostBuild[Hostname])),""),""),"")</f>
        <v/>
      </c>
      <c r="B1169" s="424" t="str">
        <f>IF(AND(NOT(ISBLANK(E1169)),E1169&lt;&gt;"(blank)"),IFERROR(IF(INDEX(HostBuild[],MATCH(E1169,HostBuild[Alias],0),COLUMN(HostBuild[Status]))&lt;&gt;0,INDEX(HostBuild[],MATCH(E1169,HostBuild[Alias],0),COLUMN(HostBuild[Status])),""),""),"")</f>
        <v/>
      </c>
      <c r="C1169" s="425" t="str">
        <f>IF(AND(NOT(ISBLANK(E1169)),E1169&lt;&gt;"(blank)"),IFERROR(IF(INDEX(HostBuild[],MATCH(E1169,HostBuild[Alias],0),COLUMN(HostBuild[CTI Target Completion]))&lt;&gt;0,INDEX(HostBuild[],MATCH(E1169,HostBuild[Alias],0),COLUMN(HostBuild[CTI Target Completion])),""),""),"")</f>
        <v/>
      </c>
      <c r="D1169" s="262" t="str">
        <f>IF(AND(NOT(ISBLANK(E1169)),E1169&lt;&gt;"(blank)"),IFERROR(IF(INDEX(HostBuild[],MATCH(E1169,HostBuild[Alias],0),COLUMN(HostBuild[Description]))&lt;&gt;0,INDEX(HostBuild[],MATCH(E1169,HostBuild[Alias],0),COLUMN(HostBuild[Description])),""),""),"")</f>
        <v/>
      </c>
    </row>
    <row r="1170" spans="1:4">
      <c r="A1170" s="3" t="str">
        <f>IF(AND(NOT(ISBLANK(E1170)),E1170&lt;&gt;"(blank)"),IFERROR(IF(INDEX(HostBuild[],MATCH(E1170,HostBuild[Alias],0),COLUMN(HostBuild[Hostname]))&lt;&gt;0,INDEX(HostBuild[],MATCH(E1170,HostBuild[Alias],0),COLUMN(HostBuild[Hostname])),""),""),"")</f>
        <v/>
      </c>
      <c r="B1170" s="424" t="str">
        <f>IF(AND(NOT(ISBLANK(E1170)),E1170&lt;&gt;"(blank)"),IFERROR(IF(INDEX(HostBuild[],MATCH(E1170,HostBuild[Alias],0),COLUMN(HostBuild[Status]))&lt;&gt;0,INDEX(HostBuild[],MATCH(E1170,HostBuild[Alias],0),COLUMN(HostBuild[Status])),""),""),"")</f>
        <v/>
      </c>
      <c r="C1170" s="425" t="str">
        <f>IF(AND(NOT(ISBLANK(E1170)),E1170&lt;&gt;"(blank)"),IFERROR(IF(INDEX(HostBuild[],MATCH(E1170,HostBuild[Alias],0),COLUMN(HostBuild[CTI Target Completion]))&lt;&gt;0,INDEX(HostBuild[],MATCH(E1170,HostBuild[Alias],0),COLUMN(HostBuild[CTI Target Completion])),""),""),"")</f>
        <v/>
      </c>
      <c r="D1170" s="262" t="str">
        <f>IF(AND(NOT(ISBLANK(E1170)),E1170&lt;&gt;"(blank)"),IFERROR(IF(INDEX(HostBuild[],MATCH(E1170,HostBuild[Alias],0),COLUMN(HostBuild[Description]))&lt;&gt;0,INDEX(HostBuild[],MATCH(E1170,HostBuild[Alias],0),COLUMN(HostBuild[Description])),""),""),"")</f>
        <v/>
      </c>
    </row>
    <row r="1171" spans="1:4">
      <c r="A1171" s="3" t="str">
        <f>IF(AND(NOT(ISBLANK(E1171)),E1171&lt;&gt;"(blank)"),IFERROR(IF(INDEX(HostBuild[],MATCH(E1171,HostBuild[Alias],0),COLUMN(HostBuild[Hostname]))&lt;&gt;0,INDEX(HostBuild[],MATCH(E1171,HostBuild[Alias],0),COLUMN(HostBuild[Hostname])),""),""),"")</f>
        <v/>
      </c>
      <c r="B1171" s="424" t="str">
        <f>IF(AND(NOT(ISBLANK(E1171)),E1171&lt;&gt;"(blank)"),IFERROR(IF(INDEX(HostBuild[],MATCH(E1171,HostBuild[Alias],0),COLUMN(HostBuild[Status]))&lt;&gt;0,INDEX(HostBuild[],MATCH(E1171,HostBuild[Alias],0),COLUMN(HostBuild[Status])),""),""),"")</f>
        <v/>
      </c>
      <c r="C1171" s="425" t="str">
        <f>IF(AND(NOT(ISBLANK(E1171)),E1171&lt;&gt;"(blank)"),IFERROR(IF(INDEX(HostBuild[],MATCH(E1171,HostBuild[Alias],0),COLUMN(HostBuild[CTI Target Completion]))&lt;&gt;0,INDEX(HostBuild[],MATCH(E1171,HostBuild[Alias],0),COLUMN(HostBuild[CTI Target Completion])),""),""),"")</f>
        <v/>
      </c>
      <c r="D1171" s="262" t="str">
        <f>IF(AND(NOT(ISBLANK(E1171)),E1171&lt;&gt;"(blank)"),IFERROR(IF(INDEX(HostBuild[],MATCH(E1171,HostBuild[Alias],0),COLUMN(HostBuild[Description]))&lt;&gt;0,INDEX(HostBuild[],MATCH(E1171,HostBuild[Alias],0),COLUMN(HostBuild[Description])),""),""),"")</f>
        <v/>
      </c>
    </row>
    <row r="1172" spans="1:4">
      <c r="A1172" s="3" t="str">
        <f>IF(AND(NOT(ISBLANK(E1172)),E1172&lt;&gt;"(blank)"),IFERROR(IF(INDEX(HostBuild[],MATCH(E1172,HostBuild[Alias],0),COLUMN(HostBuild[Hostname]))&lt;&gt;0,INDEX(HostBuild[],MATCH(E1172,HostBuild[Alias],0),COLUMN(HostBuild[Hostname])),""),""),"")</f>
        <v/>
      </c>
      <c r="B1172" s="424" t="str">
        <f>IF(AND(NOT(ISBLANK(E1172)),E1172&lt;&gt;"(blank)"),IFERROR(IF(INDEX(HostBuild[],MATCH(E1172,HostBuild[Alias],0),COLUMN(HostBuild[Status]))&lt;&gt;0,INDEX(HostBuild[],MATCH(E1172,HostBuild[Alias],0),COLUMN(HostBuild[Status])),""),""),"")</f>
        <v/>
      </c>
      <c r="C1172" s="425" t="str">
        <f>IF(AND(NOT(ISBLANK(E1172)),E1172&lt;&gt;"(blank)"),IFERROR(IF(INDEX(HostBuild[],MATCH(E1172,HostBuild[Alias],0),COLUMN(HostBuild[CTI Target Completion]))&lt;&gt;0,INDEX(HostBuild[],MATCH(E1172,HostBuild[Alias],0),COLUMN(HostBuild[CTI Target Completion])),""),""),"")</f>
        <v/>
      </c>
      <c r="D1172" s="262" t="str">
        <f>IF(AND(NOT(ISBLANK(E1172)),E1172&lt;&gt;"(blank)"),IFERROR(IF(INDEX(HostBuild[],MATCH(E1172,HostBuild[Alias],0),COLUMN(HostBuild[Description]))&lt;&gt;0,INDEX(HostBuild[],MATCH(E1172,HostBuild[Alias],0),COLUMN(HostBuild[Description])),""),""),"")</f>
        <v/>
      </c>
    </row>
    <row r="1173" spans="1:4">
      <c r="A1173" s="3" t="str">
        <f>IF(AND(NOT(ISBLANK(E1173)),E1173&lt;&gt;"(blank)"),IFERROR(IF(INDEX(HostBuild[],MATCH(E1173,HostBuild[Alias],0),COLUMN(HostBuild[Hostname]))&lt;&gt;0,INDEX(HostBuild[],MATCH(E1173,HostBuild[Alias],0),COLUMN(HostBuild[Hostname])),""),""),"")</f>
        <v/>
      </c>
      <c r="B1173" s="424" t="str">
        <f>IF(AND(NOT(ISBLANK(E1173)),E1173&lt;&gt;"(blank)"),IFERROR(IF(INDEX(HostBuild[],MATCH(E1173,HostBuild[Alias],0),COLUMN(HostBuild[Status]))&lt;&gt;0,INDEX(HostBuild[],MATCH(E1173,HostBuild[Alias],0),COLUMN(HostBuild[Status])),""),""),"")</f>
        <v/>
      </c>
      <c r="C1173" s="425" t="str">
        <f>IF(AND(NOT(ISBLANK(E1173)),E1173&lt;&gt;"(blank)"),IFERROR(IF(INDEX(HostBuild[],MATCH(E1173,HostBuild[Alias],0),COLUMN(HostBuild[CTI Target Completion]))&lt;&gt;0,INDEX(HostBuild[],MATCH(E1173,HostBuild[Alias],0),COLUMN(HostBuild[CTI Target Completion])),""),""),"")</f>
        <v/>
      </c>
      <c r="D1173" s="262" t="str">
        <f>IF(AND(NOT(ISBLANK(E1173)),E1173&lt;&gt;"(blank)"),IFERROR(IF(INDEX(HostBuild[],MATCH(E1173,HostBuild[Alias],0),COLUMN(HostBuild[Description]))&lt;&gt;0,INDEX(HostBuild[],MATCH(E1173,HostBuild[Alias],0),COLUMN(HostBuild[Description])),""),""),"")</f>
        <v/>
      </c>
    </row>
    <row r="1174" spans="1:4">
      <c r="A1174" s="3" t="str">
        <f>IF(AND(NOT(ISBLANK(E1174)),E1174&lt;&gt;"(blank)"),IFERROR(IF(INDEX(HostBuild[],MATCH(E1174,HostBuild[Alias],0),COLUMN(HostBuild[Hostname]))&lt;&gt;0,INDEX(HostBuild[],MATCH(E1174,HostBuild[Alias],0),COLUMN(HostBuild[Hostname])),""),""),"")</f>
        <v/>
      </c>
      <c r="B1174" s="424" t="str">
        <f>IF(AND(NOT(ISBLANK(E1174)),E1174&lt;&gt;"(blank)"),IFERROR(IF(INDEX(HostBuild[],MATCH(E1174,HostBuild[Alias],0),COLUMN(HostBuild[Status]))&lt;&gt;0,INDEX(HostBuild[],MATCH(E1174,HostBuild[Alias],0),COLUMN(HostBuild[Status])),""),""),"")</f>
        <v/>
      </c>
      <c r="C1174" s="425" t="str">
        <f>IF(AND(NOT(ISBLANK(E1174)),E1174&lt;&gt;"(blank)"),IFERROR(IF(INDEX(HostBuild[],MATCH(E1174,HostBuild[Alias],0),COLUMN(HostBuild[CTI Target Completion]))&lt;&gt;0,INDEX(HostBuild[],MATCH(E1174,HostBuild[Alias],0),COLUMN(HostBuild[CTI Target Completion])),""),""),"")</f>
        <v/>
      </c>
      <c r="D1174" s="262" t="str">
        <f>IF(AND(NOT(ISBLANK(E1174)),E1174&lt;&gt;"(blank)"),IFERROR(IF(INDEX(HostBuild[],MATCH(E1174,HostBuild[Alias],0),COLUMN(HostBuild[Description]))&lt;&gt;0,INDEX(HostBuild[],MATCH(E1174,HostBuild[Alias],0),COLUMN(HostBuild[Description])),""),""),"")</f>
        <v/>
      </c>
    </row>
    <row r="1175" spans="1:4">
      <c r="A1175" s="3" t="str">
        <f>IF(AND(NOT(ISBLANK(E1175)),E1175&lt;&gt;"(blank)"),IFERROR(IF(INDEX(HostBuild[],MATCH(E1175,HostBuild[Alias],0),COLUMN(HostBuild[Hostname]))&lt;&gt;0,INDEX(HostBuild[],MATCH(E1175,HostBuild[Alias],0),COLUMN(HostBuild[Hostname])),""),""),"")</f>
        <v/>
      </c>
      <c r="B1175" s="424" t="str">
        <f>IF(AND(NOT(ISBLANK(E1175)),E1175&lt;&gt;"(blank)"),IFERROR(IF(INDEX(HostBuild[],MATCH(E1175,HostBuild[Alias],0),COLUMN(HostBuild[Status]))&lt;&gt;0,INDEX(HostBuild[],MATCH(E1175,HostBuild[Alias],0),COLUMN(HostBuild[Status])),""),""),"")</f>
        <v/>
      </c>
      <c r="C1175" s="425" t="str">
        <f>IF(AND(NOT(ISBLANK(E1175)),E1175&lt;&gt;"(blank)"),IFERROR(IF(INDEX(HostBuild[],MATCH(E1175,HostBuild[Alias],0),COLUMN(HostBuild[CTI Target Completion]))&lt;&gt;0,INDEX(HostBuild[],MATCH(E1175,HostBuild[Alias],0),COLUMN(HostBuild[CTI Target Completion])),""),""),"")</f>
        <v/>
      </c>
      <c r="D1175" s="262" t="str">
        <f>IF(AND(NOT(ISBLANK(E1175)),E1175&lt;&gt;"(blank)"),IFERROR(IF(INDEX(HostBuild[],MATCH(E1175,HostBuild[Alias],0),COLUMN(HostBuild[Description]))&lt;&gt;0,INDEX(HostBuild[],MATCH(E1175,HostBuild[Alias],0),COLUMN(HostBuild[Description])),""),""),"")</f>
        <v/>
      </c>
    </row>
    <row r="1176" spans="1:4">
      <c r="A1176" s="3" t="str">
        <f>IF(AND(NOT(ISBLANK(E1176)),E1176&lt;&gt;"(blank)"),IFERROR(IF(INDEX(HostBuild[],MATCH(E1176,HostBuild[Alias],0),COLUMN(HostBuild[Hostname]))&lt;&gt;0,INDEX(HostBuild[],MATCH(E1176,HostBuild[Alias],0),COLUMN(HostBuild[Hostname])),""),""),"")</f>
        <v/>
      </c>
      <c r="B1176" s="424" t="str">
        <f>IF(AND(NOT(ISBLANK(E1176)),E1176&lt;&gt;"(blank)"),IFERROR(IF(INDEX(HostBuild[],MATCH(E1176,HostBuild[Alias],0),COLUMN(HostBuild[Status]))&lt;&gt;0,INDEX(HostBuild[],MATCH(E1176,HostBuild[Alias],0),COLUMN(HostBuild[Status])),""),""),"")</f>
        <v/>
      </c>
      <c r="C1176" s="425" t="str">
        <f>IF(AND(NOT(ISBLANK(E1176)),E1176&lt;&gt;"(blank)"),IFERROR(IF(INDEX(HostBuild[],MATCH(E1176,HostBuild[Alias],0),COLUMN(HostBuild[CTI Target Completion]))&lt;&gt;0,INDEX(HostBuild[],MATCH(E1176,HostBuild[Alias],0),COLUMN(HostBuild[CTI Target Completion])),""),""),"")</f>
        <v/>
      </c>
      <c r="D1176" s="262" t="str">
        <f>IF(AND(NOT(ISBLANK(E1176)),E1176&lt;&gt;"(blank)"),IFERROR(IF(INDEX(HostBuild[],MATCH(E1176,HostBuild[Alias],0),COLUMN(HostBuild[Description]))&lt;&gt;0,INDEX(HostBuild[],MATCH(E1176,HostBuild[Alias],0),COLUMN(HostBuild[Description])),""),""),"")</f>
        <v/>
      </c>
    </row>
    <row r="1177" spans="1:4">
      <c r="A1177" s="3" t="str">
        <f>IF(AND(NOT(ISBLANK(E1177)),E1177&lt;&gt;"(blank)"),IFERROR(IF(INDEX(HostBuild[],MATCH(E1177,HostBuild[Alias],0),COLUMN(HostBuild[Hostname]))&lt;&gt;0,INDEX(HostBuild[],MATCH(E1177,HostBuild[Alias],0),COLUMN(HostBuild[Hostname])),""),""),"")</f>
        <v/>
      </c>
      <c r="B1177" s="424" t="str">
        <f>IF(AND(NOT(ISBLANK(E1177)),E1177&lt;&gt;"(blank)"),IFERROR(IF(INDEX(HostBuild[],MATCH(E1177,HostBuild[Alias],0),COLUMN(HostBuild[Status]))&lt;&gt;0,INDEX(HostBuild[],MATCH(E1177,HostBuild[Alias],0),COLUMN(HostBuild[Status])),""),""),"")</f>
        <v/>
      </c>
      <c r="C1177" s="425" t="str">
        <f>IF(AND(NOT(ISBLANK(E1177)),E1177&lt;&gt;"(blank)"),IFERROR(IF(INDEX(HostBuild[],MATCH(E1177,HostBuild[Alias],0),COLUMN(HostBuild[CTI Target Completion]))&lt;&gt;0,INDEX(HostBuild[],MATCH(E1177,HostBuild[Alias],0),COLUMN(HostBuild[CTI Target Completion])),""),""),"")</f>
        <v/>
      </c>
      <c r="D1177" s="262" t="str">
        <f>IF(AND(NOT(ISBLANK(E1177)),E1177&lt;&gt;"(blank)"),IFERROR(IF(INDEX(HostBuild[],MATCH(E1177,HostBuild[Alias],0),COLUMN(HostBuild[Description]))&lt;&gt;0,INDEX(HostBuild[],MATCH(E1177,HostBuild[Alias],0),COLUMN(HostBuild[Description])),""),""),"")</f>
        <v/>
      </c>
    </row>
    <row r="1178" spans="1:4">
      <c r="A1178" s="3" t="str">
        <f>IF(AND(NOT(ISBLANK(E1178)),E1178&lt;&gt;"(blank)"),IFERROR(IF(INDEX(HostBuild[],MATCH(E1178,HostBuild[Alias],0),COLUMN(HostBuild[Hostname]))&lt;&gt;0,INDEX(HostBuild[],MATCH(E1178,HostBuild[Alias],0),COLUMN(HostBuild[Hostname])),""),""),"")</f>
        <v/>
      </c>
      <c r="B1178" s="424" t="str">
        <f>IF(AND(NOT(ISBLANK(E1178)),E1178&lt;&gt;"(blank)"),IFERROR(IF(INDEX(HostBuild[],MATCH(E1178,HostBuild[Alias],0),COLUMN(HostBuild[Status]))&lt;&gt;0,INDEX(HostBuild[],MATCH(E1178,HostBuild[Alias],0),COLUMN(HostBuild[Status])),""),""),"")</f>
        <v/>
      </c>
      <c r="C1178" s="425" t="str">
        <f>IF(AND(NOT(ISBLANK(E1178)),E1178&lt;&gt;"(blank)"),IFERROR(IF(INDEX(HostBuild[],MATCH(E1178,HostBuild[Alias],0),COLUMN(HostBuild[CTI Target Completion]))&lt;&gt;0,INDEX(HostBuild[],MATCH(E1178,HostBuild[Alias],0),COLUMN(HostBuild[CTI Target Completion])),""),""),"")</f>
        <v/>
      </c>
      <c r="D1178" s="262" t="str">
        <f>IF(AND(NOT(ISBLANK(E1178)),E1178&lt;&gt;"(blank)"),IFERROR(IF(INDEX(HostBuild[],MATCH(E1178,HostBuild[Alias],0),COLUMN(HostBuild[Description]))&lt;&gt;0,INDEX(HostBuild[],MATCH(E1178,HostBuild[Alias],0),COLUMN(HostBuild[Description])),""),""),"")</f>
        <v/>
      </c>
    </row>
    <row r="1179" spans="1:4">
      <c r="A1179" s="3" t="str">
        <f>IF(AND(NOT(ISBLANK(E1179)),E1179&lt;&gt;"(blank)"),IFERROR(IF(INDEX(HostBuild[],MATCH(E1179,HostBuild[Alias],0),COLUMN(HostBuild[Hostname]))&lt;&gt;0,INDEX(HostBuild[],MATCH(E1179,HostBuild[Alias],0),COLUMN(HostBuild[Hostname])),""),""),"")</f>
        <v/>
      </c>
      <c r="B1179" s="424" t="str">
        <f>IF(AND(NOT(ISBLANK(E1179)),E1179&lt;&gt;"(blank)"),IFERROR(IF(INDEX(HostBuild[],MATCH(E1179,HostBuild[Alias],0),COLUMN(HostBuild[Status]))&lt;&gt;0,INDEX(HostBuild[],MATCH(E1179,HostBuild[Alias],0),COLUMN(HostBuild[Status])),""),""),"")</f>
        <v/>
      </c>
      <c r="C1179" s="425" t="str">
        <f>IF(AND(NOT(ISBLANK(E1179)),E1179&lt;&gt;"(blank)"),IFERROR(IF(INDEX(HostBuild[],MATCH(E1179,HostBuild[Alias],0),COLUMN(HostBuild[CTI Target Completion]))&lt;&gt;0,INDEX(HostBuild[],MATCH(E1179,HostBuild[Alias],0),COLUMN(HostBuild[CTI Target Completion])),""),""),"")</f>
        <v/>
      </c>
      <c r="D1179" s="262" t="str">
        <f>IF(AND(NOT(ISBLANK(E1179)),E1179&lt;&gt;"(blank)"),IFERROR(IF(INDEX(HostBuild[],MATCH(E1179,HostBuild[Alias],0),COLUMN(HostBuild[Description]))&lt;&gt;0,INDEX(HostBuild[],MATCH(E1179,HostBuild[Alias],0),COLUMN(HostBuild[Description])),""),""),"")</f>
        <v/>
      </c>
    </row>
    <row r="1180" spans="1:4">
      <c r="A1180" s="3" t="str">
        <f>IF(AND(NOT(ISBLANK(E1180)),E1180&lt;&gt;"(blank)"),IFERROR(IF(INDEX(HostBuild[],MATCH(E1180,HostBuild[Alias],0),COLUMN(HostBuild[Hostname]))&lt;&gt;0,INDEX(HostBuild[],MATCH(E1180,HostBuild[Alias],0),COLUMN(HostBuild[Hostname])),""),""),"")</f>
        <v/>
      </c>
      <c r="B1180" s="424" t="str">
        <f>IF(AND(NOT(ISBLANK(E1180)),E1180&lt;&gt;"(blank)"),IFERROR(IF(INDEX(HostBuild[],MATCH(E1180,HostBuild[Alias],0),COLUMN(HostBuild[Status]))&lt;&gt;0,INDEX(HostBuild[],MATCH(E1180,HostBuild[Alias],0),COLUMN(HostBuild[Status])),""),""),"")</f>
        <v/>
      </c>
      <c r="C1180" s="425" t="str">
        <f>IF(AND(NOT(ISBLANK(E1180)),E1180&lt;&gt;"(blank)"),IFERROR(IF(INDEX(HostBuild[],MATCH(E1180,HostBuild[Alias],0),COLUMN(HostBuild[CTI Target Completion]))&lt;&gt;0,INDEX(HostBuild[],MATCH(E1180,HostBuild[Alias],0),COLUMN(HostBuild[CTI Target Completion])),""),""),"")</f>
        <v/>
      </c>
      <c r="D1180" s="262" t="str">
        <f>IF(AND(NOT(ISBLANK(E1180)),E1180&lt;&gt;"(blank)"),IFERROR(IF(INDEX(HostBuild[],MATCH(E1180,HostBuild[Alias],0),COLUMN(HostBuild[Description]))&lt;&gt;0,INDEX(HostBuild[],MATCH(E1180,HostBuild[Alias],0),COLUMN(HostBuild[Description])),""),""),"")</f>
        <v/>
      </c>
    </row>
    <row r="1181" spans="1:4">
      <c r="A1181" s="3" t="str">
        <f>IF(AND(NOT(ISBLANK(E1181)),E1181&lt;&gt;"(blank)"),IFERROR(IF(INDEX(HostBuild[],MATCH(E1181,HostBuild[Alias],0),COLUMN(HostBuild[Hostname]))&lt;&gt;0,INDEX(HostBuild[],MATCH(E1181,HostBuild[Alias],0),COLUMN(HostBuild[Hostname])),""),""),"")</f>
        <v/>
      </c>
      <c r="B1181" s="424" t="str">
        <f>IF(AND(NOT(ISBLANK(E1181)),E1181&lt;&gt;"(blank)"),IFERROR(IF(INDEX(HostBuild[],MATCH(E1181,HostBuild[Alias],0),COLUMN(HostBuild[Status]))&lt;&gt;0,INDEX(HostBuild[],MATCH(E1181,HostBuild[Alias],0),COLUMN(HostBuild[Status])),""),""),"")</f>
        <v/>
      </c>
      <c r="C1181" s="425" t="str">
        <f>IF(AND(NOT(ISBLANK(E1181)),E1181&lt;&gt;"(blank)"),IFERROR(IF(INDEX(HostBuild[],MATCH(E1181,HostBuild[Alias],0),COLUMN(HostBuild[CTI Target Completion]))&lt;&gt;0,INDEX(HostBuild[],MATCH(E1181,HostBuild[Alias],0),COLUMN(HostBuild[CTI Target Completion])),""),""),"")</f>
        <v/>
      </c>
      <c r="D1181" s="262" t="str">
        <f>IF(AND(NOT(ISBLANK(E1181)),E1181&lt;&gt;"(blank)"),IFERROR(IF(INDEX(HostBuild[],MATCH(E1181,HostBuild[Alias],0),COLUMN(HostBuild[Description]))&lt;&gt;0,INDEX(HostBuild[],MATCH(E1181,HostBuild[Alias],0),COLUMN(HostBuild[Description])),""),""),"")</f>
        <v/>
      </c>
    </row>
    <row r="1182" spans="1:4">
      <c r="A1182" s="3" t="str">
        <f>IF(AND(NOT(ISBLANK(E1182)),E1182&lt;&gt;"(blank)"),IFERROR(IF(INDEX(HostBuild[],MATCH(E1182,HostBuild[Alias],0),COLUMN(HostBuild[Hostname]))&lt;&gt;0,INDEX(HostBuild[],MATCH(E1182,HostBuild[Alias],0),COLUMN(HostBuild[Hostname])),""),""),"")</f>
        <v/>
      </c>
      <c r="B1182" s="424" t="str">
        <f>IF(AND(NOT(ISBLANK(E1182)),E1182&lt;&gt;"(blank)"),IFERROR(IF(INDEX(HostBuild[],MATCH(E1182,HostBuild[Alias],0),COLUMN(HostBuild[Status]))&lt;&gt;0,INDEX(HostBuild[],MATCH(E1182,HostBuild[Alias],0),COLUMN(HostBuild[Status])),""),""),"")</f>
        <v/>
      </c>
      <c r="C1182" s="425" t="str">
        <f>IF(AND(NOT(ISBLANK(E1182)),E1182&lt;&gt;"(blank)"),IFERROR(IF(INDEX(HostBuild[],MATCH(E1182,HostBuild[Alias],0),COLUMN(HostBuild[CTI Target Completion]))&lt;&gt;0,INDEX(HostBuild[],MATCH(E1182,HostBuild[Alias],0),COLUMN(HostBuild[CTI Target Completion])),""),""),"")</f>
        <v/>
      </c>
      <c r="D1182" s="262" t="str">
        <f>IF(AND(NOT(ISBLANK(E1182)),E1182&lt;&gt;"(blank)"),IFERROR(IF(INDEX(HostBuild[],MATCH(E1182,HostBuild[Alias],0),COLUMN(HostBuild[Description]))&lt;&gt;0,INDEX(HostBuild[],MATCH(E1182,HostBuild[Alias],0),COLUMN(HostBuild[Description])),""),""),"")</f>
        <v/>
      </c>
    </row>
    <row r="1183" spans="1:4">
      <c r="A1183" s="3" t="str">
        <f>IF(AND(NOT(ISBLANK(E1183)),E1183&lt;&gt;"(blank)"),IFERROR(IF(INDEX(HostBuild[],MATCH(E1183,HostBuild[Alias],0),COLUMN(HostBuild[Hostname]))&lt;&gt;0,INDEX(HostBuild[],MATCH(E1183,HostBuild[Alias],0),COLUMN(HostBuild[Hostname])),""),""),"")</f>
        <v/>
      </c>
      <c r="B1183" s="424" t="str">
        <f>IF(AND(NOT(ISBLANK(E1183)),E1183&lt;&gt;"(blank)"),IFERROR(IF(INDEX(HostBuild[],MATCH(E1183,HostBuild[Alias],0),COLUMN(HostBuild[Status]))&lt;&gt;0,INDEX(HostBuild[],MATCH(E1183,HostBuild[Alias],0),COLUMN(HostBuild[Status])),""),""),"")</f>
        <v/>
      </c>
      <c r="C1183" s="425" t="str">
        <f>IF(AND(NOT(ISBLANK(E1183)),E1183&lt;&gt;"(blank)"),IFERROR(IF(INDEX(HostBuild[],MATCH(E1183,HostBuild[Alias],0),COLUMN(HostBuild[CTI Target Completion]))&lt;&gt;0,INDEX(HostBuild[],MATCH(E1183,HostBuild[Alias],0),COLUMN(HostBuild[CTI Target Completion])),""),""),"")</f>
        <v/>
      </c>
      <c r="D1183" s="262" t="str">
        <f>IF(AND(NOT(ISBLANK(E1183)),E1183&lt;&gt;"(blank)"),IFERROR(IF(INDEX(HostBuild[],MATCH(E1183,HostBuild[Alias],0),COLUMN(HostBuild[Description]))&lt;&gt;0,INDEX(HostBuild[],MATCH(E1183,HostBuild[Alias],0),COLUMN(HostBuild[Description])),""),""),"")</f>
        <v/>
      </c>
    </row>
    <row r="1184" spans="1:4">
      <c r="A1184" s="3" t="str">
        <f>IF(AND(NOT(ISBLANK(E1184)),E1184&lt;&gt;"(blank)"),IFERROR(IF(INDEX(HostBuild[],MATCH(E1184,HostBuild[Alias],0),COLUMN(HostBuild[Hostname]))&lt;&gt;0,INDEX(HostBuild[],MATCH(E1184,HostBuild[Alias],0),COLUMN(HostBuild[Hostname])),""),""),"")</f>
        <v/>
      </c>
      <c r="B1184" s="424" t="str">
        <f>IF(AND(NOT(ISBLANK(E1184)),E1184&lt;&gt;"(blank)"),IFERROR(IF(INDEX(HostBuild[],MATCH(E1184,HostBuild[Alias],0),COLUMN(HostBuild[Status]))&lt;&gt;0,INDEX(HostBuild[],MATCH(E1184,HostBuild[Alias],0),COLUMN(HostBuild[Status])),""),""),"")</f>
        <v/>
      </c>
      <c r="C1184" s="425" t="str">
        <f>IF(AND(NOT(ISBLANK(E1184)),E1184&lt;&gt;"(blank)"),IFERROR(IF(INDEX(HostBuild[],MATCH(E1184,HostBuild[Alias],0),COLUMN(HostBuild[CTI Target Completion]))&lt;&gt;0,INDEX(HostBuild[],MATCH(E1184,HostBuild[Alias],0),COLUMN(HostBuild[CTI Target Completion])),""),""),"")</f>
        <v/>
      </c>
      <c r="D1184" s="262" t="str">
        <f>IF(AND(NOT(ISBLANK(E1184)),E1184&lt;&gt;"(blank)"),IFERROR(IF(INDEX(HostBuild[],MATCH(E1184,HostBuild[Alias],0),COLUMN(HostBuild[Description]))&lt;&gt;0,INDEX(HostBuild[],MATCH(E1184,HostBuild[Alias],0),COLUMN(HostBuild[Description])),""),""),"")</f>
        <v/>
      </c>
    </row>
    <row r="1185" spans="1:4">
      <c r="A1185" s="3" t="str">
        <f>IF(AND(NOT(ISBLANK(E1185)),E1185&lt;&gt;"(blank)"),IFERROR(IF(INDEX(HostBuild[],MATCH(E1185,HostBuild[Alias],0),COLUMN(HostBuild[Hostname]))&lt;&gt;0,INDEX(HostBuild[],MATCH(E1185,HostBuild[Alias],0),COLUMN(HostBuild[Hostname])),""),""),"")</f>
        <v/>
      </c>
      <c r="B1185" s="424" t="str">
        <f>IF(AND(NOT(ISBLANK(E1185)),E1185&lt;&gt;"(blank)"),IFERROR(IF(INDEX(HostBuild[],MATCH(E1185,HostBuild[Alias],0),COLUMN(HostBuild[Status]))&lt;&gt;0,INDEX(HostBuild[],MATCH(E1185,HostBuild[Alias],0),COLUMN(HostBuild[Status])),""),""),"")</f>
        <v/>
      </c>
      <c r="C1185" s="425" t="str">
        <f>IF(AND(NOT(ISBLANK(E1185)),E1185&lt;&gt;"(blank)"),IFERROR(IF(INDEX(HostBuild[],MATCH(E1185,HostBuild[Alias],0),COLUMN(HostBuild[CTI Target Completion]))&lt;&gt;0,INDEX(HostBuild[],MATCH(E1185,HostBuild[Alias],0),COLUMN(HostBuild[CTI Target Completion])),""),""),"")</f>
        <v/>
      </c>
      <c r="D1185" s="262" t="str">
        <f>IF(AND(NOT(ISBLANK(E1185)),E1185&lt;&gt;"(blank)"),IFERROR(IF(INDEX(HostBuild[],MATCH(E1185,HostBuild[Alias],0),COLUMN(HostBuild[Description]))&lt;&gt;0,INDEX(HostBuild[],MATCH(E1185,HostBuild[Alias],0),COLUMN(HostBuild[Description])),""),""),"")</f>
        <v/>
      </c>
    </row>
    <row r="1186" spans="1:4">
      <c r="A1186" s="3" t="str">
        <f>IF(AND(NOT(ISBLANK(E1186)),E1186&lt;&gt;"(blank)"),IFERROR(IF(INDEX(HostBuild[],MATCH(E1186,HostBuild[Alias],0),COLUMN(HostBuild[Hostname]))&lt;&gt;0,INDEX(HostBuild[],MATCH(E1186,HostBuild[Alias],0),COLUMN(HostBuild[Hostname])),""),""),"")</f>
        <v/>
      </c>
      <c r="B1186" s="424" t="str">
        <f>IF(AND(NOT(ISBLANK(E1186)),E1186&lt;&gt;"(blank)"),IFERROR(IF(INDEX(HostBuild[],MATCH(E1186,HostBuild[Alias],0),COLUMN(HostBuild[Status]))&lt;&gt;0,INDEX(HostBuild[],MATCH(E1186,HostBuild[Alias],0),COLUMN(HostBuild[Status])),""),""),"")</f>
        <v/>
      </c>
      <c r="C1186" s="425" t="str">
        <f>IF(AND(NOT(ISBLANK(E1186)),E1186&lt;&gt;"(blank)"),IFERROR(IF(INDEX(HostBuild[],MATCH(E1186,HostBuild[Alias],0),COLUMN(HostBuild[CTI Target Completion]))&lt;&gt;0,INDEX(HostBuild[],MATCH(E1186,HostBuild[Alias],0),COLUMN(HostBuild[CTI Target Completion])),""),""),"")</f>
        <v/>
      </c>
      <c r="D1186" s="262" t="str">
        <f>IF(AND(NOT(ISBLANK(E1186)),E1186&lt;&gt;"(blank)"),IFERROR(IF(INDEX(HostBuild[],MATCH(E1186,HostBuild[Alias],0),COLUMN(HostBuild[Description]))&lt;&gt;0,INDEX(HostBuild[],MATCH(E1186,HostBuild[Alias],0),COLUMN(HostBuild[Description])),""),""),"")</f>
        <v/>
      </c>
    </row>
    <row r="1187" spans="1:4">
      <c r="A1187" s="3" t="str">
        <f>IF(AND(NOT(ISBLANK(E1187)),E1187&lt;&gt;"(blank)"),IFERROR(IF(INDEX(HostBuild[],MATCH(E1187,HostBuild[Alias],0),COLUMN(HostBuild[Hostname]))&lt;&gt;0,INDEX(HostBuild[],MATCH(E1187,HostBuild[Alias],0),COLUMN(HostBuild[Hostname])),""),""),"")</f>
        <v/>
      </c>
      <c r="B1187" s="424" t="str">
        <f>IF(AND(NOT(ISBLANK(E1187)),E1187&lt;&gt;"(blank)"),IFERROR(IF(INDEX(HostBuild[],MATCH(E1187,HostBuild[Alias],0),COLUMN(HostBuild[Status]))&lt;&gt;0,INDEX(HostBuild[],MATCH(E1187,HostBuild[Alias],0),COLUMN(HostBuild[Status])),""),""),"")</f>
        <v/>
      </c>
      <c r="C1187" s="425" t="str">
        <f>IF(AND(NOT(ISBLANK(E1187)),E1187&lt;&gt;"(blank)"),IFERROR(IF(INDEX(HostBuild[],MATCH(E1187,HostBuild[Alias],0),COLUMN(HostBuild[CTI Target Completion]))&lt;&gt;0,INDEX(HostBuild[],MATCH(E1187,HostBuild[Alias],0),COLUMN(HostBuild[CTI Target Completion])),""),""),"")</f>
        <v/>
      </c>
      <c r="D1187" s="262" t="str">
        <f>IF(AND(NOT(ISBLANK(E1187)),E1187&lt;&gt;"(blank)"),IFERROR(IF(INDEX(HostBuild[],MATCH(E1187,HostBuild[Alias],0),COLUMN(HostBuild[Description]))&lt;&gt;0,INDEX(HostBuild[],MATCH(E1187,HostBuild[Alias],0),COLUMN(HostBuild[Description])),""),""),"")</f>
        <v/>
      </c>
    </row>
    <row r="1188" spans="1:4">
      <c r="A1188" s="3" t="str">
        <f>IF(AND(NOT(ISBLANK(E1188)),E1188&lt;&gt;"(blank)"),IFERROR(IF(INDEX(HostBuild[],MATCH(E1188,HostBuild[Alias],0),COLUMN(HostBuild[Hostname]))&lt;&gt;0,INDEX(HostBuild[],MATCH(E1188,HostBuild[Alias],0),COLUMN(HostBuild[Hostname])),""),""),"")</f>
        <v/>
      </c>
      <c r="B1188" s="424" t="str">
        <f>IF(AND(NOT(ISBLANK(E1188)),E1188&lt;&gt;"(blank)"),IFERROR(IF(INDEX(HostBuild[],MATCH(E1188,HostBuild[Alias],0),COLUMN(HostBuild[Status]))&lt;&gt;0,INDEX(HostBuild[],MATCH(E1188,HostBuild[Alias],0),COLUMN(HostBuild[Status])),""),""),"")</f>
        <v/>
      </c>
      <c r="C1188" s="425" t="str">
        <f>IF(AND(NOT(ISBLANK(E1188)),E1188&lt;&gt;"(blank)"),IFERROR(IF(INDEX(HostBuild[],MATCH(E1188,HostBuild[Alias],0),COLUMN(HostBuild[CTI Target Completion]))&lt;&gt;0,INDEX(HostBuild[],MATCH(E1188,HostBuild[Alias],0),COLUMN(HostBuild[CTI Target Completion])),""),""),"")</f>
        <v/>
      </c>
      <c r="D1188" s="262" t="str">
        <f>IF(AND(NOT(ISBLANK(E1188)),E1188&lt;&gt;"(blank)"),IFERROR(IF(INDEX(HostBuild[],MATCH(E1188,HostBuild[Alias],0),COLUMN(HostBuild[Description]))&lt;&gt;0,INDEX(HostBuild[],MATCH(E1188,HostBuild[Alias],0),COLUMN(HostBuild[Description])),""),""),"")</f>
        <v/>
      </c>
    </row>
    <row r="1189" spans="1:4">
      <c r="A1189" s="3" t="str">
        <f>IF(AND(NOT(ISBLANK(E1189)),E1189&lt;&gt;"(blank)"),IFERROR(IF(INDEX(HostBuild[],MATCH(E1189,HostBuild[Alias],0),COLUMN(HostBuild[Hostname]))&lt;&gt;0,INDEX(HostBuild[],MATCH(E1189,HostBuild[Alias],0),COLUMN(HostBuild[Hostname])),""),""),"")</f>
        <v/>
      </c>
      <c r="B1189" s="424" t="str">
        <f>IF(AND(NOT(ISBLANK(E1189)),E1189&lt;&gt;"(blank)"),IFERROR(IF(INDEX(HostBuild[],MATCH(E1189,HostBuild[Alias],0),COLUMN(HostBuild[Status]))&lt;&gt;0,INDEX(HostBuild[],MATCH(E1189,HostBuild[Alias],0),COLUMN(HostBuild[Status])),""),""),"")</f>
        <v/>
      </c>
      <c r="C1189" s="425" t="str">
        <f>IF(AND(NOT(ISBLANK(E1189)),E1189&lt;&gt;"(blank)"),IFERROR(IF(INDEX(HostBuild[],MATCH(E1189,HostBuild[Alias],0),COLUMN(HostBuild[CTI Target Completion]))&lt;&gt;0,INDEX(HostBuild[],MATCH(E1189,HostBuild[Alias],0),COLUMN(HostBuild[CTI Target Completion])),""),""),"")</f>
        <v/>
      </c>
      <c r="D1189" s="262" t="str">
        <f>IF(AND(NOT(ISBLANK(E1189)),E1189&lt;&gt;"(blank)"),IFERROR(IF(INDEX(HostBuild[],MATCH(E1189,HostBuild[Alias],0),COLUMN(HostBuild[Description]))&lt;&gt;0,INDEX(HostBuild[],MATCH(E1189,HostBuild[Alias],0),COLUMN(HostBuild[Description])),""),""),"")</f>
        <v/>
      </c>
    </row>
    <row r="1190" spans="1:4">
      <c r="A1190" s="3" t="str">
        <f>IF(AND(NOT(ISBLANK(E1190)),E1190&lt;&gt;"(blank)"),IFERROR(IF(INDEX(HostBuild[],MATCH(E1190,HostBuild[Alias],0),COLUMN(HostBuild[Hostname]))&lt;&gt;0,INDEX(HostBuild[],MATCH(E1190,HostBuild[Alias],0),COLUMN(HostBuild[Hostname])),""),""),"")</f>
        <v/>
      </c>
      <c r="B1190" s="424" t="str">
        <f>IF(AND(NOT(ISBLANK(E1190)),E1190&lt;&gt;"(blank)"),IFERROR(IF(INDEX(HostBuild[],MATCH(E1190,HostBuild[Alias],0),COLUMN(HostBuild[Status]))&lt;&gt;0,INDEX(HostBuild[],MATCH(E1190,HostBuild[Alias],0),COLUMN(HostBuild[Status])),""),""),"")</f>
        <v/>
      </c>
      <c r="C1190" s="425" t="str">
        <f>IF(AND(NOT(ISBLANK(E1190)),E1190&lt;&gt;"(blank)"),IFERROR(IF(INDEX(HostBuild[],MATCH(E1190,HostBuild[Alias],0),COLUMN(HostBuild[CTI Target Completion]))&lt;&gt;0,INDEX(HostBuild[],MATCH(E1190,HostBuild[Alias],0),COLUMN(HostBuild[CTI Target Completion])),""),""),"")</f>
        <v/>
      </c>
      <c r="D1190" s="262" t="str">
        <f>IF(AND(NOT(ISBLANK(E1190)),E1190&lt;&gt;"(blank)"),IFERROR(IF(INDEX(HostBuild[],MATCH(E1190,HostBuild[Alias],0),COLUMN(HostBuild[Description]))&lt;&gt;0,INDEX(HostBuild[],MATCH(E1190,HostBuild[Alias],0),COLUMN(HostBuild[Description])),""),""),"")</f>
        <v/>
      </c>
    </row>
    <row r="1191" spans="1:4">
      <c r="A1191" s="3" t="str">
        <f>IF(AND(NOT(ISBLANK(E1191)),E1191&lt;&gt;"(blank)"),IFERROR(IF(INDEX(HostBuild[],MATCH(E1191,HostBuild[Alias],0),COLUMN(HostBuild[Hostname]))&lt;&gt;0,INDEX(HostBuild[],MATCH(E1191,HostBuild[Alias],0),COLUMN(HostBuild[Hostname])),""),""),"")</f>
        <v/>
      </c>
      <c r="B1191" s="424" t="str">
        <f>IF(AND(NOT(ISBLANK(E1191)),E1191&lt;&gt;"(blank)"),IFERROR(IF(INDEX(HostBuild[],MATCH(E1191,HostBuild[Alias],0),COLUMN(HostBuild[Status]))&lt;&gt;0,INDEX(HostBuild[],MATCH(E1191,HostBuild[Alias],0),COLUMN(HostBuild[Status])),""),""),"")</f>
        <v/>
      </c>
      <c r="C1191" s="425" t="str">
        <f>IF(AND(NOT(ISBLANK(E1191)),E1191&lt;&gt;"(blank)"),IFERROR(IF(INDEX(HostBuild[],MATCH(E1191,HostBuild[Alias],0),COLUMN(HostBuild[CTI Target Completion]))&lt;&gt;0,INDEX(HostBuild[],MATCH(E1191,HostBuild[Alias],0),COLUMN(HostBuild[CTI Target Completion])),""),""),"")</f>
        <v/>
      </c>
      <c r="D1191" s="262" t="str">
        <f>IF(AND(NOT(ISBLANK(E1191)),E1191&lt;&gt;"(blank)"),IFERROR(IF(INDEX(HostBuild[],MATCH(E1191,HostBuild[Alias],0),COLUMN(HostBuild[Description]))&lt;&gt;0,INDEX(HostBuild[],MATCH(E1191,HostBuild[Alias],0),COLUMN(HostBuild[Description])),""),""),"")</f>
        <v/>
      </c>
    </row>
    <row r="1192" spans="1:4">
      <c r="A1192" s="3" t="str">
        <f>IF(AND(NOT(ISBLANK(E1192)),E1192&lt;&gt;"(blank)"),IFERROR(IF(INDEX(HostBuild[],MATCH(E1192,HostBuild[Alias],0),COLUMN(HostBuild[Hostname]))&lt;&gt;0,INDEX(HostBuild[],MATCH(E1192,HostBuild[Alias],0),COLUMN(HostBuild[Hostname])),""),""),"")</f>
        <v/>
      </c>
      <c r="B1192" s="424" t="str">
        <f>IF(AND(NOT(ISBLANK(E1192)),E1192&lt;&gt;"(blank)"),IFERROR(IF(INDEX(HostBuild[],MATCH(E1192,HostBuild[Alias],0),COLUMN(HostBuild[Status]))&lt;&gt;0,INDEX(HostBuild[],MATCH(E1192,HostBuild[Alias],0),COLUMN(HostBuild[Status])),""),""),"")</f>
        <v/>
      </c>
      <c r="C1192" s="425" t="str">
        <f>IF(AND(NOT(ISBLANK(E1192)),E1192&lt;&gt;"(blank)"),IFERROR(IF(INDEX(HostBuild[],MATCH(E1192,HostBuild[Alias],0),COLUMN(HostBuild[CTI Target Completion]))&lt;&gt;0,INDEX(HostBuild[],MATCH(E1192,HostBuild[Alias],0),COLUMN(HostBuild[CTI Target Completion])),""),""),"")</f>
        <v/>
      </c>
      <c r="D1192" s="262" t="str">
        <f>IF(AND(NOT(ISBLANK(E1192)),E1192&lt;&gt;"(blank)"),IFERROR(IF(INDEX(HostBuild[],MATCH(E1192,HostBuild[Alias],0),COLUMN(HostBuild[Description]))&lt;&gt;0,INDEX(HostBuild[],MATCH(E1192,HostBuild[Alias],0),COLUMN(HostBuild[Description])),""),""),"")</f>
        <v/>
      </c>
    </row>
    <row r="1193" spans="1:4">
      <c r="A1193" s="3" t="str">
        <f>IF(AND(NOT(ISBLANK(E1193)),E1193&lt;&gt;"(blank)"),IFERROR(IF(INDEX(HostBuild[],MATCH(E1193,HostBuild[Alias],0),COLUMN(HostBuild[Hostname]))&lt;&gt;0,INDEX(HostBuild[],MATCH(E1193,HostBuild[Alias],0),COLUMN(HostBuild[Hostname])),""),""),"")</f>
        <v/>
      </c>
      <c r="B1193" s="424" t="str">
        <f>IF(AND(NOT(ISBLANK(E1193)),E1193&lt;&gt;"(blank)"),IFERROR(IF(INDEX(HostBuild[],MATCH(E1193,HostBuild[Alias],0),COLUMN(HostBuild[Status]))&lt;&gt;0,INDEX(HostBuild[],MATCH(E1193,HostBuild[Alias],0),COLUMN(HostBuild[Status])),""),""),"")</f>
        <v/>
      </c>
      <c r="C1193" s="425" t="str">
        <f>IF(AND(NOT(ISBLANK(E1193)),E1193&lt;&gt;"(blank)"),IFERROR(IF(INDEX(HostBuild[],MATCH(E1193,HostBuild[Alias],0),COLUMN(HostBuild[CTI Target Completion]))&lt;&gt;0,INDEX(HostBuild[],MATCH(E1193,HostBuild[Alias],0),COLUMN(HostBuild[CTI Target Completion])),""),""),"")</f>
        <v/>
      </c>
      <c r="D1193" s="262" t="str">
        <f>IF(AND(NOT(ISBLANK(E1193)),E1193&lt;&gt;"(blank)"),IFERROR(IF(INDEX(HostBuild[],MATCH(E1193,HostBuild[Alias],0),COLUMN(HostBuild[Description]))&lt;&gt;0,INDEX(HostBuild[],MATCH(E1193,HostBuild[Alias],0),COLUMN(HostBuild[Description])),""),""),"")</f>
        <v/>
      </c>
    </row>
    <row r="1194" spans="1:4">
      <c r="A1194" s="3" t="str">
        <f>IF(AND(NOT(ISBLANK(E1194)),E1194&lt;&gt;"(blank)"),IFERROR(IF(INDEX(HostBuild[],MATCH(E1194,HostBuild[Alias],0),COLUMN(HostBuild[Hostname]))&lt;&gt;0,INDEX(HostBuild[],MATCH(E1194,HostBuild[Alias],0),COLUMN(HostBuild[Hostname])),""),""),"")</f>
        <v/>
      </c>
      <c r="B1194" s="424" t="str">
        <f>IF(AND(NOT(ISBLANK(E1194)),E1194&lt;&gt;"(blank)"),IFERROR(IF(INDEX(HostBuild[],MATCH(E1194,HostBuild[Alias],0),COLUMN(HostBuild[Status]))&lt;&gt;0,INDEX(HostBuild[],MATCH(E1194,HostBuild[Alias],0),COLUMN(HostBuild[Status])),""),""),"")</f>
        <v/>
      </c>
      <c r="C1194" s="425" t="str">
        <f>IF(AND(NOT(ISBLANK(E1194)),E1194&lt;&gt;"(blank)"),IFERROR(IF(INDEX(HostBuild[],MATCH(E1194,HostBuild[Alias],0),COLUMN(HostBuild[CTI Target Completion]))&lt;&gt;0,INDEX(HostBuild[],MATCH(E1194,HostBuild[Alias],0),COLUMN(HostBuild[CTI Target Completion])),""),""),"")</f>
        <v/>
      </c>
      <c r="D1194" s="262" t="str">
        <f>IF(AND(NOT(ISBLANK(E1194)),E1194&lt;&gt;"(blank)"),IFERROR(IF(INDEX(HostBuild[],MATCH(E1194,HostBuild[Alias],0),COLUMN(HostBuild[Description]))&lt;&gt;0,INDEX(HostBuild[],MATCH(E1194,HostBuild[Alias],0),COLUMN(HostBuild[Description])),""),""),"")</f>
        <v/>
      </c>
    </row>
    <row r="1195" spans="1:4">
      <c r="A1195" s="3" t="str">
        <f>IF(AND(NOT(ISBLANK(E1195)),E1195&lt;&gt;"(blank)"),IFERROR(IF(INDEX(HostBuild[],MATCH(E1195,HostBuild[Alias],0),COLUMN(HostBuild[Hostname]))&lt;&gt;0,INDEX(HostBuild[],MATCH(E1195,HostBuild[Alias],0),COLUMN(HostBuild[Hostname])),""),""),"")</f>
        <v/>
      </c>
      <c r="B1195" s="424" t="str">
        <f>IF(AND(NOT(ISBLANK(E1195)),E1195&lt;&gt;"(blank)"),IFERROR(IF(INDEX(HostBuild[],MATCH(E1195,HostBuild[Alias],0),COLUMN(HostBuild[Status]))&lt;&gt;0,INDEX(HostBuild[],MATCH(E1195,HostBuild[Alias],0),COLUMN(HostBuild[Status])),""),""),"")</f>
        <v/>
      </c>
      <c r="C1195" s="425" t="str">
        <f>IF(AND(NOT(ISBLANK(E1195)),E1195&lt;&gt;"(blank)"),IFERROR(IF(INDEX(HostBuild[],MATCH(E1195,HostBuild[Alias],0),COLUMN(HostBuild[CTI Target Completion]))&lt;&gt;0,INDEX(HostBuild[],MATCH(E1195,HostBuild[Alias],0),COLUMN(HostBuild[CTI Target Completion])),""),""),"")</f>
        <v/>
      </c>
      <c r="D1195" s="262" t="str">
        <f>IF(AND(NOT(ISBLANK(E1195)),E1195&lt;&gt;"(blank)"),IFERROR(IF(INDEX(HostBuild[],MATCH(E1195,HostBuild[Alias],0),COLUMN(HostBuild[Description]))&lt;&gt;0,INDEX(HostBuild[],MATCH(E1195,HostBuild[Alias],0),COLUMN(HostBuild[Description])),""),""),"")</f>
        <v/>
      </c>
    </row>
    <row r="1196" spans="1:4">
      <c r="A1196" s="3" t="str">
        <f>IF(AND(NOT(ISBLANK(E1196)),E1196&lt;&gt;"(blank)"),IFERROR(IF(INDEX(HostBuild[],MATCH(E1196,HostBuild[Alias],0),COLUMN(HostBuild[Hostname]))&lt;&gt;0,INDEX(HostBuild[],MATCH(E1196,HostBuild[Alias],0),COLUMN(HostBuild[Hostname])),""),""),"")</f>
        <v/>
      </c>
      <c r="B1196" s="424" t="str">
        <f>IF(AND(NOT(ISBLANK(E1196)),E1196&lt;&gt;"(blank)"),IFERROR(IF(INDEX(HostBuild[],MATCH(E1196,HostBuild[Alias],0),COLUMN(HostBuild[Status]))&lt;&gt;0,INDEX(HostBuild[],MATCH(E1196,HostBuild[Alias],0),COLUMN(HostBuild[Status])),""),""),"")</f>
        <v/>
      </c>
      <c r="C1196" s="425" t="str">
        <f>IF(AND(NOT(ISBLANK(E1196)),E1196&lt;&gt;"(blank)"),IFERROR(IF(INDEX(HostBuild[],MATCH(E1196,HostBuild[Alias],0),COLUMN(HostBuild[CTI Target Completion]))&lt;&gt;0,INDEX(HostBuild[],MATCH(E1196,HostBuild[Alias],0),COLUMN(HostBuild[CTI Target Completion])),""),""),"")</f>
        <v/>
      </c>
      <c r="D1196" s="262" t="str">
        <f>IF(AND(NOT(ISBLANK(E1196)),E1196&lt;&gt;"(blank)"),IFERROR(IF(INDEX(HostBuild[],MATCH(E1196,HostBuild[Alias],0),COLUMN(HostBuild[Description]))&lt;&gt;0,INDEX(HostBuild[],MATCH(E1196,HostBuild[Alias],0),COLUMN(HostBuild[Description])),""),""),"")</f>
        <v/>
      </c>
    </row>
    <row r="1197" spans="1:4">
      <c r="A1197" s="3" t="str">
        <f>IF(AND(NOT(ISBLANK(E1197)),E1197&lt;&gt;"(blank)"),IFERROR(IF(INDEX(HostBuild[],MATCH(E1197,HostBuild[Alias],0),COLUMN(HostBuild[Hostname]))&lt;&gt;0,INDEX(HostBuild[],MATCH(E1197,HostBuild[Alias],0),COLUMN(HostBuild[Hostname])),""),""),"")</f>
        <v/>
      </c>
      <c r="B1197" s="424" t="str">
        <f>IF(AND(NOT(ISBLANK(E1197)),E1197&lt;&gt;"(blank)"),IFERROR(IF(INDEX(HostBuild[],MATCH(E1197,HostBuild[Alias],0),COLUMN(HostBuild[Status]))&lt;&gt;0,INDEX(HostBuild[],MATCH(E1197,HostBuild[Alias],0),COLUMN(HostBuild[Status])),""),""),"")</f>
        <v/>
      </c>
      <c r="C1197" s="425" t="str">
        <f>IF(AND(NOT(ISBLANK(E1197)),E1197&lt;&gt;"(blank)"),IFERROR(IF(INDEX(HostBuild[],MATCH(E1197,HostBuild[Alias],0),COLUMN(HostBuild[CTI Target Completion]))&lt;&gt;0,INDEX(HostBuild[],MATCH(E1197,HostBuild[Alias],0),COLUMN(HostBuild[CTI Target Completion])),""),""),"")</f>
        <v/>
      </c>
      <c r="D1197" s="262" t="str">
        <f>IF(AND(NOT(ISBLANK(E1197)),E1197&lt;&gt;"(blank)"),IFERROR(IF(INDEX(HostBuild[],MATCH(E1197,HostBuild[Alias],0),COLUMN(HostBuild[Description]))&lt;&gt;0,INDEX(HostBuild[],MATCH(E1197,HostBuild[Alias],0),COLUMN(HostBuild[Description])),""),""),"")</f>
        <v/>
      </c>
    </row>
    <row r="1198" spans="1:4">
      <c r="A1198" s="3" t="str">
        <f>IF(AND(NOT(ISBLANK(E1198)),E1198&lt;&gt;"(blank)"),IFERROR(IF(INDEX(HostBuild[],MATCH(E1198,HostBuild[Alias],0),COLUMN(HostBuild[Hostname]))&lt;&gt;0,INDEX(HostBuild[],MATCH(E1198,HostBuild[Alias],0),COLUMN(HostBuild[Hostname])),""),""),"")</f>
        <v/>
      </c>
      <c r="B1198" s="424" t="str">
        <f>IF(AND(NOT(ISBLANK(E1198)),E1198&lt;&gt;"(blank)"),IFERROR(IF(INDEX(HostBuild[],MATCH(E1198,HostBuild[Alias],0),COLUMN(HostBuild[Status]))&lt;&gt;0,INDEX(HostBuild[],MATCH(E1198,HostBuild[Alias],0),COLUMN(HostBuild[Status])),""),""),"")</f>
        <v/>
      </c>
      <c r="C1198" s="425" t="str">
        <f>IF(AND(NOT(ISBLANK(E1198)),E1198&lt;&gt;"(blank)"),IFERROR(IF(INDEX(HostBuild[],MATCH(E1198,HostBuild[Alias],0),COLUMN(HostBuild[CTI Target Completion]))&lt;&gt;0,INDEX(HostBuild[],MATCH(E1198,HostBuild[Alias],0),COLUMN(HostBuild[CTI Target Completion])),""),""),"")</f>
        <v/>
      </c>
      <c r="D1198" s="262" t="str">
        <f>IF(AND(NOT(ISBLANK(E1198)),E1198&lt;&gt;"(blank)"),IFERROR(IF(INDEX(HostBuild[],MATCH(E1198,HostBuild[Alias],0),COLUMN(HostBuild[Description]))&lt;&gt;0,INDEX(HostBuild[],MATCH(E1198,HostBuild[Alias],0),COLUMN(HostBuild[Description])),""),""),"")</f>
        <v/>
      </c>
    </row>
    <row r="1199" spans="1:4">
      <c r="A1199" s="3" t="str">
        <f>IF(AND(NOT(ISBLANK(E1199)),E1199&lt;&gt;"(blank)"),IFERROR(IF(INDEX(HostBuild[],MATCH(E1199,HostBuild[Alias],0),COLUMN(HostBuild[Hostname]))&lt;&gt;0,INDEX(HostBuild[],MATCH(E1199,HostBuild[Alias],0),COLUMN(HostBuild[Hostname])),""),""),"")</f>
        <v/>
      </c>
      <c r="B1199" s="424" t="str">
        <f>IF(AND(NOT(ISBLANK(E1199)),E1199&lt;&gt;"(blank)"),IFERROR(IF(INDEX(HostBuild[],MATCH(E1199,HostBuild[Alias],0),COLUMN(HostBuild[Status]))&lt;&gt;0,INDEX(HostBuild[],MATCH(E1199,HostBuild[Alias],0),COLUMN(HostBuild[Status])),""),""),"")</f>
        <v/>
      </c>
      <c r="C1199" s="425" t="str">
        <f>IF(AND(NOT(ISBLANK(E1199)),E1199&lt;&gt;"(blank)"),IFERROR(IF(INDEX(HostBuild[],MATCH(E1199,HostBuild[Alias],0),COLUMN(HostBuild[CTI Target Completion]))&lt;&gt;0,INDEX(HostBuild[],MATCH(E1199,HostBuild[Alias],0),COLUMN(HostBuild[CTI Target Completion])),""),""),"")</f>
        <v/>
      </c>
      <c r="D1199" s="262" t="str">
        <f>IF(AND(NOT(ISBLANK(E1199)),E1199&lt;&gt;"(blank)"),IFERROR(IF(INDEX(HostBuild[],MATCH(E1199,HostBuild[Alias],0),COLUMN(HostBuild[Description]))&lt;&gt;0,INDEX(HostBuild[],MATCH(E1199,HostBuild[Alias],0),COLUMN(HostBuild[Description])),""),""),"")</f>
        <v/>
      </c>
    </row>
    <row r="1200" spans="1:4">
      <c r="A1200" s="3" t="str">
        <f>IF(AND(NOT(ISBLANK(E1200)),E1200&lt;&gt;"(blank)"),IFERROR(IF(INDEX(HostBuild[],MATCH(E1200,HostBuild[Alias],0),COLUMN(HostBuild[Hostname]))&lt;&gt;0,INDEX(HostBuild[],MATCH(E1200,HostBuild[Alias],0),COLUMN(HostBuild[Hostname])),""),""),"")</f>
        <v/>
      </c>
      <c r="B1200" s="424" t="str">
        <f>IF(AND(NOT(ISBLANK(E1200)),E1200&lt;&gt;"(blank)"),IFERROR(IF(INDEX(HostBuild[],MATCH(E1200,HostBuild[Alias],0),COLUMN(HostBuild[Status]))&lt;&gt;0,INDEX(HostBuild[],MATCH(E1200,HostBuild[Alias],0),COLUMN(HostBuild[Status])),""),""),"")</f>
        <v/>
      </c>
      <c r="C1200" s="425" t="str">
        <f>IF(AND(NOT(ISBLANK(E1200)),E1200&lt;&gt;"(blank)"),IFERROR(IF(INDEX(HostBuild[],MATCH(E1200,HostBuild[Alias],0),COLUMN(HostBuild[CTI Target Completion]))&lt;&gt;0,INDEX(HostBuild[],MATCH(E1200,HostBuild[Alias],0),COLUMN(HostBuild[CTI Target Completion])),""),""),"")</f>
        <v/>
      </c>
      <c r="D1200" s="262" t="str">
        <f>IF(AND(NOT(ISBLANK(E1200)),E1200&lt;&gt;"(blank)"),IFERROR(IF(INDEX(HostBuild[],MATCH(E1200,HostBuild[Alias],0),COLUMN(HostBuild[Description]))&lt;&gt;0,INDEX(HostBuild[],MATCH(E1200,HostBuild[Alias],0),COLUMN(HostBuild[Description])),""),""),"")</f>
        <v/>
      </c>
    </row>
  </sheetData>
  <conditionalFormatting sqref="A3:D1200">
    <cfRule type="expression" dxfId="658" priority="65240" stopIfTrue="1">
      <formula>$E3="Grand Total"</formula>
    </cfRule>
    <cfRule type="expression" dxfId="657" priority="65241" stopIfTrue="1">
      <formula>AND(ISEVEN(ROW($E3)),$E3&lt;&gt;"(blank)",NOT(ISBLANK($E3)))</formula>
    </cfRule>
    <cfRule type="expression" dxfId="656" priority="65242" stopIfTrue="1">
      <formula>AND($E3&lt;&gt;"(blank)",NOT(ISBLANK($E3)))</formula>
    </cfRule>
  </conditionalFormatting>
  <pageMargins left="0.7" right="0.7" top="0.75" bottom="0.75" header="0.3" footer="0.3"/>
  <pageSetup orientation="portrait" horizontalDpi="300"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N57"/>
  <sheetViews>
    <sheetView topLeftCell="D33" workbookViewId="0">
      <selection activeCell="M51" sqref="M51"/>
    </sheetView>
  </sheetViews>
  <sheetFormatPr defaultRowHeight="15"/>
  <cols>
    <col min="1" max="1" width="25.7109375" customWidth="1"/>
    <col min="2" max="2" width="18.140625" bestFit="1" customWidth="1"/>
    <col min="3" max="3" width="3.140625" style="228" customWidth="1"/>
    <col min="4" max="4" width="25.7109375" bestFit="1" customWidth="1"/>
    <col min="5" max="10" width="12.7109375" customWidth="1"/>
    <col min="11" max="11" width="12.7109375" style="262" customWidth="1"/>
    <col min="12" max="12" width="12.7109375" customWidth="1"/>
    <col min="13" max="15" width="12.7109375" style="262" customWidth="1"/>
    <col min="16" max="20" width="12.7109375" customWidth="1"/>
    <col min="21" max="21" width="5.5703125" customWidth="1"/>
    <col min="22" max="22" width="25.7109375" customWidth="1"/>
    <col min="23" max="24" width="12.7109375" customWidth="1"/>
    <col min="25" max="25" width="12.7109375" style="262" customWidth="1"/>
    <col min="26" max="26" width="12.7109375" customWidth="1"/>
    <col min="27" max="28" width="12.7109375" style="262" customWidth="1"/>
    <col min="29" max="29" width="12.7109375" customWidth="1"/>
    <col min="30" max="30" width="12.7109375" style="262" customWidth="1"/>
    <col min="31" max="38" width="12.7109375" customWidth="1"/>
  </cols>
  <sheetData>
    <row r="1" spans="1:38" s="118" customFormat="1" ht="45.75" customHeight="1">
      <c r="A1" s="634" t="s">
        <v>411</v>
      </c>
      <c r="B1" s="635"/>
      <c r="C1"/>
      <c r="D1" s="636" t="str">
        <f>'SW Details'!BV1</f>
        <v>Annual SW Cost By Product by Environment
(Note: Table manually created, for additional products need to manually update table contents)</v>
      </c>
      <c r="E1" s="636"/>
      <c r="F1" s="636"/>
      <c r="G1" s="636"/>
      <c r="H1" s="636"/>
      <c r="I1" s="636"/>
      <c r="J1" s="636"/>
      <c r="K1" s="636"/>
      <c r="L1" s="636"/>
      <c r="M1" s="636"/>
      <c r="N1" s="636"/>
      <c r="O1" s="636"/>
      <c r="P1" s="636"/>
      <c r="Q1" s="636"/>
      <c r="R1" s="636"/>
      <c r="S1" s="636"/>
      <c r="T1" s="636"/>
      <c r="V1" s="636" t="str">
        <f>'SW Details'!CN1</f>
        <v>Annual SW Cost By Product by Environment
[After Year One - Maintenance Costs]
(Note: Table manually created, for additional products need to manually update table contents)</v>
      </c>
      <c r="W1" s="636"/>
      <c r="X1" s="636"/>
      <c r="Y1" s="636"/>
      <c r="Z1" s="636"/>
      <c r="AA1" s="636"/>
      <c r="AB1" s="636"/>
      <c r="AC1" s="636"/>
      <c r="AD1" s="636"/>
      <c r="AE1" s="636"/>
      <c r="AF1" s="636"/>
      <c r="AG1" s="636"/>
      <c r="AH1" s="636"/>
      <c r="AI1" s="636"/>
      <c r="AJ1" s="636"/>
      <c r="AK1" s="636"/>
      <c r="AL1" s="636"/>
    </row>
    <row r="2" spans="1:38">
      <c r="A2" s="279" t="s">
        <v>109</v>
      </c>
      <c r="B2" t="s">
        <v>199</v>
      </c>
      <c r="D2" s="210" t="s">
        <v>175</v>
      </c>
      <c r="E2" s="210" t="s">
        <v>3992</v>
      </c>
      <c r="F2" s="210" t="s">
        <v>4005</v>
      </c>
      <c r="G2" s="210" t="s">
        <v>79</v>
      </c>
      <c r="H2" s="210" t="s">
        <v>3932</v>
      </c>
      <c r="I2" s="210" t="s">
        <v>211</v>
      </c>
      <c r="J2" s="210" t="s">
        <v>26</v>
      </c>
      <c r="K2" s="210" t="s">
        <v>171</v>
      </c>
      <c r="L2" s="210" t="s">
        <v>466</v>
      </c>
      <c r="M2" s="210" t="s">
        <v>212</v>
      </c>
      <c r="N2" s="210" t="s">
        <v>4139</v>
      </c>
      <c r="O2" s="210" t="s">
        <v>213</v>
      </c>
      <c r="P2" s="210" t="s">
        <v>4089</v>
      </c>
      <c r="Q2" s="210" t="s">
        <v>25</v>
      </c>
      <c r="R2" s="210" t="s">
        <v>23</v>
      </c>
      <c r="S2" s="210" t="s">
        <v>209</v>
      </c>
      <c r="T2" s="421" t="s">
        <v>78</v>
      </c>
      <c r="V2" s="210" t="s">
        <v>175</v>
      </c>
      <c r="W2" s="210" t="s">
        <v>3992</v>
      </c>
      <c r="X2" s="210" t="s">
        <v>4005</v>
      </c>
      <c r="Y2" s="210" t="s">
        <v>79</v>
      </c>
      <c r="Z2" s="210" t="s">
        <v>3932</v>
      </c>
      <c r="AA2" s="210" t="s">
        <v>211</v>
      </c>
      <c r="AB2" s="210" t="s">
        <v>26</v>
      </c>
      <c r="AC2" s="210" t="s">
        <v>171</v>
      </c>
      <c r="AD2" s="210" t="s">
        <v>466</v>
      </c>
      <c r="AE2" s="210" t="s">
        <v>212</v>
      </c>
      <c r="AF2" s="210" t="s">
        <v>4139</v>
      </c>
      <c r="AG2" s="210" t="s">
        <v>213</v>
      </c>
      <c r="AH2" s="210" t="s">
        <v>4089</v>
      </c>
      <c r="AI2" s="210" t="s">
        <v>25</v>
      </c>
      <c r="AJ2" s="210" t="s">
        <v>23</v>
      </c>
      <c r="AK2" s="210" t="s">
        <v>209</v>
      </c>
      <c r="AL2" s="421" t="s">
        <v>78</v>
      </c>
    </row>
    <row r="3" spans="1:38">
      <c r="A3" s="281" t="s">
        <v>192</v>
      </c>
      <c r="B3" s="268">
        <v>0</v>
      </c>
      <c r="C3" s="233"/>
      <c r="D3" s="212" t="str">
        <f>'SW Details'!BV4</f>
        <v xml:space="preserve">Ab Initio </v>
      </c>
      <c r="E3" s="270">
        <f>'SW Details'!BW4</f>
        <v>0</v>
      </c>
      <c r="F3" s="270">
        <f>'SW Details'!BX4</f>
        <v>0</v>
      </c>
      <c r="G3" s="250">
        <f ca="1">'SW Details'!BY4</f>
        <v>0</v>
      </c>
      <c r="H3" s="250">
        <f ca="1">'SW Details'!BZ4</f>
        <v>0</v>
      </c>
      <c r="I3" s="250">
        <f ca="1">'SW Details'!CA4</f>
        <v>0</v>
      </c>
      <c r="J3" s="250">
        <f ca="1">'SW Details'!CB4</f>
        <v>0</v>
      </c>
      <c r="K3" s="250">
        <f ca="1">'SW Details'!CC4</f>
        <v>0</v>
      </c>
      <c r="L3" s="250">
        <f ca="1">'SW Details'!CD4</f>
        <v>0</v>
      </c>
      <c r="M3" s="250">
        <f ca="1">'SW Details'!CE4</f>
        <v>0</v>
      </c>
      <c r="N3" s="250">
        <f ca="1">'SW Details'!CF4</f>
        <v>0</v>
      </c>
      <c r="O3" s="250">
        <f ca="1">'SW Details'!CG4</f>
        <v>0</v>
      </c>
      <c r="P3" s="250">
        <f ca="1">'SW Details'!CH4</f>
        <v>0</v>
      </c>
      <c r="Q3" s="250">
        <f ca="1">'SW Details'!CI4</f>
        <v>0</v>
      </c>
      <c r="R3" s="250">
        <f ca="1">'SW Details'!CJ4</f>
        <v>0</v>
      </c>
      <c r="S3" s="250">
        <f ca="1">'SW Details'!CK4</f>
        <v>0</v>
      </c>
      <c r="T3" s="364">
        <f ca="1">SUM(SummarySWYr1[[#This Row],[PROD]:[DEV]])</f>
        <v>0</v>
      </c>
      <c r="V3" s="234" t="str">
        <f>'SW Details'!CN4</f>
        <v xml:space="preserve">Ab Initio </v>
      </c>
      <c r="W3" s="270">
        <f ca="1">'SW Details'!CO4</f>
        <v>0</v>
      </c>
      <c r="X3" s="270">
        <f ca="1">'SW Details'!CP4</f>
        <v>0</v>
      </c>
      <c r="Y3" s="365">
        <f ca="1">'SW Details'!CQ4</f>
        <v>0</v>
      </c>
      <c r="Z3" s="365">
        <f ca="1">'SW Details'!CR4</f>
        <v>0</v>
      </c>
      <c r="AA3" s="365">
        <f ca="1">'SW Details'!CS4</f>
        <v>0</v>
      </c>
      <c r="AB3" s="365">
        <f ca="1">'SW Details'!CT4</f>
        <v>0</v>
      </c>
      <c r="AC3" s="365">
        <f ca="1">'SW Details'!CU4</f>
        <v>0</v>
      </c>
      <c r="AD3" s="365">
        <f ca="1">'SW Details'!CV4</f>
        <v>0</v>
      </c>
      <c r="AE3" s="365">
        <f ca="1">'SW Details'!CW4</f>
        <v>0</v>
      </c>
      <c r="AF3" s="365">
        <f ca="1">'SW Details'!CX4</f>
        <v>0</v>
      </c>
      <c r="AG3" s="365">
        <f ca="1">'SW Details'!CY4</f>
        <v>0</v>
      </c>
      <c r="AH3" s="365">
        <f ca="1">'SW Details'!CZ4</f>
        <v>0</v>
      </c>
      <c r="AI3" s="365">
        <f ca="1">'SW Details'!DA4</f>
        <v>0</v>
      </c>
      <c r="AJ3" s="365">
        <f ca="1">'SW Details'!DB4</f>
        <v>0</v>
      </c>
      <c r="AK3" s="365">
        <f ca="1">'SW Details'!DC4</f>
        <v>0</v>
      </c>
      <c r="AL3" s="364">
        <f ca="1">SUM(SummarySWAfterYr1[[#This Row],[PROD]:[DEV]])</f>
        <v>0</v>
      </c>
    </row>
    <row r="4" spans="1:38">
      <c r="A4" s="281" t="s">
        <v>2216</v>
      </c>
      <c r="B4" s="268">
        <v>0</v>
      </c>
      <c r="C4" s="233"/>
      <c r="D4" s="270" t="str">
        <f>'SW Details'!BV5</f>
        <v xml:space="preserve">CA APM </v>
      </c>
      <c r="E4" s="270">
        <f>'SW Details'!BW5</f>
        <v>0</v>
      </c>
      <c r="F4" s="270">
        <f>'SW Details'!BX5</f>
        <v>0</v>
      </c>
      <c r="G4" s="250">
        <f ca="1">'SW Details'!BY5</f>
        <v>0</v>
      </c>
      <c r="H4" s="250">
        <f ca="1">'SW Details'!BZ5</f>
        <v>0</v>
      </c>
      <c r="I4" s="250">
        <f ca="1">'SW Details'!CA5</f>
        <v>0</v>
      </c>
      <c r="J4" s="250">
        <f ca="1">'SW Details'!CB5</f>
        <v>0</v>
      </c>
      <c r="K4" s="250">
        <f ca="1">'SW Details'!CC5</f>
        <v>0</v>
      </c>
      <c r="L4" s="250">
        <f ca="1">'SW Details'!CD5</f>
        <v>0</v>
      </c>
      <c r="M4" s="250">
        <f ca="1">'SW Details'!CE5</f>
        <v>0</v>
      </c>
      <c r="N4" s="250">
        <f ca="1">'SW Details'!CF5</f>
        <v>0</v>
      </c>
      <c r="O4" s="250">
        <f ca="1">'SW Details'!CG5</f>
        <v>0</v>
      </c>
      <c r="P4" s="250">
        <f ca="1">'SW Details'!CH5</f>
        <v>0</v>
      </c>
      <c r="Q4" s="250">
        <f ca="1">'SW Details'!CI5</f>
        <v>0</v>
      </c>
      <c r="R4" s="250">
        <f ca="1">'SW Details'!CJ5</f>
        <v>0</v>
      </c>
      <c r="S4" s="250">
        <f ca="1">'SW Details'!CK5</f>
        <v>0</v>
      </c>
      <c r="T4" s="364">
        <f ca="1">SUM(SummarySWYr1[[#This Row],[PROD]:[DEV]])</f>
        <v>0</v>
      </c>
      <c r="V4" s="270" t="str">
        <f>'SW Details'!CN5</f>
        <v xml:space="preserve">CA APM </v>
      </c>
      <c r="W4" s="270">
        <f ca="1">'SW Details'!CO5</f>
        <v>0</v>
      </c>
      <c r="X4" s="270">
        <f ca="1">'SW Details'!CP5</f>
        <v>0</v>
      </c>
      <c r="Y4" s="365">
        <f ca="1">'SW Details'!CQ5</f>
        <v>0</v>
      </c>
      <c r="Z4" s="365">
        <f ca="1">'SW Details'!CR5</f>
        <v>0</v>
      </c>
      <c r="AA4" s="365">
        <f ca="1">'SW Details'!CS5</f>
        <v>0</v>
      </c>
      <c r="AB4" s="365">
        <f ca="1">'SW Details'!CT5</f>
        <v>0</v>
      </c>
      <c r="AC4" s="365">
        <f ca="1">'SW Details'!CU5</f>
        <v>0</v>
      </c>
      <c r="AD4" s="365">
        <f ca="1">'SW Details'!CV5</f>
        <v>0</v>
      </c>
      <c r="AE4" s="365">
        <f ca="1">'SW Details'!CW5</f>
        <v>0</v>
      </c>
      <c r="AF4" s="365">
        <f ca="1">'SW Details'!CX5</f>
        <v>0</v>
      </c>
      <c r="AG4" s="365">
        <f ca="1">'SW Details'!CY5</f>
        <v>0</v>
      </c>
      <c r="AH4" s="365">
        <f ca="1">'SW Details'!CZ5</f>
        <v>0</v>
      </c>
      <c r="AI4" s="365">
        <f ca="1">'SW Details'!DA5</f>
        <v>0</v>
      </c>
      <c r="AJ4" s="365">
        <f ca="1">'SW Details'!DB5</f>
        <v>0</v>
      </c>
      <c r="AK4" s="365">
        <f ca="1">'SW Details'!DC5</f>
        <v>0</v>
      </c>
      <c r="AL4" s="364">
        <f ca="1">SUM(SummarySWAfterYr1[[#This Row],[PROD]:[DEV]])</f>
        <v>0</v>
      </c>
    </row>
    <row r="5" spans="1:38">
      <c r="A5" s="281" t="s">
        <v>383</v>
      </c>
      <c r="B5" s="268">
        <v>0</v>
      </c>
      <c r="C5" s="233"/>
      <c r="D5" s="270" t="str">
        <f>'SW Details'!BV6</f>
        <v xml:space="preserve">FinCAD </v>
      </c>
      <c r="E5" s="270">
        <f>'SW Details'!BW6</f>
        <v>0</v>
      </c>
      <c r="F5" s="270">
        <f>'SW Details'!BX6</f>
        <v>0</v>
      </c>
      <c r="G5" s="250">
        <f ca="1">'SW Details'!BY6</f>
        <v>0</v>
      </c>
      <c r="H5" s="250">
        <f ca="1">'SW Details'!BZ6</f>
        <v>0</v>
      </c>
      <c r="I5" s="250">
        <f ca="1">'SW Details'!CA6</f>
        <v>0</v>
      </c>
      <c r="J5" s="250">
        <f ca="1">'SW Details'!CB6</f>
        <v>0</v>
      </c>
      <c r="K5" s="250">
        <f ca="1">'SW Details'!CC6</f>
        <v>0</v>
      </c>
      <c r="L5" s="250">
        <f ca="1">'SW Details'!CD6</f>
        <v>0</v>
      </c>
      <c r="M5" s="250">
        <f ca="1">'SW Details'!CE6</f>
        <v>0</v>
      </c>
      <c r="N5" s="250">
        <f ca="1">'SW Details'!CF6</f>
        <v>0</v>
      </c>
      <c r="O5" s="250">
        <f ca="1">'SW Details'!CG6</f>
        <v>0</v>
      </c>
      <c r="P5" s="250">
        <f ca="1">'SW Details'!CH6</f>
        <v>0</v>
      </c>
      <c r="Q5" s="250">
        <f ca="1">'SW Details'!CI6</f>
        <v>0</v>
      </c>
      <c r="R5" s="250">
        <f ca="1">'SW Details'!CJ6</f>
        <v>0</v>
      </c>
      <c r="S5" s="250">
        <f ca="1">'SW Details'!CK6</f>
        <v>0</v>
      </c>
      <c r="T5" s="364">
        <f ca="1">SUM(SummarySWYr1[[#This Row],[PROD]:[DEV]])</f>
        <v>0</v>
      </c>
      <c r="V5" s="270" t="str">
        <f>'SW Details'!CN6</f>
        <v xml:space="preserve">FinCAD </v>
      </c>
      <c r="W5" s="270">
        <f ca="1">'SW Details'!CO6</f>
        <v>0</v>
      </c>
      <c r="X5" s="270">
        <f ca="1">'SW Details'!CP6</f>
        <v>0</v>
      </c>
      <c r="Y5" s="365">
        <f ca="1">'SW Details'!CQ6</f>
        <v>0</v>
      </c>
      <c r="Z5" s="365">
        <f ca="1">'SW Details'!CR6</f>
        <v>0</v>
      </c>
      <c r="AA5" s="365">
        <f ca="1">'SW Details'!CS6</f>
        <v>0</v>
      </c>
      <c r="AB5" s="365">
        <f ca="1">'SW Details'!CT6</f>
        <v>0</v>
      </c>
      <c r="AC5" s="365">
        <f ca="1">'SW Details'!CU6</f>
        <v>0</v>
      </c>
      <c r="AD5" s="365">
        <f ca="1">'SW Details'!CV6</f>
        <v>0</v>
      </c>
      <c r="AE5" s="365">
        <f ca="1">'SW Details'!CW6</f>
        <v>0</v>
      </c>
      <c r="AF5" s="365">
        <f ca="1">'SW Details'!CX6</f>
        <v>0</v>
      </c>
      <c r="AG5" s="365">
        <f ca="1">'SW Details'!CY6</f>
        <v>0</v>
      </c>
      <c r="AH5" s="365">
        <f ca="1">'SW Details'!CZ6</f>
        <v>0</v>
      </c>
      <c r="AI5" s="365">
        <f ca="1">'SW Details'!DA6</f>
        <v>0</v>
      </c>
      <c r="AJ5" s="365">
        <f ca="1">'SW Details'!DB6</f>
        <v>0</v>
      </c>
      <c r="AK5" s="365">
        <f ca="1">'SW Details'!DC6</f>
        <v>0</v>
      </c>
      <c r="AL5" s="364">
        <f ca="1">SUM(SummarySWAfterYr1[[#This Row],[PROD]:[DEV]])</f>
        <v>0</v>
      </c>
    </row>
    <row r="6" spans="1:38">
      <c r="A6" s="281" t="s">
        <v>183</v>
      </c>
      <c r="B6" s="268">
        <v>0</v>
      </c>
      <c r="C6" s="233"/>
      <c r="D6" s="270" t="str">
        <f>'SW Details'!BV7</f>
        <v xml:space="preserve">IBM BG Web Client </v>
      </c>
      <c r="E6" s="270">
        <f>'SW Details'!BW7</f>
        <v>0</v>
      </c>
      <c r="F6" s="270">
        <f>'SW Details'!BX7</f>
        <v>0</v>
      </c>
      <c r="G6" s="250">
        <f ca="1">'SW Details'!BY7</f>
        <v>0</v>
      </c>
      <c r="H6" s="250">
        <f ca="1">'SW Details'!BZ7</f>
        <v>0</v>
      </c>
      <c r="I6" s="250">
        <f ca="1">'SW Details'!CA7</f>
        <v>0</v>
      </c>
      <c r="J6" s="250">
        <f ca="1">'SW Details'!CB7</f>
        <v>0</v>
      </c>
      <c r="K6" s="250">
        <f ca="1">'SW Details'!CC7</f>
        <v>0</v>
      </c>
      <c r="L6" s="250">
        <f ca="1">'SW Details'!CD7</f>
        <v>0</v>
      </c>
      <c r="M6" s="250">
        <f ca="1">'SW Details'!CE7</f>
        <v>0</v>
      </c>
      <c r="N6" s="250">
        <f ca="1">'SW Details'!CF7</f>
        <v>0</v>
      </c>
      <c r="O6" s="250">
        <f ca="1">'SW Details'!CG7</f>
        <v>0</v>
      </c>
      <c r="P6" s="250">
        <f ca="1">'SW Details'!CH7</f>
        <v>0</v>
      </c>
      <c r="Q6" s="250">
        <f ca="1">'SW Details'!CI7</f>
        <v>0</v>
      </c>
      <c r="R6" s="250">
        <f ca="1">'SW Details'!CJ7</f>
        <v>0</v>
      </c>
      <c r="S6" s="250">
        <f ca="1">'SW Details'!CK7</f>
        <v>0</v>
      </c>
      <c r="T6" s="364">
        <f ca="1">SUM(SummarySWYr1[[#This Row],[PROD]:[DEV]])</f>
        <v>0</v>
      </c>
      <c r="V6" s="270" t="str">
        <f>'SW Details'!CN7</f>
        <v xml:space="preserve">IBM BG Web Client </v>
      </c>
      <c r="W6" s="270">
        <f ca="1">'SW Details'!CO7</f>
        <v>0</v>
      </c>
      <c r="X6" s="270">
        <f ca="1">'SW Details'!CP7</f>
        <v>0</v>
      </c>
      <c r="Y6" s="365">
        <f ca="1">'SW Details'!CQ7</f>
        <v>0</v>
      </c>
      <c r="Z6" s="365">
        <f ca="1">'SW Details'!CR7</f>
        <v>0</v>
      </c>
      <c r="AA6" s="365">
        <f ca="1">'SW Details'!CS7</f>
        <v>0</v>
      </c>
      <c r="AB6" s="365">
        <f ca="1">'SW Details'!CT7</f>
        <v>0</v>
      </c>
      <c r="AC6" s="365">
        <f ca="1">'SW Details'!CU7</f>
        <v>0</v>
      </c>
      <c r="AD6" s="365">
        <f ca="1">'SW Details'!CV7</f>
        <v>0</v>
      </c>
      <c r="AE6" s="365">
        <f ca="1">'SW Details'!CW7</f>
        <v>0</v>
      </c>
      <c r="AF6" s="365">
        <f ca="1">'SW Details'!CX7</f>
        <v>0</v>
      </c>
      <c r="AG6" s="365">
        <f ca="1">'SW Details'!CY7</f>
        <v>0</v>
      </c>
      <c r="AH6" s="365">
        <f ca="1">'SW Details'!CZ7</f>
        <v>0</v>
      </c>
      <c r="AI6" s="365">
        <f ca="1">'SW Details'!DA7</f>
        <v>0</v>
      </c>
      <c r="AJ6" s="365">
        <f ca="1">'SW Details'!DB7</f>
        <v>0</v>
      </c>
      <c r="AK6" s="365">
        <f ca="1">'SW Details'!DC7</f>
        <v>0</v>
      </c>
      <c r="AL6" s="364">
        <f ca="1">SUM(SummarySWAfterYr1[[#This Row],[PROD]:[DEV]])</f>
        <v>0</v>
      </c>
    </row>
    <row r="7" spans="1:38">
      <c r="A7" s="281" t="s">
        <v>182</v>
      </c>
      <c r="B7" s="268">
        <v>0</v>
      </c>
      <c r="C7" s="233"/>
      <c r="D7" s="270" t="str">
        <f>'SW Details'!BV8</f>
        <v xml:space="preserve">IBM Biz Glossary </v>
      </c>
      <c r="E7" s="270">
        <f>'SW Details'!BW8</f>
        <v>0</v>
      </c>
      <c r="F7" s="270">
        <f>'SW Details'!BX8</f>
        <v>0</v>
      </c>
      <c r="G7" s="250">
        <f ca="1">'SW Details'!BY8</f>
        <v>0</v>
      </c>
      <c r="H7" s="250">
        <f ca="1">'SW Details'!BZ8</f>
        <v>0</v>
      </c>
      <c r="I7" s="250">
        <f ca="1">'SW Details'!CA8</f>
        <v>0</v>
      </c>
      <c r="J7" s="250">
        <f ca="1">'SW Details'!CB8</f>
        <v>0</v>
      </c>
      <c r="K7" s="250">
        <f ca="1">'SW Details'!CC8</f>
        <v>0</v>
      </c>
      <c r="L7" s="250">
        <f ca="1">'SW Details'!CD8</f>
        <v>0</v>
      </c>
      <c r="M7" s="250">
        <f ca="1">'SW Details'!CE8</f>
        <v>0</v>
      </c>
      <c r="N7" s="250">
        <f ca="1">'SW Details'!CF8</f>
        <v>0</v>
      </c>
      <c r="O7" s="250">
        <f ca="1">'SW Details'!CG8</f>
        <v>0</v>
      </c>
      <c r="P7" s="250">
        <f ca="1">'SW Details'!CH8</f>
        <v>0</v>
      </c>
      <c r="Q7" s="250">
        <f ca="1">'SW Details'!CI8</f>
        <v>0</v>
      </c>
      <c r="R7" s="250">
        <f ca="1">'SW Details'!CJ8</f>
        <v>0</v>
      </c>
      <c r="S7" s="250">
        <f ca="1">'SW Details'!CK8</f>
        <v>0</v>
      </c>
      <c r="T7" s="364">
        <f ca="1">SUM(SummarySWYr1[[#This Row],[PROD]:[DEV]])</f>
        <v>0</v>
      </c>
      <c r="V7" s="270" t="str">
        <f>'SW Details'!CN8</f>
        <v xml:space="preserve">IBM Biz Glossary </v>
      </c>
      <c r="W7" s="270">
        <f ca="1">'SW Details'!CO8</f>
        <v>0</v>
      </c>
      <c r="X7" s="270">
        <f ca="1">'SW Details'!CP8</f>
        <v>0</v>
      </c>
      <c r="Y7" s="365">
        <f ca="1">'SW Details'!CQ8</f>
        <v>0</v>
      </c>
      <c r="Z7" s="365">
        <f ca="1">'SW Details'!CR8</f>
        <v>0</v>
      </c>
      <c r="AA7" s="365">
        <f ca="1">'SW Details'!CS8</f>
        <v>0</v>
      </c>
      <c r="AB7" s="365">
        <f ca="1">'SW Details'!CT8</f>
        <v>0</v>
      </c>
      <c r="AC7" s="365">
        <f ca="1">'SW Details'!CU8</f>
        <v>0</v>
      </c>
      <c r="AD7" s="365">
        <f ca="1">'SW Details'!CV8</f>
        <v>0</v>
      </c>
      <c r="AE7" s="365">
        <f ca="1">'SW Details'!CW8</f>
        <v>0</v>
      </c>
      <c r="AF7" s="365">
        <f ca="1">'SW Details'!CX8</f>
        <v>0</v>
      </c>
      <c r="AG7" s="365">
        <f ca="1">'SW Details'!CY8</f>
        <v>0</v>
      </c>
      <c r="AH7" s="365">
        <f ca="1">'SW Details'!CZ8</f>
        <v>0</v>
      </c>
      <c r="AI7" s="365">
        <f ca="1">'SW Details'!DA8</f>
        <v>0</v>
      </c>
      <c r="AJ7" s="365">
        <f ca="1">'SW Details'!DB8</f>
        <v>0</v>
      </c>
      <c r="AK7" s="365">
        <f ca="1">'SW Details'!DC8</f>
        <v>0</v>
      </c>
      <c r="AL7" s="364">
        <f ca="1">SUM(SummarySWAfterYr1[[#This Row],[PROD]:[DEV]])</f>
        <v>0</v>
      </c>
    </row>
    <row r="8" spans="1:38">
      <c r="A8" s="281" t="s">
        <v>180</v>
      </c>
      <c r="B8" s="268">
        <v>0</v>
      </c>
      <c r="C8" s="233"/>
      <c r="D8" s="270" t="str">
        <f>'SW Details'!BV9</f>
        <v xml:space="preserve">IBM Datastage </v>
      </c>
      <c r="E8" s="270">
        <f>'SW Details'!BW9</f>
        <v>0</v>
      </c>
      <c r="F8" s="270">
        <f>'SW Details'!BX9</f>
        <v>0</v>
      </c>
      <c r="G8" s="250">
        <f ca="1">'SW Details'!BY9</f>
        <v>0</v>
      </c>
      <c r="H8" s="250">
        <f ca="1">'SW Details'!BZ9</f>
        <v>0</v>
      </c>
      <c r="I8" s="250">
        <f ca="1">'SW Details'!CA9</f>
        <v>0</v>
      </c>
      <c r="J8" s="250">
        <f ca="1">'SW Details'!CB9</f>
        <v>0</v>
      </c>
      <c r="K8" s="250">
        <f ca="1">'SW Details'!CC9</f>
        <v>0</v>
      </c>
      <c r="L8" s="250">
        <f ca="1">'SW Details'!CD9</f>
        <v>0</v>
      </c>
      <c r="M8" s="250">
        <f ca="1">'SW Details'!CE9</f>
        <v>0</v>
      </c>
      <c r="N8" s="250">
        <f ca="1">'SW Details'!CF9</f>
        <v>0</v>
      </c>
      <c r="O8" s="250">
        <f ca="1">'SW Details'!CG9</f>
        <v>0</v>
      </c>
      <c r="P8" s="250">
        <f ca="1">'SW Details'!CH9</f>
        <v>0</v>
      </c>
      <c r="Q8" s="250">
        <f ca="1">'SW Details'!CI9</f>
        <v>0</v>
      </c>
      <c r="R8" s="250">
        <f ca="1">'SW Details'!CJ9</f>
        <v>0</v>
      </c>
      <c r="S8" s="250">
        <f ca="1">'SW Details'!CK9</f>
        <v>0</v>
      </c>
      <c r="T8" s="364">
        <f ca="1">SUM(SummarySWYr1[[#This Row],[PROD]:[DEV]])</f>
        <v>0</v>
      </c>
      <c r="V8" s="270" t="str">
        <f>'SW Details'!CN9</f>
        <v xml:space="preserve">IBM Datastage </v>
      </c>
      <c r="W8" s="270">
        <f ca="1">'SW Details'!CO9</f>
        <v>0</v>
      </c>
      <c r="X8" s="270">
        <f ca="1">'SW Details'!CP9</f>
        <v>0</v>
      </c>
      <c r="Y8" s="365">
        <f ca="1">'SW Details'!CQ9</f>
        <v>0</v>
      </c>
      <c r="Z8" s="365">
        <f ca="1">'SW Details'!CR9</f>
        <v>0</v>
      </c>
      <c r="AA8" s="365">
        <f ca="1">'SW Details'!CS9</f>
        <v>0</v>
      </c>
      <c r="AB8" s="365">
        <f ca="1">'SW Details'!CT9</f>
        <v>0</v>
      </c>
      <c r="AC8" s="365">
        <f ca="1">'SW Details'!CU9</f>
        <v>0</v>
      </c>
      <c r="AD8" s="365">
        <f ca="1">'SW Details'!CV9</f>
        <v>0</v>
      </c>
      <c r="AE8" s="365">
        <f ca="1">'SW Details'!CW9</f>
        <v>0</v>
      </c>
      <c r="AF8" s="365">
        <f ca="1">'SW Details'!CX9</f>
        <v>0</v>
      </c>
      <c r="AG8" s="365">
        <f ca="1">'SW Details'!CY9</f>
        <v>0</v>
      </c>
      <c r="AH8" s="365">
        <f ca="1">'SW Details'!CZ9</f>
        <v>0</v>
      </c>
      <c r="AI8" s="365">
        <f ca="1">'SW Details'!DA9</f>
        <v>0</v>
      </c>
      <c r="AJ8" s="365">
        <f ca="1">'SW Details'!DB9</f>
        <v>0</v>
      </c>
      <c r="AK8" s="365">
        <f ca="1">'SW Details'!DC9</f>
        <v>0</v>
      </c>
      <c r="AL8" s="364">
        <f ca="1">SUM(SummarySWAfterYr1[[#This Row],[PROD]:[DEV]])</f>
        <v>0</v>
      </c>
    </row>
    <row r="9" spans="1:38">
      <c r="A9" s="281" t="s">
        <v>181</v>
      </c>
      <c r="B9" s="268">
        <v>0</v>
      </c>
      <c r="C9" s="233"/>
      <c r="D9" s="270" t="str">
        <f>'SW Details'!BV10</f>
        <v xml:space="preserve">IBM DS Designer </v>
      </c>
      <c r="E9" s="270">
        <f>'SW Details'!BW10</f>
        <v>0</v>
      </c>
      <c r="F9" s="270">
        <f>'SW Details'!BX10</f>
        <v>0</v>
      </c>
      <c r="G9" s="250">
        <f ca="1">'SW Details'!BY10</f>
        <v>0</v>
      </c>
      <c r="H9" s="250">
        <f ca="1">'SW Details'!BZ10</f>
        <v>0</v>
      </c>
      <c r="I9" s="250">
        <f ca="1">'SW Details'!CA10</f>
        <v>0</v>
      </c>
      <c r="J9" s="250">
        <f ca="1">'SW Details'!CB10</f>
        <v>0</v>
      </c>
      <c r="K9" s="250">
        <f ca="1">'SW Details'!CC10</f>
        <v>0</v>
      </c>
      <c r="L9" s="250">
        <f ca="1">'SW Details'!CD10</f>
        <v>0</v>
      </c>
      <c r="M9" s="250">
        <f ca="1">'SW Details'!CE10</f>
        <v>0</v>
      </c>
      <c r="N9" s="250">
        <f ca="1">'SW Details'!CF10</f>
        <v>0</v>
      </c>
      <c r="O9" s="250">
        <f ca="1">'SW Details'!CG10</f>
        <v>0</v>
      </c>
      <c r="P9" s="250">
        <f ca="1">'SW Details'!CH10</f>
        <v>0</v>
      </c>
      <c r="Q9" s="250">
        <f ca="1">'SW Details'!CI10</f>
        <v>0</v>
      </c>
      <c r="R9" s="250">
        <f ca="1">'SW Details'!CJ10</f>
        <v>0</v>
      </c>
      <c r="S9" s="250">
        <f ca="1">'SW Details'!CK10</f>
        <v>0</v>
      </c>
      <c r="T9" s="364">
        <f ca="1">SUM(SummarySWYr1[[#This Row],[PROD]:[DEV]])</f>
        <v>0</v>
      </c>
      <c r="V9" s="270" t="str">
        <f>'SW Details'!CN10</f>
        <v xml:space="preserve">IBM DS Designer </v>
      </c>
      <c r="W9" s="270">
        <f ca="1">'SW Details'!CO10</f>
        <v>0</v>
      </c>
      <c r="X9" s="270">
        <f ca="1">'SW Details'!CP10</f>
        <v>0</v>
      </c>
      <c r="Y9" s="365">
        <f ca="1">'SW Details'!CQ10</f>
        <v>0</v>
      </c>
      <c r="Z9" s="365">
        <f ca="1">'SW Details'!CR10</f>
        <v>0</v>
      </c>
      <c r="AA9" s="365">
        <f ca="1">'SW Details'!CS10</f>
        <v>0</v>
      </c>
      <c r="AB9" s="365">
        <f ca="1">'SW Details'!CT10</f>
        <v>0</v>
      </c>
      <c r="AC9" s="365">
        <f ca="1">'SW Details'!CU10</f>
        <v>0</v>
      </c>
      <c r="AD9" s="365">
        <f ca="1">'SW Details'!CV10</f>
        <v>0</v>
      </c>
      <c r="AE9" s="365">
        <f ca="1">'SW Details'!CW10</f>
        <v>0</v>
      </c>
      <c r="AF9" s="365">
        <f ca="1">'SW Details'!CX10</f>
        <v>0</v>
      </c>
      <c r="AG9" s="365">
        <f ca="1">'SW Details'!CY10</f>
        <v>0</v>
      </c>
      <c r="AH9" s="365">
        <f ca="1">'SW Details'!CZ10</f>
        <v>0</v>
      </c>
      <c r="AI9" s="365">
        <f ca="1">'SW Details'!DA10</f>
        <v>0</v>
      </c>
      <c r="AJ9" s="365">
        <f ca="1">'SW Details'!DB10</f>
        <v>0</v>
      </c>
      <c r="AK9" s="365">
        <f ca="1">'SW Details'!DC10</f>
        <v>0</v>
      </c>
      <c r="AL9" s="364">
        <f ca="1">SUM(SummarySWAfterYr1[[#This Row],[PROD]:[DEV]])</f>
        <v>0</v>
      </c>
    </row>
    <row r="10" spans="1:38">
      <c r="A10" s="281" t="s">
        <v>472</v>
      </c>
      <c r="B10" s="268">
        <v>0</v>
      </c>
      <c r="C10" s="233"/>
      <c r="D10" s="270" t="str">
        <f>'SW Details'!BV11</f>
        <v xml:space="preserve">IBM DS IS Dir </v>
      </c>
      <c r="E10" s="270">
        <f>'SW Details'!BW11</f>
        <v>0</v>
      </c>
      <c r="F10" s="270">
        <f>'SW Details'!BX11</f>
        <v>0</v>
      </c>
      <c r="G10" s="250">
        <f ca="1">'SW Details'!BY11</f>
        <v>0</v>
      </c>
      <c r="H10" s="250">
        <f ca="1">'SW Details'!BZ11</f>
        <v>0</v>
      </c>
      <c r="I10" s="250">
        <f ca="1">'SW Details'!CA11</f>
        <v>0</v>
      </c>
      <c r="J10" s="250">
        <f ca="1">'SW Details'!CB11</f>
        <v>0</v>
      </c>
      <c r="K10" s="250">
        <f ca="1">'SW Details'!CC11</f>
        <v>0</v>
      </c>
      <c r="L10" s="250">
        <f ca="1">'SW Details'!CD11</f>
        <v>0</v>
      </c>
      <c r="M10" s="250">
        <f ca="1">'SW Details'!CE11</f>
        <v>0</v>
      </c>
      <c r="N10" s="250">
        <f ca="1">'SW Details'!CF11</f>
        <v>0</v>
      </c>
      <c r="O10" s="250">
        <f ca="1">'SW Details'!CG11</f>
        <v>0</v>
      </c>
      <c r="P10" s="250">
        <f ca="1">'SW Details'!CH11</f>
        <v>0</v>
      </c>
      <c r="Q10" s="250">
        <f ca="1">'SW Details'!CI11</f>
        <v>0</v>
      </c>
      <c r="R10" s="250">
        <f ca="1">'SW Details'!CJ11</f>
        <v>0</v>
      </c>
      <c r="S10" s="250">
        <f ca="1">'SW Details'!CK11</f>
        <v>0</v>
      </c>
      <c r="T10" s="364">
        <f ca="1">SUM(SummarySWYr1[[#This Row],[PROD]:[DEV]])</f>
        <v>0</v>
      </c>
      <c r="V10" s="270" t="str">
        <f>'SW Details'!CN11</f>
        <v xml:space="preserve">IBM DS IS Dir </v>
      </c>
      <c r="W10" s="270">
        <f ca="1">'SW Details'!CO11</f>
        <v>0</v>
      </c>
      <c r="X10" s="270">
        <f ca="1">'SW Details'!CP11</f>
        <v>0</v>
      </c>
      <c r="Y10" s="365">
        <f ca="1">'SW Details'!CQ11</f>
        <v>0</v>
      </c>
      <c r="Z10" s="365">
        <f ca="1">'SW Details'!CR11</f>
        <v>0</v>
      </c>
      <c r="AA10" s="365">
        <f ca="1">'SW Details'!CS11</f>
        <v>0</v>
      </c>
      <c r="AB10" s="365">
        <f ca="1">'SW Details'!CT11</f>
        <v>0</v>
      </c>
      <c r="AC10" s="365">
        <f ca="1">'SW Details'!CU11</f>
        <v>0</v>
      </c>
      <c r="AD10" s="365">
        <f ca="1">'SW Details'!CV11</f>
        <v>0</v>
      </c>
      <c r="AE10" s="365">
        <f ca="1">'SW Details'!CW11</f>
        <v>0</v>
      </c>
      <c r="AF10" s="365">
        <f ca="1">'SW Details'!CX11</f>
        <v>0</v>
      </c>
      <c r="AG10" s="365">
        <f ca="1">'SW Details'!CY11</f>
        <v>0</v>
      </c>
      <c r="AH10" s="365">
        <f ca="1">'SW Details'!CZ11</f>
        <v>0</v>
      </c>
      <c r="AI10" s="365">
        <f ca="1">'SW Details'!DA11</f>
        <v>0</v>
      </c>
      <c r="AJ10" s="365">
        <f ca="1">'SW Details'!DB11</f>
        <v>0</v>
      </c>
      <c r="AK10" s="365">
        <f ca="1">'SW Details'!DC11</f>
        <v>0</v>
      </c>
      <c r="AL10" s="364">
        <f ca="1">SUM(SummarySWAfterYr1[[#This Row],[PROD]:[DEV]])</f>
        <v>0</v>
      </c>
    </row>
    <row r="11" spans="1:38">
      <c r="A11" s="281" t="s">
        <v>409</v>
      </c>
      <c r="B11" s="268">
        <v>0</v>
      </c>
      <c r="C11" s="233"/>
      <c r="D11" s="270" t="str">
        <f>'SW Details'!BV12</f>
        <v xml:space="preserve">IBM HTTP pSeries </v>
      </c>
      <c r="E11" s="270">
        <f>'SW Details'!BW12</f>
        <v>0</v>
      </c>
      <c r="F11" s="270">
        <f>'SW Details'!BX12</f>
        <v>0</v>
      </c>
      <c r="G11" s="250">
        <f ca="1">'SW Details'!BY12</f>
        <v>0</v>
      </c>
      <c r="H11" s="250">
        <f ca="1">'SW Details'!BZ12</f>
        <v>0</v>
      </c>
      <c r="I11" s="250">
        <f ca="1">'SW Details'!CA12</f>
        <v>0</v>
      </c>
      <c r="J11" s="250">
        <f ca="1">'SW Details'!CB12</f>
        <v>0</v>
      </c>
      <c r="K11" s="250">
        <f ca="1">'SW Details'!CC12</f>
        <v>0</v>
      </c>
      <c r="L11" s="250">
        <f ca="1">'SW Details'!CD12</f>
        <v>0</v>
      </c>
      <c r="M11" s="250">
        <f ca="1">'SW Details'!CE12</f>
        <v>0</v>
      </c>
      <c r="N11" s="250">
        <f ca="1">'SW Details'!CF12</f>
        <v>0</v>
      </c>
      <c r="O11" s="250">
        <f ca="1">'SW Details'!CG12</f>
        <v>0</v>
      </c>
      <c r="P11" s="250">
        <f ca="1">'SW Details'!CH12</f>
        <v>0</v>
      </c>
      <c r="Q11" s="250">
        <f ca="1">'SW Details'!CI12</f>
        <v>0</v>
      </c>
      <c r="R11" s="250">
        <f ca="1">'SW Details'!CJ12</f>
        <v>0</v>
      </c>
      <c r="S11" s="250">
        <f ca="1">'SW Details'!CK12</f>
        <v>0</v>
      </c>
      <c r="T11" s="364">
        <f ca="1">SUM(SummarySWYr1[[#This Row],[PROD]:[DEV]])</f>
        <v>0</v>
      </c>
      <c r="V11" s="270" t="str">
        <f>'SW Details'!CN12</f>
        <v xml:space="preserve">IBM HTTP pSeries </v>
      </c>
      <c r="W11" s="270">
        <f ca="1">'SW Details'!CO12</f>
        <v>0</v>
      </c>
      <c r="X11" s="270">
        <f ca="1">'SW Details'!CP12</f>
        <v>0</v>
      </c>
      <c r="Y11" s="365">
        <f ca="1">'SW Details'!CQ12</f>
        <v>0</v>
      </c>
      <c r="Z11" s="365">
        <f ca="1">'SW Details'!CR12</f>
        <v>0</v>
      </c>
      <c r="AA11" s="365">
        <f ca="1">'SW Details'!CS12</f>
        <v>0</v>
      </c>
      <c r="AB11" s="365">
        <f ca="1">'SW Details'!CT12</f>
        <v>0</v>
      </c>
      <c r="AC11" s="365">
        <f ca="1">'SW Details'!CU12</f>
        <v>0</v>
      </c>
      <c r="AD11" s="365">
        <f ca="1">'SW Details'!CV12</f>
        <v>0</v>
      </c>
      <c r="AE11" s="365">
        <f ca="1">'SW Details'!CW12</f>
        <v>0</v>
      </c>
      <c r="AF11" s="365">
        <f ca="1">'SW Details'!CX12</f>
        <v>0</v>
      </c>
      <c r="AG11" s="365">
        <f ca="1">'SW Details'!CY12</f>
        <v>0</v>
      </c>
      <c r="AH11" s="365">
        <f ca="1">'SW Details'!CZ12</f>
        <v>0</v>
      </c>
      <c r="AI11" s="365">
        <f ca="1">'SW Details'!DA12</f>
        <v>0</v>
      </c>
      <c r="AJ11" s="365">
        <f ca="1">'SW Details'!DB12</f>
        <v>0</v>
      </c>
      <c r="AK11" s="365">
        <f ca="1">'SW Details'!DC12</f>
        <v>0</v>
      </c>
      <c r="AL11" s="364">
        <f ca="1">SUM(SummarySWAfterYr1[[#This Row],[PROD]:[DEV]])</f>
        <v>0</v>
      </c>
    </row>
    <row r="12" spans="1:38">
      <c r="A12" s="281" t="s">
        <v>410</v>
      </c>
      <c r="B12" s="268">
        <v>0</v>
      </c>
      <c r="C12" s="233"/>
      <c r="D12" s="270" t="str">
        <f>'SW Details'!BV13</f>
        <v xml:space="preserve">IBM HTTP x86 </v>
      </c>
      <c r="E12" s="270">
        <f>'SW Details'!BW13</f>
        <v>0</v>
      </c>
      <c r="F12" s="270">
        <f>'SW Details'!BX13</f>
        <v>0</v>
      </c>
      <c r="G12" s="250">
        <f ca="1">'SW Details'!BY13</f>
        <v>0</v>
      </c>
      <c r="H12" s="250">
        <f ca="1">'SW Details'!BZ13</f>
        <v>0</v>
      </c>
      <c r="I12" s="250">
        <f ca="1">'SW Details'!CA13</f>
        <v>0</v>
      </c>
      <c r="J12" s="250">
        <f ca="1">'SW Details'!CB13</f>
        <v>0</v>
      </c>
      <c r="K12" s="250">
        <f ca="1">'SW Details'!CC13</f>
        <v>0</v>
      </c>
      <c r="L12" s="250">
        <f ca="1">'SW Details'!CD13</f>
        <v>0</v>
      </c>
      <c r="M12" s="250">
        <f ca="1">'SW Details'!CE13</f>
        <v>0</v>
      </c>
      <c r="N12" s="250">
        <f ca="1">'SW Details'!CF13</f>
        <v>0</v>
      </c>
      <c r="O12" s="250">
        <f ca="1">'SW Details'!CG13</f>
        <v>0</v>
      </c>
      <c r="P12" s="250">
        <f ca="1">'SW Details'!CH13</f>
        <v>0</v>
      </c>
      <c r="Q12" s="250">
        <f ca="1">'SW Details'!CI13</f>
        <v>0</v>
      </c>
      <c r="R12" s="250">
        <f ca="1">'SW Details'!CJ13</f>
        <v>0</v>
      </c>
      <c r="S12" s="250">
        <f ca="1">'SW Details'!CK13</f>
        <v>0</v>
      </c>
      <c r="T12" s="364">
        <f ca="1">SUM(SummarySWYr1[[#This Row],[PROD]:[DEV]])</f>
        <v>0</v>
      </c>
      <c r="V12" s="270" t="str">
        <f>'SW Details'!CN13</f>
        <v xml:space="preserve">IBM HTTP x86 </v>
      </c>
      <c r="W12" s="270">
        <f ca="1">'SW Details'!CO13</f>
        <v>0</v>
      </c>
      <c r="X12" s="270">
        <f ca="1">'SW Details'!CP13</f>
        <v>0</v>
      </c>
      <c r="Y12" s="365">
        <f ca="1">'SW Details'!CQ13</f>
        <v>0</v>
      </c>
      <c r="Z12" s="365">
        <f ca="1">'SW Details'!CR13</f>
        <v>0</v>
      </c>
      <c r="AA12" s="365">
        <f ca="1">'SW Details'!CS13</f>
        <v>0</v>
      </c>
      <c r="AB12" s="365">
        <f ca="1">'SW Details'!CT13</f>
        <v>0</v>
      </c>
      <c r="AC12" s="365">
        <f ca="1">'SW Details'!CU13</f>
        <v>0</v>
      </c>
      <c r="AD12" s="365">
        <f ca="1">'SW Details'!CV13</f>
        <v>0</v>
      </c>
      <c r="AE12" s="365">
        <f ca="1">'SW Details'!CW13</f>
        <v>0</v>
      </c>
      <c r="AF12" s="365">
        <f ca="1">'SW Details'!CX13</f>
        <v>0</v>
      </c>
      <c r="AG12" s="365">
        <f ca="1">'SW Details'!CY13</f>
        <v>0</v>
      </c>
      <c r="AH12" s="365">
        <f ca="1">'SW Details'!CZ13</f>
        <v>0</v>
      </c>
      <c r="AI12" s="365">
        <f ca="1">'SW Details'!DA13</f>
        <v>0</v>
      </c>
      <c r="AJ12" s="365">
        <f ca="1">'SW Details'!DB13</f>
        <v>0</v>
      </c>
      <c r="AK12" s="365">
        <f ca="1">'SW Details'!DC13</f>
        <v>0</v>
      </c>
      <c r="AL12" s="364">
        <f ca="1">SUM(SummarySWAfterYr1[[#This Row],[PROD]:[DEV]])</f>
        <v>0</v>
      </c>
    </row>
    <row r="13" spans="1:38">
      <c r="A13" s="281" t="s">
        <v>553</v>
      </c>
      <c r="B13" s="268">
        <v>0</v>
      </c>
      <c r="C13" s="233"/>
      <c r="D13" s="270" t="str">
        <f>'SW Details'!BV14</f>
        <v xml:space="preserve">IBM Tivoli DS </v>
      </c>
      <c r="E13" s="270">
        <f>'SW Details'!BW14</f>
        <v>0</v>
      </c>
      <c r="F13" s="270">
        <f>'SW Details'!BX14</f>
        <v>0</v>
      </c>
      <c r="G13" s="250">
        <f ca="1">'SW Details'!BY14</f>
        <v>0</v>
      </c>
      <c r="H13" s="250">
        <f ca="1">'SW Details'!BZ14</f>
        <v>0</v>
      </c>
      <c r="I13" s="250">
        <f ca="1">'SW Details'!CA14</f>
        <v>0</v>
      </c>
      <c r="J13" s="250">
        <f ca="1">'SW Details'!CB14</f>
        <v>0</v>
      </c>
      <c r="K13" s="250">
        <f ca="1">'SW Details'!CC14</f>
        <v>0</v>
      </c>
      <c r="L13" s="250">
        <f ca="1">'SW Details'!CD14</f>
        <v>0</v>
      </c>
      <c r="M13" s="250">
        <f ca="1">'SW Details'!CE14</f>
        <v>0</v>
      </c>
      <c r="N13" s="250">
        <f ca="1">'SW Details'!CF14</f>
        <v>0</v>
      </c>
      <c r="O13" s="250">
        <f ca="1">'SW Details'!CG14</f>
        <v>0</v>
      </c>
      <c r="P13" s="250">
        <f ca="1">'SW Details'!CH14</f>
        <v>0</v>
      </c>
      <c r="Q13" s="250">
        <f ca="1">'SW Details'!CI14</f>
        <v>0</v>
      </c>
      <c r="R13" s="250">
        <f ca="1">'SW Details'!CJ14</f>
        <v>0</v>
      </c>
      <c r="S13" s="250">
        <f ca="1">'SW Details'!CK14</f>
        <v>0</v>
      </c>
      <c r="T13" s="364">
        <f ca="1">SUM(SummarySWYr1[[#This Row],[PROD]:[DEV]])</f>
        <v>0</v>
      </c>
      <c r="V13" s="270" t="str">
        <f>'SW Details'!CN14</f>
        <v xml:space="preserve">IBM Tivoli DS </v>
      </c>
      <c r="W13" s="270">
        <f ca="1">'SW Details'!CO14</f>
        <v>0</v>
      </c>
      <c r="X13" s="270">
        <f ca="1">'SW Details'!CP14</f>
        <v>0</v>
      </c>
      <c r="Y13" s="365">
        <f ca="1">'SW Details'!CQ14</f>
        <v>0</v>
      </c>
      <c r="Z13" s="365">
        <f ca="1">'SW Details'!CR14</f>
        <v>0</v>
      </c>
      <c r="AA13" s="365">
        <f ca="1">'SW Details'!CS14</f>
        <v>0</v>
      </c>
      <c r="AB13" s="365">
        <f ca="1">'SW Details'!CT14</f>
        <v>0</v>
      </c>
      <c r="AC13" s="365">
        <f ca="1">'SW Details'!CU14</f>
        <v>0</v>
      </c>
      <c r="AD13" s="365">
        <f ca="1">'SW Details'!CV14</f>
        <v>0</v>
      </c>
      <c r="AE13" s="365">
        <f ca="1">'SW Details'!CW14</f>
        <v>0</v>
      </c>
      <c r="AF13" s="365">
        <f ca="1">'SW Details'!CX14</f>
        <v>0</v>
      </c>
      <c r="AG13" s="365">
        <f ca="1">'SW Details'!CY14</f>
        <v>0</v>
      </c>
      <c r="AH13" s="365">
        <f ca="1">'SW Details'!CZ14</f>
        <v>0</v>
      </c>
      <c r="AI13" s="365">
        <f ca="1">'SW Details'!DA14</f>
        <v>0</v>
      </c>
      <c r="AJ13" s="365">
        <f ca="1">'SW Details'!DB14</f>
        <v>0</v>
      </c>
      <c r="AK13" s="365">
        <f ca="1">'SW Details'!DC14</f>
        <v>0</v>
      </c>
      <c r="AL13" s="364">
        <f ca="1">SUM(SummarySWAfterYr1[[#This Row],[PROD]:[DEV]])</f>
        <v>0</v>
      </c>
    </row>
    <row r="14" spans="1:38">
      <c r="A14" s="281" t="s">
        <v>179</v>
      </c>
      <c r="B14" s="268">
        <v>0</v>
      </c>
      <c r="C14" s="233"/>
      <c r="D14" s="270" t="str">
        <f>'SW Details'!BV15</f>
        <v xml:space="preserve">IBM WAS pSeries </v>
      </c>
      <c r="E14" s="270">
        <f>'SW Details'!BW15</f>
        <v>0</v>
      </c>
      <c r="F14" s="270">
        <f>'SW Details'!BX15</f>
        <v>0</v>
      </c>
      <c r="G14" s="250">
        <f ca="1">'SW Details'!BY15</f>
        <v>0</v>
      </c>
      <c r="H14" s="250">
        <f ca="1">'SW Details'!BZ15</f>
        <v>0</v>
      </c>
      <c r="I14" s="250">
        <f ca="1">'SW Details'!CA15</f>
        <v>0</v>
      </c>
      <c r="J14" s="250">
        <f ca="1">'SW Details'!CB15</f>
        <v>0</v>
      </c>
      <c r="K14" s="250">
        <f ca="1">'SW Details'!CC15</f>
        <v>0</v>
      </c>
      <c r="L14" s="250">
        <f ca="1">'SW Details'!CD15</f>
        <v>0</v>
      </c>
      <c r="M14" s="250">
        <f ca="1">'SW Details'!CE15</f>
        <v>0</v>
      </c>
      <c r="N14" s="250">
        <f ca="1">'SW Details'!CF15</f>
        <v>0</v>
      </c>
      <c r="O14" s="250">
        <f ca="1">'SW Details'!CG15</f>
        <v>0</v>
      </c>
      <c r="P14" s="250">
        <f ca="1">'SW Details'!CH15</f>
        <v>0</v>
      </c>
      <c r="Q14" s="250">
        <f ca="1">'SW Details'!CI15</f>
        <v>0</v>
      </c>
      <c r="R14" s="250">
        <f ca="1">'SW Details'!CJ15</f>
        <v>0</v>
      </c>
      <c r="S14" s="250">
        <f ca="1">'SW Details'!CK15</f>
        <v>0</v>
      </c>
      <c r="T14" s="364">
        <f ca="1">SUM(SummarySWYr1[[#This Row],[PROD]:[DEV]])</f>
        <v>0</v>
      </c>
      <c r="V14" s="270" t="str">
        <f>'SW Details'!CN15</f>
        <v xml:space="preserve">IBM WAS pSeries </v>
      </c>
      <c r="W14" s="270">
        <f ca="1">'SW Details'!CO15</f>
        <v>0</v>
      </c>
      <c r="X14" s="270">
        <f ca="1">'SW Details'!CP15</f>
        <v>0</v>
      </c>
      <c r="Y14" s="365">
        <f ca="1">'SW Details'!CQ15</f>
        <v>0</v>
      </c>
      <c r="Z14" s="365">
        <f ca="1">'SW Details'!CR15</f>
        <v>0</v>
      </c>
      <c r="AA14" s="365">
        <f ca="1">'SW Details'!CS15</f>
        <v>0</v>
      </c>
      <c r="AB14" s="365">
        <f ca="1">'SW Details'!CT15</f>
        <v>0</v>
      </c>
      <c r="AC14" s="365">
        <f ca="1">'SW Details'!CU15</f>
        <v>0</v>
      </c>
      <c r="AD14" s="365">
        <f ca="1">'SW Details'!CV15</f>
        <v>0</v>
      </c>
      <c r="AE14" s="365">
        <f ca="1">'SW Details'!CW15</f>
        <v>0</v>
      </c>
      <c r="AF14" s="365">
        <f ca="1">'SW Details'!CX15</f>
        <v>0</v>
      </c>
      <c r="AG14" s="365">
        <f ca="1">'SW Details'!CY15</f>
        <v>0</v>
      </c>
      <c r="AH14" s="365">
        <f ca="1">'SW Details'!CZ15</f>
        <v>0</v>
      </c>
      <c r="AI14" s="365">
        <f ca="1">'SW Details'!DA15</f>
        <v>0</v>
      </c>
      <c r="AJ14" s="365">
        <f ca="1">'SW Details'!DB15</f>
        <v>0</v>
      </c>
      <c r="AK14" s="365">
        <f ca="1">'SW Details'!DC15</f>
        <v>0</v>
      </c>
      <c r="AL14" s="364">
        <f ca="1">SUM(SummarySWAfterYr1[[#This Row],[PROD]:[DEV]])</f>
        <v>0</v>
      </c>
    </row>
    <row r="15" spans="1:38">
      <c r="A15" s="281" t="s">
        <v>176</v>
      </c>
      <c r="B15" s="268">
        <v>984480</v>
      </c>
      <c r="C15" s="233"/>
      <c r="D15" s="270" t="str">
        <f>'SW Details'!BV16</f>
        <v xml:space="preserve">IBM WAS x86 </v>
      </c>
      <c r="E15" s="270">
        <f>'SW Details'!BW16</f>
        <v>0</v>
      </c>
      <c r="F15" s="270">
        <f>'SW Details'!BX16</f>
        <v>0</v>
      </c>
      <c r="G15" s="250">
        <f ca="1">'SW Details'!BY16</f>
        <v>246120</v>
      </c>
      <c r="H15" s="250">
        <f ca="1">'SW Details'!BZ16</f>
        <v>246120</v>
      </c>
      <c r="I15" s="250">
        <f ca="1">'SW Details'!CA16</f>
        <v>0</v>
      </c>
      <c r="J15" s="250">
        <f ca="1">'SW Details'!CB16</f>
        <v>0</v>
      </c>
      <c r="K15" s="250">
        <f ca="1">'SW Details'!CC16</f>
        <v>0</v>
      </c>
      <c r="L15" s="250">
        <f ca="1">'SW Details'!CD16</f>
        <v>0</v>
      </c>
      <c r="M15" s="250">
        <f ca="1">'SW Details'!CE16</f>
        <v>147672</v>
      </c>
      <c r="N15" s="250">
        <f ca="1">'SW Details'!CF16</f>
        <v>147672</v>
      </c>
      <c r="O15" s="250">
        <f ca="1">'SW Details'!CG16</f>
        <v>98448</v>
      </c>
      <c r="P15" s="250">
        <f ca="1">'SW Details'!CH16</f>
        <v>0</v>
      </c>
      <c r="Q15" s="250">
        <f ca="1">'SW Details'!CI16</f>
        <v>98448</v>
      </c>
      <c r="R15" s="250">
        <f ca="1">'SW Details'!CJ16</f>
        <v>0</v>
      </c>
      <c r="S15" s="250">
        <f ca="1">'SW Details'!CK16</f>
        <v>0</v>
      </c>
      <c r="T15" s="364">
        <f ca="1">SUM(SummarySWYr1[[#This Row],[PROD]:[DEV]])</f>
        <v>984480</v>
      </c>
      <c r="V15" s="270" t="str">
        <f>'SW Details'!CN16</f>
        <v xml:space="preserve">IBM WAS x86 </v>
      </c>
      <c r="W15" s="270">
        <f ca="1">'SW Details'!CO16</f>
        <v>246120</v>
      </c>
      <c r="X15" s="270">
        <f ca="1">'SW Details'!CP16</f>
        <v>246120</v>
      </c>
      <c r="Y15" s="365">
        <f ca="1">'SW Details'!CQ16</f>
        <v>98280</v>
      </c>
      <c r="Z15" s="365">
        <f ca="1">'SW Details'!CR16</f>
        <v>98280</v>
      </c>
      <c r="AA15" s="365">
        <f ca="1">'SW Details'!CS16</f>
        <v>0</v>
      </c>
      <c r="AB15" s="365">
        <f ca="1">'SW Details'!CT16</f>
        <v>0</v>
      </c>
      <c r="AC15" s="365">
        <f ca="1">'SW Details'!CU16</f>
        <v>0</v>
      </c>
      <c r="AD15" s="365">
        <f ca="1">'SW Details'!CV16</f>
        <v>0</v>
      </c>
      <c r="AE15" s="365">
        <f ca="1">'SW Details'!CW16</f>
        <v>58968</v>
      </c>
      <c r="AF15" s="365">
        <f ca="1">'SW Details'!CX16</f>
        <v>58968</v>
      </c>
      <c r="AG15" s="365">
        <f ca="1">'SW Details'!CY16</f>
        <v>39312</v>
      </c>
      <c r="AH15" s="365">
        <f ca="1">'SW Details'!CZ16</f>
        <v>0</v>
      </c>
      <c r="AI15" s="365">
        <f ca="1">'SW Details'!DA16</f>
        <v>39312</v>
      </c>
      <c r="AJ15" s="365">
        <f ca="1">'SW Details'!DB16</f>
        <v>0</v>
      </c>
      <c r="AK15" s="365">
        <f ca="1">'SW Details'!DC16</f>
        <v>0</v>
      </c>
      <c r="AL15" s="364">
        <f ca="1">SUM(SummarySWAfterYr1[[#This Row],[PROD]:[DEV]])</f>
        <v>393120</v>
      </c>
    </row>
    <row r="16" spans="1:38">
      <c r="A16" s="281" t="s">
        <v>556</v>
      </c>
      <c r="B16" s="268">
        <v>0</v>
      </c>
      <c r="C16" s="233"/>
      <c r="D16" s="270" t="str">
        <f>'SW Details'!BV17</f>
        <v xml:space="preserve">IBM WBM pSeries </v>
      </c>
      <c r="E16" s="270">
        <f>'SW Details'!BW17</f>
        <v>0</v>
      </c>
      <c r="F16" s="270">
        <f>'SW Details'!BX17</f>
        <v>0</v>
      </c>
      <c r="G16" s="250">
        <f ca="1">'SW Details'!BY17</f>
        <v>0</v>
      </c>
      <c r="H16" s="250">
        <f ca="1">'SW Details'!BZ17</f>
        <v>0</v>
      </c>
      <c r="I16" s="250">
        <f ca="1">'SW Details'!CA17</f>
        <v>0</v>
      </c>
      <c r="J16" s="250">
        <f ca="1">'SW Details'!CB17</f>
        <v>0</v>
      </c>
      <c r="K16" s="250">
        <f ca="1">'SW Details'!CC17</f>
        <v>0</v>
      </c>
      <c r="L16" s="250">
        <f ca="1">'SW Details'!CD17</f>
        <v>0</v>
      </c>
      <c r="M16" s="250">
        <f ca="1">'SW Details'!CE17</f>
        <v>0</v>
      </c>
      <c r="N16" s="250">
        <f ca="1">'SW Details'!CF17</f>
        <v>0</v>
      </c>
      <c r="O16" s="250">
        <f ca="1">'SW Details'!CG17</f>
        <v>0</v>
      </c>
      <c r="P16" s="250">
        <f ca="1">'SW Details'!CH17</f>
        <v>0</v>
      </c>
      <c r="Q16" s="250">
        <f ca="1">'SW Details'!CI17</f>
        <v>0</v>
      </c>
      <c r="R16" s="250">
        <f ca="1">'SW Details'!CJ17</f>
        <v>0</v>
      </c>
      <c r="S16" s="250">
        <f ca="1">'SW Details'!CK17</f>
        <v>0</v>
      </c>
      <c r="T16" s="364">
        <f ca="1">SUM(SummarySWYr1[[#This Row],[PROD]:[DEV]])</f>
        <v>0</v>
      </c>
      <c r="V16" s="270" t="str">
        <f>'SW Details'!CN17</f>
        <v xml:space="preserve">IBM WBM pSeries </v>
      </c>
      <c r="W16" s="270">
        <f ca="1">'SW Details'!CO17</f>
        <v>0</v>
      </c>
      <c r="X16" s="270">
        <f ca="1">'SW Details'!CP17</f>
        <v>0</v>
      </c>
      <c r="Y16" s="365">
        <f ca="1">'SW Details'!CQ17</f>
        <v>0</v>
      </c>
      <c r="Z16" s="365">
        <f ca="1">'SW Details'!CR17</f>
        <v>0</v>
      </c>
      <c r="AA16" s="365">
        <f ca="1">'SW Details'!CS17</f>
        <v>0</v>
      </c>
      <c r="AB16" s="365">
        <f ca="1">'SW Details'!CT17</f>
        <v>0</v>
      </c>
      <c r="AC16" s="365">
        <f ca="1">'SW Details'!CU17</f>
        <v>0</v>
      </c>
      <c r="AD16" s="365">
        <f ca="1">'SW Details'!CV17</f>
        <v>0</v>
      </c>
      <c r="AE16" s="365">
        <f ca="1">'SW Details'!CW17</f>
        <v>0</v>
      </c>
      <c r="AF16" s="365">
        <f ca="1">'SW Details'!CX17</f>
        <v>0</v>
      </c>
      <c r="AG16" s="365">
        <f ca="1">'SW Details'!CY17</f>
        <v>0</v>
      </c>
      <c r="AH16" s="365">
        <f ca="1">'SW Details'!CZ17</f>
        <v>0</v>
      </c>
      <c r="AI16" s="365">
        <f ca="1">'SW Details'!DA17</f>
        <v>0</v>
      </c>
      <c r="AJ16" s="365">
        <f ca="1">'SW Details'!DB17</f>
        <v>0</v>
      </c>
      <c r="AK16" s="365">
        <f ca="1">'SW Details'!DC17</f>
        <v>0</v>
      </c>
      <c r="AL16" s="364">
        <f ca="1">SUM(SummarySWAfterYr1[[#This Row],[PROD]:[DEV]])</f>
        <v>0</v>
      </c>
    </row>
    <row r="17" spans="1:38">
      <c r="A17" s="281" t="s">
        <v>554</v>
      </c>
      <c r="B17" s="268">
        <v>0</v>
      </c>
      <c r="C17" s="233"/>
      <c r="D17" s="270" t="str">
        <f>'SW Details'!BV18</f>
        <v xml:space="preserve">IBM WMQ x86 </v>
      </c>
      <c r="E17" s="270">
        <f>'SW Details'!BW18</f>
        <v>0</v>
      </c>
      <c r="F17" s="270">
        <f>'SW Details'!BX18</f>
        <v>0</v>
      </c>
      <c r="G17" s="250">
        <f ca="1">'SW Details'!BY18</f>
        <v>0</v>
      </c>
      <c r="H17" s="250">
        <f ca="1">'SW Details'!BZ18</f>
        <v>0</v>
      </c>
      <c r="I17" s="250">
        <f ca="1">'SW Details'!CA18</f>
        <v>0</v>
      </c>
      <c r="J17" s="250">
        <f ca="1">'SW Details'!CB18</f>
        <v>0</v>
      </c>
      <c r="K17" s="250">
        <f ca="1">'SW Details'!CC18</f>
        <v>0</v>
      </c>
      <c r="L17" s="250">
        <f ca="1">'SW Details'!CD18</f>
        <v>0</v>
      </c>
      <c r="M17" s="250">
        <f ca="1">'SW Details'!CE18</f>
        <v>0</v>
      </c>
      <c r="N17" s="250">
        <f ca="1">'SW Details'!CF18</f>
        <v>0</v>
      </c>
      <c r="O17" s="250">
        <f ca="1">'SW Details'!CG18</f>
        <v>0</v>
      </c>
      <c r="P17" s="250">
        <f ca="1">'SW Details'!CH18</f>
        <v>0</v>
      </c>
      <c r="Q17" s="250">
        <f ca="1">'SW Details'!CI18</f>
        <v>0</v>
      </c>
      <c r="R17" s="250">
        <f ca="1">'SW Details'!CJ18</f>
        <v>0</v>
      </c>
      <c r="S17" s="250">
        <f ca="1">'SW Details'!CK18</f>
        <v>0</v>
      </c>
      <c r="T17" s="364">
        <f ca="1">SUM(SummarySWYr1[[#This Row],[PROD]:[DEV]])</f>
        <v>0</v>
      </c>
      <c r="V17" s="270" t="str">
        <f>'SW Details'!CN18</f>
        <v xml:space="preserve">IBM WMQ x86 </v>
      </c>
      <c r="W17" s="270">
        <f ca="1">'SW Details'!CO18</f>
        <v>0</v>
      </c>
      <c r="X17" s="270">
        <f ca="1">'SW Details'!CP18</f>
        <v>0</v>
      </c>
      <c r="Y17" s="365">
        <f ca="1">'SW Details'!CQ18</f>
        <v>0</v>
      </c>
      <c r="Z17" s="365">
        <f ca="1">'SW Details'!CR18</f>
        <v>0</v>
      </c>
      <c r="AA17" s="365">
        <f ca="1">'SW Details'!CS18</f>
        <v>0</v>
      </c>
      <c r="AB17" s="365">
        <f ca="1">'SW Details'!CT18</f>
        <v>0</v>
      </c>
      <c r="AC17" s="365">
        <f ca="1">'SW Details'!CU18</f>
        <v>0</v>
      </c>
      <c r="AD17" s="365">
        <f ca="1">'SW Details'!CV18</f>
        <v>0</v>
      </c>
      <c r="AE17" s="365">
        <f ca="1">'SW Details'!CW18</f>
        <v>0</v>
      </c>
      <c r="AF17" s="365">
        <f ca="1">'SW Details'!CX18</f>
        <v>0</v>
      </c>
      <c r="AG17" s="365">
        <f ca="1">'SW Details'!CY18</f>
        <v>0</v>
      </c>
      <c r="AH17" s="365">
        <f ca="1">'SW Details'!CZ18</f>
        <v>0</v>
      </c>
      <c r="AI17" s="365">
        <f ca="1">'SW Details'!DA18</f>
        <v>0</v>
      </c>
      <c r="AJ17" s="365">
        <f ca="1">'SW Details'!DB18</f>
        <v>0</v>
      </c>
      <c r="AK17" s="365">
        <f ca="1">'SW Details'!DC18</f>
        <v>0</v>
      </c>
      <c r="AL17" s="364">
        <f ca="1">SUM(SummarySWAfterYr1[[#This Row],[PROD]:[DEV]])</f>
        <v>0</v>
      </c>
    </row>
    <row r="18" spans="1:38">
      <c r="A18" s="281" t="s">
        <v>178</v>
      </c>
      <c r="B18" s="268">
        <v>0</v>
      </c>
      <c r="C18" s="233"/>
      <c r="D18" s="270" t="str">
        <f>'SW Details'!BV19</f>
        <v xml:space="preserve">IBM WPS pSeries </v>
      </c>
      <c r="E18" s="270">
        <f>'SW Details'!BW19</f>
        <v>0</v>
      </c>
      <c r="F18" s="270">
        <f>'SW Details'!BX19</f>
        <v>0</v>
      </c>
      <c r="G18" s="250">
        <f ca="1">'SW Details'!BY19</f>
        <v>0</v>
      </c>
      <c r="H18" s="250">
        <f ca="1">'SW Details'!BZ19</f>
        <v>0</v>
      </c>
      <c r="I18" s="250">
        <f ca="1">'SW Details'!CA19</f>
        <v>0</v>
      </c>
      <c r="J18" s="250">
        <f ca="1">'SW Details'!CB19</f>
        <v>0</v>
      </c>
      <c r="K18" s="250">
        <f ca="1">'SW Details'!CC19</f>
        <v>0</v>
      </c>
      <c r="L18" s="250">
        <f ca="1">'SW Details'!CD19</f>
        <v>0</v>
      </c>
      <c r="M18" s="250">
        <f ca="1">'SW Details'!CE19</f>
        <v>0</v>
      </c>
      <c r="N18" s="250">
        <f ca="1">'SW Details'!CF19</f>
        <v>0</v>
      </c>
      <c r="O18" s="250">
        <f ca="1">'SW Details'!CG19</f>
        <v>0</v>
      </c>
      <c r="P18" s="250">
        <f ca="1">'SW Details'!CH19</f>
        <v>0</v>
      </c>
      <c r="Q18" s="250">
        <f ca="1">'SW Details'!CI19</f>
        <v>0</v>
      </c>
      <c r="R18" s="250">
        <f ca="1">'SW Details'!CJ19</f>
        <v>0</v>
      </c>
      <c r="S18" s="250">
        <f ca="1">'SW Details'!CK19</f>
        <v>0</v>
      </c>
      <c r="T18" s="364">
        <f ca="1">SUM(SummarySWYr1[[#This Row],[PROD]:[DEV]])</f>
        <v>0</v>
      </c>
      <c r="V18" s="270" t="str">
        <f>'SW Details'!CN19</f>
        <v xml:space="preserve">IBM WPS pSeries </v>
      </c>
      <c r="W18" s="270">
        <f ca="1">'SW Details'!CO19</f>
        <v>0</v>
      </c>
      <c r="X18" s="270">
        <f ca="1">'SW Details'!CP19</f>
        <v>0</v>
      </c>
      <c r="Y18" s="365">
        <f ca="1">'SW Details'!CQ19</f>
        <v>0</v>
      </c>
      <c r="Z18" s="365">
        <f ca="1">'SW Details'!CR19</f>
        <v>0</v>
      </c>
      <c r="AA18" s="365">
        <f ca="1">'SW Details'!CS19</f>
        <v>0</v>
      </c>
      <c r="AB18" s="365">
        <f ca="1">'SW Details'!CT19</f>
        <v>0</v>
      </c>
      <c r="AC18" s="365">
        <f ca="1">'SW Details'!CU19</f>
        <v>0</v>
      </c>
      <c r="AD18" s="365">
        <f ca="1">'SW Details'!CV19</f>
        <v>0</v>
      </c>
      <c r="AE18" s="365">
        <f ca="1">'SW Details'!CW19</f>
        <v>0</v>
      </c>
      <c r="AF18" s="365">
        <f ca="1">'SW Details'!CX19</f>
        <v>0</v>
      </c>
      <c r="AG18" s="365">
        <f ca="1">'SW Details'!CY19</f>
        <v>0</v>
      </c>
      <c r="AH18" s="365">
        <f ca="1">'SW Details'!CZ19</f>
        <v>0</v>
      </c>
      <c r="AI18" s="365">
        <f ca="1">'SW Details'!DA19</f>
        <v>0</v>
      </c>
      <c r="AJ18" s="365">
        <f ca="1">'SW Details'!DB19</f>
        <v>0</v>
      </c>
      <c r="AK18" s="365">
        <f ca="1">'SW Details'!DC19</f>
        <v>0</v>
      </c>
      <c r="AL18" s="364">
        <f ca="1">SUM(SummarySWAfterYr1[[#This Row],[PROD]:[DEV]])</f>
        <v>0</v>
      </c>
    </row>
    <row r="19" spans="1:38">
      <c r="A19" s="281" t="s">
        <v>177</v>
      </c>
      <c r="B19" s="268">
        <v>0</v>
      </c>
      <c r="C19" s="233"/>
      <c r="D19" s="270" t="str">
        <f>'SW Details'!BV20</f>
        <v xml:space="preserve">IBM WPS x86 </v>
      </c>
      <c r="E19" s="270">
        <f>'SW Details'!BW20</f>
        <v>0</v>
      </c>
      <c r="F19" s="270">
        <f>'SW Details'!BX20</f>
        <v>0</v>
      </c>
      <c r="G19" s="250">
        <f ca="1">'SW Details'!BY20</f>
        <v>0</v>
      </c>
      <c r="H19" s="250">
        <f ca="1">'SW Details'!BZ20</f>
        <v>0</v>
      </c>
      <c r="I19" s="250">
        <f ca="1">'SW Details'!CA20</f>
        <v>0</v>
      </c>
      <c r="J19" s="250">
        <f ca="1">'SW Details'!CB20</f>
        <v>0</v>
      </c>
      <c r="K19" s="250">
        <f ca="1">'SW Details'!CC20</f>
        <v>0</v>
      </c>
      <c r="L19" s="250">
        <f ca="1">'SW Details'!CD20</f>
        <v>0</v>
      </c>
      <c r="M19" s="250">
        <f ca="1">'SW Details'!CE20</f>
        <v>0</v>
      </c>
      <c r="N19" s="250">
        <f ca="1">'SW Details'!CF20</f>
        <v>0</v>
      </c>
      <c r="O19" s="250">
        <f ca="1">'SW Details'!CG20</f>
        <v>0</v>
      </c>
      <c r="P19" s="250">
        <f ca="1">'SW Details'!CH20</f>
        <v>0</v>
      </c>
      <c r="Q19" s="250">
        <f ca="1">'SW Details'!CI20</f>
        <v>0</v>
      </c>
      <c r="R19" s="250">
        <f ca="1">'SW Details'!CJ20</f>
        <v>0</v>
      </c>
      <c r="S19" s="250">
        <f ca="1">'SW Details'!CK20</f>
        <v>0</v>
      </c>
      <c r="T19" s="364">
        <f ca="1">SUM(SummarySWYr1[[#This Row],[PROD]:[DEV]])</f>
        <v>0</v>
      </c>
      <c r="V19" s="270" t="str">
        <f>'SW Details'!CN20</f>
        <v xml:space="preserve">IBM WPS x86 </v>
      </c>
      <c r="W19" s="270">
        <f ca="1">'SW Details'!CO20</f>
        <v>0</v>
      </c>
      <c r="X19" s="270">
        <f ca="1">'SW Details'!CP20</f>
        <v>0</v>
      </c>
      <c r="Y19" s="365">
        <f ca="1">'SW Details'!CQ20</f>
        <v>0</v>
      </c>
      <c r="Z19" s="365">
        <f ca="1">'SW Details'!CR20</f>
        <v>0</v>
      </c>
      <c r="AA19" s="365">
        <f ca="1">'SW Details'!CS20</f>
        <v>0</v>
      </c>
      <c r="AB19" s="365">
        <f ca="1">'SW Details'!CT20</f>
        <v>0</v>
      </c>
      <c r="AC19" s="365">
        <f ca="1">'SW Details'!CU20</f>
        <v>0</v>
      </c>
      <c r="AD19" s="365">
        <f ca="1">'SW Details'!CV20</f>
        <v>0</v>
      </c>
      <c r="AE19" s="365">
        <f ca="1">'SW Details'!CW20</f>
        <v>0</v>
      </c>
      <c r="AF19" s="365">
        <f ca="1">'SW Details'!CX20</f>
        <v>0</v>
      </c>
      <c r="AG19" s="365">
        <f ca="1">'SW Details'!CY20</f>
        <v>0</v>
      </c>
      <c r="AH19" s="365">
        <f ca="1">'SW Details'!CZ20</f>
        <v>0</v>
      </c>
      <c r="AI19" s="365">
        <f ca="1">'SW Details'!DA20</f>
        <v>0</v>
      </c>
      <c r="AJ19" s="365">
        <f ca="1">'SW Details'!DB20</f>
        <v>0</v>
      </c>
      <c r="AK19" s="365">
        <f ca="1">'SW Details'!DC20</f>
        <v>0</v>
      </c>
      <c r="AL19" s="364">
        <f ca="1">SUM(SummarySWAfterYr1[[#This Row],[PROD]:[DEV]])</f>
        <v>0</v>
      </c>
    </row>
    <row r="20" spans="1:38">
      <c r="A20" s="281" t="s">
        <v>555</v>
      </c>
      <c r="B20" s="268">
        <v>0</v>
      </c>
      <c r="C20" s="233"/>
      <c r="D20" s="270" t="str">
        <f>'SW Details'!BV21</f>
        <v xml:space="preserve">IBM WS Process Srvr </v>
      </c>
      <c r="E20" s="270">
        <f>'SW Details'!BW21</f>
        <v>0</v>
      </c>
      <c r="F20" s="270">
        <f>'SW Details'!BX21</f>
        <v>0</v>
      </c>
      <c r="G20" s="250">
        <f ca="1">'SW Details'!BY21</f>
        <v>0</v>
      </c>
      <c r="H20" s="250">
        <f ca="1">'SW Details'!BZ21</f>
        <v>0</v>
      </c>
      <c r="I20" s="250">
        <f ca="1">'SW Details'!CA21</f>
        <v>0</v>
      </c>
      <c r="J20" s="250">
        <f ca="1">'SW Details'!CB21</f>
        <v>0</v>
      </c>
      <c r="K20" s="250">
        <f ca="1">'SW Details'!CC21</f>
        <v>0</v>
      </c>
      <c r="L20" s="250">
        <f ca="1">'SW Details'!CD21</f>
        <v>0</v>
      </c>
      <c r="M20" s="250">
        <f ca="1">'SW Details'!CE21</f>
        <v>0</v>
      </c>
      <c r="N20" s="250">
        <f ca="1">'SW Details'!CF21</f>
        <v>0</v>
      </c>
      <c r="O20" s="250">
        <f ca="1">'SW Details'!CG21</f>
        <v>0</v>
      </c>
      <c r="P20" s="250">
        <f ca="1">'SW Details'!CH21</f>
        <v>0</v>
      </c>
      <c r="Q20" s="250">
        <f ca="1">'SW Details'!CI21</f>
        <v>0</v>
      </c>
      <c r="R20" s="250">
        <f ca="1">'SW Details'!CJ21</f>
        <v>0</v>
      </c>
      <c r="S20" s="250">
        <f ca="1">'SW Details'!CK21</f>
        <v>0</v>
      </c>
      <c r="T20" s="364">
        <f ca="1">SUM(SummarySWYr1[[#This Row],[PROD]:[DEV]])</f>
        <v>0</v>
      </c>
      <c r="V20" s="270" t="str">
        <f>'SW Details'!CN21</f>
        <v xml:space="preserve">IBM WS Process Srvr </v>
      </c>
      <c r="W20" s="270">
        <f ca="1">'SW Details'!CO21</f>
        <v>0</v>
      </c>
      <c r="X20" s="270">
        <f ca="1">'SW Details'!CP21</f>
        <v>0</v>
      </c>
      <c r="Y20" s="365">
        <f ca="1">'SW Details'!CQ21</f>
        <v>0</v>
      </c>
      <c r="Z20" s="365">
        <f ca="1">'SW Details'!CR21</f>
        <v>0</v>
      </c>
      <c r="AA20" s="365">
        <f ca="1">'SW Details'!CS21</f>
        <v>0</v>
      </c>
      <c r="AB20" s="365">
        <f ca="1">'SW Details'!CT21</f>
        <v>0</v>
      </c>
      <c r="AC20" s="365">
        <f ca="1">'SW Details'!CU21</f>
        <v>0</v>
      </c>
      <c r="AD20" s="365">
        <f ca="1">'SW Details'!CV21</f>
        <v>0</v>
      </c>
      <c r="AE20" s="365">
        <f ca="1">'SW Details'!CW21</f>
        <v>0</v>
      </c>
      <c r="AF20" s="365">
        <f ca="1">'SW Details'!CX21</f>
        <v>0</v>
      </c>
      <c r="AG20" s="365">
        <f ca="1">'SW Details'!CY21</f>
        <v>0</v>
      </c>
      <c r="AH20" s="365">
        <f ca="1">'SW Details'!CZ21</f>
        <v>0</v>
      </c>
      <c r="AI20" s="365">
        <f ca="1">'SW Details'!DA21</f>
        <v>0</v>
      </c>
      <c r="AJ20" s="365">
        <f ca="1">'SW Details'!DB21</f>
        <v>0</v>
      </c>
      <c r="AK20" s="365">
        <f ca="1">'SW Details'!DC21</f>
        <v>0</v>
      </c>
      <c r="AL20" s="364">
        <f ca="1">SUM(SummarySWAfterYr1[[#This Row],[PROD]:[DEV]])</f>
        <v>0</v>
      </c>
    </row>
    <row r="21" spans="1:38">
      <c r="A21" s="281" t="s">
        <v>2331</v>
      </c>
      <c r="B21" s="268">
        <v>0</v>
      </c>
      <c r="C21" s="233"/>
      <c r="D21" s="270" t="str">
        <f>'SW Details'!BV22</f>
        <v xml:space="preserve">IBM WS VE (Cntrlr) </v>
      </c>
      <c r="E21" s="270">
        <f>'SW Details'!BW22</f>
        <v>0</v>
      </c>
      <c r="F21" s="270">
        <f>'SW Details'!BX22</f>
        <v>0</v>
      </c>
      <c r="G21" s="250">
        <f ca="1">'SW Details'!BY22</f>
        <v>0</v>
      </c>
      <c r="H21" s="250">
        <f ca="1">'SW Details'!BZ22</f>
        <v>0</v>
      </c>
      <c r="I21" s="250">
        <f ca="1">'SW Details'!CA22</f>
        <v>0</v>
      </c>
      <c r="J21" s="250">
        <f ca="1">'SW Details'!CB22</f>
        <v>0</v>
      </c>
      <c r="K21" s="250">
        <f ca="1">'SW Details'!CC22</f>
        <v>0</v>
      </c>
      <c r="L21" s="250">
        <f ca="1">'SW Details'!CD22</f>
        <v>0</v>
      </c>
      <c r="M21" s="250">
        <f ca="1">'SW Details'!CE22</f>
        <v>0</v>
      </c>
      <c r="N21" s="250">
        <f ca="1">'SW Details'!CF22</f>
        <v>0</v>
      </c>
      <c r="O21" s="250">
        <f ca="1">'SW Details'!CG22</f>
        <v>0</v>
      </c>
      <c r="P21" s="250">
        <f ca="1">'SW Details'!CH22</f>
        <v>0</v>
      </c>
      <c r="Q21" s="250">
        <f ca="1">'SW Details'!CI22</f>
        <v>0</v>
      </c>
      <c r="R21" s="250">
        <f ca="1">'SW Details'!CJ22</f>
        <v>0</v>
      </c>
      <c r="S21" s="250">
        <f ca="1">'SW Details'!CK22</f>
        <v>0</v>
      </c>
      <c r="T21" s="364">
        <f ca="1">SUM(SummarySWYr1[[#This Row],[PROD]:[DEV]])</f>
        <v>0</v>
      </c>
      <c r="V21" s="270" t="str">
        <f>'SW Details'!CN22</f>
        <v xml:space="preserve">IBM WS VE (Cntrlr) </v>
      </c>
      <c r="W21" s="270">
        <f ca="1">'SW Details'!CO22</f>
        <v>0</v>
      </c>
      <c r="X21" s="270">
        <f ca="1">'SW Details'!CP22</f>
        <v>0</v>
      </c>
      <c r="Y21" s="365">
        <f ca="1">'SW Details'!CQ22</f>
        <v>0</v>
      </c>
      <c r="Z21" s="365">
        <f ca="1">'SW Details'!CR22</f>
        <v>0</v>
      </c>
      <c r="AA21" s="365">
        <f ca="1">'SW Details'!CS22</f>
        <v>0</v>
      </c>
      <c r="AB21" s="365">
        <f ca="1">'SW Details'!CT22</f>
        <v>0</v>
      </c>
      <c r="AC21" s="365">
        <f ca="1">'SW Details'!CU22</f>
        <v>0</v>
      </c>
      <c r="AD21" s="365">
        <f ca="1">'SW Details'!CV22</f>
        <v>0</v>
      </c>
      <c r="AE21" s="365">
        <f ca="1">'SW Details'!CW22</f>
        <v>0</v>
      </c>
      <c r="AF21" s="365">
        <f ca="1">'SW Details'!CX22</f>
        <v>0</v>
      </c>
      <c r="AG21" s="365">
        <f ca="1">'SW Details'!CY22</f>
        <v>0</v>
      </c>
      <c r="AH21" s="365">
        <f ca="1">'SW Details'!CZ22</f>
        <v>0</v>
      </c>
      <c r="AI21" s="365">
        <f ca="1">'SW Details'!DA22</f>
        <v>0</v>
      </c>
      <c r="AJ21" s="365">
        <f ca="1">'SW Details'!DB22</f>
        <v>0</v>
      </c>
      <c r="AK21" s="365">
        <f ca="1">'SW Details'!DC22</f>
        <v>0</v>
      </c>
      <c r="AL21" s="364">
        <f ca="1">SUM(SummarySWAfterYr1[[#This Row],[PROD]:[DEV]])</f>
        <v>0</v>
      </c>
    </row>
    <row r="22" spans="1:38">
      <c r="A22" s="281" t="s">
        <v>2332</v>
      </c>
      <c r="B22" s="268">
        <v>0</v>
      </c>
      <c r="C22" s="233"/>
      <c r="D22" s="270" t="str">
        <f>'SW Details'!BV23</f>
        <v xml:space="preserve">IBM WS VE (Node) </v>
      </c>
      <c r="E22" s="270">
        <f>'SW Details'!BW23</f>
        <v>0</v>
      </c>
      <c r="F22" s="270">
        <f>'SW Details'!BX23</f>
        <v>0</v>
      </c>
      <c r="G22" s="250">
        <f ca="1">'SW Details'!BY23</f>
        <v>0</v>
      </c>
      <c r="H22" s="250">
        <f ca="1">'SW Details'!BZ23</f>
        <v>0</v>
      </c>
      <c r="I22" s="250">
        <f ca="1">'SW Details'!CA23</f>
        <v>0</v>
      </c>
      <c r="J22" s="250">
        <f ca="1">'SW Details'!CB23</f>
        <v>0</v>
      </c>
      <c r="K22" s="250">
        <f ca="1">'SW Details'!CC23</f>
        <v>0</v>
      </c>
      <c r="L22" s="250">
        <f ca="1">'SW Details'!CD23</f>
        <v>0</v>
      </c>
      <c r="M22" s="250">
        <f ca="1">'SW Details'!CE23</f>
        <v>0</v>
      </c>
      <c r="N22" s="250">
        <f ca="1">'SW Details'!CF23</f>
        <v>0</v>
      </c>
      <c r="O22" s="250">
        <f ca="1">'SW Details'!CG23</f>
        <v>0</v>
      </c>
      <c r="P22" s="250">
        <f ca="1">'SW Details'!CH23</f>
        <v>0</v>
      </c>
      <c r="Q22" s="250">
        <f ca="1">'SW Details'!CI23</f>
        <v>0</v>
      </c>
      <c r="R22" s="250">
        <f ca="1">'SW Details'!CJ23</f>
        <v>0</v>
      </c>
      <c r="S22" s="250">
        <f ca="1">'SW Details'!CK23</f>
        <v>0</v>
      </c>
      <c r="T22" s="364">
        <f ca="1">SUM(SummarySWYr1[[#This Row],[PROD]:[DEV]])</f>
        <v>0</v>
      </c>
      <c r="V22" s="270" t="str">
        <f>'SW Details'!CN23</f>
        <v xml:space="preserve">IBM WS VE (Node) </v>
      </c>
      <c r="W22" s="270">
        <f ca="1">'SW Details'!CO23</f>
        <v>0</v>
      </c>
      <c r="X22" s="270">
        <f ca="1">'SW Details'!CP23</f>
        <v>0</v>
      </c>
      <c r="Y22" s="365">
        <f ca="1">'SW Details'!CQ23</f>
        <v>0</v>
      </c>
      <c r="Z22" s="365">
        <f ca="1">'SW Details'!CR23</f>
        <v>0</v>
      </c>
      <c r="AA22" s="365">
        <f ca="1">'SW Details'!CS23</f>
        <v>0</v>
      </c>
      <c r="AB22" s="365">
        <f ca="1">'SW Details'!CT23</f>
        <v>0</v>
      </c>
      <c r="AC22" s="365">
        <f ca="1">'SW Details'!CU23</f>
        <v>0</v>
      </c>
      <c r="AD22" s="365">
        <f ca="1">'SW Details'!CV23</f>
        <v>0</v>
      </c>
      <c r="AE22" s="365">
        <f ca="1">'SW Details'!CW23</f>
        <v>0</v>
      </c>
      <c r="AF22" s="365">
        <f ca="1">'SW Details'!CX23</f>
        <v>0</v>
      </c>
      <c r="AG22" s="365">
        <f ca="1">'SW Details'!CY23</f>
        <v>0</v>
      </c>
      <c r="AH22" s="365">
        <f ca="1">'SW Details'!CZ23</f>
        <v>0</v>
      </c>
      <c r="AI22" s="365">
        <f ca="1">'SW Details'!DA23</f>
        <v>0</v>
      </c>
      <c r="AJ22" s="365">
        <f ca="1">'SW Details'!DB23</f>
        <v>0</v>
      </c>
      <c r="AK22" s="365">
        <f ca="1">'SW Details'!DC23</f>
        <v>0</v>
      </c>
      <c r="AL22" s="364">
        <f ca="1">SUM(SummarySWAfterYr1[[#This Row],[PROD]:[DEV]])</f>
        <v>0</v>
      </c>
    </row>
    <row r="23" spans="1:38">
      <c r="A23" s="281" t="s">
        <v>191</v>
      </c>
      <c r="B23" s="268">
        <v>0</v>
      </c>
      <c r="C23" s="233"/>
      <c r="D23" s="270" t="str">
        <f>'SW Details'!BV24</f>
        <v xml:space="preserve">Kana (Both) </v>
      </c>
      <c r="E23" s="270">
        <f>'SW Details'!BW24</f>
        <v>0</v>
      </c>
      <c r="F23" s="270">
        <f>'SW Details'!BX24</f>
        <v>0</v>
      </c>
      <c r="G23" s="250">
        <f ca="1">'SW Details'!BY24</f>
        <v>0</v>
      </c>
      <c r="H23" s="250">
        <f ca="1">'SW Details'!BZ24</f>
        <v>0</v>
      </c>
      <c r="I23" s="250">
        <f ca="1">'SW Details'!CA24</f>
        <v>0</v>
      </c>
      <c r="J23" s="250">
        <f ca="1">'SW Details'!CB24</f>
        <v>0</v>
      </c>
      <c r="K23" s="250">
        <f ca="1">'SW Details'!CC24</f>
        <v>0</v>
      </c>
      <c r="L23" s="250">
        <f ca="1">'SW Details'!CD24</f>
        <v>0</v>
      </c>
      <c r="M23" s="250">
        <f ca="1">'SW Details'!CE24</f>
        <v>0</v>
      </c>
      <c r="N23" s="250">
        <f ca="1">'SW Details'!CF24</f>
        <v>0</v>
      </c>
      <c r="O23" s="250">
        <f ca="1">'SW Details'!CG24</f>
        <v>0</v>
      </c>
      <c r="P23" s="250">
        <f ca="1">'SW Details'!CH24</f>
        <v>0</v>
      </c>
      <c r="Q23" s="250">
        <f ca="1">'SW Details'!CI24</f>
        <v>0</v>
      </c>
      <c r="R23" s="250">
        <f ca="1">'SW Details'!CJ24</f>
        <v>0</v>
      </c>
      <c r="S23" s="250">
        <f ca="1">'SW Details'!CK24</f>
        <v>0</v>
      </c>
      <c r="T23" s="364">
        <f ca="1">SUM(SummarySWYr1[[#This Row],[PROD]:[DEV]])</f>
        <v>0</v>
      </c>
      <c r="V23" s="270" t="str">
        <f>'SW Details'!CN24</f>
        <v xml:space="preserve">Kana (Both) </v>
      </c>
      <c r="W23" s="270">
        <f ca="1">'SW Details'!CO24</f>
        <v>0</v>
      </c>
      <c r="X23" s="270">
        <f ca="1">'SW Details'!CP24</f>
        <v>0</v>
      </c>
      <c r="Y23" s="365">
        <f ca="1">'SW Details'!CQ24</f>
        <v>0</v>
      </c>
      <c r="Z23" s="365">
        <f ca="1">'SW Details'!CR24</f>
        <v>0</v>
      </c>
      <c r="AA23" s="365">
        <f ca="1">'SW Details'!CS24</f>
        <v>0</v>
      </c>
      <c r="AB23" s="365">
        <f ca="1">'SW Details'!CT24</f>
        <v>0</v>
      </c>
      <c r="AC23" s="365">
        <f ca="1">'SW Details'!CU24</f>
        <v>0</v>
      </c>
      <c r="AD23" s="365">
        <f ca="1">'SW Details'!CV24</f>
        <v>0</v>
      </c>
      <c r="AE23" s="365">
        <f ca="1">'SW Details'!CW24</f>
        <v>0</v>
      </c>
      <c r="AF23" s="365">
        <f ca="1">'SW Details'!CX24</f>
        <v>0</v>
      </c>
      <c r="AG23" s="365">
        <f ca="1">'SW Details'!CY24</f>
        <v>0</v>
      </c>
      <c r="AH23" s="365">
        <f ca="1">'SW Details'!CZ24</f>
        <v>0</v>
      </c>
      <c r="AI23" s="365">
        <f ca="1">'SW Details'!DA24</f>
        <v>0</v>
      </c>
      <c r="AJ23" s="365">
        <f ca="1">'SW Details'!DB24</f>
        <v>0</v>
      </c>
      <c r="AK23" s="365">
        <f ca="1">'SW Details'!DC24</f>
        <v>0</v>
      </c>
      <c r="AL23" s="364">
        <f ca="1">SUM(SummarySWAfterYr1[[#This Row],[PROD]:[DEV]])</f>
        <v>0</v>
      </c>
    </row>
    <row r="24" spans="1:38">
      <c r="A24" s="281" t="s">
        <v>2352</v>
      </c>
      <c r="B24" s="268">
        <v>0</v>
      </c>
      <c r="C24" s="233"/>
      <c r="D24" s="270" t="str">
        <f>'SW Details'!BV25</f>
        <v xml:space="preserve">MS SQL EE (Ext) </v>
      </c>
      <c r="E24" s="270">
        <f>'SW Details'!BW25</f>
        <v>0</v>
      </c>
      <c r="F24" s="270">
        <f>'SW Details'!BX25</f>
        <v>0</v>
      </c>
      <c r="G24" s="250">
        <f ca="1">'SW Details'!BY25</f>
        <v>0</v>
      </c>
      <c r="H24" s="250">
        <f ca="1">'SW Details'!BZ25</f>
        <v>0</v>
      </c>
      <c r="I24" s="250">
        <f ca="1">'SW Details'!CA25</f>
        <v>0</v>
      </c>
      <c r="J24" s="250">
        <f ca="1">'SW Details'!CB25</f>
        <v>0</v>
      </c>
      <c r="K24" s="250">
        <f ca="1">'SW Details'!CC25</f>
        <v>0</v>
      </c>
      <c r="L24" s="250">
        <f ca="1">'SW Details'!CD25</f>
        <v>0</v>
      </c>
      <c r="M24" s="250">
        <f ca="1">'SW Details'!CE25</f>
        <v>0</v>
      </c>
      <c r="N24" s="250">
        <f ca="1">'SW Details'!CF25</f>
        <v>0</v>
      </c>
      <c r="O24" s="250">
        <f ca="1">'SW Details'!CG25</f>
        <v>0</v>
      </c>
      <c r="P24" s="250">
        <f ca="1">'SW Details'!CH25</f>
        <v>0</v>
      </c>
      <c r="Q24" s="250">
        <f ca="1">'SW Details'!CI25</f>
        <v>0</v>
      </c>
      <c r="R24" s="250">
        <f ca="1">'SW Details'!CJ25</f>
        <v>0</v>
      </c>
      <c r="S24" s="250">
        <f ca="1">'SW Details'!CK25</f>
        <v>0</v>
      </c>
      <c r="T24" s="364">
        <f ca="1">SUM(SummarySWYr1[[#This Row],[PROD]:[DEV]])</f>
        <v>0</v>
      </c>
      <c r="V24" s="270" t="str">
        <f>'SW Details'!CN25</f>
        <v xml:space="preserve">MS SQL EE (Ext) </v>
      </c>
      <c r="W24" s="270">
        <f ca="1">'SW Details'!CO25</f>
        <v>0</v>
      </c>
      <c r="X24" s="270">
        <f ca="1">'SW Details'!CP25</f>
        <v>0</v>
      </c>
      <c r="Y24" s="365">
        <f ca="1">'SW Details'!CQ25</f>
        <v>0</v>
      </c>
      <c r="Z24" s="365">
        <f ca="1">'SW Details'!CR25</f>
        <v>0</v>
      </c>
      <c r="AA24" s="365">
        <f ca="1">'SW Details'!CS25</f>
        <v>0</v>
      </c>
      <c r="AB24" s="365">
        <f ca="1">'SW Details'!CT25</f>
        <v>0</v>
      </c>
      <c r="AC24" s="365">
        <f ca="1">'SW Details'!CU25</f>
        <v>0</v>
      </c>
      <c r="AD24" s="365">
        <f ca="1">'SW Details'!CV25</f>
        <v>0</v>
      </c>
      <c r="AE24" s="365">
        <f ca="1">'SW Details'!CW25</f>
        <v>0</v>
      </c>
      <c r="AF24" s="365">
        <f ca="1">'SW Details'!CX25</f>
        <v>0</v>
      </c>
      <c r="AG24" s="365">
        <f ca="1">'SW Details'!CY25</f>
        <v>0</v>
      </c>
      <c r="AH24" s="365">
        <f ca="1">'SW Details'!CZ25</f>
        <v>0</v>
      </c>
      <c r="AI24" s="365">
        <f ca="1">'SW Details'!DA25</f>
        <v>0</v>
      </c>
      <c r="AJ24" s="365">
        <f ca="1">'SW Details'!DB25</f>
        <v>0</v>
      </c>
      <c r="AK24" s="365">
        <f ca="1">'SW Details'!DC25</f>
        <v>0</v>
      </c>
      <c r="AL24" s="364">
        <f ca="1">SUM(SummarySWAfterYr1[[#This Row],[PROD]:[DEV]])</f>
        <v>0</v>
      </c>
    </row>
    <row r="25" spans="1:38">
      <c r="A25" s="281" t="s">
        <v>2353</v>
      </c>
      <c r="B25" s="268">
        <v>0</v>
      </c>
      <c r="C25" s="233"/>
      <c r="D25" s="270" t="str">
        <f>'SW Details'!BV26</f>
        <v xml:space="preserve">MS SQL EE (Int) </v>
      </c>
      <c r="E25" s="270">
        <f>'SW Details'!BW26</f>
        <v>0</v>
      </c>
      <c r="F25" s="270">
        <f>'SW Details'!BX26</f>
        <v>0</v>
      </c>
      <c r="G25" s="250">
        <f ca="1">'SW Details'!BY26</f>
        <v>0</v>
      </c>
      <c r="H25" s="250">
        <f ca="1">'SW Details'!BZ26</f>
        <v>0</v>
      </c>
      <c r="I25" s="250">
        <f ca="1">'SW Details'!CA26</f>
        <v>0</v>
      </c>
      <c r="J25" s="250">
        <f ca="1">'SW Details'!CB26</f>
        <v>0</v>
      </c>
      <c r="K25" s="250">
        <f ca="1">'SW Details'!CC26</f>
        <v>0</v>
      </c>
      <c r="L25" s="250">
        <f ca="1">'SW Details'!CD26</f>
        <v>0</v>
      </c>
      <c r="M25" s="250">
        <f ca="1">'SW Details'!CE26</f>
        <v>0</v>
      </c>
      <c r="N25" s="250">
        <f ca="1">'SW Details'!CF26</f>
        <v>0</v>
      </c>
      <c r="O25" s="250">
        <f ca="1">'SW Details'!CG26</f>
        <v>0</v>
      </c>
      <c r="P25" s="250">
        <f ca="1">'SW Details'!CH26</f>
        <v>0</v>
      </c>
      <c r="Q25" s="250">
        <f ca="1">'SW Details'!CI26</f>
        <v>0</v>
      </c>
      <c r="R25" s="250">
        <f ca="1">'SW Details'!CJ26</f>
        <v>0</v>
      </c>
      <c r="S25" s="250">
        <f ca="1">'SW Details'!CK26</f>
        <v>0</v>
      </c>
      <c r="T25" s="364">
        <f ca="1">SUM(SummarySWYr1[[#This Row],[PROD]:[DEV]])</f>
        <v>0</v>
      </c>
      <c r="V25" s="270" t="str">
        <f>'SW Details'!CN26</f>
        <v xml:space="preserve">MS SQL EE (Int) </v>
      </c>
      <c r="W25" s="270">
        <f ca="1">'SW Details'!CO26</f>
        <v>0</v>
      </c>
      <c r="X25" s="270">
        <f ca="1">'SW Details'!CP26</f>
        <v>0</v>
      </c>
      <c r="Y25" s="365">
        <f ca="1">'SW Details'!CQ26</f>
        <v>0</v>
      </c>
      <c r="Z25" s="365">
        <f ca="1">'SW Details'!CR26</f>
        <v>0</v>
      </c>
      <c r="AA25" s="365">
        <f ca="1">'SW Details'!CS26</f>
        <v>0</v>
      </c>
      <c r="AB25" s="365">
        <f ca="1">'SW Details'!CT26</f>
        <v>0</v>
      </c>
      <c r="AC25" s="365">
        <f ca="1">'SW Details'!CU26</f>
        <v>0</v>
      </c>
      <c r="AD25" s="365">
        <f ca="1">'SW Details'!CV26</f>
        <v>0</v>
      </c>
      <c r="AE25" s="365">
        <f ca="1">'SW Details'!CW26</f>
        <v>0</v>
      </c>
      <c r="AF25" s="365">
        <f ca="1">'SW Details'!CX26</f>
        <v>0</v>
      </c>
      <c r="AG25" s="365">
        <f ca="1">'SW Details'!CY26</f>
        <v>0</v>
      </c>
      <c r="AH25" s="365">
        <f ca="1">'SW Details'!CZ26</f>
        <v>0</v>
      </c>
      <c r="AI25" s="365">
        <f ca="1">'SW Details'!DA26</f>
        <v>0</v>
      </c>
      <c r="AJ25" s="365">
        <f ca="1">'SW Details'!DB26</f>
        <v>0</v>
      </c>
      <c r="AK25" s="365">
        <f ca="1">'SW Details'!DC26</f>
        <v>0</v>
      </c>
      <c r="AL25" s="364">
        <f ca="1">SUM(SummarySWAfterYr1[[#This Row],[PROD]:[DEV]])</f>
        <v>0</v>
      </c>
    </row>
    <row r="26" spans="1:38">
      <c r="A26" s="281" t="s">
        <v>2354</v>
      </c>
      <c r="B26" s="268">
        <v>0</v>
      </c>
      <c r="C26" s="233"/>
      <c r="D26" s="270" t="str">
        <f>'SW Details'!BV27</f>
        <v xml:space="preserve">MS SQL SE (Ext) </v>
      </c>
      <c r="E26" s="270">
        <f>'SW Details'!BW27</f>
        <v>0</v>
      </c>
      <c r="F26" s="270">
        <f>'SW Details'!BX27</f>
        <v>0</v>
      </c>
      <c r="G26" s="250">
        <f ca="1">'SW Details'!BY27</f>
        <v>0</v>
      </c>
      <c r="H26" s="250">
        <f ca="1">'SW Details'!BZ27</f>
        <v>0</v>
      </c>
      <c r="I26" s="250">
        <f ca="1">'SW Details'!CA27</f>
        <v>0</v>
      </c>
      <c r="J26" s="250">
        <f ca="1">'SW Details'!CB27</f>
        <v>0</v>
      </c>
      <c r="K26" s="250">
        <f ca="1">'SW Details'!CC27</f>
        <v>0</v>
      </c>
      <c r="L26" s="250">
        <f ca="1">'SW Details'!CD27</f>
        <v>0</v>
      </c>
      <c r="M26" s="250">
        <f ca="1">'SW Details'!CE27</f>
        <v>0</v>
      </c>
      <c r="N26" s="250">
        <f ca="1">'SW Details'!CF27</f>
        <v>0</v>
      </c>
      <c r="O26" s="250">
        <f ca="1">'SW Details'!CG27</f>
        <v>0</v>
      </c>
      <c r="P26" s="250">
        <f ca="1">'SW Details'!CH27</f>
        <v>0</v>
      </c>
      <c r="Q26" s="250">
        <f ca="1">'SW Details'!CI27</f>
        <v>0</v>
      </c>
      <c r="R26" s="250">
        <f ca="1">'SW Details'!CJ27</f>
        <v>0</v>
      </c>
      <c r="S26" s="250">
        <f ca="1">'SW Details'!CK27</f>
        <v>0</v>
      </c>
      <c r="T26" s="364">
        <f ca="1">SUM(SummarySWYr1[[#This Row],[PROD]:[DEV]])</f>
        <v>0</v>
      </c>
      <c r="V26" s="270" t="str">
        <f>'SW Details'!CN27</f>
        <v xml:space="preserve">MS SQL SE (Ext) </v>
      </c>
      <c r="W26" s="270">
        <f ca="1">'SW Details'!CO27</f>
        <v>0</v>
      </c>
      <c r="X26" s="270">
        <f ca="1">'SW Details'!CP27</f>
        <v>0</v>
      </c>
      <c r="Y26" s="365">
        <f ca="1">'SW Details'!CQ27</f>
        <v>0</v>
      </c>
      <c r="Z26" s="365">
        <f ca="1">'SW Details'!CR27</f>
        <v>0</v>
      </c>
      <c r="AA26" s="365">
        <f ca="1">'SW Details'!CS27</f>
        <v>0</v>
      </c>
      <c r="AB26" s="365">
        <f ca="1">'SW Details'!CT27</f>
        <v>0</v>
      </c>
      <c r="AC26" s="365">
        <f ca="1">'SW Details'!CU27</f>
        <v>0</v>
      </c>
      <c r="AD26" s="365">
        <f ca="1">'SW Details'!CV27</f>
        <v>0</v>
      </c>
      <c r="AE26" s="365">
        <f ca="1">'SW Details'!CW27</f>
        <v>0</v>
      </c>
      <c r="AF26" s="365">
        <f ca="1">'SW Details'!CX27</f>
        <v>0</v>
      </c>
      <c r="AG26" s="365">
        <f ca="1">'SW Details'!CY27</f>
        <v>0</v>
      </c>
      <c r="AH26" s="365">
        <f ca="1">'SW Details'!CZ27</f>
        <v>0</v>
      </c>
      <c r="AI26" s="365">
        <f ca="1">'SW Details'!DA27</f>
        <v>0</v>
      </c>
      <c r="AJ26" s="365">
        <f ca="1">'SW Details'!DB27</f>
        <v>0</v>
      </c>
      <c r="AK26" s="365">
        <f ca="1">'SW Details'!DC27</f>
        <v>0</v>
      </c>
      <c r="AL26" s="364">
        <f ca="1">SUM(SummarySWAfterYr1[[#This Row],[PROD]:[DEV]])</f>
        <v>0</v>
      </c>
    </row>
    <row r="27" spans="1:38" s="139" customFormat="1">
      <c r="A27" s="281" t="s">
        <v>2355</v>
      </c>
      <c r="B27" s="268">
        <v>0</v>
      </c>
      <c r="C27" s="233"/>
      <c r="D27" s="270" t="str">
        <f>'SW Details'!BV28</f>
        <v xml:space="preserve">MS SQL SE (Int) </v>
      </c>
      <c r="E27" s="270">
        <f>'SW Details'!BW28</f>
        <v>0</v>
      </c>
      <c r="F27" s="270">
        <f>'SW Details'!BX28</f>
        <v>0</v>
      </c>
      <c r="G27" s="250">
        <f ca="1">'SW Details'!BY28</f>
        <v>0</v>
      </c>
      <c r="H27" s="250">
        <f ca="1">'SW Details'!BZ28</f>
        <v>0</v>
      </c>
      <c r="I27" s="250">
        <f ca="1">'SW Details'!CA28</f>
        <v>0</v>
      </c>
      <c r="J27" s="250">
        <f ca="1">'SW Details'!CB28</f>
        <v>0</v>
      </c>
      <c r="K27" s="250">
        <f ca="1">'SW Details'!CC28</f>
        <v>0</v>
      </c>
      <c r="L27" s="250">
        <f ca="1">'SW Details'!CD28</f>
        <v>0</v>
      </c>
      <c r="M27" s="250">
        <f ca="1">'SW Details'!CE28</f>
        <v>0</v>
      </c>
      <c r="N27" s="250">
        <f ca="1">'SW Details'!CF28</f>
        <v>0</v>
      </c>
      <c r="O27" s="250">
        <f ca="1">'SW Details'!CG28</f>
        <v>0</v>
      </c>
      <c r="P27" s="250">
        <f ca="1">'SW Details'!CH28</f>
        <v>0</v>
      </c>
      <c r="Q27" s="250">
        <f ca="1">'SW Details'!CI28</f>
        <v>0</v>
      </c>
      <c r="R27" s="250">
        <f ca="1">'SW Details'!CJ28</f>
        <v>0</v>
      </c>
      <c r="S27" s="250">
        <f ca="1">'SW Details'!CK28</f>
        <v>0</v>
      </c>
      <c r="T27" s="364">
        <f ca="1">SUM(SummarySWYr1[[#This Row],[PROD]:[DEV]])</f>
        <v>0</v>
      </c>
      <c r="U27"/>
      <c r="V27" s="270" t="str">
        <f>'SW Details'!CN28</f>
        <v xml:space="preserve">MS SQL SE (Int) </v>
      </c>
      <c r="W27" s="270">
        <f ca="1">'SW Details'!CO28</f>
        <v>0</v>
      </c>
      <c r="X27" s="270">
        <f ca="1">'SW Details'!CP28</f>
        <v>0</v>
      </c>
      <c r="Y27" s="365">
        <f ca="1">'SW Details'!CQ28</f>
        <v>0</v>
      </c>
      <c r="Z27" s="365">
        <f ca="1">'SW Details'!CR28</f>
        <v>0</v>
      </c>
      <c r="AA27" s="365">
        <f ca="1">'SW Details'!CS28</f>
        <v>0</v>
      </c>
      <c r="AB27" s="365">
        <f ca="1">'SW Details'!CT28</f>
        <v>0</v>
      </c>
      <c r="AC27" s="365">
        <f ca="1">'SW Details'!CU28</f>
        <v>0</v>
      </c>
      <c r="AD27" s="365">
        <f ca="1">'SW Details'!CV28</f>
        <v>0</v>
      </c>
      <c r="AE27" s="365">
        <f ca="1">'SW Details'!CW28</f>
        <v>0</v>
      </c>
      <c r="AF27" s="365">
        <f ca="1">'SW Details'!CX28</f>
        <v>0</v>
      </c>
      <c r="AG27" s="365">
        <f ca="1">'SW Details'!CY28</f>
        <v>0</v>
      </c>
      <c r="AH27" s="365">
        <f ca="1">'SW Details'!CZ28</f>
        <v>0</v>
      </c>
      <c r="AI27" s="365">
        <f ca="1">'SW Details'!DA28</f>
        <v>0</v>
      </c>
      <c r="AJ27" s="365">
        <f ca="1">'SW Details'!DB28</f>
        <v>0</v>
      </c>
      <c r="AK27" s="365">
        <f ca="1">'SW Details'!DC28</f>
        <v>0</v>
      </c>
      <c r="AL27" s="364">
        <f ca="1">SUM(SummarySWAfterYr1[[#This Row],[PROD]:[DEV]])</f>
        <v>0</v>
      </c>
    </row>
    <row r="28" spans="1:38">
      <c r="A28" s="281" t="s">
        <v>2278</v>
      </c>
      <c r="B28" s="268">
        <v>0</v>
      </c>
      <c r="C28" s="233"/>
      <c r="D28" s="270" t="str">
        <f>'SW Details'!BV29</f>
        <v xml:space="preserve">Oracle ASO pSeries </v>
      </c>
      <c r="E28" s="270">
        <f>'SW Details'!BW29</f>
        <v>0</v>
      </c>
      <c r="F28" s="270">
        <f>'SW Details'!BX29</f>
        <v>0</v>
      </c>
      <c r="G28" s="250">
        <f ca="1">'SW Details'!BY29</f>
        <v>0</v>
      </c>
      <c r="H28" s="250">
        <f ca="1">'SW Details'!BZ29</f>
        <v>0</v>
      </c>
      <c r="I28" s="250">
        <f ca="1">'SW Details'!CA29</f>
        <v>0</v>
      </c>
      <c r="J28" s="250">
        <f ca="1">'SW Details'!CB29</f>
        <v>0</v>
      </c>
      <c r="K28" s="250">
        <f ca="1">'SW Details'!CC29</f>
        <v>0</v>
      </c>
      <c r="L28" s="250">
        <f ca="1">'SW Details'!CD29</f>
        <v>0</v>
      </c>
      <c r="M28" s="250">
        <f ca="1">'SW Details'!CE29</f>
        <v>0</v>
      </c>
      <c r="N28" s="250">
        <f ca="1">'SW Details'!CF29</f>
        <v>0</v>
      </c>
      <c r="O28" s="250">
        <f ca="1">'SW Details'!CG29</f>
        <v>0</v>
      </c>
      <c r="P28" s="250">
        <f ca="1">'SW Details'!CH29</f>
        <v>0</v>
      </c>
      <c r="Q28" s="250">
        <f ca="1">'SW Details'!CI29</f>
        <v>0</v>
      </c>
      <c r="R28" s="250">
        <f ca="1">'SW Details'!CJ29</f>
        <v>0</v>
      </c>
      <c r="S28" s="250">
        <f ca="1">'SW Details'!CK29</f>
        <v>0</v>
      </c>
      <c r="T28" s="364">
        <f ca="1">SUM(SummarySWYr1[[#This Row],[PROD]:[DEV]])</f>
        <v>0</v>
      </c>
      <c r="V28" s="270" t="str">
        <f>'SW Details'!CN29</f>
        <v xml:space="preserve">Oracle ASO pSeries </v>
      </c>
      <c r="W28" s="270">
        <f ca="1">'SW Details'!CO29</f>
        <v>0</v>
      </c>
      <c r="X28" s="270">
        <f ca="1">'SW Details'!CP29</f>
        <v>0</v>
      </c>
      <c r="Y28" s="365">
        <f ca="1">'SW Details'!CQ29</f>
        <v>0</v>
      </c>
      <c r="Z28" s="365">
        <f ca="1">'SW Details'!CR29</f>
        <v>0</v>
      </c>
      <c r="AA28" s="365">
        <f ca="1">'SW Details'!CS29</f>
        <v>0</v>
      </c>
      <c r="AB28" s="365">
        <f ca="1">'SW Details'!CT29</f>
        <v>0</v>
      </c>
      <c r="AC28" s="365">
        <f ca="1">'SW Details'!CU29</f>
        <v>0</v>
      </c>
      <c r="AD28" s="365">
        <f ca="1">'SW Details'!CV29</f>
        <v>0</v>
      </c>
      <c r="AE28" s="365">
        <f ca="1">'SW Details'!CW29</f>
        <v>0</v>
      </c>
      <c r="AF28" s="365">
        <f ca="1">'SW Details'!CX29</f>
        <v>0</v>
      </c>
      <c r="AG28" s="365">
        <f ca="1">'SW Details'!CY29</f>
        <v>0</v>
      </c>
      <c r="AH28" s="365">
        <f ca="1">'SW Details'!CZ29</f>
        <v>0</v>
      </c>
      <c r="AI28" s="365">
        <f ca="1">'SW Details'!DA29</f>
        <v>0</v>
      </c>
      <c r="AJ28" s="365">
        <f ca="1">'SW Details'!DB29</f>
        <v>0</v>
      </c>
      <c r="AK28" s="365">
        <f ca="1">'SW Details'!DC29</f>
        <v>0</v>
      </c>
      <c r="AL28" s="364">
        <f ca="1">SUM(SummarySWAfterYr1[[#This Row],[PROD]:[DEV]])</f>
        <v>0</v>
      </c>
    </row>
    <row r="29" spans="1:38">
      <c r="A29" s="281" t="s">
        <v>2279</v>
      </c>
      <c r="B29" s="268">
        <v>0</v>
      </c>
      <c r="C29" s="233"/>
      <c r="D29" s="270" t="str">
        <f>'SW Details'!BV30</f>
        <v xml:space="preserve">Oracle ASO x86 </v>
      </c>
      <c r="E29" s="270">
        <f>'SW Details'!BW30</f>
        <v>0</v>
      </c>
      <c r="F29" s="270">
        <f>'SW Details'!BX30</f>
        <v>0</v>
      </c>
      <c r="G29" s="250">
        <f ca="1">'SW Details'!BY30</f>
        <v>0</v>
      </c>
      <c r="H29" s="250">
        <f ca="1">'SW Details'!BZ30</f>
        <v>0</v>
      </c>
      <c r="I29" s="250">
        <f ca="1">'SW Details'!CA30</f>
        <v>0</v>
      </c>
      <c r="J29" s="250">
        <f ca="1">'SW Details'!CB30</f>
        <v>0</v>
      </c>
      <c r="K29" s="250">
        <f ca="1">'SW Details'!CC30</f>
        <v>0</v>
      </c>
      <c r="L29" s="250">
        <f ca="1">'SW Details'!CD30</f>
        <v>0</v>
      </c>
      <c r="M29" s="250">
        <f ca="1">'SW Details'!CE30</f>
        <v>0</v>
      </c>
      <c r="N29" s="250">
        <f ca="1">'SW Details'!CF30</f>
        <v>0</v>
      </c>
      <c r="O29" s="250">
        <f ca="1">'SW Details'!CG30</f>
        <v>0</v>
      </c>
      <c r="P29" s="250">
        <f ca="1">'SW Details'!CH30</f>
        <v>0</v>
      </c>
      <c r="Q29" s="250">
        <f ca="1">'SW Details'!CI30</f>
        <v>0</v>
      </c>
      <c r="R29" s="250">
        <f ca="1">'SW Details'!CJ30</f>
        <v>0</v>
      </c>
      <c r="S29" s="250">
        <f ca="1">'SW Details'!CK30</f>
        <v>0</v>
      </c>
      <c r="T29" s="364">
        <f ca="1">SUM(SummarySWYr1[[#This Row],[PROD]:[DEV]])</f>
        <v>0</v>
      </c>
      <c r="V29" s="270" t="str">
        <f>'SW Details'!CN30</f>
        <v xml:space="preserve">Oracle ASO x86 </v>
      </c>
      <c r="W29" s="270">
        <f ca="1">'SW Details'!CO30</f>
        <v>0</v>
      </c>
      <c r="X29" s="270">
        <f ca="1">'SW Details'!CP30</f>
        <v>0</v>
      </c>
      <c r="Y29" s="365">
        <f ca="1">'SW Details'!CQ30</f>
        <v>0</v>
      </c>
      <c r="Z29" s="365">
        <f ca="1">'SW Details'!CR30</f>
        <v>0</v>
      </c>
      <c r="AA29" s="365">
        <f ca="1">'SW Details'!CS30</f>
        <v>0</v>
      </c>
      <c r="AB29" s="365">
        <f ca="1">'SW Details'!CT30</f>
        <v>0</v>
      </c>
      <c r="AC29" s="365">
        <f ca="1">'SW Details'!CU30</f>
        <v>0</v>
      </c>
      <c r="AD29" s="365">
        <f ca="1">'SW Details'!CV30</f>
        <v>0</v>
      </c>
      <c r="AE29" s="365">
        <f ca="1">'SW Details'!CW30</f>
        <v>0</v>
      </c>
      <c r="AF29" s="365">
        <f ca="1">'SW Details'!CX30</f>
        <v>0</v>
      </c>
      <c r="AG29" s="365">
        <f ca="1">'SW Details'!CY30</f>
        <v>0</v>
      </c>
      <c r="AH29" s="365">
        <f ca="1">'SW Details'!CZ30</f>
        <v>0</v>
      </c>
      <c r="AI29" s="365">
        <f ca="1">'SW Details'!DA30</f>
        <v>0</v>
      </c>
      <c r="AJ29" s="365">
        <f ca="1">'SW Details'!DB30</f>
        <v>0</v>
      </c>
      <c r="AK29" s="365">
        <f ca="1">'SW Details'!DC30</f>
        <v>0</v>
      </c>
      <c r="AL29" s="364">
        <f ca="1">SUM(SummarySWAfterYr1[[#This Row],[PROD]:[DEV]])</f>
        <v>0</v>
      </c>
    </row>
    <row r="30" spans="1:38">
      <c r="A30" s="281" t="s">
        <v>2280</v>
      </c>
      <c r="B30" s="268">
        <v>0</v>
      </c>
      <c r="C30" s="233"/>
      <c r="D30" s="270" t="str">
        <f>'SW Details'!BV31</f>
        <v xml:space="preserve">Oracle Ext. Bundle pSeries </v>
      </c>
      <c r="E30" s="270">
        <f>'SW Details'!BW31</f>
        <v>0</v>
      </c>
      <c r="F30" s="270">
        <f>'SW Details'!BX31</f>
        <v>0</v>
      </c>
      <c r="G30" s="250">
        <f ca="1">'SW Details'!BY31</f>
        <v>0</v>
      </c>
      <c r="H30" s="250">
        <f ca="1">'SW Details'!BZ31</f>
        <v>0</v>
      </c>
      <c r="I30" s="250">
        <f ca="1">'SW Details'!CA31</f>
        <v>0</v>
      </c>
      <c r="J30" s="250">
        <f ca="1">'SW Details'!CB31</f>
        <v>0</v>
      </c>
      <c r="K30" s="250">
        <f ca="1">'SW Details'!CC31</f>
        <v>0</v>
      </c>
      <c r="L30" s="250">
        <f ca="1">'SW Details'!CD31</f>
        <v>0</v>
      </c>
      <c r="M30" s="250">
        <f ca="1">'SW Details'!CE31</f>
        <v>0</v>
      </c>
      <c r="N30" s="250">
        <f ca="1">'SW Details'!CF31</f>
        <v>0</v>
      </c>
      <c r="O30" s="250">
        <f ca="1">'SW Details'!CG31</f>
        <v>0</v>
      </c>
      <c r="P30" s="250">
        <f ca="1">'SW Details'!CH31</f>
        <v>0</v>
      </c>
      <c r="Q30" s="250">
        <f ca="1">'SW Details'!CI31</f>
        <v>0</v>
      </c>
      <c r="R30" s="250">
        <f ca="1">'SW Details'!CJ31</f>
        <v>0</v>
      </c>
      <c r="S30" s="250">
        <f ca="1">'SW Details'!CK31</f>
        <v>0</v>
      </c>
      <c r="T30" s="364">
        <f ca="1">SUM(SummarySWYr1[[#This Row],[PROD]:[DEV]])</f>
        <v>0</v>
      </c>
      <c r="V30" s="270" t="str">
        <f>'SW Details'!CN31</f>
        <v xml:space="preserve">Oracle Ext. Bundle pSeries </v>
      </c>
      <c r="W30" s="270">
        <f ca="1">'SW Details'!CO31</f>
        <v>0</v>
      </c>
      <c r="X30" s="270">
        <f ca="1">'SW Details'!CP31</f>
        <v>0</v>
      </c>
      <c r="Y30" s="365">
        <f ca="1">'SW Details'!CQ31</f>
        <v>0</v>
      </c>
      <c r="Z30" s="365">
        <f ca="1">'SW Details'!CR31</f>
        <v>0</v>
      </c>
      <c r="AA30" s="365">
        <f ca="1">'SW Details'!CS31</f>
        <v>0</v>
      </c>
      <c r="AB30" s="365">
        <f ca="1">'SW Details'!CT31</f>
        <v>0</v>
      </c>
      <c r="AC30" s="365">
        <f ca="1">'SW Details'!CU31</f>
        <v>0</v>
      </c>
      <c r="AD30" s="365">
        <f ca="1">'SW Details'!CV31</f>
        <v>0</v>
      </c>
      <c r="AE30" s="365">
        <f ca="1">'SW Details'!CW31</f>
        <v>0</v>
      </c>
      <c r="AF30" s="365">
        <f ca="1">'SW Details'!CX31</f>
        <v>0</v>
      </c>
      <c r="AG30" s="365">
        <f ca="1">'SW Details'!CY31</f>
        <v>0</v>
      </c>
      <c r="AH30" s="365">
        <f ca="1">'SW Details'!CZ31</f>
        <v>0</v>
      </c>
      <c r="AI30" s="365">
        <f ca="1">'SW Details'!DA31</f>
        <v>0</v>
      </c>
      <c r="AJ30" s="365">
        <f ca="1">'SW Details'!DB31</f>
        <v>0</v>
      </c>
      <c r="AK30" s="365">
        <f ca="1">'SW Details'!DC31</f>
        <v>0</v>
      </c>
      <c r="AL30" s="364">
        <f ca="1">SUM(SummarySWAfterYr1[[#This Row],[PROD]:[DEV]])</f>
        <v>0</v>
      </c>
    </row>
    <row r="31" spans="1:38">
      <c r="A31" s="281" t="s">
        <v>2281</v>
      </c>
      <c r="B31" s="268">
        <v>0</v>
      </c>
      <c r="C31" s="233"/>
      <c r="D31" s="270" t="str">
        <f>'SW Details'!BV32</f>
        <v xml:space="preserve">Oracle Ext. Bundle x86 </v>
      </c>
      <c r="E31" s="270">
        <f>'SW Details'!BW32</f>
        <v>0</v>
      </c>
      <c r="F31" s="270">
        <f>'SW Details'!BX32</f>
        <v>0</v>
      </c>
      <c r="G31" s="250">
        <f ca="1">'SW Details'!BY32</f>
        <v>0</v>
      </c>
      <c r="H31" s="250">
        <f ca="1">'SW Details'!BZ32</f>
        <v>0</v>
      </c>
      <c r="I31" s="250">
        <f ca="1">'SW Details'!CA32</f>
        <v>0</v>
      </c>
      <c r="J31" s="250">
        <f ca="1">'SW Details'!CB32</f>
        <v>0</v>
      </c>
      <c r="K31" s="250">
        <f ca="1">'SW Details'!CC32</f>
        <v>0</v>
      </c>
      <c r="L31" s="250">
        <f ca="1">'SW Details'!CD32</f>
        <v>0</v>
      </c>
      <c r="M31" s="250">
        <f ca="1">'SW Details'!CE32</f>
        <v>0</v>
      </c>
      <c r="N31" s="250">
        <f ca="1">'SW Details'!CF32</f>
        <v>0</v>
      </c>
      <c r="O31" s="250">
        <f ca="1">'SW Details'!CG32</f>
        <v>0</v>
      </c>
      <c r="P31" s="250">
        <f ca="1">'SW Details'!CH32</f>
        <v>0</v>
      </c>
      <c r="Q31" s="250">
        <f ca="1">'SW Details'!CI32</f>
        <v>0</v>
      </c>
      <c r="R31" s="250">
        <f ca="1">'SW Details'!CJ32</f>
        <v>0</v>
      </c>
      <c r="S31" s="250">
        <f ca="1">'SW Details'!CK32</f>
        <v>0</v>
      </c>
      <c r="T31" s="364">
        <f ca="1">SUM(SummarySWYr1[[#This Row],[PROD]:[DEV]])</f>
        <v>0</v>
      </c>
      <c r="V31" s="270" t="str">
        <f>'SW Details'!CN32</f>
        <v xml:space="preserve">Oracle Ext. Bundle x86 </v>
      </c>
      <c r="W31" s="270">
        <f ca="1">'SW Details'!CO32</f>
        <v>0</v>
      </c>
      <c r="X31" s="270">
        <f ca="1">'SW Details'!CP32</f>
        <v>0</v>
      </c>
      <c r="Y31" s="365">
        <f ca="1">'SW Details'!CQ32</f>
        <v>0</v>
      </c>
      <c r="Z31" s="365">
        <f ca="1">'SW Details'!CR32</f>
        <v>0</v>
      </c>
      <c r="AA31" s="365">
        <f ca="1">'SW Details'!CS32</f>
        <v>0</v>
      </c>
      <c r="AB31" s="365">
        <f ca="1">'SW Details'!CT32</f>
        <v>0</v>
      </c>
      <c r="AC31" s="365">
        <f ca="1">'SW Details'!CU32</f>
        <v>0</v>
      </c>
      <c r="AD31" s="365">
        <f ca="1">'SW Details'!CV32</f>
        <v>0</v>
      </c>
      <c r="AE31" s="365">
        <f ca="1">'SW Details'!CW32</f>
        <v>0</v>
      </c>
      <c r="AF31" s="365">
        <f ca="1">'SW Details'!CX32</f>
        <v>0</v>
      </c>
      <c r="AG31" s="365">
        <f ca="1">'SW Details'!CY32</f>
        <v>0</v>
      </c>
      <c r="AH31" s="365">
        <f ca="1">'SW Details'!CZ32</f>
        <v>0</v>
      </c>
      <c r="AI31" s="365">
        <f ca="1">'SW Details'!DA32</f>
        <v>0</v>
      </c>
      <c r="AJ31" s="365">
        <f ca="1">'SW Details'!DB32</f>
        <v>0</v>
      </c>
      <c r="AK31" s="365">
        <f ca="1">'SW Details'!DC32</f>
        <v>0</v>
      </c>
      <c r="AL31" s="364">
        <f ca="1">SUM(SummarySWAfterYr1[[#This Row],[PROD]:[DEV]])</f>
        <v>0</v>
      </c>
    </row>
    <row r="32" spans="1:38">
      <c r="A32" s="281" t="s">
        <v>2282</v>
      </c>
      <c r="B32" s="268">
        <v>0</v>
      </c>
      <c r="C32" s="233"/>
      <c r="D32" s="270" t="str">
        <f>'SW Details'!BV33</f>
        <v xml:space="preserve">Oracle GG pSeries </v>
      </c>
      <c r="E32" s="270">
        <f>'SW Details'!BW33</f>
        <v>0</v>
      </c>
      <c r="F32" s="270">
        <f>'SW Details'!BX33</f>
        <v>0</v>
      </c>
      <c r="G32" s="250">
        <f ca="1">'SW Details'!BY33</f>
        <v>0</v>
      </c>
      <c r="H32" s="250">
        <f ca="1">'SW Details'!BZ33</f>
        <v>0</v>
      </c>
      <c r="I32" s="250">
        <f ca="1">'SW Details'!CA33</f>
        <v>0</v>
      </c>
      <c r="J32" s="250">
        <f ca="1">'SW Details'!CB33</f>
        <v>0</v>
      </c>
      <c r="K32" s="250">
        <f ca="1">'SW Details'!CC33</f>
        <v>0</v>
      </c>
      <c r="L32" s="250">
        <f ca="1">'SW Details'!CD33</f>
        <v>0</v>
      </c>
      <c r="M32" s="250">
        <f ca="1">'SW Details'!CE33</f>
        <v>0</v>
      </c>
      <c r="N32" s="250">
        <f ca="1">'SW Details'!CF33</f>
        <v>0</v>
      </c>
      <c r="O32" s="250">
        <f ca="1">'SW Details'!CG33</f>
        <v>0</v>
      </c>
      <c r="P32" s="250">
        <f ca="1">'SW Details'!CH33</f>
        <v>0</v>
      </c>
      <c r="Q32" s="250">
        <f ca="1">'SW Details'!CI33</f>
        <v>0</v>
      </c>
      <c r="R32" s="250">
        <f ca="1">'SW Details'!CJ33</f>
        <v>0</v>
      </c>
      <c r="S32" s="250">
        <f ca="1">'SW Details'!CK33</f>
        <v>0</v>
      </c>
      <c r="T32" s="364">
        <f ca="1">SUM(SummarySWYr1[[#This Row],[PROD]:[DEV]])</f>
        <v>0</v>
      </c>
      <c r="V32" s="270" t="str">
        <f>'SW Details'!CN33</f>
        <v xml:space="preserve">Oracle GG pSeries </v>
      </c>
      <c r="W32" s="270">
        <f ca="1">'SW Details'!CO33</f>
        <v>0</v>
      </c>
      <c r="X32" s="270">
        <f ca="1">'SW Details'!CP33</f>
        <v>0</v>
      </c>
      <c r="Y32" s="365">
        <f ca="1">'SW Details'!CQ33</f>
        <v>0</v>
      </c>
      <c r="Z32" s="365">
        <f ca="1">'SW Details'!CR33</f>
        <v>0</v>
      </c>
      <c r="AA32" s="365">
        <f ca="1">'SW Details'!CS33</f>
        <v>0</v>
      </c>
      <c r="AB32" s="365">
        <f ca="1">'SW Details'!CT33</f>
        <v>0</v>
      </c>
      <c r="AC32" s="365">
        <f ca="1">'SW Details'!CU33</f>
        <v>0</v>
      </c>
      <c r="AD32" s="365">
        <f ca="1">'SW Details'!CV33</f>
        <v>0</v>
      </c>
      <c r="AE32" s="365">
        <f ca="1">'SW Details'!CW33</f>
        <v>0</v>
      </c>
      <c r="AF32" s="365">
        <f ca="1">'SW Details'!CX33</f>
        <v>0</v>
      </c>
      <c r="AG32" s="365">
        <f ca="1">'SW Details'!CY33</f>
        <v>0</v>
      </c>
      <c r="AH32" s="365">
        <f ca="1">'SW Details'!CZ33</f>
        <v>0</v>
      </c>
      <c r="AI32" s="365">
        <f ca="1">'SW Details'!DA33</f>
        <v>0</v>
      </c>
      <c r="AJ32" s="365">
        <f ca="1">'SW Details'!DB33</f>
        <v>0</v>
      </c>
      <c r="AK32" s="365">
        <f ca="1">'SW Details'!DC33</f>
        <v>0</v>
      </c>
      <c r="AL32" s="364">
        <f ca="1">SUM(SummarySWAfterYr1[[#This Row],[PROD]:[DEV]])</f>
        <v>0</v>
      </c>
    </row>
    <row r="33" spans="1:40">
      <c r="A33" s="281" t="s">
        <v>2284</v>
      </c>
      <c r="B33" s="268">
        <v>0</v>
      </c>
      <c r="D33" s="270" t="str">
        <f>'SW Details'!BV34</f>
        <v xml:space="preserve">Oracle GG x86 </v>
      </c>
      <c r="E33" s="270">
        <f>'SW Details'!BW34</f>
        <v>0</v>
      </c>
      <c r="F33" s="270">
        <f>'SW Details'!BX34</f>
        <v>0</v>
      </c>
      <c r="G33" s="250">
        <f ca="1">'SW Details'!BY34</f>
        <v>0</v>
      </c>
      <c r="H33" s="250">
        <f ca="1">'SW Details'!BZ34</f>
        <v>0</v>
      </c>
      <c r="I33" s="250">
        <f ca="1">'SW Details'!CA34</f>
        <v>0</v>
      </c>
      <c r="J33" s="250">
        <f ca="1">'SW Details'!CB34</f>
        <v>0</v>
      </c>
      <c r="K33" s="250">
        <f ca="1">'SW Details'!CC34</f>
        <v>0</v>
      </c>
      <c r="L33" s="250">
        <f ca="1">'SW Details'!CD34</f>
        <v>0</v>
      </c>
      <c r="M33" s="250">
        <f ca="1">'SW Details'!CE34</f>
        <v>0</v>
      </c>
      <c r="N33" s="250">
        <f ca="1">'SW Details'!CF34</f>
        <v>0</v>
      </c>
      <c r="O33" s="250">
        <f ca="1">'SW Details'!CG34</f>
        <v>0</v>
      </c>
      <c r="P33" s="250">
        <f ca="1">'SW Details'!CH34</f>
        <v>0</v>
      </c>
      <c r="Q33" s="250">
        <f ca="1">'SW Details'!CI34</f>
        <v>0</v>
      </c>
      <c r="R33" s="250">
        <f ca="1">'SW Details'!CJ34</f>
        <v>0</v>
      </c>
      <c r="S33" s="250">
        <f ca="1">'SW Details'!CK34</f>
        <v>0</v>
      </c>
      <c r="T33" s="364">
        <f ca="1">SUM(SummarySWYr1[[#This Row],[PROD]:[DEV]])</f>
        <v>0</v>
      </c>
      <c r="V33" s="270" t="str">
        <f>'SW Details'!CN34</f>
        <v xml:space="preserve">Oracle GG x86 </v>
      </c>
      <c r="W33" s="270">
        <f ca="1">'SW Details'!CO34</f>
        <v>0</v>
      </c>
      <c r="X33" s="270">
        <f ca="1">'SW Details'!CP34</f>
        <v>0</v>
      </c>
      <c r="Y33" s="365">
        <f ca="1">'SW Details'!CQ34</f>
        <v>0</v>
      </c>
      <c r="Z33" s="365">
        <f ca="1">'SW Details'!CR34</f>
        <v>0</v>
      </c>
      <c r="AA33" s="365">
        <f ca="1">'SW Details'!CS34</f>
        <v>0</v>
      </c>
      <c r="AB33" s="365">
        <f ca="1">'SW Details'!CT34</f>
        <v>0</v>
      </c>
      <c r="AC33" s="365">
        <f ca="1">'SW Details'!CU34</f>
        <v>0</v>
      </c>
      <c r="AD33" s="365">
        <f ca="1">'SW Details'!CV34</f>
        <v>0</v>
      </c>
      <c r="AE33" s="365">
        <f ca="1">'SW Details'!CW34</f>
        <v>0</v>
      </c>
      <c r="AF33" s="365">
        <f ca="1">'SW Details'!CX34</f>
        <v>0</v>
      </c>
      <c r="AG33" s="365">
        <f ca="1">'SW Details'!CY34</f>
        <v>0</v>
      </c>
      <c r="AH33" s="365">
        <f ca="1">'SW Details'!CZ34</f>
        <v>0</v>
      </c>
      <c r="AI33" s="365">
        <f ca="1">'SW Details'!DA34</f>
        <v>0</v>
      </c>
      <c r="AJ33" s="365">
        <f ca="1">'SW Details'!DB34</f>
        <v>0</v>
      </c>
      <c r="AK33" s="365">
        <f ca="1">'SW Details'!DC34</f>
        <v>0</v>
      </c>
      <c r="AL33" s="364">
        <f ca="1">SUM(SummarySWAfterYr1[[#This Row],[PROD]:[DEV]])</f>
        <v>0</v>
      </c>
    </row>
    <row r="34" spans="1:40">
      <c r="A34" s="281" t="s">
        <v>2285</v>
      </c>
      <c r="B34" s="268">
        <v>0</v>
      </c>
      <c r="C34"/>
      <c r="D34" s="270" t="str">
        <f>'SW Details'!BV35</f>
        <v xml:space="preserve">Oracle GG Veridata pSeries </v>
      </c>
      <c r="E34" s="270">
        <f>'SW Details'!BW35</f>
        <v>0</v>
      </c>
      <c r="F34" s="270">
        <f>'SW Details'!BX35</f>
        <v>0</v>
      </c>
      <c r="G34" s="250">
        <f ca="1">'SW Details'!BY35</f>
        <v>0</v>
      </c>
      <c r="H34" s="250">
        <f ca="1">'SW Details'!BZ35</f>
        <v>0</v>
      </c>
      <c r="I34" s="250">
        <f ca="1">'SW Details'!CA35</f>
        <v>0</v>
      </c>
      <c r="J34" s="250">
        <f ca="1">'SW Details'!CB35</f>
        <v>0</v>
      </c>
      <c r="K34" s="250">
        <f ca="1">'SW Details'!CC35</f>
        <v>0</v>
      </c>
      <c r="L34" s="250">
        <f ca="1">'SW Details'!CD35</f>
        <v>0</v>
      </c>
      <c r="M34" s="250">
        <f ca="1">'SW Details'!CE35</f>
        <v>0</v>
      </c>
      <c r="N34" s="250">
        <f ca="1">'SW Details'!CF35</f>
        <v>0</v>
      </c>
      <c r="O34" s="250">
        <f ca="1">'SW Details'!CG35</f>
        <v>0</v>
      </c>
      <c r="P34" s="250">
        <f ca="1">'SW Details'!CH35</f>
        <v>0</v>
      </c>
      <c r="Q34" s="250">
        <f ca="1">'SW Details'!CI35</f>
        <v>0</v>
      </c>
      <c r="R34" s="250">
        <f ca="1">'SW Details'!CJ35</f>
        <v>0</v>
      </c>
      <c r="S34" s="250">
        <f ca="1">'SW Details'!CK35</f>
        <v>0</v>
      </c>
      <c r="T34" s="364">
        <f ca="1">SUM(SummarySWYr1[[#This Row],[PROD]:[DEV]])</f>
        <v>0</v>
      </c>
      <c r="V34" s="270" t="str">
        <f>'SW Details'!CN35</f>
        <v xml:space="preserve">Oracle GG Veridata pSeries </v>
      </c>
      <c r="W34" s="270">
        <f ca="1">'SW Details'!CO35</f>
        <v>0</v>
      </c>
      <c r="X34" s="270">
        <f ca="1">'SW Details'!CP35</f>
        <v>0</v>
      </c>
      <c r="Y34" s="365">
        <f ca="1">'SW Details'!CQ35</f>
        <v>0</v>
      </c>
      <c r="Z34" s="365">
        <f ca="1">'SW Details'!CR35</f>
        <v>0</v>
      </c>
      <c r="AA34" s="365">
        <f ca="1">'SW Details'!CS35</f>
        <v>0</v>
      </c>
      <c r="AB34" s="365">
        <f ca="1">'SW Details'!CT35</f>
        <v>0</v>
      </c>
      <c r="AC34" s="365">
        <f ca="1">'SW Details'!CU35</f>
        <v>0</v>
      </c>
      <c r="AD34" s="365">
        <f ca="1">'SW Details'!CV35</f>
        <v>0</v>
      </c>
      <c r="AE34" s="365">
        <f ca="1">'SW Details'!CW35</f>
        <v>0</v>
      </c>
      <c r="AF34" s="365">
        <f ca="1">'SW Details'!CX35</f>
        <v>0</v>
      </c>
      <c r="AG34" s="365">
        <f ca="1">'SW Details'!CY35</f>
        <v>0</v>
      </c>
      <c r="AH34" s="365">
        <f ca="1">'SW Details'!CZ35</f>
        <v>0</v>
      </c>
      <c r="AI34" s="365">
        <f ca="1">'SW Details'!DA35</f>
        <v>0</v>
      </c>
      <c r="AJ34" s="365">
        <f ca="1">'SW Details'!DB35</f>
        <v>0</v>
      </c>
      <c r="AK34" s="365">
        <f ca="1">'SW Details'!DC35</f>
        <v>0</v>
      </c>
      <c r="AL34" s="364">
        <f ca="1">SUM(SummarySWAfterYr1[[#This Row],[PROD]:[DEV]])</f>
        <v>0</v>
      </c>
    </row>
    <row r="35" spans="1:40">
      <c r="A35" s="281" t="s">
        <v>2283</v>
      </c>
      <c r="B35" s="268">
        <v>0</v>
      </c>
      <c r="D35" s="270" t="str">
        <f>'SW Details'!BV36</f>
        <v xml:space="preserve">Oracle GG Veridata x86 </v>
      </c>
      <c r="E35" s="270">
        <f>'SW Details'!BW36</f>
        <v>0</v>
      </c>
      <c r="F35" s="270">
        <f>'SW Details'!BX36</f>
        <v>0</v>
      </c>
      <c r="G35" s="250">
        <f ca="1">'SW Details'!BY36</f>
        <v>0</v>
      </c>
      <c r="H35" s="250">
        <f ca="1">'SW Details'!BZ36</f>
        <v>0</v>
      </c>
      <c r="I35" s="250">
        <f ca="1">'SW Details'!CA36</f>
        <v>0</v>
      </c>
      <c r="J35" s="250">
        <f ca="1">'SW Details'!CB36</f>
        <v>0</v>
      </c>
      <c r="K35" s="250">
        <f ca="1">'SW Details'!CC36</f>
        <v>0</v>
      </c>
      <c r="L35" s="250">
        <f ca="1">'SW Details'!CD36</f>
        <v>0</v>
      </c>
      <c r="M35" s="250">
        <f ca="1">'SW Details'!CE36</f>
        <v>0</v>
      </c>
      <c r="N35" s="250">
        <f ca="1">'SW Details'!CF36</f>
        <v>0</v>
      </c>
      <c r="O35" s="250">
        <f ca="1">'SW Details'!CG36</f>
        <v>0</v>
      </c>
      <c r="P35" s="250">
        <f ca="1">'SW Details'!CH36</f>
        <v>0</v>
      </c>
      <c r="Q35" s="250">
        <f ca="1">'SW Details'!CI36</f>
        <v>0</v>
      </c>
      <c r="R35" s="250">
        <f ca="1">'SW Details'!CJ36</f>
        <v>0</v>
      </c>
      <c r="S35" s="250">
        <f ca="1">'SW Details'!CK36</f>
        <v>0</v>
      </c>
      <c r="T35" s="364">
        <f ca="1">SUM(SummarySWYr1[[#This Row],[PROD]:[DEV]])</f>
        <v>0</v>
      </c>
      <c r="V35" s="270" t="str">
        <f>'SW Details'!CN36</f>
        <v xml:space="preserve">Oracle GG Veridata x86 </v>
      </c>
      <c r="W35" s="270">
        <f ca="1">'SW Details'!CO36</f>
        <v>0</v>
      </c>
      <c r="X35" s="270">
        <f ca="1">'SW Details'!CP36</f>
        <v>0</v>
      </c>
      <c r="Y35" s="365">
        <f ca="1">'SW Details'!CQ36</f>
        <v>0</v>
      </c>
      <c r="Z35" s="365">
        <f ca="1">'SW Details'!CR36</f>
        <v>0</v>
      </c>
      <c r="AA35" s="365">
        <f ca="1">'SW Details'!CS36</f>
        <v>0</v>
      </c>
      <c r="AB35" s="365">
        <f ca="1">'SW Details'!CT36</f>
        <v>0</v>
      </c>
      <c r="AC35" s="365">
        <f ca="1">'SW Details'!CU36</f>
        <v>0</v>
      </c>
      <c r="AD35" s="365">
        <f ca="1">'SW Details'!CV36</f>
        <v>0</v>
      </c>
      <c r="AE35" s="365">
        <f ca="1">'SW Details'!CW36</f>
        <v>0</v>
      </c>
      <c r="AF35" s="365">
        <f ca="1">'SW Details'!CX36</f>
        <v>0</v>
      </c>
      <c r="AG35" s="365">
        <f ca="1">'SW Details'!CY36</f>
        <v>0</v>
      </c>
      <c r="AH35" s="365">
        <f ca="1">'SW Details'!CZ36</f>
        <v>0</v>
      </c>
      <c r="AI35" s="365">
        <f ca="1">'SW Details'!DA36</f>
        <v>0</v>
      </c>
      <c r="AJ35" s="365">
        <f ca="1">'SW Details'!DB36</f>
        <v>0</v>
      </c>
      <c r="AK35" s="365">
        <f ca="1">'SW Details'!DC36</f>
        <v>0</v>
      </c>
      <c r="AL35" s="364">
        <f ca="1">SUM(SummarySWAfterYr1[[#This Row],[PROD]:[DEV]])</f>
        <v>0</v>
      </c>
    </row>
    <row r="36" spans="1:40">
      <c r="A36" s="281" t="s">
        <v>2286</v>
      </c>
      <c r="B36" s="268">
        <v>0</v>
      </c>
      <c r="D36" s="270" t="str">
        <f>'SW Details'!BV37</f>
        <v xml:space="preserve">Oracle Partitioning pSeries </v>
      </c>
      <c r="E36" s="270">
        <f>'SW Details'!BW37</f>
        <v>0</v>
      </c>
      <c r="F36" s="270">
        <f>'SW Details'!BX37</f>
        <v>0</v>
      </c>
      <c r="G36" s="250">
        <f ca="1">'SW Details'!BY37</f>
        <v>0</v>
      </c>
      <c r="H36" s="250">
        <f ca="1">'SW Details'!BZ37</f>
        <v>0</v>
      </c>
      <c r="I36" s="250">
        <f ca="1">'SW Details'!CA37</f>
        <v>0</v>
      </c>
      <c r="J36" s="250">
        <f ca="1">'SW Details'!CB37</f>
        <v>0</v>
      </c>
      <c r="K36" s="250">
        <f ca="1">'SW Details'!CC37</f>
        <v>0</v>
      </c>
      <c r="L36" s="250">
        <f ca="1">'SW Details'!CD37</f>
        <v>0</v>
      </c>
      <c r="M36" s="250">
        <f ca="1">'SW Details'!CE37</f>
        <v>0</v>
      </c>
      <c r="N36" s="250">
        <f ca="1">'SW Details'!CF37</f>
        <v>0</v>
      </c>
      <c r="O36" s="250">
        <f ca="1">'SW Details'!CG37</f>
        <v>0</v>
      </c>
      <c r="P36" s="250">
        <f ca="1">'SW Details'!CH37</f>
        <v>0</v>
      </c>
      <c r="Q36" s="250">
        <f ca="1">'SW Details'!CI37</f>
        <v>0</v>
      </c>
      <c r="R36" s="250">
        <f ca="1">'SW Details'!CJ37</f>
        <v>0</v>
      </c>
      <c r="S36" s="250">
        <f ca="1">'SW Details'!CK37</f>
        <v>0</v>
      </c>
      <c r="T36" s="364">
        <f ca="1">SUM(SummarySWYr1[[#This Row],[PROD]:[DEV]])</f>
        <v>0</v>
      </c>
      <c r="V36" s="270" t="str">
        <f>'SW Details'!CN37</f>
        <v xml:space="preserve">Oracle Partitioning pSeries </v>
      </c>
      <c r="W36" s="270">
        <f ca="1">'SW Details'!CO37</f>
        <v>0</v>
      </c>
      <c r="X36" s="270">
        <f ca="1">'SW Details'!CP37</f>
        <v>0</v>
      </c>
      <c r="Y36" s="365">
        <f ca="1">'SW Details'!CQ37</f>
        <v>0</v>
      </c>
      <c r="Z36" s="365">
        <f ca="1">'SW Details'!CR37</f>
        <v>0</v>
      </c>
      <c r="AA36" s="365">
        <f ca="1">'SW Details'!CS37</f>
        <v>0</v>
      </c>
      <c r="AB36" s="365">
        <f ca="1">'SW Details'!CT37</f>
        <v>0</v>
      </c>
      <c r="AC36" s="365">
        <f ca="1">'SW Details'!CU37</f>
        <v>0</v>
      </c>
      <c r="AD36" s="365">
        <f ca="1">'SW Details'!CV37</f>
        <v>0</v>
      </c>
      <c r="AE36" s="365">
        <f ca="1">'SW Details'!CW37</f>
        <v>0</v>
      </c>
      <c r="AF36" s="365">
        <f ca="1">'SW Details'!CX37</f>
        <v>0</v>
      </c>
      <c r="AG36" s="365">
        <f ca="1">'SW Details'!CY37</f>
        <v>0</v>
      </c>
      <c r="AH36" s="365">
        <f ca="1">'SW Details'!CZ37</f>
        <v>0</v>
      </c>
      <c r="AI36" s="365">
        <f ca="1">'SW Details'!DA37</f>
        <v>0</v>
      </c>
      <c r="AJ36" s="365">
        <f ca="1">'SW Details'!DB37</f>
        <v>0</v>
      </c>
      <c r="AK36" s="365">
        <f ca="1">'SW Details'!DC37</f>
        <v>0</v>
      </c>
      <c r="AL36" s="364">
        <f ca="1">SUM(SummarySWAfterYr1[[#This Row],[PROD]:[DEV]])</f>
        <v>0</v>
      </c>
    </row>
    <row r="37" spans="1:40">
      <c r="A37" s="281" t="s">
        <v>2287</v>
      </c>
      <c r="B37" s="268">
        <v>0</v>
      </c>
      <c r="D37" s="270" t="str">
        <f>'SW Details'!BV38</f>
        <v xml:space="preserve">Oracle Partitioning x86 </v>
      </c>
      <c r="E37" s="270">
        <f>'SW Details'!BW38</f>
        <v>0</v>
      </c>
      <c r="F37" s="270">
        <f>'SW Details'!BX38</f>
        <v>0</v>
      </c>
      <c r="G37" s="250">
        <f ca="1">'SW Details'!BY38</f>
        <v>0</v>
      </c>
      <c r="H37" s="250">
        <f ca="1">'SW Details'!BZ38</f>
        <v>0</v>
      </c>
      <c r="I37" s="250">
        <f ca="1">'SW Details'!CA38</f>
        <v>0</v>
      </c>
      <c r="J37" s="250">
        <f ca="1">'SW Details'!CB38</f>
        <v>0</v>
      </c>
      <c r="K37" s="250">
        <f ca="1">'SW Details'!CC38</f>
        <v>0</v>
      </c>
      <c r="L37" s="250">
        <f ca="1">'SW Details'!CD38</f>
        <v>0</v>
      </c>
      <c r="M37" s="250">
        <f ca="1">'SW Details'!CE38</f>
        <v>0</v>
      </c>
      <c r="N37" s="250">
        <f ca="1">'SW Details'!CF38</f>
        <v>0</v>
      </c>
      <c r="O37" s="250">
        <f ca="1">'SW Details'!CG38</f>
        <v>0</v>
      </c>
      <c r="P37" s="250">
        <f ca="1">'SW Details'!CH38</f>
        <v>0</v>
      </c>
      <c r="Q37" s="250">
        <f ca="1">'SW Details'!CI38</f>
        <v>0</v>
      </c>
      <c r="R37" s="250">
        <f ca="1">'SW Details'!CJ38</f>
        <v>0</v>
      </c>
      <c r="S37" s="250">
        <f ca="1">'SW Details'!CK38</f>
        <v>0</v>
      </c>
      <c r="T37" s="364">
        <f ca="1">SUM(SummarySWYr1[[#This Row],[PROD]:[DEV]])</f>
        <v>0</v>
      </c>
      <c r="V37" s="270" t="str">
        <f>'SW Details'!CN38</f>
        <v xml:space="preserve">Oracle Partitioning x86 </v>
      </c>
      <c r="W37" s="270">
        <f ca="1">'SW Details'!CO38</f>
        <v>0</v>
      </c>
      <c r="X37" s="270">
        <f ca="1">'SW Details'!CP38</f>
        <v>0</v>
      </c>
      <c r="Y37" s="365">
        <f ca="1">'SW Details'!CQ38</f>
        <v>0</v>
      </c>
      <c r="Z37" s="365">
        <f ca="1">'SW Details'!CR38</f>
        <v>0</v>
      </c>
      <c r="AA37" s="365">
        <f ca="1">'SW Details'!CS38</f>
        <v>0</v>
      </c>
      <c r="AB37" s="365">
        <f ca="1">'SW Details'!CT38</f>
        <v>0</v>
      </c>
      <c r="AC37" s="365">
        <f ca="1">'SW Details'!CU38</f>
        <v>0</v>
      </c>
      <c r="AD37" s="365">
        <f ca="1">'SW Details'!CV38</f>
        <v>0</v>
      </c>
      <c r="AE37" s="365">
        <f ca="1">'SW Details'!CW38</f>
        <v>0</v>
      </c>
      <c r="AF37" s="365">
        <f ca="1">'SW Details'!CX38</f>
        <v>0</v>
      </c>
      <c r="AG37" s="365">
        <f ca="1">'SW Details'!CY38</f>
        <v>0</v>
      </c>
      <c r="AH37" s="365">
        <f ca="1">'SW Details'!CZ38</f>
        <v>0</v>
      </c>
      <c r="AI37" s="365">
        <f ca="1">'SW Details'!DA38</f>
        <v>0</v>
      </c>
      <c r="AJ37" s="365">
        <f ca="1">'SW Details'!DB38</f>
        <v>0</v>
      </c>
      <c r="AK37" s="365">
        <f ca="1">'SW Details'!DC38</f>
        <v>0</v>
      </c>
      <c r="AL37" s="364">
        <f ca="1">SUM(SummarySWAfterYr1[[#This Row],[PROD]:[DEV]])</f>
        <v>0</v>
      </c>
    </row>
    <row r="38" spans="1:40">
      <c r="A38" s="281" t="s">
        <v>2289</v>
      </c>
      <c r="B38" s="268">
        <v>0</v>
      </c>
      <c r="D38" s="270" t="str">
        <f>'SW Details'!BV39</f>
        <v xml:space="preserve">Oracle RAC x86 </v>
      </c>
      <c r="E38" s="270">
        <f>'SW Details'!BW39</f>
        <v>0</v>
      </c>
      <c r="F38" s="270">
        <f>'SW Details'!BX39</f>
        <v>0</v>
      </c>
      <c r="G38" s="250">
        <f ca="1">'SW Details'!BY39</f>
        <v>68986.559999999998</v>
      </c>
      <c r="H38" s="250">
        <f ca="1">'SW Details'!BZ39</f>
        <v>68986.559999999998</v>
      </c>
      <c r="I38" s="250">
        <f ca="1">'SW Details'!CA39</f>
        <v>0</v>
      </c>
      <c r="J38" s="250">
        <f ca="1">'SW Details'!CB39</f>
        <v>0</v>
      </c>
      <c r="K38" s="250">
        <f ca="1">'SW Details'!CC39</f>
        <v>0</v>
      </c>
      <c r="L38" s="250">
        <f ca="1">'SW Details'!CD39</f>
        <v>0</v>
      </c>
      <c r="M38" s="250">
        <f ca="1">'SW Details'!CE39</f>
        <v>0</v>
      </c>
      <c r="N38" s="250">
        <f ca="1">'SW Details'!CF39</f>
        <v>68986.559999999998</v>
      </c>
      <c r="O38" s="250">
        <f ca="1">'SW Details'!CG39</f>
        <v>0</v>
      </c>
      <c r="P38" s="250">
        <f ca="1">'SW Details'!CH39</f>
        <v>0</v>
      </c>
      <c r="Q38" s="250">
        <f ca="1">'SW Details'!CI39</f>
        <v>0</v>
      </c>
      <c r="R38" s="250">
        <f ca="1">'SW Details'!CJ39</f>
        <v>0</v>
      </c>
      <c r="S38" s="250">
        <f ca="1">'SW Details'!CK39</f>
        <v>0</v>
      </c>
      <c r="T38" s="364">
        <f ca="1">SUM(SummarySWYr1[[#This Row],[PROD]:[DEV]])</f>
        <v>206959.68</v>
      </c>
      <c r="V38" s="270" t="str">
        <f>'SW Details'!CN39</f>
        <v xml:space="preserve">Oracle RAC x86 </v>
      </c>
      <c r="W38" s="270">
        <f ca="1">'SW Details'!CO39</f>
        <v>68986.559999999998</v>
      </c>
      <c r="X38" s="270">
        <f ca="1">'SW Details'!CP39</f>
        <v>68986.559999999998</v>
      </c>
      <c r="Y38" s="365">
        <f ca="1">'SW Details'!CQ39</f>
        <v>12079.36</v>
      </c>
      <c r="Z38" s="365">
        <f ca="1">'SW Details'!CR39</f>
        <v>12079.36</v>
      </c>
      <c r="AA38" s="365">
        <f ca="1">'SW Details'!CS39</f>
        <v>0</v>
      </c>
      <c r="AB38" s="365">
        <f ca="1">'SW Details'!CT39</f>
        <v>0</v>
      </c>
      <c r="AC38" s="365">
        <f ca="1">'SW Details'!CU39</f>
        <v>0</v>
      </c>
      <c r="AD38" s="365">
        <f ca="1">'SW Details'!CV39</f>
        <v>0</v>
      </c>
      <c r="AE38" s="365">
        <f ca="1">'SW Details'!CW39</f>
        <v>0</v>
      </c>
      <c r="AF38" s="365">
        <f ca="1">'SW Details'!CX39</f>
        <v>12079.36</v>
      </c>
      <c r="AG38" s="365">
        <f ca="1">'SW Details'!CY39</f>
        <v>0</v>
      </c>
      <c r="AH38" s="365">
        <f ca="1">'SW Details'!CZ39</f>
        <v>0</v>
      </c>
      <c r="AI38" s="365">
        <f ca="1">'SW Details'!DA39</f>
        <v>0</v>
      </c>
      <c r="AJ38" s="365">
        <f ca="1">'SW Details'!DB39</f>
        <v>0</v>
      </c>
      <c r="AK38" s="365">
        <f ca="1">'SW Details'!DC39</f>
        <v>0</v>
      </c>
      <c r="AL38" s="364">
        <f ca="1">SUM(SummarySWAfterYr1[[#This Row],[PROD]:[DEV]])</f>
        <v>36238.080000000002</v>
      </c>
    </row>
    <row r="39" spans="1:40">
      <c r="A39" s="281" t="s">
        <v>2288</v>
      </c>
      <c r="B39" s="268">
        <v>206959.68</v>
      </c>
      <c r="D39" s="270" t="str">
        <f>'SW Details'!BV40</f>
        <v xml:space="preserve">Oracle RAC pSeries </v>
      </c>
      <c r="E39" s="270">
        <f>'SW Details'!BW40</f>
        <v>4</v>
      </c>
      <c r="F39" s="270">
        <f>'SW Details'!BX40</f>
        <v>0</v>
      </c>
      <c r="G39" s="250">
        <f ca="1">'SW Details'!BY40</f>
        <v>0</v>
      </c>
      <c r="H39" s="250">
        <f ca="1">'SW Details'!BZ40</f>
        <v>0</v>
      </c>
      <c r="I39" s="250">
        <f ca="1">'SW Details'!CA40</f>
        <v>0</v>
      </c>
      <c r="J39" s="250">
        <f ca="1">'SW Details'!CB40</f>
        <v>0</v>
      </c>
      <c r="K39" s="250">
        <f ca="1">'SW Details'!CC40</f>
        <v>0</v>
      </c>
      <c r="L39" s="250">
        <f ca="1">'SW Details'!CD40</f>
        <v>0</v>
      </c>
      <c r="M39" s="250">
        <f ca="1">'SW Details'!CE40</f>
        <v>0</v>
      </c>
      <c r="N39" s="250">
        <f ca="1">'SW Details'!CF40</f>
        <v>0</v>
      </c>
      <c r="O39" s="250">
        <f ca="1">'SW Details'!CG40</f>
        <v>0</v>
      </c>
      <c r="P39" s="250">
        <f ca="1">'SW Details'!CH40</f>
        <v>0</v>
      </c>
      <c r="Q39" s="250">
        <f ca="1">'SW Details'!CI40</f>
        <v>0</v>
      </c>
      <c r="R39" s="250">
        <f ca="1">'SW Details'!CJ40</f>
        <v>0</v>
      </c>
      <c r="S39" s="250">
        <f ca="1">'SW Details'!CK40</f>
        <v>0</v>
      </c>
      <c r="T39" s="364">
        <f ca="1">SUM(SummarySWYr1[[#This Row],[PROD]:[DEV]])</f>
        <v>0</v>
      </c>
      <c r="V39" s="270" t="str">
        <f>'SW Details'!CN40</f>
        <v xml:space="preserve">Oracle RAC pSeries </v>
      </c>
      <c r="W39" s="270">
        <f ca="1">'SW Details'!CO40</f>
        <v>0</v>
      </c>
      <c r="X39" s="270">
        <f ca="1">'SW Details'!CP40</f>
        <v>0</v>
      </c>
      <c r="Y39" s="365">
        <f ca="1">'SW Details'!CQ40</f>
        <v>0</v>
      </c>
      <c r="Z39" s="365">
        <f ca="1">'SW Details'!CR40</f>
        <v>0</v>
      </c>
      <c r="AA39" s="365">
        <f ca="1">'SW Details'!CS40</f>
        <v>0</v>
      </c>
      <c r="AB39" s="365">
        <f ca="1">'SW Details'!CT40</f>
        <v>0</v>
      </c>
      <c r="AC39" s="365">
        <f ca="1">'SW Details'!CU40</f>
        <v>0</v>
      </c>
      <c r="AD39" s="365">
        <f ca="1">'SW Details'!CV40</f>
        <v>0</v>
      </c>
      <c r="AE39" s="365">
        <f ca="1">'SW Details'!CW40</f>
        <v>0</v>
      </c>
      <c r="AF39" s="365">
        <f ca="1">'SW Details'!CX40</f>
        <v>0</v>
      </c>
      <c r="AG39" s="365">
        <f ca="1">'SW Details'!CY40</f>
        <v>0</v>
      </c>
      <c r="AH39" s="365">
        <f ca="1">'SW Details'!CZ40</f>
        <v>0</v>
      </c>
      <c r="AI39" s="365">
        <f ca="1">'SW Details'!DA40</f>
        <v>0</v>
      </c>
      <c r="AJ39" s="365">
        <f ca="1">'SW Details'!DB40</f>
        <v>0</v>
      </c>
      <c r="AK39" s="365">
        <f ca="1">'SW Details'!DC40</f>
        <v>0</v>
      </c>
      <c r="AL39" s="364">
        <f ca="1">SUM(SummarySWAfterYr1[[#This Row],[PROD]:[DEV]])</f>
        <v>0</v>
      </c>
    </row>
    <row r="40" spans="1:40">
      <c r="A40" s="281" t="s">
        <v>2291</v>
      </c>
      <c r="B40" s="268">
        <v>0</v>
      </c>
      <c r="D40" s="270" t="str">
        <f>'SW Details'!BV41</f>
        <v xml:space="preserve">Oracle Spatial x86 </v>
      </c>
      <c r="E40" s="270">
        <f>'SW Details'!BW41</f>
        <v>0</v>
      </c>
      <c r="F40" s="270">
        <f>'SW Details'!BX41</f>
        <v>0</v>
      </c>
      <c r="G40" s="250">
        <f ca="1">'SW Details'!BY41</f>
        <v>0</v>
      </c>
      <c r="H40" s="250">
        <f ca="1">'SW Details'!BZ41</f>
        <v>0</v>
      </c>
      <c r="I40" s="250">
        <f ca="1">'SW Details'!CA41</f>
        <v>0</v>
      </c>
      <c r="J40" s="250">
        <f ca="1">'SW Details'!CB41</f>
        <v>0</v>
      </c>
      <c r="K40" s="250">
        <f ca="1">'SW Details'!CC41</f>
        <v>0</v>
      </c>
      <c r="L40" s="250">
        <f ca="1">'SW Details'!CD41</f>
        <v>0</v>
      </c>
      <c r="M40" s="250">
        <f ca="1">'SW Details'!CE41</f>
        <v>0</v>
      </c>
      <c r="N40" s="250">
        <f ca="1">'SW Details'!CF41</f>
        <v>0</v>
      </c>
      <c r="O40" s="250">
        <f ca="1">'SW Details'!CG41</f>
        <v>0</v>
      </c>
      <c r="P40" s="250">
        <f ca="1">'SW Details'!CH41</f>
        <v>0</v>
      </c>
      <c r="Q40" s="250">
        <f ca="1">'SW Details'!CI41</f>
        <v>0</v>
      </c>
      <c r="R40" s="250">
        <f ca="1">'SW Details'!CJ41</f>
        <v>0</v>
      </c>
      <c r="S40" s="250">
        <f ca="1">'SW Details'!CK41</f>
        <v>0</v>
      </c>
      <c r="T40" s="364">
        <f ca="1">SUM(SummarySWYr1[[#This Row],[PROD]:[DEV]])</f>
        <v>0</v>
      </c>
      <c r="V40" s="270" t="str">
        <f>'SW Details'!CN41</f>
        <v xml:space="preserve">Oracle Spatial x86 </v>
      </c>
      <c r="W40" s="270">
        <f ca="1">'SW Details'!CO41</f>
        <v>0</v>
      </c>
      <c r="X40" s="270">
        <f ca="1">'SW Details'!CP41</f>
        <v>0</v>
      </c>
      <c r="Y40" s="365">
        <f ca="1">'SW Details'!CQ41</f>
        <v>0</v>
      </c>
      <c r="Z40" s="365">
        <f ca="1">'SW Details'!CR41</f>
        <v>0</v>
      </c>
      <c r="AA40" s="365">
        <f ca="1">'SW Details'!CS41</f>
        <v>0</v>
      </c>
      <c r="AB40" s="365">
        <f ca="1">'SW Details'!CT41</f>
        <v>0</v>
      </c>
      <c r="AC40" s="365">
        <f ca="1">'SW Details'!CU41</f>
        <v>0</v>
      </c>
      <c r="AD40" s="365">
        <f ca="1">'SW Details'!CV41</f>
        <v>0</v>
      </c>
      <c r="AE40" s="365">
        <f ca="1">'SW Details'!CW41</f>
        <v>0</v>
      </c>
      <c r="AF40" s="365">
        <f ca="1">'SW Details'!CX41</f>
        <v>0</v>
      </c>
      <c r="AG40" s="365">
        <f ca="1">'SW Details'!CY41</f>
        <v>0</v>
      </c>
      <c r="AH40" s="365">
        <f ca="1">'SW Details'!CZ41</f>
        <v>0</v>
      </c>
      <c r="AI40" s="365">
        <f ca="1">'SW Details'!DA41</f>
        <v>0</v>
      </c>
      <c r="AJ40" s="365">
        <f ca="1">'SW Details'!DB41</f>
        <v>0</v>
      </c>
      <c r="AK40" s="365">
        <f ca="1">'SW Details'!DC41</f>
        <v>0</v>
      </c>
      <c r="AL40" s="364">
        <f ca="1">SUM(SummarySWAfterYr1[[#This Row],[PROD]:[DEV]])</f>
        <v>0</v>
      </c>
    </row>
    <row r="41" spans="1:40">
      <c r="A41" s="281" t="s">
        <v>2290</v>
      </c>
      <c r="B41" s="268">
        <v>0</v>
      </c>
      <c r="D41" s="270" t="str">
        <f>'SW Details'!BV42</f>
        <v xml:space="preserve">Oracle Spatial pSeries </v>
      </c>
      <c r="E41" s="270">
        <f>'SW Details'!BW42</f>
        <v>0</v>
      </c>
      <c r="F41" s="270">
        <f>'SW Details'!BX42</f>
        <v>0</v>
      </c>
      <c r="G41" s="250">
        <f ca="1">'SW Details'!BY42</f>
        <v>0</v>
      </c>
      <c r="H41" s="250">
        <f ca="1">'SW Details'!BZ42</f>
        <v>0</v>
      </c>
      <c r="I41" s="250">
        <f ca="1">'SW Details'!CA42</f>
        <v>0</v>
      </c>
      <c r="J41" s="250">
        <f ca="1">'SW Details'!CB42</f>
        <v>0</v>
      </c>
      <c r="K41" s="250">
        <f ca="1">'SW Details'!CC42</f>
        <v>0</v>
      </c>
      <c r="L41" s="250">
        <f ca="1">'SW Details'!CD42</f>
        <v>0</v>
      </c>
      <c r="M41" s="250">
        <f ca="1">'SW Details'!CE42</f>
        <v>0</v>
      </c>
      <c r="N41" s="250">
        <f ca="1">'SW Details'!CF42</f>
        <v>0</v>
      </c>
      <c r="O41" s="250">
        <f ca="1">'SW Details'!CG42</f>
        <v>0</v>
      </c>
      <c r="P41" s="250">
        <f ca="1">'SW Details'!CH42</f>
        <v>0</v>
      </c>
      <c r="Q41" s="250">
        <f ca="1">'SW Details'!CI42</f>
        <v>0</v>
      </c>
      <c r="R41" s="250">
        <f ca="1">'SW Details'!CJ42</f>
        <v>0</v>
      </c>
      <c r="S41" s="250">
        <f ca="1">'SW Details'!CK42</f>
        <v>0</v>
      </c>
      <c r="T41" s="364">
        <f ca="1">SUM(SummarySWYr1[[#This Row],[PROD]:[DEV]])</f>
        <v>0</v>
      </c>
      <c r="V41" s="270" t="str">
        <f>'SW Details'!CN42</f>
        <v xml:space="preserve">Oracle Spatial pSeries </v>
      </c>
      <c r="W41" s="270">
        <f ca="1">'SW Details'!CO42</f>
        <v>0</v>
      </c>
      <c r="X41" s="270">
        <f ca="1">'SW Details'!CP42</f>
        <v>0</v>
      </c>
      <c r="Y41" s="365">
        <f ca="1">'SW Details'!CQ42</f>
        <v>0</v>
      </c>
      <c r="Z41" s="365">
        <f ca="1">'SW Details'!CR42</f>
        <v>0</v>
      </c>
      <c r="AA41" s="365">
        <f ca="1">'SW Details'!CS42</f>
        <v>0</v>
      </c>
      <c r="AB41" s="365">
        <f ca="1">'SW Details'!CT42</f>
        <v>0</v>
      </c>
      <c r="AC41" s="365">
        <f ca="1">'SW Details'!CU42</f>
        <v>0</v>
      </c>
      <c r="AD41" s="365">
        <f ca="1">'SW Details'!CV42</f>
        <v>0</v>
      </c>
      <c r="AE41" s="365">
        <f ca="1">'SW Details'!CW42</f>
        <v>0</v>
      </c>
      <c r="AF41" s="365">
        <f ca="1">'SW Details'!CX42</f>
        <v>0</v>
      </c>
      <c r="AG41" s="365">
        <f ca="1">'SW Details'!CY42</f>
        <v>0</v>
      </c>
      <c r="AH41" s="365">
        <f ca="1">'SW Details'!CZ42</f>
        <v>0</v>
      </c>
      <c r="AI41" s="365">
        <f ca="1">'SW Details'!DA42</f>
        <v>0</v>
      </c>
      <c r="AJ41" s="365">
        <f ca="1">'SW Details'!DB42</f>
        <v>0</v>
      </c>
      <c r="AK41" s="365">
        <f ca="1">'SW Details'!DC42</f>
        <v>0</v>
      </c>
      <c r="AL41" s="364">
        <f ca="1">SUM(SummarySWAfterYr1[[#This Row],[PROD]:[DEV]])</f>
        <v>0</v>
      </c>
      <c r="AN41" s="262"/>
    </row>
    <row r="42" spans="1:40">
      <c r="A42" s="281" t="s">
        <v>492</v>
      </c>
      <c r="B42" s="268">
        <v>0</v>
      </c>
      <c r="D42" s="270" t="str">
        <f>'SW Details'!BV43</f>
        <v xml:space="preserve">Oracle Standalone </v>
      </c>
      <c r="E42" s="270">
        <f>'SW Details'!BW43</f>
        <v>0</v>
      </c>
      <c r="F42" s="270">
        <f>'SW Details'!BX43</f>
        <v>0</v>
      </c>
      <c r="G42" s="250">
        <f ca="1">'SW Details'!BY43</f>
        <v>0</v>
      </c>
      <c r="H42" s="250">
        <f ca="1">'SW Details'!BZ43</f>
        <v>0</v>
      </c>
      <c r="I42" s="250">
        <f ca="1">'SW Details'!CA43</f>
        <v>0</v>
      </c>
      <c r="J42" s="250">
        <f ca="1">'SW Details'!CB43</f>
        <v>0</v>
      </c>
      <c r="K42" s="250">
        <f ca="1">'SW Details'!CC43</f>
        <v>0</v>
      </c>
      <c r="L42" s="250">
        <f ca="1">'SW Details'!CD43</f>
        <v>0</v>
      </c>
      <c r="M42" s="250">
        <f ca="1">'SW Details'!CE43</f>
        <v>0</v>
      </c>
      <c r="N42" s="250">
        <f ca="1">'SW Details'!CF43</f>
        <v>0</v>
      </c>
      <c r="O42" s="250">
        <f ca="1">'SW Details'!CG43</f>
        <v>0</v>
      </c>
      <c r="P42" s="250">
        <f ca="1">'SW Details'!CH43</f>
        <v>0</v>
      </c>
      <c r="Q42" s="250">
        <f ca="1">'SW Details'!CI43</f>
        <v>0</v>
      </c>
      <c r="R42" s="250">
        <f ca="1">'SW Details'!CJ43</f>
        <v>0</v>
      </c>
      <c r="S42" s="250">
        <f ca="1">'SW Details'!CK43</f>
        <v>0</v>
      </c>
      <c r="T42" s="364">
        <f ca="1">SUM(SummarySWYr1[[#This Row],[PROD]:[DEV]])</f>
        <v>0</v>
      </c>
      <c r="V42" s="270" t="str">
        <f>'SW Details'!CN43</f>
        <v xml:space="preserve">Oracle Standalone </v>
      </c>
      <c r="W42" s="270">
        <f ca="1">'SW Details'!CO43</f>
        <v>0</v>
      </c>
      <c r="X42" s="270">
        <f ca="1">'SW Details'!CP43</f>
        <v>0</v>
      </c>
      <c r="Y42" s="365">
        <f ca="1">'SW Details'!CQ43</f>
        <v>0</v>
      </c>
      <c r="Z42" s="365">
        <f ca="1">'SW Details'!CR43</f>
        <v>0</v>
      </c>
      <c r="AA42" s="365">
        <f ca="1">'SW Details'!CS43</f>
        <v>0</v>
      </c>
      <c r="AB42" s="365">
        <f ca="1">'SW Details'!CT43</f>
        <v>0</v>
      </c>
      <c r="AC42" s="365">
        <f ca="1">'SW Details'!CU43</f>
        <v>0</v>
      </c>
      <c r="AD42" s="365">
        <f ca="1">'SW Details'!CV43</f>
        <v>0</v>
      </c>
      <c r="AE42" s="365">
        <f ca="1">'SW Details'!CW43</f>
        <v>0</v>
      </c>
      <c r="AF42" s="365">
        <f ca="1">'SW Details'!CX43</f>
        <v>0</v>
      </c>
      <c r="AG42" s="365">
        <f ca="1">'SW Details'!CY43</f>
        <v>0</v>
      </c>
      <c r="AH42" s="365">
        <f ca="1">'SW Details'!CZ43</f>
        <v>0</v>
      </c>
      <c r="AI42" s="365">
        <f ca="1">'SW Details'!DA43</f>
        <v>0</v>
      </c>
      <c r="AJ42" s="365">
        <f ca="1">'SW Details'!DB43</f>
        <v>0</v>
      </c>
      <c r="AK42" s="365">
        <f ca="1">'SW Details'!DC43</f>
        <v>0</v>
      </c>
      <c r="AL42" s="364">
        <f ca="1">SUM(SummarySWAfterYr1[[#This Row],[PROD]:[DEV]])</f>
        <v>0</v>
      </c>
      <c r="AN42" s="262"/>
    </row>
    <row r="43" spans="1:40">
      <c r="A43" s="281" t="s">
        <v>2293</v>
      </c>
      <c r="B43" s="268">
        <v>0</v>
      </c>
      <c r="D43" s="270" t="str">
        <f>'SW Details'!BV44</f>
        <v xml:space="preserve">Oracle WebLogic x86 </v>
      </c>
      <c r="E43" s="270">
        <f>'SW Details'!BW44</f>
        <v>0</v>
      </c>
      <c r="F43" s="270">
        <f>'SW Details'!BX44</f>
        <v>0</v>
      </c>
      <c r="G43" s="250">
        <f ca="1">'SW Details'!BY44</f>
        <v>0</v>
      </c>
      <c r="H43" s="250">
        <f ca="1">'SW Details'!BZ44</f>
        <v>0</v>
      </c>
      <c r="I43" s="250">
        <f ca="1">'SW Details'!CA44</f>
        <v>0</v>
      </c>
      <c r="J43" s="250">
        <f ca="1">'SW Details'!CB44</f>
        <v>0</v>
      </c>
      <c r="K43" s="250">
        <f ca="1">'SW Details'!CC44</f>
        <v>0</v>
      </c>
      <c r="L43" s="250">
        <f ca="1">'SW Details'!CD44</f>
        <v>0</v>
      </c>
      <c r="M43" s="250">
        <f ca="1">'SW Details'!CE44</f>
        <v>0</v>
      </c>
      <c r="N43" s="250">
        <f ca="1">'SW Details'!CF44</f>
        <v>0</v>
      </c>
      <c r="O43" s="250">
        <f ca="1">'SW Details'!CG44</f>
        <v>0</v>
      </c>
      <c r="P43" s="250">
        <f ca="1">'SW Details'!CH44</f>
        <v>0</v>
      </c>
      <c r="Q43" s="250">
        <f ca="1">'SW Details'!CI44</f>
        <v>0</v>
      </c>
      <c r="R43" s="250">
        <f ca="1">'SW Details'!CJ44</f>
        <v>0</v>
      </c>
      <c r="S43" s="250">
        <f ca="1">'SW Details'!CK44</f>
        <v>0</v>
      </c>
      <c r="T43" s="364">
        <f ca="1">SUM(SummarySWYr1[[#This Row],[PROD]:[DEV]])</f>
        <v>0</v>
      </c>
      <c r="V43" s="270" t="str">
        <f>'SW Details'!CN44</f>
        <v xml:space="preserve">Oracle WebLogic x86 </v>
      </c>
      <c r="W43" s="270">
        <f ca="1">'SW Details'!CO44</f>
        <v>0</v>
      </c>
      <c r="X43" s="270">
        <f ca="1">'SW Details'!CP44</f>
        <v>0</v>
      </c>
      <c r="Y43" s="365">
        <f ca="1">'SW Details'!CQ44</f>
        <v>0</v>
      </c>
      <c r="Z43" s="365">
        <f ca="1">'SW Details'!CR44</f>
        <v>0</v>
      </c>
      <c r="AA43" s="365">
        <f ca="1">'SW Details'!CS44</f>
        <v>0</v>
      </c>
      <c r="AB43" s="365">
        <f ca="1">'SW Details'!CT44</f>
        <v>0</v>
      </c>
      <c r="AC43" s="365">
        <f ca="1">'SW Details'!CU44</f>
        <v>0</v>
      </c>
      <c r="AD43" s="365">
        <f ca="1">'SW Details'!CV44</f>
        <v>0</v>
      </c>
      <c r="AE43" s="365">
        <f ca="1">'SW Details'!CW44</f>
        <v>0</v>
      </c>
      <c r="AF43" s="365">
        <f ca="1">'SW Details'!CX44</f>
        <v>0</v>
      </c>
      <c r="AG43" s="365">
        <f ca="1">'SW Details'!CY44</f>
        <v>0</v>
      </c>
      <c r="AH43" s="365">
        <f ca="1">'SW Details'!CZ44</f>
        <v>0</v>
      </c>
      <c r="AI43" s="365">
        <f ca="1">'SW Details'!DA44</f>
        <v>0</v>
      </c>
      <c r="AJ43" s="365">
        <f ca="1">'SW Details'!DB44</f>
        <v>0</v>
      </c>
      <c r="AK43" s="365">
        <f ca="1">'SW Details'!DC44</f>
        <v>0</v>
      </c>
      <c r="AL43" s="364">
        <f ca="1">SUM(SummarySWAfterYr1[[#This Row],[PROD]:[DEV]])</f>
        <v>0</v>
      </c>
      <c r="AN43" s="262"/>
    </row>
    <row r="44" spans="1:40">
      <c r="A44" s="281" t="s">
        <v>2292</v>
      </c>
      <c r="B44" s="268">
        <v>0</v>
      </c>
      <c r="D44" s="270" t="str">
        <f>'SW Details'!BV45</f>
        <v xml:space="preserve">Oracle WebLogic pSeries </v>
      </c>
      <c r="E44" s="270">
        <f>'SW Details'!BW45</f>
        <v>0</v>
      </c>
      <c r="F44" s="270">
        <f>'SW Details'!BX45</f>
        <v>0</v>
      </c>
      <c r="G44" s="250">
        <f ca="1">'SW Details'!BY45</f>
        <v>0</v>
      </c>
      <c r="H44" s="250">
        <f ca="1">'SW Details'!BZ45</f>
        <v>0</v>
      </c>
      <c r="I44" s="250">
        <f ca="1">'SW Details'!CA45</f>
        <v>0</v>
      </c>
      <c r="J44" s="250">
        <f ca="1">'SW Details'!CB45</f>
        <v>0</v>
      </c>
      <c r="K44" s="250">
        <f ca="1">'SW Details'!CC45</f>
        <v>0</v>
      </c>
      <c r="L44" s="250">
        <f ca="1">'SW Details'!CD45</f>
        <v>0</v>
      </c>
      <c r="M44" s="250">
        <f ca="1">'SW Details'!CE45</f>
        <v>0</v>
      </c>
      <c r="N44" s="250">
        <f ca="1">'SW Details'!CF45</f>
        <v>0</v>
      </c>
      <c r="O44" s="250">
        <f ca="1">'SW Details'!CG45</f>
        <v>0</v>
      </c>
      <c r="P44" s="250">
        <f ca="1">'SW Details'!CH45</f>
        <v>0</v>
      </c>
      <c r="Q44" s="250">
        <f ca="1">'SW Details'!CI45</f>
        <v>0</v>
      </c>
      <c r="R44" s="250">
        <f ca="1">'SW Details'!CJ45</f>
        <v>0</v>
      </c>
      <c r="S44" s="250">
        <f ca="1">'SW Details'!CK45</f>
        <v>0</v>
      </c>
      <c r="T44" s="364">
        <f ca="1">SUM(SummarySWYr1[[#This Row],[PROD]:[DEV]])</f>
        <v>0</v>
      </c>
      <c r="V44" s="270" t="str">
        <f>'SW Details'!CN45</f>
        <v xml:space="preserve">Oracle WebLogic pSeries </v>
      </c>
      <c r="W44" s="270">
        <f ca="1">'SW Details'!CO45</f>
        <v>0</v>
      </c>
      <c r="X44" s="270">
        <f ca="1">'SW Details'!CP45</f>
        <v>0</v>
      </c>
      <c r="Y44" s="365">
        <f ca="1">'SW Details'!CQ45</f>
        <v>0</v>
      </c>
      <c r="Z44" s="365">
        <f ca="1">'SW Details'!CR45</f>
        <v>0</v>
      </c>
      <c r="AA44" s="365">
        <f ca="1">'SW Details'!CS45</f>
        <v>0</v>
      </c>
      <c r="AB44" s="365">
        <f ca="1">'SW Details'!CT45</f>
        <v>0</v>
      </c>
      <c r="AC44" s="365">
        <f ca="1">'SW Details'!CU45</f>
        <v>0</v>
      </c>
      <c r="AD44" s="365">
        <f ca="1">'SW Details'!CV45</f>
        <v>0</v>
      </c>
      <c r="AE44" s="365">
        <f ca="1">'SW Details'!CW45</f>
        <v>0</v>
      </c>
      <c r="AF44" s="365">
        <f ca="1">'SW Details'!CX45</f>
        <v>0</v>
      </c>
      <c r="AG44" s="365">
        <f ca="1">'SW Details'!CY45</f>
        <v>0</v>
      </c>
      <c r="AH44" s="365">
        <f ca="1">'SW Details'!CZ45</f>
        <v>0</v>
      </c>
      <c r="AI44" s="365">
        <f ca="1">'SW Details'!DA45</f>
        <v>0</v>
      </c>
      <c r="AJ44" s="365">
        <f ca="1">'SW Details'!DB45</f>
        <v>0</v>
      </c>
      <c r="AK44" s="365">
        <f ca="1">'SW Details'!DC45</f>
        <v>0</v>
      </c>
      <c r="AL44" s="364">
        <f ca="1">SUM(SummarySWAfterYr1[[#This Row],[PROD]:[DEV]])</f>
        <v>0</v>
      </c>
      <c r="AN44" s="262"/>
    </row>
    <row r="45" spans="1:40">
      <c r="A45" s="281" t="s">
        <v>193</v>
      </c>
      <c r="B45" s="268">
        <v>0</v>
      </c>
      <c r="D45" s="270" t="str">
        <f>'SW Details'!BV46</f>
        <v xml:space="preserve">PB Spectrum </v>
      </c>
      <c r="E45" s="270">
        <f>'SW Details'!BW46</f>
        <v>0</v>
      </c>
      <c r="F45" s="270">
        <f>'SW Details'!BX46</f>
        <v>0</v>
      </c>
      <c r="G45" s="250">
        <f ca="1">'SW Details'!BY46</f>
        <v>0</v>
      </c>
      <c r="H45" s="250">
        <f ca="1">'SW Details'!BZ46</f>
        <v>0</v>
      </c>
      <c r="I45" s="250">
        <f ca="1">'SW Details'!CA46</f>
        <v>0</v>
      </c>
      <c r="J45" s="250">
        <f ca="1">'SW Details'!CB46</f>
        <v>0</v>
      </c>
      <c r="K45" s="250">
        <f ca="1">'SW Details'!CC46</f>
        <v>0</v>
      </c>
      <c r="L45" s="250">
        <f ca="1">'SW Details'!CD46</f>
        <v>0</v>
      </c>
      <c r="M45" s="250">
        <f ca="1">'SW Details'!CE46</f>
        <v>0</v>
      </c>
      <c r="N45" s="250">
        <f ca="1">'SW Details'!CF46</f>
        <v>0</v>
      </c>
      <c r="O45" s="250">
        <f ca="1">'SW Details'!CG46</f>
        <v>0</v>
      </c>
      <c r="P45" s="250">
        <f ca="1">'SW Details'!CH46</f>
        <v>0</v>
      </c>
      <c r="Q45" s="250">
        <f ca="1">'SW Details'!CI46</f>
        <v>0</v>
      </c>
      <c r="R45" s="250">
        <f ca="1">'SW Details'!CJ46</f>
        <v>0</v>
      </c>
      <c r="S45" s="250">
        <f ca="1">'SW Details'!CK46</f>
        <v>0</v>
      </c>
      <c r="T45" s="364">
        <f ca="1">SUM(SummarySWYr1[[#This Row],[PROD]:[DEV]])</f>
        <v>0</v>
      </c>
      <c r="V45" s="270" t="str">
        <f>'SW Details'!CN46</f>
        <v xml:space="preserve">PB Spectrum </v>
      </c>
      <c r="W45" s="270">
        <f ca="1">'SW Details'!CO46</f>
        <v>0</v>
      </c>
      <c r="X45" s="270">
        <f ca="1">'SW Details'!CP46</f>
        <v>0</v>
      </c>
      <c r="Y45" s="365">
        <f ca="1">'SW Details'!CQ46</f>
        <v>0</v>
      </c>
      <c r="Z45" s="365">
        <f ca="1">'SW Details'!CR46</f>
        <v>0</v>
      </c>
      <c r="AA45" s="365">
        <f ca="1">'SW Details'!CS46</f>
        <v>0</v>
      </c>
      <c r="AB45" s="365">
        <f ca="1">'SW Details'!CT46</f>
        <v>0</v>
      </c>
      <c r="AC45" s="365">
        <f ca="1">'SW Details'!CU46</f>
        <v>0</v>
      </c>
      <c r="AD45" s="365">
        <f ca="1">'SW Details'!CV46</f>
        <v>0</v>
      </c>
      <c r="AE45" s="365">
        <f ca="1">'SW Details'!CW46</f>
        <v>0</v>
      </c>
      <c r="AF45" s="365">
        <f ca="1">'SW Details'!CX46</f>
        <v>0</v>
      </c>
      <c r="AG45" s="365">
        <f ca="1">'SW Details'!CY46</f>
        <v>0</v>
      </c>
      <c r="AH45" s="365">
        <f ca="1">'SW Details'!CZ46</f>
        <v>0</v>
      </c>
      <c r="AI45" s="365">
        <f ca="1">'SW Details'!DA46</f>
        <v>0</v>
      </c>
      <c r="AJ45" s="365">
        <f ca="1">'SW Details'!DB46</f>
        <v>0</v>
      </c>
      <c r="AK45" s="365">
        <f ca="1">'SW Details'!DC46</f>
        <v>0</v>
      </c>
      <c r="AL45" s="364">
        <f ca="1">SUM(SummarySWAfterYr1[[#This Row],[PROD]:[DEV]])</f>
        <v>0</v>
      </c>
      <c r="AN45" s="262"/>
    </row>
    <row r="46" spans="1:40">
      <c r="A46" s="281" t="s">
        <v>190</v>
      </c>
      <c r="B46" s="268">
        <v>0</v>
      </c>
      <c r="D46" s="270" t="str">
        <f>'SW Details'!BV47</f>
        <v xml:space="preserve">SAP BO </v>
      </c>
      <c r="E46" s="270">
        <f>'SW Details'!BW47</f>
        <v>0</v>
      </c>
      <c r="F46" s="270">
        <f>'SW Details'!BX47</f>
        <v>0</v>
      </c>
      <c r="G46" s="250">
        <f ca="1">'SW Details'!BY47</f>
        <v>0</v>
      </c>
      <c r="H46" s="250">
        <f ca="1">'SW Details'!BZ47</f>
        <v>0</v>
      </c>
      <c r="I46" s="250">
        <f ca="1">'SW Details'!CA47</f>
        <v>0</v>
      </c>
      <c r="J46" s="250">
        <f ca="1">'SW Details'!CB47</f>
        <v>0</v>
      </c>
      <c r="K46" s="250">
        <f ca="1">'SW Details'!CC47</f>
        <v>0</v>
      </c>
      <c r="L46" s="250">
        <f ca="1">'SW Details'!CD47</f>
        <v>0</v>
      </c>
      <c r="M46" s="250">
        <f ca="1">'SW Details'!CE47</f>
        <v>0</v>
      </c>
      <c r="N46" s="250">
        <f ca="1">'SW Details'!CF47</f>
        <v>0</v>
      </c>
      <c r="O46" s="250">
        <f ca="1">'SW Details'!CG47</f>
        <v>0</v>
      </c>
      <c r="P46" s="250">
        <f ca="1">'SW Details'!CH47</f>
        <v>0</v>
      </c>
      <c r="Q46" s="250">
        <f ca="1">'SW Details'!CI47</f>
        <v>0</v>
      </c>
      <c r="R46" s="250">
        <f ca="1">'SW Details'!CJ47</f>
        <v>0</v>
      </c>
      <c r="S46" s="250">
        <f ca="1">'SW Details'!CK47</f>
        <v>0</v>
      </c>
      <c r="T46" s="364">
        <f ca="1">SUM(SummarySWYr1[[#This Row],[PROD]:[DEV]])</f>
        <v>0</v>
      </c>
      <c r="V46" s="270" t="str">
        <f>'SW Details'!CN47</f>
        <v xml:space="preserve">SAP BO </v>
      </c>
      <c r="W46" s="270">
        <f ca="1">'SW Details'!CO47</f>
        <v>0</v>
      </c>
      <c r="X46" s="270">
        <f ca="1">'SW Details'!CP47</f>
        <v>0</v>
      </c>
      <c r="Y46" s="365">
        <f ca="1">'SW Details'!CQ47</f>
        <v>0</v>
      </c>
      <c r="Z46" s="365">
        <f ca="1">'SW Details'!CR47</f>
        <v>0</v>
      </c>
      <c r="AA46" s="365">
        <f ca="1">'SW Details'!CS47</f>
        <v>0</v>
      </c>
      <c r="AB46" s="365">
        <f ca="1">'SW Details'!CT47</f>
        <v>0</v>
      </c>
      <c r="AC46" s="365">
        <f ca="1">'SW Details'!CU47</f>
        <v>0</v>
      </c>
      <c r="AD46" s="365">
        <f ca="1">'SW Details'!CV47</f>
        <v>0</v>
      </c>
      <c r="AE46" s="365">
        <f ca="1">'SW Details'!CW47</f>
        <v>0</v>
      </c>
      <c r="AF46" s="365">
        <f ca="1">'SW Details'!CX47</f>
        <v>0</v>
      </c>
      <c r="AG46" s="365">
        <f ca="1">'SW Details'!CY47</f>
        <v>0</v>
      </c>
      <c r="AH46" s="365">
        <f ca="1">'SW Details'!CZ47</f>
        <v>0</v>
      </c>
      <c r="AI46" s="365">
        <f ca="1">'SW Details'!DA47</f>
        <v>0</v>
      </c>
      <c r="AJ46" s="365">
        <f ca="1">'SW Details'!DB47</f>
        <v>0</v>
      </c>
      <c r="AK46" s="365">
        <f ca="1">'SW Details'!DC47</f>
        <v>0</v>
      </c>
      <c r="AL46" s="364">
        <f ca="1">SUM(SummarySWAfterYr1[[#This Row],[PROD]:[DEV]])</f>
        <v>0</v>
      </c>
      <c r="AN46" s="262"/>
    </row>
    <row r="47" spans="1:40">
      <c r="A47" s="281" t="s">
        <v>184</v>
      </c>
      <c r="B47" s="268">
        <v>0</v>
      </c>
      <c r="D47" s="270" t="str">
        <f>'SW Details'!BV48</f>
        <v xml:space="preserve">Sterling NDM </v>
      </c>
      <c r="E47" s="270">
        <f>'SW Details'!BW48</f>
        <v>0</v>
      </c>
      <c r="F47" s="270">
        <f>'SW Details'!BX48</f>
        <v>0</v>
      </c>
      <c r="G47" s="250">
        <f ca="1">'SW Details'!BY48</f>
        <v>0</v>
      </c>
      <c r="H47" s="250">
        <f ca="1">'SW Details'!BZ48</f>
        <v>0</v>
      </c>
      <c r="I47" s="250">
        <f ca="1">'SW Details'!CA48</f>
        <v>0</v>
      </c>
      <c r="J47" s="250">
        <f ca="1">'SW Details'!CB48</f>
        <v>0</v>
      </c>
      <c r="K47" s="250">
        <f ca="1">'SW Details'!CC48</f>
        <v>0</v>
      </c>
      <c r="L47" s="250">
        <f ca="1">'SW Details'!CD48</f>
        <v>0</v>
      </c>
      <c r="M47" s="250">
        <f ca="1">'SW Details'!CE48</f>
        <v>0</v>
      </c>
      <c r="N47" s="250">
        <f ca="1">'SW Details'!CF48</f>
        <v>0</v>
      </c>
      <c r="O47" s="250">
        <f ca="1">'SW Details'!CG48</f>
        <v>0</v>
      </c>
      <c r="P47" s="250">
        <f ca="1">'SW Details'!CH48</f>
        <v>0</v>
      </c>
      <c r="Q47" s="250">
        <f ca="1">'SW Details'!CI48</f>
        <v>0</v>
      </c>
      <c r="R47" s="250">
        <f ca="1">'SW Details'!CJ48</f>
        <v>0</v>
      </c>
      <c r="S47" s="250">
        <f ca="1">'SW Details'!CK48</f>
        <v>0</v>
      </c>
      <c r="T47" s="364">
        <f ca="1">SUM(SummarySWYr1[[#This Row],[PROD]:[DEV]])</f>
        <v>0</v>
      </c>
      <c r="V47" s="270" t="str">
        <f>'SW Details'!CN48</f>
        <v xml:space="preserve">Sterling NDM </v>
      </c>
      <c r="W47" s="270">
        <f ca="1">'SW Details'!CO48</f>
        <v>0</v>
      </c>
      <c r="X47" s="270">
        <f ca="1">'SW Details'!CP48</f>
        <v>0</v>
      </c>
      <c r="Y47" s="365">
        <f ca="1">'SW Details'!CQ48</f>
        <v>0</v>
      </c>
      <c r="Z47" s="365">
        <f ca="1">'SW Details'!CR48</f>
        <v>0</v>
      </c>
      <c r="AA47" s="365">
        <f ca="1">'SW Details'!CS48</f>
        <v>0</v>
      </c>
      <c r="AB47" s="365">
        <f ca="1">'SW Details'!CT48</f>
        <v>0</v>
      </c>
      <c r="AC47" s="365">
        <f ca="1">'SW Details'!CU48</f>
        <v>0</v>
      </c>
      <c r="AD47" s="365">
        <f ca="1">'SW Details'!CV48</f>
        <v>0</v>
      </c>
      <c r="AE47" s="365">
        <f ca="1">'SW Details'!CW48</f>
        <v>0</v>
      </c>
      <c r="AF47" s="365">
        <f ca="1">'SW Details'!CX48</f>
        <v>0</v>
      </c>
      <c r="AG47" s="365">
        <f ca="1">'SW Details'!CY48</f>
        <v>0</v>
      </c>
      <c r="AH47" s="365">
        <f ca="1">'SW Details'!CZ48</f>
        <v>0</v>
      </c>
      <c r="AI47" s="365">
        <f ca="1">'SW Details'!DA48</f>
        <v>0</v>
      </c>
      <c r="AJ47" s="365">
        <f ca="1">'SW Details'!DB48</f>
        <v>0</v>
      </c>
      <c r="AK47" s="365">
        <f ca="1">'SW Details'!DC48</f>
        <v>0</v>
      </c>
      <c r="AL47" s="364">
        <f ca="1">SUM(SummarySWAfterYr1[[#This Row],[PROD]:[DEV]])</f>
        <v>0</v>
      </c>
      <c r="AN47" s="262"/>
    </row>
    <row r="48" spans="1:40">
      <c r="A48" s="281" t="s">
        <v>493</v>
      </c>
      <c r="B48" s="268">
        <v>0</v>
      </c>
      <c r="D48" s="270" t="str">
        <f>'SW Details'!BV49</f>
        <v xml:space="preserve">TIBCO Adapter SDK </v>
      </c>
      <c r="E48" s="270">
        <f>'SW Details'!BW49</f>
        <v>0</v>
      </c>
      <c r="F48" s="270">
        <f>'SW Details'!BX49</f>
        <v>0</v>
      </c>
      <c r="G48" s="250">
        <f ca="1">'SW Details'!BY49</f>
        <v>0</v>
      </c>
      <c r="H48" s="250">
        <f ca="1">'SW Details'!BZ49</f>
        <v>0</v>
      </c>
      <c r="I48" s="250">
        <f ca="1">'SW Details'!CA49</f>
        <v>0</v>
      </c>
      <c r="J48" s="250">
        <f ca="1">'SW Details'!CB49</f>
        <v>0</v>
      </c>
      <c r="K48" s="250">
        <f ca="1">'SW Details'!CC49</f>
        <v>0</v>
      </c>
      <c r="L48" s="250">
        <f ca="1">'SW Details'!CD49</f>
        <v>0</v>
      </c>
      <c r="M48" s="250">
        <f ca="1">'SW Details'!CE49</f>
        <v>0</v>
      </c>
      <c r="N48" s="250">
        <f ca="1">'SW Details'!CF49</f>
        <v>0</v>
      </c>
      <c r="O48" s="250">
        <f ca="1">'SW Details'!CG49</f>
        <v>0</v>
      </c>
      <c r="P48" s="250">
        <f ca="1">'SW Details'!CH49</f>
        <v>0</v>
      </c>
      <c r="Q48" s="250">
        <f ca="1">'SW Details'!CI49</f>
        <v>0</v>
      </c>
      <c r="R48" s="250">
        <f ca="1">'SW Details'!CJ49</f>
        <v>0</v>
      </c>
      <c r="S48" s="250">
        <f ca="1">'SW Details'!CK49</f>
        <v>0</v>
      </c>
      <c r="T48" s="364">
        <f ca="1">SUM(SummarySWYr1[[#This Row],[PROD]:[DEV]])</f>
        <v>0</v>
      </c>
      <c r="V48" s="270" t="str">
        <f>'SW Details'!CN49</f>
        <v xml:space="preserve">TIBCO Adapter SDK </v>
      </c>
      <c r="W48" s="270">
        <f ca="1">'SW Details'!CO49</f>
        <v>0</v>
      </c>
      <c r="X48" s="270">
        <f ca="1">'SW Details'!CP49</f>
        <v>0</v>
      </c>
      <c r="Y48" s="365">
        <f ca="1">'SW Details'!CQ49</f>
        <v>0</v>
      </c>
      <c r="Z48" s="365">
        <f ca="1">'SW Details'!CR49</f>
        <v>0</v>
      </c>
      <c r="AA48" s="365">
        <f ca="1">'SW Details'!CS49</f>
        <v>0</v>
      </c>
      <c r="AB48" s="365">
        <f ca="1">'SW Details'!CT49</f>
        <v>0</v>
      </c>
      <c r="AC48" s="365">
        <f ca="1">'SW Details'!CU49</f>
        <v>0</v>
      </c>
      <c r="AD48" s="365">
        <f ca="1">'SW Details'!CV49</f>
        <v>0</v>
      </c>
      <c r="AE48" s="365">
        <f ca="1">'SW Details'!CW49</f>
        <v>0</v>
      </c>
      <c r="AF48" s="365">
        <f ca="1">'SW Details'!CX49</f>
        <v>0</v>
      </c>
      <c r="AG48" s="365">
        <f ca="1">'SW Details'!CY49</f>
        <v>0</v>
      </c>
      <c r="AH48" s="365">
        <f ca="1">'SW Details'!CZ49</f>
        <v>0</v>
      </c>
      <c r="AI48" s="365">
        <f ca="1">'SW Details'!DA49</f>
        <v>0</v>
      </c>
      <c r="AJ48" s="365">
        <f ca="1">'SW Details'!DB49</f>
        <v>0</v>
      </c>
      <c r="AK48" s="365">
        <f ca="1">'SW Details'!DC49</f>
        <v>0</v>
      </c>
      <c r="AL48" s="364">
        <f ca="1">SUM(SummarySWAfterYr1[[#This Row],[PROD]:[DEV]])</f>
        <v>0</v>
      </c>
      <c r="AN48" s="262"/>
    </row>
    <row r="49" spans="1:40">
      <c r="A49" s="281" t="s">
        <v>189</v>
      </c>
      <c r="B49" s="268">
        <v>0</v>
      </c>
      <c r="D49" s="270" t="str">
        <f>'SW Details'!BV50</f>
        <v xml:space="preserve">TIBCO AMX BPM </v>
      </c>
      <c r="E49" s="270">
        <f>'SW Details'!BW50</f>
        <v>0</v>
      </c>
      <c r="F49" s="270">
        <f>'SW Details'!BX50</f>
        <v>0</v>
      </c>
      <c r="G49" s="250">
        <f ca="1">'SW Details'!BY50</f>
        <v>0</v>
      </c>
      <c r="H49" s="250">
        <f ca="1">'SW Details'!BZ50</f>
        <v>0</v>
      </c>
      <c r="I49" s="250">
        <f ca="1">'SW Details'!CA50</f>
        <v>0</v>
      </c>
      <c r="J49" s="250">
        <f ca="1">'SW Details'!CB50</f>
        <v>0</v>
      </c>
      <c r="K49" s="250">
        <f ca="1">'SW Details'!CC50</f>
        <v>0</v>
      </c>
      <c r="L49" s="250">
        <f ca="1">'SW Details'!CD50</f>
        <v>0</v>
      </c>
      <c r="M49" s="250">
        <f ca="1">'SW Details'!CE50</f>
        <v>0</v>
      </c>
      <c r="N49" s="250">
        <f ca="1">'SW Details'!CF50</f>
        <v>0</v>
      </c>
      <c r="O49" s="250">
        <f ca="1">'SW Details'!CG50</f>
        <v>0</v>
      </c>
      <c r="P49" s="250">
        <f ca="1">'SW Details'!CH50</f>
        <v>0</v>
      </c>
      <c r="Q49" s="250">
        <f ca="1">'SW Details'!CI50</f>
        <v>0</v>
      </c>
      <c r="R49" s="250">
        <f ca="1">'SW Details'!CJ50</f>
        <v>0</v>
      </c>
      <c r="S49" s="250">
        <f ca="1">'SW Details'!CK50</f>
        <v>0</v>
      </c>
      <c r="T49" s="364">
        <f ca="1">SUM(SummarySWYr1[[#This Row],[PROD]:[DEV]])</f>
        <v>0</v>
      </c>
      <c r="V49" s="270" t="str">
        <f>'SW Details'!CN50</f>
        <v xml:space="preserve">TIBCO AMX BPM </v>
      </c>
      <c r="W49" s="270">
        <f ca="1">'SW Details'!CO50</f>
        <v>0</v>
      </c>
      <c r="X49" s="270">
        <f ca="1">'SW Details'!CP50</f>
        <v>0</v>
      </c>
      <c r="Y49" s="365">
        <f ca="1">'SW Details'!CQ50</f>
        <v>0</v>
      </c>
      <c r="Z49" s="365">
        <f ca="1">'SW Details'!CR50</f>
        <v>0</v>
      </c>
      <c r="AA49" s="365">
        <f ca="1">'SW Details'!CS50</f>
        <v>0</v>
      </c>
      <c r="AB49" s="365">
        <f ca="1">'SW Details'!CT50</f>
        <v>0</v>
      </c>
      <c r="AC49" s="365">
        <f ca="1">'SW Details'!CU50</f>
        <v>0</v>
      </c>
      <c r="AD49" s="365">
        <f ca="1">'SW Details'!CV50</f>
        <v>0</v>
      </c>
      <c r="AE49" s="365">
        <f ca="1">'SW Details'!CW50</f>
        <v>0</v>
      </c>
      <c r="AF49" s="365">
        <f ca="1">'SW Details'!CX50</f>
        <v>0</v>
      </c>
      <c r="AG49" s="365">
        <f ca="1">'SW Details'!CY50</f>
        <v>0</v>
      </c>
      <c r="AH49" s="365">
        <f ca="1">'SW Details'!CZ50</f>
        <v>0</v>
      </c>
      <c r="AI49" s="365">
        <f ca="1">'SW Details'!DA50</f>
        <v>0</v>
      </c>
      <c r="AJ49" s="365">
        <f ca="1">'SW Details'!DB50</f>
        <v>0</v>
      </c>
      <c r="AK49" s="365">
        <f ca="1">'SW Details'!DC50</f>
        <v>0</v>
      </c>
      <c r="AL49" s="364">
        <f ca="1">SUM(SummarySWAfterYr1[[#This Row],[PROD]:[DEV]])</f>
        <v>0</v>
      </c>
      <c r="AN49" s="262"/>
    </row>
    <row r="50" spans="1:40">
      <c r="A50" s="281" t="s">
        <v>187</v>
      </c>
      <c r="B50" s="268">
        <v>0</v>
      </c>
      <c r="D50" s="270" t="str">
        <f>'SW Details'!BV51</f>
        <v xml:space="preserve">TIBCO BE </v>
      </c>
      <c r="E50" s="270">
        <f>'SW Details'!BW51</f>
        <v>0</v>
      </c>
      <c r="F50" s="270">
        <f>'SW Details'!BX51</f>
        <v>0</v>
      </c>
      <c r="G50" s="250">
        <f ca="1">'SW Details'!BY51</f>
        <v>0</v>
      </c>
      <c r="H50" s="250">
        <f ca="1">'SW Details'!BZ51</f>
        <v>0</v>
      </c>
      <c r="I50" s="250">
        <f ca="1">'SW Details'!CA51</f>
        <v>0</v>
      </c>
      <c r="J50" s="250">
        <f ca="1">'SW Details'!CB51</f>
        <v>0</v>
      </c>
      <c r="K50" s="250">
        <f ca="1">'SW Details'!CC51</f>
        <v>0</v>
      </c>
      <c r="L50" s="250">
        <f ca="1">'SW Details'!CD51</f>
        <v>0</v>
      </c>
      <c r="M50" s="250">
        <f ca="1">'SW Details'!CE51</f>
        <v>0</v>
      </c>
      <c r="N50" s="250">
        <f ca="1">'SW Details'!CF51</f>
        <v>0</v>
      </c>
      <c r="O50" s="250">
        <f ca="1">'SW Details'!CG51</f>
        <v>0</v>
      </c>
      <c r="P50" s="250">
        <f ca="1">'SW Details'!CH51</f>
        <v>0</v>
      </c>
      <c r="Q50" s="250">
        <f ca="1">'SW Details'!CI51</f>
        <v>0</v>
      </c>
      <c r="R50" s="250">
        <f ca="1">'SW Details'!CJ51</f>
        <v>0</v>
      </c>
      <c r="S50" s="250">
        <f ca="1">'SW Details'!CK51</f>
        <v>0</v>
      </c>
      <c r="T50" s="364">
        <f ca="1">SUM(SummarySWYr1[[#This Row],[PROD]:[DEV]])</f>
        <v>0</v>
      </c>
      <c r="V50" s="270" t="str">
        <f>'SW Details'!CN51</f>
        <v xml:space="preserve">TIBCO BE </v>
      </c>
      <c r="W50" s="270">
        <f ca="1">'SW Details'!CO51</f>
        <v>0</v>
      </c>
      <c r="X50" s="270">
        <f ca="1">'SW Details'!CP51</f>
        <v>0</v>
      </c>
      <c r="Y50" s="365">
        <f ca="1">'SW Details'!CQ51</f>
        <v>0</v>
      </c>
      <c r="Z50" s="365">
        <f ca="1">'SW Details'!CR51</f>
        <v>0</v>
      </c>
      <c r="AA50" s="365">
        <f ca="1">'SW Details'!CS51</f>
        <v>0</v>
      </c>
      <c r="AB50" s="365">
        <f ca="1">'SW Details'!CT51</f>
        <v>0</v>
      </c>
      <c r="AC50" s="365">
        <f ca="1">'SW Details'!CU51</f>
        <v>0</v>
      </c>
      <c r="AD50" s="365">
        <f ca="1">'SW Details'!CV51</f>
        <v>0</v>
      </c>
      <c r="AE50" s="365">
        <f ca="1">'SW Details'!CW51</f>
        <v>0</v>
      </c>
      <c r="AF50" s="365">
        <f ca="1">'SW Details'!CX51</f>
        <v>0</v>
      </c>
      <c r="AG50" s="365">
        <f ca="1">'SW Details'!CY51</f>
        <v>0</v>
      </c>
      <c r="AH50" s="365">
        <f ca="1">'SW Details'!CZ51</f>
        <v>0</v>
      </c>
      <c r="AI50" s="365">
        <f ca="1">'SW Details'!DA51</f>
        <v>0</v>
      </c>
      <c r="AJ50" s="365">
        <f ca="1">'SW Details'!DB51</f>
        <v>0</v>
      </c>
      <c r="AK50" s="365">
        <f ca="1">'SW Details'!DC51</f>
        <v>0</v>
      </c>
      <c r="AL50" s="364">
        <f ca="1">SUM(SummarySWAfterYr1[[#This Row],[PROD]:[DEV]])</f>
        <v>0</v>
      </c>
      <c r="AN50" s="262"/>
    </row>
    <row r="51" spans="1:40">
      <c r="A51" s="281" t="s">
        <v>185</v>
      </c>
      <c r="B51" s="268">
        <v>1620000</v>
      </c>
      <c r="D51" s="270" t="str">
        <f>'SW Details'!BV52</f>
        <v xml:space="preserve">TIBCO BW </v>
      </c>
      <c r="E51" s="270">
        <f>'SW Details'!BW52</f>
        <v>0</v>
      </c>
      <c r="F51" s="270">
        <f>'SW Details'!BX52</f>
        <v>0</v>
      </c>
      <c r="G51" s="250">
        <f ca="1">'SW Details'!BY52</f>
        <v>1080000</v>
      </c>
      <c r="H51" s="250">
        <f ca="1">'SW Details'!BZ52</f>
        <v>0</v>
      </c>
      <c r="I51" s="250">
        <f ca="1">'SW Details'!CA52</f>
        <v>0</v>
      </c>
      <c r="J51" s="250">
        <f ca="1">'SW Details'!CB52</f>
        <v>0</v>
      </c>
      <c r="K51" s="250">
        <f ca="1">'SW Details'!CC52</f>
        <v>0</v>
      </c>
      <c r="L51" s="250">
        <f ca="1">'SW Details'!CD52</f>
        <v>0</v>
      </c>
      <c r="M51" s="250">
        <f ca="1">'SW Details'!CE52</f>
        <v>540000</v>
      </c>
      <c r="N51" s="250">
        <f ca="1">'SW Details'!CF52</f>
        <v>0</v>
      </c>
      <c r="O51" s="250">
        <f ca="1">'SW Details'!CG52</f>
        <v>0</v>
      </c>
      <c r="P51" s="250">
        <f ca="1">'SW Details'!CH52</f>
        <v>0</v>
      </c>
      <c r="Q51" s="250">
        <f ca="1">'SW Details'!CI52</f>
        <v>0</v>
      </c>
      <c r="R51" s="250">
        <f ca="1">'SW Details'!CJ52</f>
        <v>0</v>
      </c>
      <c r="S51" s="250">
        <f ca="1">'SW Details'!CK52</f>
        <v>0</v>
      </c>
      <c r="T51" s="364">
        <f ca="1">SUM(SummarySWYr1[[#This Row],[PROD]:[DEV]])</f>
        <v>1620000</v>
      </c>
      <c r="V51" s="270" t="str">
        <f>'SW Details'!CN52</f>
        <v xml:space="preserve">TIBCO BW </v>
      </c>
      <c r="W51" s="270">
        <f ca="1">'SW Details'!CO52</f>
        <v>1080000</v>
      </c>
      <c r="X51" s="270">
        <f ca="1">'SW Details'!CP52</f>
        <v>0</v>
      </c>
      <c r="Y51" s="365">
        <f ca="1">'SW Details'!CQ52</f>
        <v>151200</v>
      </c>
      <c r="Z51" s="365">
        <f ca="1">'SW Details'!CR52</f>
        <v>0</v>
      </c>
      <c r="AA51" s="365">
        <f ca="1">'SW Details'!CS52</f>
        <v>0</v>
      </c>
      <c r="AB51" s="365">
        <f ca="1">'SW Details'!CT52</f>
        <v>0</v>
      </c>
      <c r="AC51" s="365">
        <f ca="1">'SW Details'!CU52</f>
        <v>0</v>
      </c>
      <c r="AD51" s="365">
        <f ca="1">'SW Details'!CV52</f>
        <v>0</v>
      </c>
      <c r="AE51" s="365">
        <f ca="1">'SW Details'!CW52</f>
        <v>75600</v>
      </c>
      <c r="AF51" s="365">
        <f ca="1">'SW Details'!CX52</f>
        <v>0</v>
      </c>
      <c r="AG51" s="365">
        <f ca="1">'SW Details'!CY52</f>
        <v>0</v>
      </c>
      <c r="AH51" s="365">
        <f ca="1">'SW Details'!CZ52</f>
        <v>0</v>
      </c>
      <c r="AI51" s="365">
        <f ca="1">'SW Details'!DA52</f>
        <v>0</v>
      </c>
      <c r="AJ51" s="365">
        <f ca="1">'SW Details'!DB52</f>
        <v>0</v>
      </c>
      <c r="AK51" s="365">
        <f ca="1">'SW Details'!DC52</f>
        <v>0</v>
      </c>
      <c r="AL51" s="364">
        <f ca="1">SUM(SummarySWAfterYr1[[#This Row],[PROD]:[DEV]])</f>
        <v>226800</v>
      </c>
      <c r="AN51" s="262"/>
    </row>
    <row r="52" spans="1:40">
      <c r="A52" s="281" t="s">
        <v>186</v>
      </c>
      <c r="B52" s="268">
        <v>438000</v>
      </c>
      <c r="D52" s="270" t="str">
        <f>'SW Details'!BV53</f>
        <v xml:space="preserve">TIBCO EMS </v>
      </c>
      <c r="E52" s="270">
        <f>'SW Details'!BW53</f>
        <v>0</v>
      </c>
      <c r="F52" s="270">
        <f>'SW Details'!BX53</f>
        <v>0</v>
      </c>
      <c r="G52" s="250">
        <f ca="1">'SW Details'!BY53</f>
        <v>294000</v>
      </c>
      <c r="H52" s="250">
        <f ca="1">'SW Details'!BZ53</f>
        <v>0</v>
      </c>
      <c r="I52" s="250">
        <f ca="1">'SW Details'!CA53</f>
        <v>0</v>
      </c>
      <c r="J52" s="250">
        <f ca="1">'SW Details'!CB53</f>
        <v>0</v>
      </c>
      <c r="K52" s="250">
        <f ca="1">'SW Details'!CC53</f>
        <v>0</v>
      </c>
      <c r="L52" s="250">
        <f ca="1">'SW Details'!CD53</f>
        <v>0</v>
      </c>
      <c r="M52" s="250">
        <f ca="1">'SW Details'!CE53</f>
        <v>144000</v>
      </c>
      <c r="N52" s="250">
        <f ca="1">'SW Details'!CF53</f>
        <v>0</v>
      </c>
      <c r="O52" s="250">
        <f ca="1">'SW Details'!CG53</f>
        <v>0</v>
      </c>
      <c r="P52" s="250">
        <f ca="1">'SW Details'!CH53</f>
        <v>0</v>
      </c>
      <c r="Q52" s="250">
        <f ca="1">'SW Details'!CI53</f>
        <v>0</v>
      </c>
      <c r="R52" s="250">
        <f ca="1">'SW Details'!CJ53</f>
        <v>0</v>
      </c>
      <c r="S52" s="250">
        <f ca="1">'SW Details'!CK53</f>
        <v>0</v>
      </c>
      <c r="T52" s="364">
        <f ca="1">SUM(SummarySWYr1[[#This Row],[PROD]:[DEV]])</f>
        <v>438000</v>
      </c>
      <c r="V52" s="270" t="str">
        <f>'SW Details'!CN53</f>
        <v xml:space="preserve">TIBCO EMS </v>
      </c>
      <c r="W52" s="270">
        <f ca="1">'SW Details'!CO53</f>
        <v>294000</v>
      </c>
      <c r="X52" s="270">
        <f ca="1">'SW Details'!CP53</f>
        <v>0</v>
      </c>
      <c r="Y52" s="365">
        <f ca="1">'SW Details'!CQ53</f>
        <v>41160</v>
      </c>
      <c r="Z52" s="365">
        <f ca="1">'SW Details'!CR53</f>
        <v>0</v>
      </c>
      <c r="AA52" s="365">
        <f ca="1">'SW Details'!CS53</f>
        <v>0</v>
      </c>
      <c r="AB52" s="365">
        <f ca="1">'SW Details'!CT53</f>
        <v>0</v>
      </c>
      <c r="AC52" s="365">
        <f ca="1">'SW Details'!CU53</f>
        <v>0</v>
      </c>
      <c r="AD52" s="365">
        <f ca="1">'SW Details'!CV53</f>
        <v>0</v>
      </c>
      <c r="AE52" s="365">
        <f ca="1">'SW Details'!CW53</f>
        <v>20160</v>
      </c>
      <c r="AF52" s="365">
        <f ca="1">'SW Details'!CX53</f>
        <v>0</v>
      </c>
      <c r="AG52" s="365">
        <f ca="1">'SW Details'!CY53</f>
        <v>0</v>
      </c>
      <c r="AH52" s="365">
        <f ca="1">'SW Details'!CZ53</f>
        <v>0</v>
      </c>
      <c r="AI52" s="365">
        <f ca="1">'SW Details'!DA53</f>
        <v>0</v>
      </c>
      <c r="AJ52" s="365">
        <f ca="1">'SW Details'!DB53</f>
        <v>0</v>
      </c>
      <c r="AK52" s="365">
        <f ca="1">'SW Details'!DC53</f>
        <v>0</v>
      </c>
      <c r="AL52" s="364">
        <f ca="1">SUM(SummarySWAfterYr1[[#This Row],[PROD]:[DEV]])</f>
        <v>61320</v>
      </c>
      <c r="AN52" s="262"/>
    </row>
    <row r="53" spans="1:40">
      <c r="A53" s="281" t="s">
        <v>188</v>
      </c>
      <c r="B53" s="268">
        <v>0</v>
      </c>
      <c r="D53" t="str">
        <f>'SW Details'!BV54</f>
        <v xml:space="preserve">TIBCO iProcess </v>
      </c>
      <c r="E53" s="262">
        <f>'SW Details'!BW54</f>
        <v>0</v>
      </c>
      <c r="F53" s="262">
        <f>'SW Details'!BX54</f>
        <v>0</v>
      </c>
      <c r="G53" s="250">
        <f ca="1">'SW Details'!BY54</f>
        <v>0</v>
      </c>
      <c r="H53" s="250">
        <f ca="1">'SW Details'!BZ54</f>
        <v>0</v>
      </c>
      <c r="I53" s="250">
        <f ca="1">'SW Details'!CA54</f>
        <v>0</v>
      </c>
      <c r="J53" s="250">
        <f ca="1">'SW Details'!CB54</f>
        <v>0</v>
      </c>
      <c r="K53" s="250">
        <f ca="1">'SW Details'!CC54</f>
        <v>0</v>
      </c>
      <c r="L53" s="250">
        <f ca="1">'SW Details'!CD54</f>
        <v>0</v>
      </c>
      <c r="M53" s="250">
        <f ca="1">'SW Details'!CE54</f>
        <v>0</v>
      </c>
      <c r="N53" s="250">
        <f ca="1">'SW Details'!CF54</f>
        <v>0</v>
      </c>
      <c r="O53" s="250">
        <f ca="1">'SW Details'!CG54</f>
        <v>0</v>
      </c>
      <c r="P53" s="250">
        <f ca="1">'SW Details'!CH54</f>
        <v>0</v>
      </c>
      <c r="Q53" s="250">
        <f ca="1">'SW Details'!CI54</f>
        <v>0</v>
      </c>
      <c r="R53" s="250">
        <f ca="1">'SW Details'!CJ54</f>
        <v>0</v>
      </c>
      <c r="S53" s="250">
        <f ca="1">'SW Details'!CK54</f>
        <v>0</v>
      </c>
      <c r="T53" s="364">
        <f ca="1">SUM(SummarySWYr1[[#This Row],[PROD]:[DEV]])</f>
        <v>0</v>
      </c>
      <c r="V53" s="435" t="str">
        <f>'SW Details'!CN54</f>
        <v xml:space="preserve">TIBCO iProcess </v>
      </c>
      <c r="W53" s="435">
        <f ca="1">'SW Details'!CO54</f>
        <v>0</v>
      </c>
      <c r="X53" s="435">
        <f ca="1">'SW Details'!CP54</f>
        <v>0</v>
      </c>
      <c r="Y53" s="436">
        <f ca="1">'SW Details'!CQ54</f>
        <v>0</v>
      </c>
      <c r="Z53" s="436">
        <f ca="1">'SW Details'!CR54</f>
        <v>0</v>
      </c>
      <c r="AA53" s="436">
        <f ca="1">'SW Details'!CS54</f>
        <v>0</v>
      </c>
      <c r="AB53" s="436">
        <f ca="1">'SW Details'!CT54</f>
        <v>0</v>
      </c>
      <c r="AC53" s="436">
        <f ca="1">'SW Details'!CU54</f>
        <v>0</v>
      </c>
      <c r="AD53" s="365">
        <f ca="1">'SW Details'!CV54</f>
        <v>0</v>
      </c>
      <c r="AE53" s="436">
        <f ca="1">'SW Details'!CW54</f>
        <v>0</v>
      </c>
      <c r="AF53" s="436">
        <f ca="1">'SW Details'!CX54</f>
        <v>0</v>
      </c>
      <c r="AG53" s="436">
        <f ca="1">'SW Details'!CY54</f>
        <v>0</v>
      </c>
      <c r="AH53" s="436">
        <f ca="1">'SW Details'!CZ54</f>
        <v>0</v>
      </c>
      <c r="AI53" s="436">
        <f ca="1">'SW Details'!DA54</f>
        <v>0</v>
      </c>
      <c r="AJ53" s="436">
        <f ca="1">'SW Details'!DB54</f>
        <v>0</v>
      </c>
      <c r="AK53" s="436">
        <f ca="1">'SW Details'!DC54</f>
        <v>0</v>
      </c>
      <c r="AL53" s="437">
        <f ca="1">SUM(SummarySWAfterYr1[[#This Row],[PROD]:[DEV]])</f>
        <v>0</v>
      </c>
      <c r="AN53" s="262"/>
    </row>
    <row r="54" spans="1:40">
      <c r="A54" s="281" t="s">
        <v>236</v>
      </c>
      <c r="B54" s="268">
        <v>22536</v>
      </c>
      <c r="D54" t="str">
        <f>'SW Details'!BV55</f>
        <v xml:space="preserve">Veritas Cluster/CFS </v>
      </c>
      <c r="E54" s="262">
        <f>'SW Details'!BW55</f>
        <v>0</v>
      </c>
      <c r="F54" s="262">
        <f>'SW Details'!BX55</f>
        <v>0</v>
      </c>
      <c r="G54" s="250">
        <f ca="1">'SW Details'!BY55</f>
        <v>11268</v>
      </c>
      <c r="H54" s="250">
        <f ca="1">'SW Details'!BZ55</f>
        <v>0</v>
      </c>
      <c r="I54" s="250">
        <f ca="1">'SW Details'!CA55</f>
        <v>11268</v>
      </c>
      <c r="J54" s="250">
        <f ca="1">'SW Details'!CB55</f>
        <v>0</v>
      </c>
      <c r="K54" s="250">
        <f ca="1">'SW Details'!CC55</f>
        <v>0</v>
      </c>
      <c r="L54" s="250">
        <f ca="1">'SW Details'!CD55</f>
        <v>0</v>
      </c>
      <c r="M54" s="250">
        <f ca="1">'SW Details'!CE55</f>
        <v>0</v>
      </c>
      <c r="N54" s="250">
        <f ca="1">'SW Details'!CF55</f>
        <v>0</v>
      </c>
      <c r="O54" s="250">
        <f ca="1">'SW Details'!CG55</f>
        <v>0</v>
      </c>
      <c r="P54" s="250">
        <f ca="1">'SW Details'!CH55</f>
        <v>0</v>
      </c>
      <c r="Q54" s="250">
        <f ca="1">'SW Details'!CI55</f>
        <v>0</v>
      </c>
      <c r="R54" s="250">
        <f ca="1">'SW Details'!CJ55</f>
        <v>0</v>
      </c>
      <c r="S54" s="250">
        <f ca="1">'SW Details'!CK55</f>
        <v>0</v>
      </c>
      <c r="T54" s="364">
        <f ca="1">SUM(SummarySWYr1[[#This Row],[PROD]:[DEV]])</f>
        <v>22536</v>
      </c>
      <c r="V54" s="435" t="str">
        <f>'SW Details'!CN55</f>
        <v xml:space="preserve">Veritas Cluster/CFS </v>
      </c>
      <c r="W54" s="435">
        <f ca="1">'SW Details'!CO55</f>
        <v>11268</v>
      </c>
      <c r="X54" s="435">
        <f ca="1">'SW Details'!CP55</f>
        <v>0</v>
      </c>
      <c r="Y54" s="436">
        <f ca="1">'SW Details'!CQ55</f>
        <v>2028.24</v>
      </c>
      <c r="Z54" s="436">
        <f ca="1">'SW Details'!CR55</f>
        <v>0</v>
      </c>
      <c r="AA54" s="436">
        <f ca="1">'SW Details'!CS55</f>
        <v>2028.24</v>
      </c>
      <c r="AB54" s="436">
        <f ca="1">'SW Details'!CT55</f>
        <v>0</v>
      </c>
      <c r="AC54" s="436">
        <f ca="1">'SW Details'!CU55</f>
        <v>0</v>
      </c>
      <c r="AD54" s="365">
        <f ca="1">'SW Details'!CV55</f>
        <v>0</v>
      </c>
      <c r="AE54" s="436">
        <f ca="1">'SW Details'!CW55</f>
        <v>0</v>
      </c>
      <c r="AF54" s="436">
        <f ca="1">'SW Details'!CX55</f>
        <v>0</v>
      </c>
      <c r="AG54" s="436">
        <f ca="1">'SW Details'!CY55</f>
        <v>0</v>
      </c>
      <c r="AH54" s="436">
        <f ca="1">'SW Details'!CZ55</f>
        <v>0</v>
      </c>
      <c r="AI54" s="436">
        <f ca="1">'SW Details'!DA55</f>
        <v>0</v>
      </c>
      <c r="AJ54" s="436">
        <f ca="1">'SW Details'!DB55</f>
        <v>0</v>
      </c>
      <c r="AK54" s="436">
        <f ca="1">'SW Details'!DC55</f>
        <v>0</v>
      </c>
      <c r="AL54" s="437">
        <f ca="1">SUM(SummarySWAfterYr1[[#This Row],[PROD]:[DEV]])</f>
        <v>4056.48</v>
      </c>
      <c r="AN54" s="262"/>
    </row>
    <row r="55" spans="1:40">
      <c r="A55" s="281" t="s">
        <v>2294</v>
      </c>
      <c r="B55" s="268">
        <v>3271975.6799999997</v>
      </c>
      <c r="D55" s="422"/>
      <c r="E55" s="422"/>
      <c r="F55" s="422"/>
      <c r="G55" s="612">
        <f ca="1">SUBTOTAL(109,SummarySWYr1[PROD])</f>
        <v>1700374.56</v>
      </c>
      <c r="H55" s="612"/>
      <c r="I55" s="612">
        <f ca="1">SUBTOTAL(109,SummarySWYr1[COB])</f>
        <v>11268</v>
      </c>
      <c r="J55" s="612">
        <f ca="1">SUBTOTAL(109,SummarySWYr1[CERT])</f>
        <v>0</v>
      </c>
      <c r="K55" s="612">
        <f ca="1">SUBTOTAL(109,SummarySWYr1[PERF])</f>
        <v>0</v>
      </c>
      <c r="L55" s="612">
        <f ca="1">SUBTOTAL(109,SummarySWYr1[TRAINING])</f>
        <v>0</v>
      </c>
      <c r="M55" s="612">
        <f ca="1">SUBTOTAL(109,SummarySWYr1[UAT])</f>
        <v>831672</v>
      </c>
      <c r="N55" s="612"/>
      <c r="O55" s="612">
        <f ca="1">SUBTOTAL(109,SummarySWYr1[SIT])</f>
        <v>98448</v>
      </c>
      <c r="P55" s="612"/>
      <c r="Q55" s="612">
        <f ca="1">SUBTOTAL(109,SummarySWYr1[DIT])</f>
        <v>98448</v>
      </c>
      <c r="R55" s="612">
        <f ca="1">SUBTOTAL(109,SummarySWYr1[RND])</f>
        <v>0</v>
      </c>
      <c r="S55" s="612">
        <f ca="1">SUBTOTAL(109,SummarySWYr1[DEV])</f>
        <v>0</v>
      </c>
      <c r="T55" s="612">
        <f ca="1">SUBTOTAL(109,SummarySWYr1[Totals])</f>
        <v>3271975.6799999997</v>
      </c>
      <c r="V55" s="422"/>
      <c r="W55" s="422"/>
      <c r="X55" s="422"/>
      <c r="Y55" s="612">
        <f ca="1">SUBTOTAL(109,SummarySWAfterYr1[PROD])</f>
        <v>304747.59999999998</v>
      </c>
      <c r="Z55" s="612"/>
      <c r="AA55" s="612">
        <f ca="1">SUBTOTAL(109,SummarySWAfterYr1[COB])</f>
        <v>2028.24</v>
      </c>
      <c r="AB55" s="612">
        <f ca="1">SUBTOTAL(109,SummarySWAfterYr1[CERT])</f>
        <v>0</v>
      </c>
      <c r="AC55" s="612">
        <f ca="1">SUBTOTAL(109,SummarySWAfterYr1[PERF])</f>
        <v>0</v>
      </c>
      <c r="AD55" s="612">
        <f ca="1">SUBTOTAL(109,SummarySWAfterYr1[TRAINING])</f>
        <v>0</v>
      </c>
      <c r="AE55" s="612">
        <f ca="1">SUBTOTAL(109,SummarySWAfterYr1[UAT])</f>
        <v>154728</v>
      </c>
      <c r="AF55" s="612"/>
      <c r="AG55" s="612">
        <f ca="1">SUBTOTAL(109,SummarySWAfterYr1[SIT])</f>
        <v>39312</v>
      </c>
      <c r="AH55" s="612"/>
      <c r="AI55" s="612">
        <f ca="1">SUBTOTAL(109,SummarySWAfterYr1[DIT])</f>
        <v>39312</v>
      </c>
      <c r="AJ55" s="612">
        <f ca="1">SUBTOTAL(109,SummarySWAfterYr1[RND])</f>
        <v>0</v>
      </c>
      <c r="AK55" s="612">
        <f ca="1">SUBTOTAL(109,SummarySWAfterYr1[DEV])</f>
        <v>0</v>
      </c>
      <c r="AL55" s="612">
        <f ca="1">SUBTOTAL(109,SummarySWAfterYr1[Totals])</f>
        <v>721534.56</v>
      </c>
      <c r="AN55" s="262"/>
    </row>
    <row r="57" spans="1:40">
      <c r="A57" s="248" t="s">
        <v>475</v>
      </c>
      <c r="B57" s="249">
        <f>GETPIVOTDATA("Totals",$A$2)/12</f>
        <v>272664.63999999996</v>
      </c>
    </row>
  </sheetData>
  <mergeCells count="3">
    <mergeCell ref="A1:B1"/>
    <mergeCell ref="V1:AL1"/>
    <mergeCell ref="D1:T1"/>
  </mergeCells>
  <pageMargins left="0.7" right="0.7" top="0.75" bottom="0.75" header="0.3" footer="0.3"/>
  <pageSetup orientation="portrait" horizontalDpi="300" r:id="rId2"/>
  <tableParts count="2">
    <tablePart r:id="rId3"/>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DD254"/>
  <sheetViews>
    <sheetView topLeftCell="AN1" workbookViewId="0"/>
  </sheetViews>
  <sheetFormatPr defaultColWidth="11.140625" defaultRowHeight="15"/>
  <cols>
    <col min="1" max="1" width="13.85546875" customWidth="1"/>
    <col min="2" max="2" width="3.5703125" customWidth="1"/>
    <col min="3" max="3" width="3.140625" customWidth="1"/>
    <col min="4" max="10" width="3.5703125" customWidth="1"/>
    <col min="11" max="11" width="5.5703125" customWidth="1"/>
    <col min="12" max="12" width="3.140625" customWidth="1"/>
    <col min="13" max="13" width="3.5703125" customWidth="1"/>
    <col min="14" max="14" width="5.5703125" customWidth="1"/>
    <col min="15" max="16" width="3.140625" customWidth="1"/>
    <col min="17" max="18" width="3.5703125" customWidth="1"/>
    <col min="19" max="19" width="5.42578125" customWidth="1"/>
    <col min="20" max="21" width="3.140625" customWidth="1"/>
    <col min="22" max="22" width="3.140625" bestFit="1" customWidth="1"/>
    <col min="23" max="24" width="3.140625" style="105" bestFit="1" customWidth="1"/>
    <col min="25" max="25" width="3.140625" style="144" bestFit="1" customWidth="1"/>
    <col min="26" max="26" width="3.5703125" style="144" customWidth="1"/>
    <col min="27" max="27" width="3.140625" customWidth="1"/>
    <col min="28" max="28" width="3.140625" style="143" customWidth="1"/>
    <col min="29" max="29" width="5.42578125" style="143" customWidth="1"/>
    <col min="30" max="30" width="5.42578125" style="228" customWidth="1"/>
    <col min="31" max="32" width="3.140625" style="228" customWidth="1"/>
    <col min="33" max="34" width="5.42578125" style="228" customWidth="1"/>
    <col min="35" max="36" width="5.42578125" style="262" customWidth="1"/>
    <col min="37" max="37" width="3.140625" style="262" customWidth="1"/>
    <col min="38" max="38" width="4" style="262" customWidth="1"/>
    <col min="39" max="39" width="5.42578125" style="262" customWidth="1"/>
    <col min="40" max="41" width="3.140625" style="262" customWidth="1"/>
    <col min="42" max="43" width="5.42578125" style="262" customWidth="1"/>
    <col min="44" max="44" width="3.5703125" style="262" customWidth="1"/>
    <col min="45" max="45" width="3.5703125" style="228" customWidth="1"/>
    <col min="46" max="46" width="3.5703125" style="262" customWidth="1"/>
    <col min="47" max="47" width="3.140625" style="262" customWidth="1"/>
    <col min="48" max="49" width="3.5703125" style="262" customWidth="1"/>
    <col min="50" max="51" width="5.5703125" style="262" customWidth="1"/>
    <col min="52" max="52" width="3.5703125" style="262" customWidth="1"/>
    <col min="53" max="53" width="4.5703125" style="262" customWidth="1"/>
    <col min="54" max="54" width="10.140625" style="197" customWidth="1"/>
    <col min="55" max="55" width="5.5703125" style="262" customWidth="1"/>
    <col min="56" max="56" width="28" customWidth="1"/>
    <col min="57" max="63" width="10.7109375" customWidth="1"/>
    <col min="64" max="64" width="10.7109375" style="136" customWidth="1"/>
    <col min="65" max="66" width="10.7109375" customWidth="1"/>
    <col min="67" max="67" width="11.28515625" style="228" customWidth="1"/>
    <col min="68" max="72" width="11.28515625" style="262" customWidth="1"/>
    <col min="73" max="73" width="3.140625" customWidth="1"/>
    <col min="74" max="74" width="26" bestFit="1" customWidth="1"/>
    <col min="75" max="76" width="12.7109375" customWidth="1"/>
    <col min="77" max="78" width="12.7109375" style="262" customWidth="1"/>
    <col min="79" max="90" width="12.7109375" customWidth="1"/>
    <col min="91" max="91" width="3.140625" customWidth="1"/>
    <col min="92" max="92" width="26" customWidth="1"/>
    <col min="93" max="93" width="12.7109375" style="262" customWidth="1"/>
    <col min="94" max="108" width="12.7109375" customWidth="1"/>
  </cols>
  <sheetData>
    <row r="1" spans="1:108" ht="71.25" customHeight="1">
      <c r="B1" s="277" t="s">
        <v>203</v>
      </c>
      <c r="C1" s="263"/>
      <c r="D1" s="263"/>
      <c r="E1" s="263"/>
      <c r="F1" s="263"/>
      <c r="G1" s="263"/>
      <c r="H1" s="263"/>
      <c r="I1" s="263"/>
      <c r="J1" s="263"/>
      <c r="K1" s="263"/>
      <c r="L1" s="263"/>
      <c r="M1" s="263"/>
      <c r="N1" s="263"/>
      <c r="O1" s="263"/>
      <c r="P1" s="263"/>
      <c r="Q1" s="263"/>
      <c r="R1" s="263"/>
      <c r="S1" s="263"/>
      <c r="T1" s="263"/>
      <c r="U1" s="263"/>
      <c r="V1" s="263"/>
      <c r="W1" s="263"/>
      <c r="X1" s="263"/>
      <c r="Y1" s="263"/>
      <c r="Z1" s="263"/>
      <c r="AA1" s="263"/>
      <c r="AB1" s="263"/>
      <c r="AC1" s="263"/>
      <c r="AD1" s="263"/>
      <c r="AE1" s="263"/>
      <c r="AF1" s="263"/>
      <c r="AG1" s="263"/>
      <c r="AH1" s="263"/>
      <c r="AI1" s="263"/>
      <c r="AJ1" s="263"/>
      <c r="AK1" s="263"/>
      <c r="AL1" s="263"/>
      <c r="AM1" s="263"/>
      <c r="AN1" s="263"/>
      <c r="AO1" s="263"/>
      <c r="AP1" s="263"/>
      <c r="AQ1" s="263"/>
      <c r="AR1" s="263"/>
      <c r="AS1" s="263"/>
      <c r="AT1" s="263"/>
      <c r="AU1" s="263"/>
      <c r="AV1" s="263"/>
      <c r="AW1" s="263"/>
      <c r="AX1" s="263"/>
      <c r="AY1" s="263"/>
      <c r="AZ1" s="263"/>
      <c r="BA1" s="263"/>
      <c r="BB1" s="263"/>
      <c r="BC1" s="263"/>
      <c r="BD1" s="637" t="s">
        <v>214</v>
      </c>
      <c r="BE1" s="637"/>
      <c r="BF1" s="637"/>
      <c r="BG1" s="637"/>
      <c r="BH1" s="637"/>
      <c r="BI1" s="637"/>
      <c r="BJ1" s="637"/>
      <c r="BK1" s="637"/>
      <c r="BL1" s="637"/>
      <c r="BM1" s="637"/>
      <c r="BN1" s="637"/>
      <c r="BO1" s="637"/>
      <c r="BP1" s="519"/>
      <c r="BQ1" s="520"/>
      <c r="BR1" s="520"/>
      <c r="BS1" s="615"/>
      <c r="BT1" s="616"/>
      <c r="BV1" s="636" t="s">
        <v>461</v>
      </c>
      <c r="BW1" s="636"/>
      <c r="BX1" s="636"/>
      <c r="BY1" s="636"/>
      <c r="BZ1" s="636"/>
      <c r="CA1" s="636"/>
      <c r="CB1" s="636"/>
      <c r="CC1" s="636"/>
      <c r="CD1" s="636"/>
      <c r="CE1" s="636"/>
      <c r="CF1" s="636"/>
      <c r="CG1" s="636"/>
      <c r="CH1" s="636"/>
      <c r="CI1" s="636"/>
      <c r="CJ1" s="636"/>
      <c r="CK1" s="636"/>
      <c r="CL1" s="636"/>
      <c r="CN1" s="636" t="s">
        <v>460</v>
      </c>
      <c r="CO1" s="636"/>
      <c r="CP1" s="636"/>
      <c r="CQ1" s="636"/>
      <c r="CR1" s="636"/>
      <c r="CS1" s="636"/>
      <c r="CT1" s="636"/>
      <c r="CU1" s="636"/>
      <c r="CV1" s="636"/>
      <c r="CW1" s="636"/>
      <c r="CX1" s="636"/>
      <c r="CY1" s="636"/>
      <c r="CZ1" s="636"/>
      <c r="DA1" s="636"/>
      <c r="DB1" s="636"/>
      <c r="DC1" s="636"/>
      <c r="DD1" s="636"/>
    </row>
    <row r="2" spans="1:108" ht="107.25">
      <c r="A2" s="280" t="s">
        <v>2113</v>
      </c>
      <c r="B2" s="278" t="s">
        <v>155</v>
      </c>
      <c r="C2" s="278" t="s">
        <v>2215</v>
      </c>
      <c r="D2" s="278" t="s">
        <v>382</v>
      </c>
      <c r="E2" s="278" t="s">
        <v>164</v>
      </c>
      <c r="F2" s="278" t="s">
        <v>165</v>
      </c>
      <c r="G2" s="278" t="s">
        <v>167</v>
      </c>
      <c r="H2" s="278" t="s">
        <v>166</v>
      </c>
      <c r="I2" s="278" t="s">
        <v>471</v>
      </c>
      <c r="J2" s="278" t="s">
        <v>407</v>
      </c>
      <c r="K2" s="278" t="s">
        <v>408</v>
      </c>
      <c r="L2" s="278" t="s">
        <v>549</v>
      </c>
      <c r="M2" s="278" t="s">
        <v>168</v>
      </c>
      <c r="N2" s="278" t="s">
        <v>151</v>
      </c>
      <c r="O2" s="278" t="s">
        <v>550</v>
      </c>
      <c r="P2" s="278" t="s">
        <v>551</v>
      </c>
      <c r="Q2" s="278" t="s">
        <v>169</v>
      </c>
      <c r="R2" s="278" t="s">
        <v>170</v>
      </c>
      <c r="S2" s="278" t="s">
        <v>552</v>
      </c>
      <c r="T2" s="278" t="s">
        <v>2329</v>
      </c>
      <c r="U2" s="278" t="s">
        <v>2330</v>
      </c>
      <c r="V2" s="278" t="s">
        <v>2348</v>
      </c>
      <c r="W2" s="278" t="s">
        <v>2349</v>
      </c>
      <c r="X2" s="278" t="s">
        <v>2350</v>
      </c>
      <c r="Y2" s="278" t="s">
        <v>2351</v>
      </c>
      <c r="Z2" s="278" t="s">
        <v>156</v>
      </c>
      <c r="AA2" s="278" t="s">
        <v>2262</v>
      </c>
      <c r="AB2" s="278" t="s">
        <v>2263</v>
      </c>
      <c r="AC2" s="278" t="s">
        <v>2264</v>
      </c>
      <c r="AD2" s="278" t="s">
        <v>2265</v>
      </c>
      <c r="AE2" s="278" t="s">
        <v>2266</v>
      </c>
      <c r="AF2" s="278" t="s">
        <v>2267</v>
      </c>
      <c r="AG2" s="278" t="s">
        <v>2268</v>
      </c>
      <c r="AH2" s="278" t="s">
        <v>2269</v>
      </c>
      <c r="AI2" s="278" t="s">
        <v>2270</v>
      </c>
      <c r="AJ2" s="278" t="s">
        <v>2271</v>
      </c>
      <c r="AK2" s="278" t="s">
        <v>2277</v>
      </c>
      <c r="AL2" s="278" t="s">
        <v>2276</v>
      </c>
      <c r="AM2" s="278" t="s">
        <v>2275</v>
      </c>
      <c r="AN2" s="278" t="s">
        <v>2274</v>
      </c>
      <c r="AO2" s="278" t="s">
        <v>548</v>
      </c>
      <c r="AP2" s="278" t="s">
        <v>2273</v>
      </c>
      <c r="AQ2" s="278" t="s">
        <v>2272</v>
      </c>
      <c r="AR2" s="278" t="s">
        <v>154</v>
      </c>
      <c r="AS2" s="278" t="s">
        <v>157</v>
      </c>
      <c r="AT2" s="278" t="s">
        <v>163</v>
      </c>
      <c r="AU2" s="278" t="s">
        <v>491</v>
      </c>
      <c r="AV2" s="278" t="s">
        <v>158</v>
      </c>
      <c r="AW2" s="278" t="s">
        <v>160</v>
      </c>
      <c r="AX2" s="278" t="s">
        <v>162</v>
      </c>
      <c r="AY2" s="278" t="s">
        <v>161</v>
      </c>
      <c r="AZ2" s="278" t="s">
        <v>159</v>
      </c>
      <c r="BA2" s="278" t="s">
        <v>238</v>
      </c>
      <c r="BB2" s="265" t="s">
        <v>153</v>
      </c>
      <c r="BC2" s="265"/>
      <c r="BD2" s="138"/>
      <c r="BE2" s="279" t="s">
        <v>2220</v>
      </c>
      <c r="BF2" s="138"/>
      <c r="BG2" s="138"/>
      <c r="BH2" s="138"/>
      <c r="BI2" s="138"/>
      <c r="BJ2" s="138"/>
      <c r="BK2" s="138"/>
      <c r="BL2" s="138"/>
      <c r="BM2" s="138"/>
      <c r="BN2" s="138"/>
      <c r="BO2" s="138"/>
      <c r="BP2" s="138"/>
      <c r="BQ2" s="138"/>
      <c r="BR2" s="138"/>
      <c r="BS2" s="138"/>
      <c r="BT2" s="138"/>
      <c r="BV2" s="636"/>
      <c r="BW2" s="636"/>
      <c r="BX2" s="636"/>
      <c r="BY2" s="636"/>
      <c r="BZ2" s="636"/>
      <c r="CA2" s="636"/>
      <c r="CB2" s="636"/>
      <c r="CC2" s="636"/>
      <c r="CD2" s="636"/>
      <c r="CE2" s="636"/>
      <c r="CF2" s="636"/>
      <c r="CG2" s="636"/>
      <c r="CH2" s="636"/>
      <c r="CI2" s="636"/>
      <c r="CJ2" s="636"/>
      <c r="CK2" s="636"/>
      <c r="CL2" s="636"/>
      <c r="CN2" s="636"/>
      <c r="CO2" s="636"/>
      <c r="CP2" s="636"/>
      <c r="CQ2" s="636"/>
      <c r="CR2" s="636"/>
      <c r="CS2" s="636"/>
      <c r="CT2" s="636"/>
      <c r="CU2" s="636"/>
      <c r="CV2" s="636"/>
      <c r="CW2" s="636"/>
      <c r="CX2" s="636"/>
      <c r="CY2" s="636"/>
      <c r="CZ2" s="636"/>
      <c r="DA2" s="636"/>
      <c r="DB2" s="636"/>
      <c r="DC2" s="636"/>
      <c r="DD2" s="636"/>
    </row>
    <row r="3" spans="1:108">
      <c r="A3" s="281" t="s">
        <v>3992</v>
      </c>
      <c r="B3" s="270">
        <v>0</v>
      </c>
      <c r="C3" s="270">
        <v>0</v>
      </c>
      <c r="D3" s="274">
        <v>0</v>
      </c>
      <c r="E3" s="270">
        <v>0</v>
      </c>
      <c r="F3" s="270">
        <v>0</v>
      </c>
      <c r="G3" s="270">
        <v>0</v>
      </c>
      <c r="H3" s="270">
        <v>0</v>
      </c>
      <c r="I3" s="270">
        <v>0</v>
      </c>
      <c r="J3" s="270">
        <v>0</v>
      </c>
      <c r="K3" s="270">
        <v>0</v>
      </c>
      <c r="L3" s="270">
        <v>0</v>
      </c>
      <c r="M3" s="270">
        <v>0</v>
      </c>
      <c r="N3" s="270">
        <v>0</v>
      </c>
      <c r="O3" s="270">
        <v>0</v>
      </c>
      <c r="P3" s="270">
        <v>0</v>
      </c>
      <c r="Q3" s="270">
        <v>0</v>
      </c>
      <c r="R3" s="270">
        <v>0</v>
      </c>
      <c r="S3" s="270">
        <v>0</v>
      </c>
      <c r="T3" s="270">
        <v>0</v>
      </c>
      <c r="U3" s="270">
        <v>0</v>
      </c>
      <c r="V3" s="270">
        <v>0</v>
      </c>
      <c r="W3" s="270">
        <v>0</v>
      </c>
      <c r="X3" s="270">
        <v>0</v>
      </c>
      <c r="Y3" s="270">
        <v>0</v>
      </c>
      <c r="Z3" s="270">
        <v>0</v>
      </c>
      <c r="AA3" s="270">
        <v>0</v>
      </c>
      <c r="AB3" s="270">
        <v>0</v>
      </c>
      <c r="AC3" s="270">
        <v>0</v>
      </c>
      <c r="AD3" s="270">
        <v>0</v>
      </c>
      <c r="AE3" s="270">
        <v>0</v>
      </c>
      <c r="AF3" s="270">
        <v>0</v>
      </c>
      <c r="AG3" s="270">
        <v>0</v>
      </c>
      <c r="AH3" s="270">
        <v>0</v>
      </c>
      <c r="AI3" s="270">
        <v>0</v>
      </c>
      <c r="AJ3" s="270">
        <v>0</v>
      </c>
      <c r="AK3" s="270">
        <v>4</v>
      </c>
      <c r="AL3" s="270">
        <v>0</v>
      </c>
      <c r="AM3" s="270">
        <v>0</v>
      </c>
      <c r="AN3" s="270">
        <v>0</v>
      </c>
      <c r="AO3" s="270">
        <v>0</v>
      </c>
      <c r="AP3" s="270">
        <v>0</v>
      </c>
      <c r="AQ3" s="270">
        <v>0</v>
      </c>
      <c r="AR3" s="270">
        <v>0</v>
      </c>
      <c r="AS3" s="270">
        <v>0</v>
      </c>
      <c r="AT3" s="270">
        <v>0</v>
      </c>
      <c r="AU3" s="270">
        <v>0</v>
      </c>
      <c r="AV3" s="270">
        <v>0</v>
      </c>
      <c r="AW3" s="270">
        <v>0</v>
      </c>
      <c r="AX3" s="270">
        <v>0</v>
      </c>
      <c r="AY3" s="270">
        <v>0</v>
      </c>
      <c r="AZ3" s="270">
        <v>0</v>
      </c>
      <c r="BA3" s="270">
        <v>0</v>
      </c>
      <c r="BB3" s="266">
        <v>718.61</v>
      </c>
      <c r="BC3" s="266"/>
      <c r="BD3" s="420" t="s">
        <v>175</v>
      </c>
      <c r="BE3" s="262" t="s">
        <v>3992</v>
      </c>
      <c r="BF3" s="262" t="s">
        <v>4005</v>
      </c>
      <c r="BG3" s="262" t="s">
        <v>79</v>
      </c>
      <c r="BH3" s="262" t="s">
        <v>3932</v>
      </c>
      <c r="BI3" s="262" t="s">
        <v>211</v>
      </c>
      <c r="BJ3" s="262" t="s">
        <v>26</v>
      </c>
      <c r="BK3" s="262" t="s">
        <v>171</v>
      </c>
      <c r="BL3" s="262" t="s">
        <v>466</v>
      </c>
      <c r="BM3" s="262" t="s">
        <v>212</v>
      </c>
      <c r="BN3" s="262" t="s">
        <v>4139</v>
      </c>
      <c r="BO3" s="262" t="s">
        <v>213</v>
      </c>
      <c r="BP3" s="262" t="s">
        <v>4089</v>
      </c>
      <c r="BQ3" s="262" t="s">
        <v>25</v>
      </c>
      <c r="BR3" s="262" t="s">
        <v>23</v>
      </c>
      <c r="BS3" s="262" t="s">
        <v>209</v>
      </c>
      <c r="BT3" s="273" t="s">
        <v>102</v>
      </c>
      <c r="BV3" s="106" t="s">
        <v>175</v>
      </c>
      <c r="BW3" s="267" t="s">
        <v>3992</v>
      </c>
      <c r="BX3" s="267" t="s">
        <v>4005</v>
      </c>
      <c r="BY3" s="137" t="s">
        <v>79</v>
      </c>
      <c r="BZ3" s="267" t="s">
        <v>3932</v>
      </c>
      <c r="CA3" s="137" t="s">
        <v>211</v>
      </c>
      <c r="CB3" s="106" t="s">
        <v>26</v>
      </c>
      <c r="CC3" s="106" t="s">
        <v>171</v>
      </c>
      <c r="CD3" s="232" t="s">
        <v>466</v>
      </c>
      <c r="CE3" s="137" t="s">
        <v>212</v>
      </c>
      <c r="CF3" s="267" t="s">
        <v>4139</v>
      </c>
      <c r="CG3" s="137" t="s">
        <v>213</v>
      </c>
      <c r="CH3" s="267" t="s">
        <v>4089</v>
      </c>
      <c r="CI3" s="106" t="s">
        <v>25</v>
      </c>
      <c r="CJ3" s="137" t="s">
        <v>23</v>
      </c>
      <c r="CK3" s="137" t="s">
        <v>209</v>
      </c>
      <c r="CL3" s="106" t="s">
        <v>78</v>
      </c>
      <c r="CN3" s="232" t="s">
        <v>175</v>
      </c>
      <c r="CO3" s="267" t="s">
        <v>3992</v>
      </c>
      <c r="CP3" s="267" t="s">
        <v>4005</v>
      </c>
      <c r="CQ3" s="232" t="s">
        <v>79</v>
      </c>
      <c r="CR3" s="267" t="s">
        <v>3932</v>
      </c>
      <c r="CS3" s="232" t="s">
        <v>211</v>
      </c>
      <c r="CT3" s="232" t="s">
        <v>26</v>
      </c>
      <c r="CU3" s="232" t="s">
        <v>171</v>
      </c>
      <c r="CV3" s="232" t="s">
        <v>466</v>
      </c>
      <c r="CW3" s="232" t="s">
        <v>212</v>
      </c>
      <c r="CX3" s="267" t="s">
        <v>4139</v>
      </c>
      <c r="CY3" s="232" t="s">
        <v>213</v>
      </c>
      <c r="CZ3" s="267" t="s">
        <v>4089</v>
      </c>
      <c r="DA3" s="232" t="s">
        <v>25</v>
      </c>
      <c r="DB3" s="232" t="s">
        <v>23</v>
      </c>
      <c r="DC3" s="232" t="s">
        <v>209</v>
      </c>
      <c r="DD3" s="232" t="s">
        <v>78</v>
      </c>
    </row>
    <row r="4" spans="1:108">
      <c r="A4" s="281" t="s">
        <v>4005</v>
      </c>
      <c r="B4" s="270">
        <v>0</v>
      </c>
      <c r="C4" s="270">
        <v>0</v>
      </c>
      <c r="D4" s="274">
        <v>0</v>
      </c>
      <c r="E4" s="270">
        <v>0</v>
      </c>
      <c r="F4" s="270">
        <v>0</v>
      </c>
      <c r="G4" s="270">
        <v>0</v>
      </c>
      <c r="H4" s="270">
        <v>0</v>
      </c>
      <c r="I4" s="270">
        <v>0</v>
      </c>
      <c r="J4" s="270">
        <v>0</v>
      </c>
      <c r="K4" s="270">
        <v>0</v>
      </c>
      <c r="L4" s="270">
        <v>0</v>
      </c>
      <c r="M4" s="270">
        <v>0</v>
      </c>
      <c r="N4" s="270">
        <v>0</v>
      </c>
      <c r="O4" s="270">
        <v>0</v>
      </c>
      <c r="P4" s="270">
        <v>0</v>
      </c>
      <c r="Q4" s="270">
        <v>0</v>
      </c>
      <c r="R4" s="270">
        <v>0</v>
      </c>
      <c r="S4" s="270">
        <v>0</v>
      </c>
      <c r="T4" s="270">
        <v>0</v>
      </c>
      <c r="U4" s="270">
        <v>0</v>
      </c>
      <c r="V4" s="270">
        <v>0</v>
      </c>
      <c r="W4" s="270">
        <v>0</v>
      </c>
      <c r="X4" s="270">
        <v>0</v>
      </c>
      <c r="Y4" s="270">
        <v>0</v>
      </c>
      <c r="Z4" s="270">
        <v>0</v>
      </c>
      <c r="AA4" s="270">
        <v>0</v>
      </c>
      <c r="AB4" s="270">
        <v>0</v>
      </c>
      <c r="AC4" s="270">
        <v>0</v>
      </c>
      <c r="AD4" s="270">
        <v>0</v>
      </c>
      <c r="AE4" s="270">
        <v>0</v>
      </c>
      <c r="AF4" s="270">
        <v>0</v>
      </c>
      <c r="AG4" s="270">
        <v>0</v>
      </c>
      <c r="AH4" s="270">
        <v>0</v>
      </c>
      <c r="AI4" s="270">
        <v>0</v>
      </c>
      <c r="AJ4" s="270">
        <v>0</v>
      </c>
      <c r="AK4" s="270">
        <v>0</v>
      </c>
      <c r="AL4" s="270">
        <v>0</v>
      </c>
      <c r="AM4" s="270">
        <v>0</v>
      </c>
      <c r="AN4" s="270">
        <v>0</v>
      </c>
      <c r="AO4" s="270">
        <v>0</v>
      </c>
      <c r="AP4" s="270">
        <v>0</v>
      </c>
      <c r="AQ4" s="270">
        <v>0</v>
      </c>
      <c r="AR4" s="270">
        <v>0</v>
      </c>
      <c r="AS4" s="270">
        <v>0</v>
      </c>
      <c r="AT4" s="270">
        <v>0</v>
      </c>
      <c r="AU4" s="270">
        <v>0</v>
      </c>
      <c r="AV4" s="270">
        <v>0</v>
      </c>
      <c r="AW4" s="270">
        <v>0</v>
      </c>
      <c r="AX4" s="270">
        <v>0</v>
      </c>
      <c r="AY4" s="270">
        <v>0</v>
      </c>
      <c r="AZ4" s="270">
        <v>0</v>
      </c>
      <c r="BA4" s="270">
        <v>0</v>
      </c>
      <c r="BB4" s="266">
        <v>0</v>
      </c>
      <c r="BC4" s="266"/>
      <c r="BD4" s="281" t="s">
        <v>192</v>
      </c>
      <c r="BE4" s="272">
        <v>0</v>
      </c>
      <c r="BF4" s="272">
        <v>0</v>
      </c>
      <c r="BG4" s="272">
        <v>0</v>
      </c>
      <c r="BH4" s="272">
        <v>0</v>
      </c>
      <c r="BI4" s="272">
        <v>0</v>
      </c>
      <c r="BJ4" s="272">
        <v>0</v>
      </c>
      <c r="BK4" s="272">
        <v>0</v>
      </c>
      <c r="BL4" s="272">
        <v>0</v>
      </c>
      <c r="BM4" s="272">
        <v>0</v>
      </c>
      <c r="BN4" s="272">
        <v>0</v>
      </c>
      <c r="BO4" s="272">
        <v>0</v>
      </c>
      <c r="BP4" s="272">
        <v>0</v>
      </c>
      <c r="BQ4" s="272">
        <v>0</v>
      </c>
      <c r="BR4" s="272">
        <v>0</v>
      </c>
      <c r="BS4" s="272">
        <v>0</v>
      </c>
      <c r="BT4" s="272">
        <v>0</v>
      </c>
      <c r="BV4" s="31" t="str">
        <f t="shared" ref="BV4:BX55" si="0">BD4</f>
        <v xml:space="preserve">Ab Initio </v>
      </c>
      <c r="BW4" s="262">
        <f t="shared" si="0"/>
        <v>0</v>
      </c>
      <c r="BX4" s="262">
        <f t="shared" si="0"/>
        <v>0</v>
      </c>
      <c r="BY4" s="427">
        <f ca="1">INDEX(Product_Pricing_Schedule,MATCH(TRIM($BV4),Products,0),MATCH(VLOOKUP(BY$3,tEnv[],3,FALSE),Envs,0))*GETPIVOTDATA(CELL("contents",$BV4),$BD$2,"Env Label",BY$3)</f>
        <v>0</v>
      </c>
      <c r="BZ4" s="427">
        <f ca="1">INDEX(Product_Pricing_Schedule,MATCH(TRIM($BV4),Products,0),MATCH(VLOOKUP(BZ$3,tEnv[],3,FALSE),Envs,0))*GETPIVOTDATA(CELL("contents",$BV4),$BD$2,"Env Label",BZ$3)</f>
        <v>0</v>
      </c>
      <c r="CA4" s="427">
        <f ca="1">INDEX(Product_Pricing_Schedule,MATCH(TRIM($BV4),Products,0),MATCH(VLOOKUP(CA$3,tEnv[],3,FALSE),Envs,0))*GETPIVOTDATA(CELL("contents",$BV4),$BD$2,"Env Label",CA$3)</f>
        <v>0</v>
      </c>
      <c r="CB4" s="427">
        <f ca="1">INDEX(Product_Pricing_Schedule,MATCH(TRIM($BV4),Products,0),MATCH(VLOOKUP(CB$3,tEnv[],3,FALSE),Envs,0))*GETPIVOTDATA(CELL("contents",$BV4),$BD$2,"Env Label",CB$3)</f>
        <v>0</v>
      </c>
      <c r="CC4" s="427">
        <f ca="1">INDEX(Product_Pricing_Schedule,MATCH(TRIM($BV4),Products,0),MATCH(VLOOKUP(CC$3,tEnv[],3,FALSE),Envs,0))*GETPIVOTDATA(CELL("contents",$BV4),$BD$2,"Env Label",CC$3)</f>
        <v>0</v>
      </c>
      <c r="CD4" s="427">
        <f ca="1">INDEX(Product_Pricing_Schedule,MATCH(TRIM($BV4),Products,0),MATCH(VLOOKUP(CD$3,tEnv[],3,FALSE),Envs,0))*GETPIVOTDATA(CELL("contents",$BV4),$BD$2,"Env Label",CD$3)</f>
        <v>0</v>
      </c>
      <c r="CE4" s="427">
        <f ca="1">INDEX(Product_Pricing_Schedule,MATCH(TRIM($BV4),Products,0),MATCH(VLOOKUP(CE$3,tEnv[],3,FALSE),Envs,0))*GETPIVOTDATA(CELL("contents",$BV4),$BD$2,"Env Label",CE$3)</f>
        <v>0</v>
      </c>
      <c r="CF4" s="427">
        <f ca="1">INDEX(Product_Pricing_Schedule,MATCH(TRIM($BV4),Products,0),MATCH(VLOOKUP(CF$3,tEnv[],3,FALSE),Envs,0))*GETPIVOTDATA(CELL("contents",$BV4),$BD$2,"Env Label",CF$3)</f>
        <v>0</v>
      </c>
      <c r="CG4" s="427">
        <f ca="1">INDEX(Product_Pricing_Schedule,MATCH(TRIM($BV4),Products,0),MATCH(VLOOKUP(CG$3,tEnv[],3,FALSE),Envs,0))*GETPIVOTDATA(CELL("contents",$BV4),$BD$2,"Env Label",CG$3)</f>
        <v>0</v>
      </c>
      <c r="CH4" s="427">
        <f ca="1">INDEX(Product_Pricing_Schedule,MATCH(TRIM($BV4),Products,0),MATCH(VLOOKUP(CH$3,tEnv[],3,FALSE),Envs,0))*GETPIVOTDATA(CELL("contents",$BV4),$BD$2,"Env Label",CH$3)</f>
        <v>0</v>
      </c>
      <c r="CI4" s="427">
        <f ca="1">INDEX(Product_Pricing_Schedule,MATCH(TRIM($BV4),Products,0),MATCH(VLOOKUP(CI$3,tEnv[],3,FALSE),Envs,0))*GETPIVOTDATA(CELL("contents",$BV4),$BD$2,"Env Label",CI$3)</f>
        <v>0</v>
      </c>
      <c r="CJ4" s="427">
        <f ca="1">INDEX(Product_Pricing_Schedule,MATCH(TRIM($BV4),Products,0),MATCH(VLOOKUP(CJ$3,tEnv[],3,FALSE),Envs,0))*GETPIVOTDATA(CELL("contents",$BV4),$BD$2,"Env Label",CJ$3)</f>
        <v>0</v>
      </c>
      <c r="CK4" s="427">
        <f ca="1">INDEX(Product_Pricing_Schedule,MATCH(TRIM($BV4),Products,0),MATCH(VLOOKUP(CK$3,tEnv[],3,FALSE),Envs,0))*GETPIVOTDATA(CELL("contents",$BV4),$BD$2,"Env Label",CK$3)</f>
        <v>0</v>
      </c>
      <c r="CL4" s="428">
        <f ca="1">SUM(AnnualSWCostByProdByEnv[[#This Row],[PROD]:[DEV]])</f>
        <v>0</v>
      </c>
      <c r="CN4" s="228" t="str">
        <f t="shared" ref="CN4:CN35" si="1">BV4</f>
        <v xml:space="preserve">Ab Initio </v>
      </c>
      <c r="CO4" s="262">
        <f t="shared" ref="CO4:CP4" ca="1" si="2">BY4</f>
        <v>0</v>
      </c>
      <c r="CP4" s="262">
        <f t="shared" ca="1" si="2"/>
        <v>0</v>
      </c>
      <c r="CQ4" s="368">
        <f ca="1">INDEX(Maint_Pricing_Schedule,MATCH(TRIM($CN4),Products,0),MATCH(VLOOKUP(CQ$3,tEnv[],3,FALSE),Envs,0))*GETPIVOTDATA(CELL("contents",$CN4),$BD$2,"Env Label",CQ$3)</f>
        <v>0</v>
      </c>
      <c r="CR4" s="368">
        <f ca="1">INDEX(Maint_Pricing_Schedule,MATCH(TRIM($CN4),Products,0),MATCH(VLOOKUP(CR$3,tEnv[],3,FALSE),Envs,0))*GETPIVOTDATA(CELL("contents",$CN4),$BD$2,"Env Label",CR$3)</f>
        <v>0</v>
      </c>
      <c r="CS4" s="368">
        <f ca="1">INDEX(Maint_Pricing_Schedule,MATCH(TRIM($CN4),Products,0),MATCH(VLOOKUP(CS$3,tEnv[],3,FALSE),Envs,0))*GETPIVOTDATA(CELL("contents",$CN4),$BD$2,"Env Label",CS$3)</f>
        <v>0</v>
      </c>
      <c r="CT4" s="368">
        <f ca="1">INDEX(Maint_Pricing_Schedule,MATCH(TRIM($CN4),Products,0),MATCH(VLOOKUP(CT$3,tEnv[],3,FALSE),Envs,0))*GETPIVOTDATA(CELL("contents",$CN4),$BD$2,"Env Label",CT$3)</f>
        <v>0</v>
      </c>
      <c r="CU4" s="368">
        <f ca="1">INDEX(Maint_Pricing_Schedule,MATCH(TRIM($CN4),Products,0),MATCH(VLOOKUP(CU$3,tEnv[],3,FALSE),Envs,0))*GETPIVOTDATA(CELL("contents",$CN4),$BD$2,"Env Label",CU$3)</f>
        <v>0</v>
      </c>
      <c r="CV4" s="368">
        <f ca="1">INDEX(Maint_Pricing_Schedule,MATCH(TRIM($CN4),Products,0),MATCH(VLOOKUP(CV$3,tEnv[],3,FALSE),Envs,0))*GETPIVOTDATA(CELL("contents",$CN4),$BD$2,"Env Label",CV$3)</f>
        <v>0</v>
      </c>
      <c r="CW4" s="368">
        <f ca="1">INDEX(Maint_Pricing_Schedule,MATCH(TRIM($CN4),Products,0),MATCH(VLOOKUP(CW$3,tEnv[],3,FALSE),Envs,0))*GETPIVOTDATA(CELL("contents",$CN4),$BD$2,"Env Label",CW$3)</f>
        <v>0</v>
      </c>
      <c r="CX4" s="368">
        <f ca="1">INDEX(Maint_Pricing_Schedule,MATCH(TRIM($CN4),Products,0),MATCH(VLOOKUP(CX$3,tEnv[],3,FALSE),Envs,0))*GETPIVOTDATA(CELL("contents",$CN4),$BD$2,"Env Label",CX$3)</f>
        <v>0</v>
      </c>
      <c r="CY4" s="368">
        <f ca="1">INDEX(Maint_Pricing_Schedule,MATCH(TRIM($CN4),Products,0),MATCH(VLOOKUP(CY$3,tEnv[],3,FALSE),Envs,0))*GETPIVOTDATA(CELL("contents",$CN4),$BD$2,"Env Label",CY$3)</f>
        <v>0</v>
      </c>
      <c r="CZ4" s="368">
        <f ca="1">INDEX(Maint_Pricing_Schedule,MATCH(TRIM($CN4),Products,0),MATCH(VLOOKUP(CZ$3,tEnv[],3,FALSE),Envs,0))*GETPIVOTDATA(CELL("contents",$CN4),$BD$2,"Env Label",CZ$3)</f>
        <v>0</v>
      </c>
      <c r="DA4" s="368">
        <f ca="1">INDEX(Maint_Pricing_Schedule,MATCH(TRIM($CN4),Products,0),MATCH(VLOOKUP(DA$3,tEnv[],3,FALSE),Envs,0))*GETPIVOTDATA(CELL("contents",$CN4),$BD$2,"Env Label",DA$3)</f>
        <v>0</v>
      </c>
      <c r="DB4" s="368">
        <f ca="1">INDEX(Maint_Pricing_Schedule,MATCH(TRIM($CN4),Products,0),MATCH(VLOOKUP(DB$3,tEnv[],3,FALSE),Envs,0))*GETPIVOTDATA(CELL("contents",$CN4),$BD$2,"Env Label",DB$3)</f>
        <v>0</v>
      </c>
      <c r="DC4" s="368">
        <f ca="1">INDEX(Maint_Pricing_Schedule,MATCH(TRIM($CN4),Products,0),MATCH(VLOOKUP(DC$3,tEnv[],3,FALSE),Envs,0))*GETPIVOTDATA(CELL("contents",$CN4),$BD$2,"Env Label",DC$3)</f>
        <v>0</v>
      </c>
      <c r="DD4" s="369">
        <f ca="1">SUM(AnnualSWMaintCostByProdByEnv[[#This Row],[PROD]:[DEV]])</f>
        <v>0</v>
      </c>
    </row>
    <row r="5" spans="1:108">
      <c r="A5" s="281" t="s">
        <v>79</v>
      </c>
      <c r="B5" s="270">
        <v>0</v>
      </c>
      <c r="C5" s="270">
        <v>21</v>
      </c>
      <c r="D5" s="274">
        <v>0</v>
      </c>
      <c r="E5" s="270">
        <v>0</v>
      </c>
      <c r="F5" s="270">
        <v>0</v>
      </c>
      <c r="G5" s="270">
        <v>0</v>
      </c>
      <c r="H5" s="270">
        <v>0</v>
      </c>
      <c r="I5" s="270">
        <v>0</v>
      </c>
      <c r="J5" s="270">
        <v>0</v>
      </c>
      <c r="K5" s="270">
        <v>96</v>
      </c>
      <c r="L5" s="270">
        <v>0</v>
      </c>
      <c r="M5" s="270">
        <v>0</v>
      </c>
      <c r="N5" s="270">
        <v>80</v>
      </c>
      <c r="O5" s="270">
        <v>0</v>
      </c>
      <c r="P5" s="270">
        <v>0</v>
      </c>
      <c r="Q5" s="270">
        <v>0</v>
      </c>
      <c r="R5" s="270">
        <v>0</v>
      </c>
      <c r="S5" s="270">
        <v>0</v>
      </c>
      <c r="T5" s="270">
        <v>0</v>
      </c>
      <c r="U5" s="270">
        <v>0</v>
      </c>
      <c r="V5" s="270">
        <v>0</v>
      </c>
      <c r="W5" s="270">
        <v>0</v>
      </c>
      <c r="X5" s="270">
        <v>0</v>
      </c>
      <c r="Y5" s="270">
        <v>0</v>
      </c>
      <c r="Z5" s="270">
        <v>0</v>
      </c>
      <c r="AA5" s="270">
        <v>0</v>
      </c>
      <c r="AB5" s="270">
        <v>0</v>
      </c>
      <c r="AC5" s="270">
        <v>0</v>
      </c>
      <c r="AD5" s="270">
        <v>0</v>
      </c>
      <c r="AE5" s="270">
        <v>0</v>
      </c>
      <c r="AF5" s="270">
        <v>0</v>
      </c>
      <c r="AG5" s="270">
        <v>0</v>
      </c>
      <c r="AH5" s="270">
        <v>0</v>
      </c>
      <c r="AI5" s="270">
        <v>0</v>
      </c>
      <c r="AJ5" s="270">
        <v>0</v>
      </c>
      <c r="AK5" s="270">
        <v>0</v>
      </c>
      <c r="AL5" s="270">
        <v>64</v>
      </c>
      <c r="AM5" s="270">
        <v>0</v>
      </c>
      <c r="AN5" s="270">
        <v>0</v>
      </c>
      <c r="AO5" s="270">
        <v>0</v>
      </c>
      <c r="AP5" s="270">
        <v>0</v>
      </c>
      <c r="AQ5" s="270">
        <v>0</v>
      </c>
      <c r="AR5" s="270">
        <v>0</v>
      </c>
      <c r="AS5" s="270">
        <v>0</v>
      </c>
      <c r="AT5" s="270">
        <v>0</v>
      </c>
      <c r="AU5" s="270">
        <v>0</v>
      </c>
      <c r="AV5" s="270">
        <v>0</v>
      </c>
      <c r="AW5" s="270">
        <v>0</v>
      </c>
      <c r="AX5" s="270">
        <v>192</v>
      </c>
      <c r="AY5" s="270">
        <v>64</v>
      </c>
      <c r="AZ5" s="270">
        <v>0</v>
      </c>
      <c r="BA5" s="270">
        <v>8</v>
      </c>
      <c r="BB5" s="266">
        <v>13859.75</v>
      </c>
      <c r="BC5" s="266"/>
      <c r="BD5" s="281" t="s">
        <v>2216</v>
      </c>
      <c r="BE5" s="272">
        <v>0</v>
      </c>
      <c r="BF5" s="272">
        <v>0</v>
      </c>
      <c r="BG5" s="272">
        <v>21</v>
      </c>
      <c r="BH5" s="272">
        <v>5</v>
      </c>
      <c r="BI5" s="272">
        <v>16</v>
      </c>
      <c r="BJ5" s="272">
        <v>0</v>
      </c>
      <c r="BK5" s="272">
        <v>0</v>
      </c>
      <c r="BL5" s="272">
        <v>0</v>
      </c>
      <c r="BM5" s="272">
        <v>3</v>
      </c>
      <c r="BN5" s="272">
        <v>3</v>
      </c>
      <c r="BO5" s="272">
        <v>2</v>
      </c>
      <c r="BP5" s="272">
        <v>0</v>
      </c>
      <c r="BQ5" s="272">
        <v>2</v>
      </c>
      <c r="BR5" s="272">
        <v>0</v>
      </c>
      <c r="BS5" s="272">
        <v>0</v>
      </c>
      <c r="BT5" s="272">
        <v>52</v>
      </c>
      <c r="BV5" s="262" t="str">
        <f t="shared" si="0"/>
        <v xml:space="preserve">CA APM </v>
      </c>
      <c r="BW5" s="262">
        <f t="shared" si="0"/>
        <v>0</v>
      </c>
      <c r="BX5" s="262">
        <f t="shared" si="0"/>
        <v>0</v>
      </c>
      <c r="BY5" s="427">
        <f ca="1">INDEX(Product_Pricing_Schedule,MATCH(TRIM($BV5),Products,0),MATCH(VLOOKUP(BY$3,tEnv[],3,FALSE),Envs,0))*GETPIVOTDATA(CELL("contents",$BV5),$BD$2,"Env Label",BY$3)</f>
        <v>0</v>
      </c>
      <c r="BZ5" s="427">
        <f ca="1">INDEX(Product_Pricing_Schedule,MATCH(TRIM($BV5),Products,0),MATCH(VLOOKUP(BZ$3,tEnv[],3,FALSE),Envs,0))*GETPIVOTDATA(CELL("contents",$BV5),$BD$2,"Env Label",BZ$3)</f>
        <v>0</v>
      </c>
      <c r="CA5" s="427">
        <f ca="1">INDEX(Product_Pricing_Schedule,MATCH(TRIM($BV5),Products,0),MATCH(VLOOKUP(CA$3,tEnv[],3,FALSE),Envs,0))*GETPIVOTDATA(CELL("contents",$BV5),$BD$2,"Env Label",CA$3)</f>
        <v>0</v>
      </c>
      <c r="CB5" s="427">
        <f ca="1">INDEX(Product_Pricing_Schedule,MATCH(TRIM($BV5),Products,0),MATCH(VLOOKUP(CB$3,tEnv[],3,FALSE),Envs,0))*GETPIVOTDATA(CELL("contents",$BV5),$BD$2,"Env Label",CB$3)</f>
        <v>0</v>
      </c>
      <c r="CC5" s="427">
        <f ca="1">INDEX(Product_Pricing_Schedule,MATCH(TRIM($BV5),Products,0),MATCH(VLOOKUP(CC$3,tEnv[],3,FALSE),Envs,0))*GETPIVOTDATA(CELL("contents",$BV5),$BD$2,"Env Label",CC$3)</f>
        <v>0</v>
      </c>
      <c r="CD5" s="427">
        <f ca="1">INDEX(Product_Pricing_Schedule,MATCH(TRIM($BV5),Products,0),MATCH(VLOOKUP(CD$3,tEnv[],3,FALSE),Envs,0))*GETPIVOTDATA(CELL("contents",$BV5),$BD$2,"Env Label",CD$3)</f>
        <v>0</v>
      </c>
      <c r="CE5" s="427">
        <f ca="1">INDEX(Product_Pricing_Schedule,MATCH(TRIM($BV5),Products,0),MATCH(VLOOKUP(CE$3,tEnv[],3,FALSE),Envs,0))*GETPIVOTDATA(CELL("contents",$BV5),$BD$2,"Env Label",CE$3)</f>
        <v>0</v>
      </c>
      <c r="CF5" s="427">
        <f ca="1">INDEX(Product_Pricing_Schedule,MATCH(TRIM($BV5),Products,0),MATCH(VLOOKUP(CF$3,tEnv[],3,FALSE),Envs,0))*GETPIVOTDATA(CELL("contents",$BV5),$BD$2,"Env Label",CF$3)</f>
        <v>0</v>
      </c>
      <c r="CG5" s="427">
        <f ca="1">INDEX(Product_Pricing_Schedule,MATCH(TRIM($BV5),Products,0),MATCH(VLOOKUP(CG$3,tEnv[],3,FALSE),Envs,0))*GETPIVOTDATA(CELL("contents",$BV5),$BD$2,"Env Label",CG$3)</f>
        <v>0</v>
      </c>
      <c r="CH5" s="427">
        <f ca="1">INDEX(Product_Pricing_Schedule,MATCH(TRIM($BV5),Products,0),MATCH(VLOOKUP(CH$3,tEnv[],3,FALSE),Envs,0))*GETPIVOTDATA(CELL("contents",$BV5),$BD$2,"Env Label",CH$3)</f>
        <v>0</v>
      </c>
      <c r="CI5" s="427">
        <f ca="1">INDEX(Product_Pricing_Schedule,MATCH(TRIM($BV5),Products,0),MATCH(VLOOKUP(CI$3,tEnv[],3,FALSE),Envs,0))*GETPIVOTDATA(CELL("contents",$BV5),$BD$2,"Env Label",CI$3)</f>
        <v>0</v>
      </c>
      <c r="CJ5" s="427">
        <f ca="1">INDEX(Product_Pricing_Schedule,MATCH(TRIM($BV5),Products,0),MATCH(VLOOKUP(CJ$3,tEnv[],3,FALSE),Envs,0))*GETPIVOTDATA(CELL("contents",$BV5),$BD$2,"Env Label",CJ$3)</f>
        <v>0</v>
      </c>
      <c r="CK5" s="427">
        <f ca="1">INDEX(Product_Pricing_Schedule,MATCH(TRIM($BV5),Products,0),MATCH(VLOOKUP(CK$3,tEnv[],3,FALSE),Envs,0))*GETPIVOTDATA(CELL("contents",$BV5),$BD$2,"Env Label",CK$3)</f>
        <v>0</v>
      </c>
      <c r="CL5" s="428">
        <f ca="1">SUM(AnnualSWCostByProdByEnv[[#This Row],[PROD]:[DEV]])</f>
        <v>0</v>
      </c>
      <c r="CN5" s="262" t="str">
        <f t="shared" si="1"/>
        <v xml:space="preserve">CA APM </v>
      </c>
      <c r="CO5" s="262">
        <f t="shared" ref="CO5:CP53" ca="1" si="3">BY5</f>
        <v>0</v>
      </c>
      <c r="CP5" s="262">
        <f t="shared" ca="1" si="3"/>
        <v>0</v>
      </c>
      <c r="CQ5" s="368">
        <f ca="1">INDEX(Maint_Pricing_Schedule,MATCH(TRIM($CN5),Products,0),MATCH(VLOOKUP(CQ$3,tEnv[],3,FALSE),Envs,0))*GETPIVOTDATA(CELL("contents",$CN5),$BD$2,"Env Label",CQ$3)</f>
        <v>0</v>
      </c>
      <c r="CR5" s="368">
        <f ca="1">INDEX(Maint_Pricing_Schedule,MATCH(TRIM($CN5),Products,0),MATCH(VLOOKUP(CR$3,tEnv[],3,FALSE),Envs,0))*GETPIVOTDATA(CELL("contents",$CN5),$BD$2,"Env Label",CR$3)</f>
        <v>0</v>
      </c>
      <c r="CS5" s="368">
        <f ca="1">INDEX(Maint_Pricing_Schedule,MATCH(TRIM($CN5),Products,0),MATCH(VLOOKUP(CS$3,tEnv[],3,FALSE),Envs,0))*GETPIVOTDATA(CELL("contents",$CN5),$BD$2,"Env Label",CS$3)</f>
        <v>0</v>
      </c>
      <c r="CT5" s="368">
        <f ca="1">INDEX(Maint_Pricing_Schedule,MATCH(TRIM($CN5),Products,0),MATCH(VLOOKUP(CT$3,tEnv[],3,FALSE),Envs,0))*GETPIVOTDATA(CELL("contents",$CN5),$BD$2,"Env Label",CT$3)</f>
        <v>0</v>
      </c>
      <c r="CU5" s="368">
        <f ca="1">INDEX(Maint_Pricing_Schedule,MATCH(TRIM($CN5),Products,0),MATCH(VLOOKUP(CU$3,tEnv[],3,FALSE),Envs,0))*GETPIVOTDATA(CELL("contents",$CN5),$BD$2,"Env Label",CU$3)</f>
        <v>0</v>
      </c>
      <c r="CV5" s="368">
        <f ca="1">INDEX(Maint_Pricing_Schedule,MATCH(TRIM($CN5),Products,0),MATCH(VLOOKUP(CV$3,tEnv[],3,FALSE),Envs,0))*GETPIVOTDATA(CELL("contents",$CN5),$BD$2,"Env Label",CV$3)</f>
        <v>0</v>
      </c>
      <c r="CW5" s="368">
        <f ca="1">INDEX(Maint_Pricing_Schedule,MATCH(TRIM($CN5),Products,0),MATCH(VLOOKUP(CW$3,tEnv[],3,FALSE),Envs,0))*GETPIVOTDATA(CELL("contents",$CN5),$BD$2,"Env Label",CW$3)</f>
        <v>0</v>
      </c>
      <c r="CX5" s="368">
        <f ca="1">INDEX(Maint_Pricing_Schedule,MATCH(TRIM($CN5),Products,0),MATCH(VLOOKUP(CX$3,tEnv[],3,FALSE),Envs,0))*GETPIVOTDATA(CELL("contents",$CN5),$BD$2,"Env Label",CX$3)</f>
        <v>0</v>
      </c>
      <c r="CY5" s="368">
        <f ca="1">INDEX(Maint_Pricing_Schedule,MATCH(TRIM($CN5),Products,0),MATCH(VLOOKUP(CY$3,tEnv[],3,FALSE),Envs,0))*GETPIVOTDATA(CELL("contents",$CN5),$BD$2,"Env Label",CY$3)</f>
        <v>0</v>
      </c>
      <c r="CZ5" s="368">
        <f ca="1">INDEX(Maint_Pricing_Schedule,MATCH(TRIM($CN5),Products,0),MATCH(VLOOKUP(CZ$3,tEnv[],3,FALSE),Envs,0))*GETPIVOTDATA(CELL("contents",$CN5),$BD$2,"Env Label",CZ$3)</f>
        <v>0</v>
      </c>
      <c r="DA5" s="368">
        <f ca="1">INDEX(Maint_Pricing_Schedule,MATCH(TRIM($CN5),Products,0),MATCH(VLOOKUP(DA$3,tEnv[],3,FALSE),Envs,0))*GETPIVOTDATA(CELL("contents",$CN5),$BD$2,"Env Label",DA$3)</f>
        <v>0</v>
      </c>
      <c r="DB5" s="368">
        <f ca="1">INDEX(Maint_Pricing_Schedule,MATCH(TRIM($CN5),Products,0),MATCH(VLOOKUP(DB$3,tEnv[],3,FALSE),Envs,0))*GETPIVOTDATA(CELL("contents",$CN5),$BD$2,"Env Label",DB$3)</f>
        <v>0</v>
      </c>
      <c r="DC5" s="368">
        <f ca="1">INDEX(Maint_Pricing_Schedule,MATCH(TRIM($CN5),Products,0),MATCH(VLOOKUP(DC$3,tEnv[],3,FALSE),Envs,0))*GETPIVOTDATA(CELL("contents",$CN5),$BD$2,"Env Label",DC$3)</f>
        <v>0</v>
      </c>
      <c r="DD5" s="369">
        <f ca="1">SUM(AnnualSWMaintCostByProdByEnv[[#This Row],[PROD]:[DEV]])</f>
        <v>0</v>
      </c>
    </row>
    <row r="6" spans="1:108">
      <c r="A6" s="281" t="s">
        <v>3932</v>
      </c>
      <c r="B6" s="270">
        <v>0</v>
      </c>
      <c r="C6" s="270">
        <v>5</v>
      </c>
      <c r="D6" s="274">
        <v>0</v>
      </c>
      <c r="E6" s="270">
        <v>0</v>
      </c>
      <c r="F6" s="270">
        <v>0</v>
      </c>
      <c r="G6" s="270">
        <v>0</v>
      </c>
      <c r="H6" s="270">
        <v>0</v>
      </c>
      <c r="I6" s="270">
        <v>0</v>
      </c>
      <c r="J6" s="270">
        <v>0</v>
      </c>
      <c r="K6" s="270">
        <v>96</v>
      </c>
      <c r="L6" s="270">
        <v>0</v>
      </c>
      <c r="M6" s="270">
        <v>0</v>
      </c>
      <c r="N6" s="270">
        <v>80</v>
      </c>
      <c r="O6" s="270">
        <v>0</v>
      </c>
      <c r="P6" s="270">
        <v>0</v>
      </c>
      <c r="Q6" s="270">
        <v>0</v>
      </c>
      <c r="R6" s="270">
        <v>0</v>
      </c>
      <c r="S6" s="270">
        <v>0</v>
      </c>
      <c r="T6" s="270">
        <v>0</v>
      </c>
      <c r="U6" s="270">
        <v>0</v>
      </c>
      <c r="V6" s="270">
        <v>0</v>
      </c>
      <c r="W6" s="270">
        <v>0</v>
      </c>
      <c r="X6" s="270">
        <v>0</v>
      </c>
      <c r="Y6" s="270">
        <v>0</v>
      </c>
      <c r="Z6" s="270">
        <v>0</v>
      </c>
      <c r="AA6" s="270">
        <v>0</v>
      </c>
      <c r="AB6" s="270">
        <v>0</v>
      </c>
      <c r="AC6" s="270">
        <v>0</v>
      </c>
      <c r="AD6" s="270">
        <v>0</v>
      </c>
      <c r="AE6" s="270">
        <v>0</v>
      </c>
      <c r="AF6" s="270">
        <v>0</v>
      </c>
      <c r="AG6" s="270">
        <v>0</v>
      </c>
      <c r="AH6" s="270">
        <v>0</v>
      </c>
      <c r="AI6" s="270">
        <v>0</v>
      </c>
      <c r="AJ6" s="270">
        <v>0</v>
      </c>
      <c r="AK6" s="270">
        <v>0</v>
      </c>
      <c r="AL6" s="270">
        <v>64</v>
      </c>
      <c r="AM6" s="270">
        <v>0</v>
      </c>
      <c r="AN6" s="270">
        <v>0</v>
      </c>
      <c r="AO6" s="270">
        <v>0</v>
      </c>
      <c r="AP6" s="270">
        <v>0</v>
      </c>
      <c r="AQ6" s="270">
        <v>0</v>
      </c>
      <c r="AR6" s="270">
        <v>0</v>
      </c>
      <c r="AS6" s="270">
        <v>0</v>
      </c>
      <c r="AT6" s="270">
        <v>0</v>
      </c>
      <c r="AU6" s="270">
        <v>0</v>
      </c>
      <c r="AV6" s="270">
        <v>0</v>
      </c>
      <c r="AW6" s="270">
        <v>0</v>
      </c>
      <c r="AX6" s="270">
        <v>0</v>
      </c>
      <c r="AY6" s="270">
        <v>0</v>
      </c>
      <c r="AZ6" s="270">
        <v>0</v>
      </c>
      <c r="BA6" s="270">
        <v>0</v>
      </c>
      <c r="BB6" s="266">
        <v>1796.5250000000001</v>
      </c>
      <c r="BC6" s="266"/>
      <c r="BD6" s="281" t="s">
        <v>383</v>
      </c>
      <c r="BE6" s="272">
        <v>0</v>
      </c>
      <c r="BF6" s="272">
        <v>0</v>
      </c>
      <c r="BG6" s="272">
        <v>0</v>
      </c>
      <c r="BH6" s="272">
        <v>0</v>
      </c>
      <c r="BI6" s="272">
        <v>0</v>
      </c>
      <c r="BJ6" s="272">
        <v>0</v>
      </c>
      <c r="BK6" s="272">
        <v>0</v>
      </c>
      <c r="BL6" s="272">
        <v>0</v>
      </c>
      <c r="BM6" s="272">
        <v>0</v>
      </c>
      <c r="BN6" s="272">
        <v>0</v>
      </c>
      <c r="BO6" s="272">
        <v>0</v>
      </c>
      <c r="BP6" s="272">
        <v>0</v>
      </c>
      <c r="BQ6" s="272">
        <v>0</v>
      </c>
      <c r="BR6" s="272">
        <v>0</v>
      </c>
      <c r="BS6" s="272">
        <v>0</v>
      </c>
      <c r="BT6" s="272">
        <v>0</v>
      </c>
      <c r="BV6" s="262" t="str">
        <f t="shared" si="0"/>
        <v xml:space="preserve">FinCAD </v>
      </c>
      <c r="BW6" s="262">
        <f t="shared" si="0"/>
        <v>0</v>
      </c>
      <c r="BX6" s="262">
        <f t="shared" si="0"/>
        <v>0</v>
      </c>
      <c r="BY6" s="427">
        <f ca="1">INDEX(Product_Pricing_Schedule,MATCH(TRIM($BV6),Products,0),MATCH(VLOOKUP(BY$3,tEnv[],3,FALSE),Envs,0))*GETPIVOTDATA(CELL("contents",$BV6),$BD$2,"Env Label",BY$3)</f>
        <v>0</v>
      </c>
      <c r="BZ6" s="427">
        <f ca="1">INDEX(Product_Pricing_Schedule,MATCH(TRIM($BV6),Products,0),MATCH(VLOOKUP(BZ$3,tEnv[],3,FALSE),Envs,0))*GETPIVOTDATA(CELL("contents",$BV6),$BD$2,"Env Label",BZ$3)</f>
        <v>0</v>
      </c>
      <c r="CA6" s="427">
        <f ca="1">INDEX(Product_Pricing_Schedule,MATCH(TRIM($BV6),Products,0),MATCH(VLOOKUP(CA$3,tEnv[],3,FALSE),Envs,0))*GETPIVOTDATA(CELL("contents",$BV6),$BD$2,"Env Label",CA$3)</f>
        <v>0</v>
      </c>
      <c r="CB6" s="427">
        <f ca="1">INDEX(Product_Pricing_Schedule,MATCH(TRIM($BV6),Products,0),MATCH(VLOOKUP(CB$3,tEnv[],3,FALSE),Envs,0))*GETPIVOTDATA(CELL("contents",$BV6),$BD$2,"Env Label",CB$3)</f>
        <v>0</v>
      </c>
      <c r="CC6" s="427">
        <f ca="1">INDEX(Product_Pricing_Schedule,MATCH(TRIM($BV6),Products,0),MATCH(VLOOKUP(CC$3,tEnv[],3,FALSE),Envs,0))*GETPIVOTDATA(CELL("contents",$BV6),$BD$2,"Env Label",CC$3)</f>
        <v>0</v>
      </c>
      <c r="CD6" s="427">
        <f ca="1">INDEX(Product_Pricing_Schedule,MATCH(TRIM($BV6),Products,0),MATCH(VLOOKUP(CD$3,tEnv[],3,FALSE),Envs,0))*GETPIVOTDATA(CELL("contents",$BV6),$BD$2,"Env Label",CD$3)</f>
        <v>0</v>
      </c>
      <c r="CE6" s="427">
        <f ca="1">INDEX(Product_Pricing_Schedule,MATCH(TRIM($BV6),Products,0),MATCH(VLOOKUP(CE$3,tEnv[],3,FALSE),Envs,0))*GETPIVOTDATA(CELL("contents",$BV6),$BD$2,"Env Label",CE$3)</f>
        <v>0</v>
      </c>
      <c r="CF6" s="427">
        <f ca="1">INDEX(Product_Pricing_Schedule,MATCH(TRIM($BV6),Products,0),MATCH(VLOOKUP(CF$3,tEnv[],3,FALSE),Envs,0))*GETPIVOTDATA(CELL("contents",$BV6),$BD$2,"Env Label",CF$3)</f>
        <v>0</v>
      </c>
      <c r="CG6" s="427">
        <f ca="1">INDEX(Product_Pricing_Schedule,MATCH(TRIM($BV6),Products,0),MATCH(VLOOKUP(CG$3,tEnv[],3,FALSE),Envs,0))*GETPIVOTDATA(CELL("contents",$BV6),$BD$2,"Env Label",CG$3)</f>
        <v>0</v>
      </c>
      <c r="CH6" s="427">
        <f ca="1">INDEX(Product_Pricing_Schedule,MATCH(TRIM($BV6),Products,0),MATCH(VLOOKUP(CH$3,tEnv[],3,FALSE),Envs,0))*GETPIVOTDATA(CELL("contents",$BV6),$BD$2,"Env Label",CH$3)</f>
        <v>0</v>
      </c>
      <c r="CI6" s="427">
        <f ca="1">INDEX(Product_Pricing_Schedule,MATCH(TRIM($BV6),Products,0),MATCH(VLOOKUP(CI$3,tEnv[],3,FALSE),Envs,0))*GETPIVOTDATA(CELL("contents",$BV6),$BD$2,"Env Label",CI$3)</f>
        <v>0</v>
      </c>
      <c r="CJ6" s="427">
        <f ca="1">INDEX(Product_Pricing_Schedule,MATCH(TRIM($BV6),Products,0),MATCH(VLOOKUP(CJ$3,tEnv[],3,FALSE),Envs,0))*GETPIVOTDATA(CELL("contents",$BV6),$BD$2,"Env Label",CJ$3)</f>
        <v>0</v>
      </c>
      <c r="CK6" s="427">
        <f ca="1">INDEX(Product_Pricing_Schedule,MATCH(TRIM($BV6),Products,0),MATCH(VLOOKUP(CK$3,tEnv[],3,FALSE),Envs,0))*GETPIVOTDATA(CELL("contents",$BV6),$BD$2,"Env Label",CK$3)</f>
        <v>0</v>
      </c>
      <c r="CL6" s="428">
        <f ca="1">SUM(AnnualSWCostByProdByEnv[[#This Row],[PROD]:[DEV]])</f>
        <v>0</v>
      </c>
      <c r="CN6" s="262" t="str">
        <f t="shared" si="1"/>
        <v xml:space="preserve">FinCAD </v>
      </c>
      <c r="CO6" s="262">
        <f t="shared" ca="1" si="3"/>
        <v>0</v>
      </c>
      <c r="CP6" s="262">
        <f t="shared" ca="1" si="3"/>
        <v>0</v>
      </c>
      <c r="CQ6" s="368">
        <f ca="1">INDEX(Maint_Pricing_Schedule,MATCH(TRIM($CN6),Products,0),MATCH(VLOOKUP(CQ$3,tEnv[],3,FALSE),Envs,0))*GETPIVOTDATA(CELL("contents",$CN6),$BD$2,"Env Label",CQ$3)</f>
        <v>0</v>
      </c>
      <c r="CR6" s="368">
        <f ca="1">INDEX(Maint_Pricing_Schedule,MATCH(TRIM($CN6),Products,0),MATCH(VLOOKUP(CR$3,tEnv[],3,FALSE),Envs,0))*GETPIVOTDATA(CELL("contents",$CN6),$BD$2,"Env Label",CR$3)</f>
        <v>0</v>
      </c>
      <c r="CS6" s="368">
        <f ca="1">INDEX(Maint_Pricing_Schedule,MATCH(TRIM($CN6),Products,0),MATCH(VLOOKUP(CS$3,tEnv[],3,FALSE),Envs,0))*GETPIVOTDATA(CELL("contents",$CN6),$BD$2,"Env Label",CS$3)</f>
        <v>0</v>
      </c>
      <c r="CT6" s="368">
        <f ca="1">INDEX(Maint_Pricing_Schedule,MATCH(TRIM($CN6),Products,0),MATCH(VLOOKUP(CT$3,tEnv[],3,FALSE),Envs,0))*GETPIVOTDATA(CELL("contents",$CN6),$BD$2,"Env Label",CT$3)</f>
        <v>0</v>
      </c>
      <c r="CU6" s="368">
        <f ca="1">INDEX(Maint_Pricing_Schedule,MATCH(TRIM($CN6),Products,0),MATCH(VLOOKUP(CU$3,tEnv[],3,FALSE),Envs,0))*GETPIVOTDATA(CELL("contents",$CN6),$BD$2,"Env Label",CU$3)</f>
        <v>0</v>
      </c>
      <c r="CV6" s="368">
        <f ca="1">INDEX(Maint_Pricing_Schedule,MATCH(TRIM($CN6),Products,0),MATCH(VLOOKUP(CV$3,tEnv[],3,FALSE),Envs,0))*GETPIVOTDATA(CELL("contents",$CN6),$BD$2,"Env Label",CV$3)</f>
        <v>0</v>
      </c>
      <c r="CW6" s="368">
        <f ca="1">INDEX(Maint_Pricing_Schedule,MATCH(TRIM($CN6),Products,0),MATCH(VLOOKUP(CW$3,tEnv[],3,FALSE),Envs,0))*GETPIVOTDATA(CELL("contents",$CN6),$BD$2,"Env Label",CW$3)</f>
        <v>0</v>
      </c>
      <c r="CX6" s="368">
        <f ca="1">INDEX(Maint_Pricing_Schedule,MATCH(TRIM($CN6),Products,0),MATCH(VLOOKUP(CX$3,tEnv[],3,FALSE),Envs,0))*GETPIVOTDATA(CELL("contents",$CN6),$BD$2,"Env Label",CX$3)</f>
        <v>0</v>
      </c>
      <c r="CY6" s="368">
        <f ca="1">INDEX(Maint_Pricing_Schedule,MATCH(TRIM($CN6),Products,0),MATCH(VLOOKUP(CY$3,tEnv[],3,FALSE),Envs,0))*GETPIVOTDATA(CELL("contents",$CN6),$BD$2,"Env Label",CY$3)</f>
        <v>0</v>
      </c>
      <c r="CZ6" s="368">
        <f ca="1">INDEX(Maint_Pricing_Schedule,MATCH(TRIM($CN6),Products,0),MATCH(VLOOKUP(CZ$3,tEnv[],3,FALSE),Envs,0))*GETPIVOTDATA(CELL("contents",$CN6),$BD$2,"Env Label",CZ$3)</f>
        <v>0</v>
      </c>
      <c r="DA6" s="368">
        <f ca="1">INDEX(Maint_Pricing_Schedule,MATCH(TRIM($CN6),Products,0),MATCH(VLOOKUP(DA$3,tEnv[],3,FALSE),Envs,0))*GETPIVOTDATA(CELL("contents",$CN6),$BD$2,"Env Label",DA$3)</f>
        <v>0</v>
      </c>
      <c r="DB6" s="368">
        <f ca="1">INDEX(Maint_Pricing_Schedule,MATCH(TRIM($CN6),Products,0),MATCH(VLOOKUP(DB$3,tEnv[],3,FALSE),Envs,0))*GETPIVOTDATA(CELL("contents",$CN6),$BD$2,"Env Label",DB$3)</f>
        <v>0</v>
      </c>
      <c r="DC6" s="368">
        <f ca="1">INDEX(Maint_Pricing_Schedule,MATCH(TRIM($CN6),Products,0),MATCH(VLOOKUP(DC$3,tEnv[],3,FALSE),Envs,0))*GETPIVOTDATA(CELL("contents",$CN6),$BD$2,"Env Label",DC$3)</f>
        <v>0</v>
      </c>
      <c r="DD6" s="369">
        <f ca="1">SUM(AnnualSWMaintCostByProdByEnv[[#This Row],[PROD]:[DEV]])</f>
        <v>0</v>
      </c>
    </row>
    <row r="7" spans="1:108">
      <c r="A7" s="281" t="s">
        <v>211</v>
      </c>
      <c r="B7" s="270">
        <v>0</v>
      </c>
      <c r="C7" s="270">
        <v>16</v>
      </c>
      <c r="D7" s="274">
        <v>0</v>
      </c>
      <c r="E7" s="270">
        <v>0</v>
      </c>
      <c r="F7" s="270">
        <v>0</v>
      </c>
      <c r="G7" s="270">
        <v>0</v>
      </c>
      <c r="H7" s="270">
        <v>0</v>
      </c>
      <c r="I7" s="270">
        <v>0</v>
      </c>
      <c r="J7" s="270">
        <v>0</v>
      </c>
      <c r="K7" s="270">
        <v>0</v>
      </c>
      <c r="L7" s="270">
        <v>0</v>
      </c>
      <c r="M7" s="270">
        <v>0</v>
      </c>
      <c r="N7" s="270">
        <v>0</v>
      </c>
      <c r="O7" s="270">
        <v>0</v>
      </c>
      <c r="P7" s="270">
        <v>0</v>
      </c>
      <c r="Q7" s="270">
        <v>0</v>
      </c>
      <c r="R7" s="270">
        <v>0</v>
      </c>
      <c r="S7" s="270">
        <v>0</v>
      </c>
      <c r="T7" s="270">
        <v>0</v>
      </c>
      <c r="U7" s="270">
        <v>0</v>
      </c>
      <c r="V7" s="270">
        <v>0</v>
      </c>
      <c r="W7" s="270">
        <v>0</v>
      </c>
      <c r="X7" s="270">
        <v>0</v>
      </c>
      <c r="Y7" s="270">
        <v>0</v>
      </c>
      <c r="Z7" s="270">
        <v>0</v>
      </c>
      <c r="AA7" s="270">
        <v>0</v>
      </c>
      <c r="AB7" s="270">
        <v>0</v>
      </c>
      <c r="AC7" s="270">
        <v>0</v>
      </c>
      <c r="AD7" s="270">
        <v>0</v>
      </c>
      <c r="AE7" s="270">
        <v>0</v>
      </c>
      <c r="AF7" s="270">
        <v>0</v>
      </c>
      <c r="AG7" s="270">
        <v>0</v>
      </c>
      <c r="AH7" s="270">
        <v>0</v>
      </c>
      <c r="AI7" s="270">
        <v>0</v>
      </c>
      <c r="AJ7" s="270">
        <v>0</v>
      </c>
      <c r="AK7" s="270">
        <v>0</v>
      </c>
      <c r="AL7" s="270">
        <v>0</v>
      </c>
      <c r="AM7" s="270">
        <v>0</v>
      </c>
      <c r="AN7" s="270">
        <v>0</v>
      </c>
      <c r="AO7" s="270">
        <v>0</v>
      </c>
      <c r="AP7" s="270">
        <v>0</v>
      </c>
      <c r="AQ7" s="270">
        <v>0</v>
      </c>
      <c r="AR7" s="270">
        <v>0</v>
      </c>
      <c r="AS7" s="270">
        <v>0</v>
      </c>
      <c r="AT7" s="270">
        <v>0</v>
      </c>
      <c r="AU7" s="270">
        <v>0</v>
      </c>
      <c r="AV7" s="270">
        <v>0</v>
      </c>
      <c r="AW7" s="270">
        <v>0</v>
      </c>
      <c r="AX7" s="270">
        <v>0</v>
      </c>
      <c r="AY7" s="270">
        <v>0</v>
      </c>
      <c r="AZ7" s="270">
        <v>0</v>
      </c>
      <c r="BA7" s="270">
        <v>8</v>
      </c>
      <c r="BB7" s="266">
        <v>6359.75</v>
      </c>
      <c r="BC7" s="266"/>
      <c r="BD7" s="281" t="s">
        <v>183</v>
      </c>
      <c r="BE7" s="272">
        <v>0</v>
      </c>
      <c r="BF7" s="272">
        <v>0</v>
      </c>
      <c r="BG7" s="272">
        <v>0</v>
      </c>
      <c r="BH7" s="272">
        <v>0</v>
      </c>
      <c r="BI7" s="272">
        <v>0</v>
      </c>
      <c r="BJ7" s="272">
        <v>0</v>
      </c>
      <c r="BK7" s="272">
        <v>0</v>
      </c>
      <c r="BL7" s="272">
        <v>0</v>
      </c>
      <c r="BM7" s="272">
        <v>0</v>
      </c>
      <c r="BN7" s="272">
        <v>0</v>
      </c>
      <c r="BO7" s="272">
        <v>0</v>
      </c>
      <c r="BP7" s="272">
        <v>0</v>
      </c>
      <c r="BQ7" s="272">
        <v>0</v>
      </c>
      <c r="BR7" s="272">
        <v>0</v>
      </c>
      <c r="BS7" s="272">
        <v>0</v>
      </c>
      <c r="BT7" s="272">
        <v>0</v>
      </c>
      <c r="BV7" s="262" t="str">
        <f t="shared" si="0"/>
        <v xml:space="preserve">IBM BG Web Client </v>
      </c>
      <c r="BW7" s="262">
        <f t="shared" si="0"/>
        <v>0</v>
      </c>
      <c r="BX7" s="262">
        <f t="shared" si="0"/>
        <v>0</v>
      </c>
      <c r="BY7" s="427">
        <f ca="1">INDEX(Product_Pricing_Schedule,MATCH(TRIM($BV7),Products,0),MATCH(VLOOKUP(BY$3,tEnv[],3,FALSE),Envs,0))*GETPIVOTDATA(CELL("contents",$BV7),$BD$2,"Env Label",BY$3)</f>
        <v>0</v>
      </c>
      <c r="BZ7" s="427">
        <f ca="1">INDEX(Product_Pricing_Schedule,MATCH(TRIM($BV7),Products,0),MATCH(VLOOKUP(BZ$3,tEnv[],3,FALSE),Envs,0))*GETPIVOTDATA(CELL("contents",$BV7),$BD$2,"Env Label",BZ$3)</f>
        <v>0</v>
      </c>
      <c r="CA7" s="427">
        <f ca="1">INDEX(Product_Pricing_Schedule,MATCH(TRIM($BV7),Products,0),MATCH(VLOOKUP(CA$3,tEnv[],3,FALSE),Envs,0))*GETPIVOTDATA(CELL("contents",$BV7),$BD$2,"Env Label",CA$3)</f>
        <v>0</v>
      </c>
      <c r="CB7" s="427">
        <f ca="1">INDEX(Product_Pricing_Schedule,MATCH(TRIM($BV7),Products,0),MATCH(VLOOKUP(CB$3,tEnv[],3,FALSE),Envs,0))*GETPIVOTDATA(CELL("contents",$BV7),$BD$2,"Env Label",CB$3)</f>
        <v>0</v>
      </c>
      <c r="CC7" s="427">
        <f ca="1">INDEX(Product_Pricing_Schedule,MATCH(TRIM($BV7),Products,0),MATCH(VLOOKUP(CC$3,tEnv[],3,FALSE),Envs,0))*GETPIVOTDATA(CELL("contents",$BV7),$BD$2,"Env Label",CC$3)</f>
        <v>0</v>
      </c>
      <c r="CD7" s="427">
        <f ca="1">INDEX(Product_Pricing_Schedule,MATCH(TRIM($BV7),Products,0),MATCH(VLOOKUP(CD$3,tEnv[],3,FALSE),Envs,0))*GETPIVOTDATA(CELL("contents",$BV7),$BD$2,"Env Label",CD$3)</f>
        <v>0</v>
      </c>
      <c r="CE7" s="427">
        <f ca="1">INDEX(Product_Pricing_Schedule,MATCH(TRIM($BV7),Products,0),MATCH(VLOOKUP(CE$3,tEnv[],3,FALSE),Envs,0))*GETPIVOTDATA(CELL("contents",$BV7),$BD$2,"Env Label",CE$3)</f>
        <v>0</v>
      </c>
      <c r="CF7" s="427">
        <f ca="1">INDEX(Product_Pricing_Schedule,MATCH(TRIM($BV7),Products,0),MATCH(VLOOKUP(CF$3,tEnv[],3,FALSE),Envs,0))*GETPIVOTDATA(CELL("contents",$BV7),$BD$2,"Env Label",CF$3)</f>
        <v>0</v>
      </c>
      <c r="CG7" s="427">
        <f ca="1">INDEX(Product_Pricing_Schedule,MATCH(TRIM($BV7),Products,0),MATCH(VLOOKUP(CG$3,tEnv[],3,FALSE),Envs,0))*GETPIVOTDATA(CELL("contents",$BV7),$BD$2,"Env Label",CG$3)</f>
        <v>0</v>
      </c>
      <c r="CH7" s="427">
        <f ca="1">INDEX(Product_Pricing_Schedule,MATCH(TRIM($BV7),Products,0),MATCH(VLOOKUP(CH$3,tEnv[],3,FALSE),Envs,0))*GETPIVOTDATA(CELL("contents",$BV7),$BD$2,"Env Label",CH$3)</f>
        <v>0</v>
      </c>
      <c r="CI7" s="427">
        <f ca="1">INDEX(Product_Pricing_Schedule,MATCH(TRIM($BV7),Products,0),MATCH(VLOOKUP(CI$3,tEnv[],3,FALSE),Envs,0))*GETPIVOTDATA(CELL("contents",$BV7),$BD$2,"Env Label",CI$3)</f>
        <v>0</v>
      </c>
      <c r="CJ7" s="427">
        <f ca="1">INDEX(Product_Pricing_Schedule,MATCH(TRIM($BV7),Products,0),MATCH(VLOOKUP(CJ$3,tEnv[],3,FALSE),Envs,0))*GETPIVOTDATA(CELL("contents",$BV7),$BD$2,"Env Label",CJ$3)</f>
        <v>0</v>
      </c>
      <c r="CK7" s="427">
        <f ca="1">INDEX(Product_Pricing_Schedule,MATCH(TRIM($BV7),Products,0),MATCH(VLOOKUP(CK$3,tEnv[],3,FALSE),Envs,0))*GETPIVOTDATA(CELL("contents",$BV7),$BD$2,"Env Label",CK$3)</f>
        <v>0</v>
      </c>
      <c r="CL7" s="428">
        <f ca="1">SUM(AnnualSWCostByProdByEnv[[#This Row],[PROD]:[DEV]])</f>
        <v>0</v>
      </c>
      <c r="CN7" s="262" t="str">
        <f t="shared" si="1"/>
        <v xml:space="preserve">IBM BG Web Client </v>
      </c>
      <c r="CO7" s="262">
        <f t="shared" ca="1" si="3"/>
        <v>0</v>
      </c>
      <c r="CP7" s="262">
        <f t="shared" ca="1" si="3"/>
        <v>0</v>
      </c>
      <c r="CQ7" s="368">
        <f ca="1">INDEX(Maint_Pricing_Schedule,MATCH(TRIM($CN7),Products,0),MATCH(VLOOKUP(CQ$3,tEnv[],3,FALSE),Envs,0))*GETPIVOTDATA(CELL("contents",$CN7),$BD$2,"Env Label",CQ$3)</f>
        <v>0</v>
      </c>
      <c r="CR7" s="368">
        <f ca="1">INDEX(Maint_Pricing_Schedule,MATCH(TRIM($CN7),Products,0),MATCH(VLOOKUP(CR$3,tEnv[],3,FALSE),Envs,0))*GETPIVOTDATA(CELL("contents",$CN7),$BD$2,"Env Label",CR$3)</f>
        <v>0</v>
      </c>
      <c r="CS7" s="368">
        <f ca="1">INDEX(Maint_Pricing_Schedule,MATCH(TRIM($CN7),Products,0),MATCH(VLOOKUP(CS$3,tEnv[],3,FALSE),Envs,0))*GETPIVOTDATA(CELL("contents",$CN7),$BD$2,"Env Label",CS$3)</f>
        <v>0</v>
      </c>
      <c r="CT7" s="368">
        <f ca="1">INDEX(Maint_Pricing_Schedule,MATCH(TRIM($CN7),Products,0),MATCH(VLOOKUP(CT$3,tEnv[],3,FALSE),Envs,0))*GETPIVOTDATA(CELL("contents",$CN7),$BD$2,"Env Label",CT$3)</f>
        <v>0</v>
      </c>
      <c r="CU7" s="368">
        <f ca="1">INDEX(Maint_Pricing_Schedule,MATCH(TRIM($CN7),Products,0),MATCH(VLOOKUP(CU$3,tEnv[],3,FALSE),Envs,0))*GETPIVOTDATA(CELL("contents",$CN7),$BD$2,"Env Label",CU$3)</f>
        <v>0</v>
      </c>
      <c r="CV7" s="368">
        <f ca="1">INDEX(Maint_Pricing_Schedule,MATCH(TRIM($CN7),Products,0),MATCH(VLOOKUP(CV$3,tEnv[],3,FALSE),Envs,0))*GETPIVOTDATA(CELL("contents",$CN7),$BD$2,"Env Label",CV$3)</f>
        <v>0</v>
      </c>
      <c r="CW7" s="368">
        <f ca="1">INDEX(Maint_Pricing_Schedule,MATCH(TRIM($CN7),Products,0),MATCH(VLOOKUP(CW$3,tEnv[],3,FALSE),Envs,0))*GETPIVOTDATA(CELL("contents",$CN7),$BD$2,"Env Label",CW$3)</f>
        <v>0</v>
      </c>
      <c r="CX7" s="368">
        <f ca="1">INDEX(Maint_Pricing_Schedule,MATCH(TRIM($CN7),Products,0),MATCH(VLOOKUP(CX$3,tEnv[],3,FALSE),Envs,0))*GETPIVOTDATA(CELL("contents",$CN7),$BD$2,"Env Label",CX$3)</f>
        <v>0</v>
      </c>
      <c r="CY7" s="368">
        <f ca="1">INDEX(Maint_Pricing_Schedule,MATCH(TRIM($CN7),Products,0),MATCH(VLOOKUP(CY$3,tEnv[],3,FALSE),Envs,0))*GETPIVOTDATA(CELL("contents",$CN7),$BD$2,"Env Label",CY$3)</f>
        <v>0</v>
      </c>
      <c r="CZ7" s="368">
        <f ca="1">INDEX(Maint_Pricing_Schedule,MATCH(TRIM($CN7),Products,0),MATCH(VLOOKUP(CZ$3,tEnv[],3,FALSE),Envs,0))*GETPIVOTDATA(CELL("contents",$CN7),$BD$2,"Env Label",CZ$3)</f>
        <v>0</v>
      </c>
      <c r="DA7" s="368">
        <f ca="1">INDEX(Maint_Pricing_Schedule,MATCH(TRIM($CN7),Products,0),MATCH(VLOOKUP(DA$3,tEnv[],3,FALSE),Envs,0))*GETPIVOTDATA(CELL("contents",$CN7),$BD$2,"Env Label",DA$3)</f>
        <v>0</v>
      </c>
      <c r="DB7" s="368">
        <f ca="1">INDEX(Maint_Pricing_Schedule,MATCH(TRIM($CN7),Products,0),MATCH(VLOOKUP(DB$3,tEnv[],3,FALSE),Envs,0))*GETPIVOTDATA(CELL("contents",$CN7),$BD$2,"Env Label",DB$3)</f>
        <v>0</v>
      </c>
      <c r="DC7" s="368">
        <f ca="1">INDEX(Maint_Pricing_Schedule,MATCH(TRIM($CN7),Products,0),MATCH(VLOOKUP(DC$3,tEnv[],3,FALSE),Envs,0))*GETPIVOTDATA(CELL("contents",$CN7),$BD$2,"Env Label",DC$3)</f>
        <v>0</v>
      </c>
      <c r="DD7" s="369">
        <f ca="1">SUM(AnnualSWMaintCostByProdByEnv[[#This Row],[PROD]:[DEV]])</f>
        <v>0</v>
      </c>
    </row>
    <row r="8" spans="1:108">
      <c r="A8" s="281" t="s">
        <v>26</v>
      </c>
      <c r="B8" s="270">
        <v>0</v>
      </c>
      <c r="C8" s="270">
        <v>0</v>
      </c>
      <c r="D8" s="274">
        <v>0</v>
      </c>
      <c r="E8" s="270">
        <v>0</v>
      </c>
      <c r="F8" s="270">
        <v>0</v>
      </c>
      <c r="G8" s="270">
        <v>0</v>
      </c>
      <c r="H8" s="270">
        <v>0</v>
      </c>
      <c r="I8" s="270">
        <v>0</v>
      </c>
      <c r="J8" s="270">
        <v>0</v>
      </c>
      <c r="K8" s="270">
        <v>0</v>
      </c>
      <c r="L8" s="270">
        <v>0</v>
      </c>
      <c r="M8" s="270">
        <v>0</v>
      </c>
      <c r="N8" s="270">
        <v>0</v>
      </c>
      <c r="O8" s="270">
        <v>0</v>
      </c>
      <c r="P8" s="270">
        <v>0</v>
      </c>
      <c r="Q8" s="270">
        <v>0</v>
      </c>
      <c r="R8" s="270">
        <v>0</v>
      </c>
      <c r="S8" s="270">
        <v>0</v>
      </c>
      <c r="T8" s="270">
        <v>0</v>
      </c>
      <c r="U8" s="270">
        <v>0</v>
      </c>
      <c r="V8" s="270">
        <v>0</v>
      </c>
      <c r="W8" s="270">
        <v>0</v>
      </c>
      <c r="X8" s="270">
        <v>0</v>
      </c>
      <c r="Y8" s="270">
        <v>0</v>
      </c>
      <c r="Z8" s="270">
        <v>0</v>
      </c>
      <c r="AA8" s="270">
        <v>0</v>
      </c>
      <c r="AB8" s="270">
        <v>0</v>
      </c>
      <c r="AC8" s="270">
        <v>0</v>
      </c>
      <c r="AD8" s="270">
        <v>0</v>
      </c>
      <c r="AE8" s="270">
        <v>0</v>
      </c>
      <c r="AF8" s="270">
        <v>0</v>
      </c>
      <c r="AG8" s="270">
        <v>0</v>
      </c>
      <c r="AH8" s="270">
        <v>0</v>
      </c>
      <c r="AI8" s="270">
        <v>0</v>
      </c>
      <c r="AJ8" s="270">
        <v>0</v>
      </c>
      <c r="AK8" s="270">
        <v>0</v>
      </c>
      <c r="AL8" s="270">
        <v>0</v>
      </c>
      <c r="AM8" s="270">
        <v>0</v>
      </c>
      <c r="AN8" s="270">
        <v>0</v>
      </c>
      <c r="AO8" s="270">
        <v>0</v>
      </c>
      <c r="AP8" s="270">
        <v>0</v>
      </c>
      <c r="AQ8" s="270">
        <v>0</v>
      </c>
      <c r="AR8" s="270">
        <v>0</v>
      </c>
      <c r="AS8" s="270">
        <v>0</v>
      </c>
      <c r="AT8" s="270">
        <v>0</v>
      </c>
      <c r="AU8" s="270">
        <v>0</v>
      </c>
      <c r="AV8" s="270">
        <v>0</v>
      </c>
      <c r="AW8" s="270">
        <v>0</v>
      </c>
      <c r="AX8" s="270">
        <v>0</v>
      </c>
      <c r="AY8" s="270">
        <v>0</v>
      </c>
      <c r="AZ8" s="270">
        <v>0</v>
      </c>
      <c r="BA8" s="270">
        <v>0</v>
      </c>
      <c r="BB8" s="266">
        <v>0</v>
      </c>
      <c r="BC8" s="266"/>
      <c r="BD8" s="281" t="s">
        <v>182</v>
      </c>
      <c r="BE8" s="272">
        <v>0</v>
      </c>
      <c r="BF8" s="272">
        <v>0</v>
      </c>
      <c r="BG8" s="272">
        <v>0</v>
      </c>
      <c r="BH8" s="272">
        <v>0</v>
      </c>
      <c r="BI8" s="272">
        <v>0</v>
      </c>
      <c r="BJ8" s="272">
        <v>0</v>
      </c>
      <c r="BK8" s="272">
        <v>0</v>
      </c>
      <c r="BL8" s="272">
        <v>0</v>
      </c>
      <c r="BM8" s="272">
        <v>0</v>
      </c>
      <c r="BN8" s="272">
        <v>0</v>
      </c>
      <c r="BO8" s="272">
        <v>0</v>
      </c>
      <c r="BP8" s="272">
        <v>0</v>
      </c>
      <c r="BQ8" s="272">
        <v>0</v>
      </c>
      <c r="BR8" s="272">
        <v>0</v>
      </c>
      <c r="BS8" s="272">
        <v>0</v>
      </c>
      <c r="BT8" s="272">
        <v>0</v>
      </c>
      <c r="BV8" s="262" t="str">
        <f t="shared" si="0"/>
        <v xml:space="preserve">IBM Biz Glossary </v>
      </c>
      <c r="BW8" s="262">
        <f t="shared" si="0"/>
        <v>0</v>
      </c>
      <c r="BX8" s="262">
        <f t="shared" si="0"/>
        <v>0</v>
      </c>
      <c r="BY8" s="427">
        <f ca="1">INDEX(Product_Pricing_Schedule,MATCH(TRIM($BV8),Products,0),MATCH(VLOOKUP(BY$3,tEnv[],3,FALSE),Envs,0))*GETPIVOTDATA(CELL("contents",$BV8),$BD$2,"Env Label",BY$3)</f>
        <v>0</v>
      </c>
      <c r="BZ8" s="427">
        <f ca="1">INDEX(Product_Pricing_Schedule,MATCH(TRIM($BV8),Products,0),MATCH(VLOOKUP(BZ$3,tEnv[],3,FALSE),Envs,0))*GETPIVOTDATA(CELL("contents",$BV8),$BD$2,"Env Label",BZ$3)</f>
        <v>0</v>
      </c>
      <c r="CA8" s="427">
        <f ca="1">INDEX(Product_Pricing_Schedule,MATCH(TRIM($BV8),Products,0),MATCH(VLOOKUP(CA$3,tEnv[],3,FALSE),Envs,0))*GETPIVOTDATA(CELL("contents",$BV8),$BD$2,"Env Label",CA$3)</f>
        <v>0</v>
      </c>
      <c r="CB8" s="427">
        <f ca="1">INDEX(Product_Pricing_Schedule,MATCH(TRIM($BV8),Products,0),MATCH(VLOOKUP(CB$3,tEnv[],3,FALSE),Envs,0))*GETPIVOTDATA(CELL("contents",$BV8),$BD$2,"Env Label",CB$3)</f>
        <v>0</v>
      </c>
      <c r="CC8" s="427">
        <f ca="1">INDEX(Product_Pricing_Schedule,MATCH(TRIM($BV8),Products,0),MATCH(VLOOKUP(CC$3,tEnv[],3,FALSE),Envs,0))*GETPIVOTDATA(CELL("contents",$BV8),$BD$2,"Env Label",CC$3)</f>
        <v>0</v>
      </c>
      <c r="CD8" s="427">
        <f ca="1">INDEX(Product_Pricing_Schedule,MATCH(TRIM($BV8),Products,0),MATCH(VLOOKUP(CD$3,tEnv[],3,FALSE),Envs,0))*GETPIVOTDATA(CELL("contents",$BV8),$BD$2,"Env Label",CD$3)</f>
        <v>0</v>
      </c>
      <c r="CE8" s="427">
        <f ca="1">INDEX(Product_Pricing_Schedule,MATCH(TRIM($BV8),Products,0),MATCH(VLOOKUP(CE$3,tEnv[],3,FALSE),Envs,0))*GETPIVOTDATA(CELL("contents",$BV8),$BD$2,"Env Label",CE$3)</f>
        <v>0</v>
      </c>
      <c r="CF8" s="427">
        <f ca="1">INDEX(Product_Pricing_Schedule,MATCH(TRIM($BV8),Products,0),MATCH(VLOOKUP(CF$3,tEnv[],3,FALSE),Envs,0))*GETPIVOTDATA(CELL("contents",$BV8),$BD$2,"Env Label",CF$3)</f>
        <v>0</v>
      </c>
      <c r="CG8" s="427">
        <f ca="1">INDEX(Product_Pricing_Schedule,MATCH(TRIM($BV8),Products,0),MATCH(VLOOKUP(CG$3,tEnv[],3,FALSE),Envs,0))*GETPIVOTDATA(CELL("contents",$BV8),$BD$2,"Env Label",CG$3)</f>
        <v>0</v>
      </c>
      <c r="CH8" s="427">
        <f ca="1">INDEX(Product_Pricing_Schedule,MATCH(TRIM($BV8),Products,0),MATCH(VLOOKUP(CH$3,tEnv[],3,FALSE),Envs,0))*GETPIVOTDATA(CELL("contents",$BV8),$BD$2,"Env Label",CH$3)</f>
        <v>0</v>
      </c>
      <c r="CI8" s="427">
        <f ca="1">INDEX(Product_Pricing_Schedule,MATCH(TRIM($BV8),Products,0),MATCH(VLOOKUP(CI$3,tEnv[],3,FALSE),Envs,0))*GETPIVOTDATA(CELL("contents",$BV8),$BD$2,"Env Label",CI$3)</f>
        <v>0</v>
      </c>
      <c r="CJ8" s="427">
        <f ca="1">INDEX(Product_Pricing_Schedule,MATCH(TRIM($BV8),Products,0),MATCH(VLOOKUP(CJ$3,tEnv[],3,FALSE),Envs,0))*GETPIVOTDATA(CELL("contents",$BV8),$BD$2,"Env Label",CJ$3)</f>
        <v>0</v>
      </c>
      <c r="CK8" s="427">
        <f ca="1">INDEX(Product_Pricing_Schedule,MATCH(TRIM($BV8),Products,0),MATCH(VLOOKUP(CK$3,tEnv[],3,FALSE),Envs,0))*GETPIVOTDATA(CELL("contents",$BV8),$BD$2,"Env Label",CK$3)</f>
        <v>0</v>
      </c>
      <c r="CL8" s="428">
        <f ca="1">SUM(AnnualSWCostByProdByEnv[[#This Row],[PROD]:[DEV]])</f>
        <v>0</v>
      </c>
      <c r="CN8" s="262" t="str">
        <f t="shared" si="1"/>
        <v xml:space="preserve">IBM Biz Glossary </v>
      </c>
      <c r="CO8" s="262">
        <f t="shared" ca="1" si="3"/>
        <v>0</v>
      </c>
      <c r="CP8" s="262">
        <f t="shared" ca="1" si="3"/>
        <v>0</v>
      </c>
      <c r="CQ8" s="368">
        <f ca="1">INDEX(Maint_Pricing_Schedule,MATCH(TRIM($CN8),Products,0),MATCH(VLOOKUP(CQ$3,tEnv[],3,FALSE),Envs,0))*GETPIVOTDATA(CELL("contents",$CN8),$BD$2,"Env Label",CQ$3)</f>
        <v>0</v>
      </c>
      <c r="CR8" s="368">
        <f ca="1">INDEX(Maint_Pricing_Schedule,MATCH(TRIM($CN8),Products,0),MATCH(VLOOKUP(CR$3,tEnv[],3,FALSE),Envs,0))*GETPIVOTDATA(CELL("contents",$CN8),$BD$2,"Env Label",CR$3)</f>
        <v>0</v>
      </c>
      <c r="CS8" s="368">
        <f ca="1">INDEX(Maint_Pricing_Schedule,MATCH(TRIM($CN8),Products,0),MATCH(VLOOKUP(CS$3,tEnv[],3,FALSE),Envs,0))*GETPIVOTDATA(CELL("contents",$CN8),$BD$2,"Env Label",CS$3)</f>
        <v>0</v>
      </c>
      <c r="CT8" s="368">
        <f ca="1">INDEX(Maint_Pricing_Schedule,MATCH(TRIM($CN8),Products,0),MATCH(VLOOKUP(CT$3,tEnv[],3,FALSE),Envs,0))*GETPIVOTDATA(CELL("contents",$CN8),$BD$2,"Env Label",CT$3)</f>
        <v>0</v>
      </c>
      <c r="CU8" s="368">
        <f ca="1">INDEX(Maint_Pricing_Schedule,MATCH(TRIM($CN8),Products,0),MATCH(VLOOKUP(CU$3,tEnv[],3,FALSE),Envs,0))*GETPIVOTDATA(CELL("contents",$CN8),$BD$2,"Env Label",CU$3)</f>
        <v>0</v>
      </c>
      <c r="CV8" s="368">
        <f ca="1">INDEX(Maint_Pricing_Schedule,MATCH(TRIM($CN8),Products,0),MATCH(VLOOKUP(CV$3,tEnv[],3,FALSE),Envs,0))*GETPIVOTDATA(CELL("contents",$CN8),$BD$2,"Env Label",CV$3)</f>
        <v>0</v>
      </c>
      <c r="CW8" s="368">
        <f ca="1">INDEX(Maint_Pricing_Schedule,MATCH(TRIM($CN8),Products,0),MATCH(VLOOKUP(CW$3,tEnv[],3,FALSE),Envs,0))*GETPIVOTDATA(CELL("contents",$CN8),$BD$2,"Env Label",CW$3)</f>
        <v>0</v>
      </c>
      <c r="CX8" s="368">
        <f ca="1">INDEX(Maint_Pricing_Schedule,MATCH(TRIM($CN8),Products,0),MATCH(VLOOKUP(CX$3,tEnv[],3,FALSE),Envs,0))*GETPIVOTDATA(CELL("contents",$CN8),$BD$2,"Env Label",CX$3)</f>
        <v>0</v>
      </c>
      <c r="CY8" s="368">
        <f ca="1">INDEX(Maint_Pricing_Schedule,MATCH(TRIM($CN8),Products,0),MATCH(VLOOKUP(CY$3,tEnv[],3,FALSE),Envs,0))*GETPIVOTDATA(CELL("contents",$CN8),$BD$2,"Env Label",CY$3)</f>
        <v>0</v>
      </c>
      <c r="CZ8" s="368">
        <f ca="1">INDEX(Maint_Pricing_Schedule,MATCH(TRIM($CN8),Products,0),MATCH(VLOOKUP(CZ$3,tEnv[],3,FALSE),Envs,0))*GETPIVOTDATA(CELL("contents",$CN8),$BD$2,"Env Label",CZ$3)</f>
        <v>0</v>
      </c>
      <c r="DA8" s="368">
        <f ca="1">INDEX(Maint_Pricing_Schedule,MATCH(TRIM($CN8),Products,0),MATCH(VLOOKUP(DA$3,tEnv[],3,FALSE),Envs,0))*GETPIVOTDATA(CELL("contents",$CN8),$BD$2,"Env Label",DA$3)</f>
        <v>0</v>
      </c>
      <c r="DB8" s="368">
        <f ca="1">INDEX(Maint_Pricing_Schedule,MATCH(TRIM($CN8),Products,0),MATCH(VLOOKUP(DB$3,tEnv[],3,FALSE),Envs,0))*GETPIVOTDATA(CELL("contents",$CN8),$BD$2,"Env Label",DB$3)</f>
        <v>0</v>
      </c>
      <c r="DC8" s="368">
        <f ca="1">INDEX(Maint_Pricing_Schedule,MATCH(TRIM($CN8),Products,0),MATCH(VLOOKUP(DC$3,tEnv[],3,FALSE),Envs,0))*GETPIVOTDATA(CELL("contents",$CN8),$BD$2,"Env Label",DC$3)</f>
        <v>0</v>
      </c>
      <c r="DD8" s="369">
        <f ca="1">SUM(AnnualSWMaintCostByProdByEnv[[#This Row],[PROD]:[DEV]])</f>
        <v>0</v>
      </c>
    </row>
    <row r="9" spans="1:108">
      <c r="A9" s="281" t="s">
        <v>171</v>
      </c>
      <c r="B9" s="270">
        <v>0</v>
      </c>
      <c r="C9" s="270">
        <v>0</v>
      </c>
      <c r="D9" s="274">
        <v>0</v>
      </c>
      <c r="E9" s="270">
        <v>0</v>
      </c>
      <c r="F9" s="270">
        <v>0</v>
      </c>
      <c r="G9" s="270">
        <v>0</v>
      </c>
      <c r="H9" s="270">
        <v>0</v>
      </c>
      <c r="I9" s="270">
        <v>0</v>
      </c>
      <c r="J9" s="270">
        <v>0</v>
      </c>
      <c r="K9" s="270">
        <v>0</v>
      </c>
      <c r="L9" s="270">
        <v>0</v>
      </c>
      <c r="M9" s="270">
        <v>0</v>
      </c>
      <c r="N9" s="270">
        <v>0</v>
      </c>
      <c r="O9" s="270">
        <v>0</v>
      </c>
      <c r="P9" s="270">
        <v>0</v>
      </c>
      <c r="Q9" s="270">
        <v>0</v>
      </c>
      <c r="R9" s="270">
        <v>0</v>
      </c>
      <c r="S9" s="270">
        <v>0</v>
      </c>
      <c r="T9" s="270">
        <v>0</v>
      </c>
      <c r="U9" s="270">
        <v>0</v>
      </c>
      <c r="V9" s="270">
        <v>0</v>
      </c>
      <c r="W9" s="270">
        <v>0</v>
      </c>
      <c r="X9" s="270">
        <v>0</v>
      </c>
      <c r="Y9" s="270">
        <v>0</v>
      </c>
      <c r="Z9" s="270">
        <v>0</v>
      </c>
      <c r="AA9" s="270">
        <v>0</v>
      </c>
      <c r="AB9" s="270">
        <v>0</v>
      </c>
      <c r="AC9" s="270">
        <v>0</v>
      </c>
      <c r="AD9" s="270">
        <v>0</v>
      </c>
      <c r="AE9" s="270">
        <v>0</v>
      </c>
      <c r="AF9" s="270">
        <v>0</v>
      </c>
      <c r="AG9" s="270">
        <v>0</v>
      </c>
      <c r="AH9" s="270">
        <v>0</v>
      </c>
      <c r="AI9" s="270">
        <v>0</v>
      </c>
      <c r="AJ9" s="270">
        <v>0</v>
      </c>
      <c r="AK9" s="270">
        <v>0</v>
      </c>
      <c r="AL9" s="270">
        <v>0</v>
      </c>
      <c r="AM9" s="270">
        <v>0</v>
      </c>
      <c r="AN9" s="270">
        <v>0</v>
      </c>
      <c r="AO9" s="270">
        <v>0</v>
      </c>
      <c r="AP9" s="270">
        <v>0</v>
      </c>
      <c r="AQ9" s="270">
        <v>0</v>
      </c>
      <c r="AR9" s="270">
        <v>0</v>
      </c>
      <c r="AS9" s="270">
        <v>0</v>
      </c>
      <c r="AT9" s="270">
        <v>0</v>
      </c>
      <c r="AU9" s="270">
        <v>0</v>
      </c>
      <c r="AV9" s="270">
        <v>0</v>
      </c>
      <c r="AW9" s="270">
        <v>0</v>
      </c>
      <c r="AX9" s="270">
        <v>0</v>
      </c>
      <c r="AY9" s="270">
        <v>0</v>
      </c>
      <c r="AZ9" s="270">
        <v>0</v>
      </c>
      <c r="BA9" s="270">
        <v>0</v>
      </c>
      <c r="BB9" s="266">
        <v>0</v>
      </c>
      <c r="BC9" s="266"/>
      <c r="BD9" s="281" t="s">
        <v>180</v>
      </c>
      <c r="BE9" s="272">
        <v>0</v>
      </c>
      <c r="BF9" s="272">
        <v>0</v>
      </c>
      <c r="BG9" s="272">
        <v>0</v>
      </c>
      <c r="BH9" s="272">
        <v>0</v>
      </c>
      <c r="BI9" s="272">
        <v>0</v>
      </c>
      <c r="BJ9" s="272">
        <v>0</v>
      </c>
      <c r="BK9" s="272">
        <v>0</v>
      </c>
      <c r="BL9" s="272">
        <v>0</v>
      </c>
      <c r="BM9" s="272">
        <v>0</v>
      </c>
      <c r="BN9" s="272">
        <v>0</v>
      </c>
      <c r="BO9" s="272">
        <v>0</v>
      </c>
      <c r="BP9" s="272">
        <v>0</v>
      </c>
      <c r="BQ9" s="272">
        <v>0</v>
      </c>
      <c r="BR9" s="272">
        <v>0</v>
      </c>
      <c r="BS9" s="272">
        <v>0</v>
      </c>
      <c r="BT9" s="272">
        <v>0</v>
      </c>
      <c r="BV9" s="262" t="str">
        <f t="shared" si="0"/>
        <v xml:space="preserve">IBM Datastage </v>
      </c>
      <c r="BW9" s="262">
        <f t="shared" si="0"/>
        <v>0</v>
      </c>
      <c r="BX9" s="262">
        <f t="shared" si="0"/>
        <v>0</v>
      </c>
      <c r="BY9" s="427">
        <f ca="1">INDEX(Product_Pricing_Schedule,MATCH(TRIM($BV9),Products,0),MATCH(VLOOKUP(BY$3,tEnv[],3,FALSE),Envs,0))*GETPIVOTDATA(CELL("contents",$BV9),$BD$2,"Env Label",BY$3)</f>
        <v>0</v>
      </c>
      <c r="BZ9" s="427">
        <f ca="1">INDEX(Product_Pricing_Schedule,MATCH(TRIM($BV9),Products,0),MATCH(VLOOKUP(BZ$3,tEnv[],3,FALSE),Envs,0))*GETPIVOTDATA(CELL("contents",$BV9),$BD$2,"Env Label",BZ$3)</f>
        <v>0</v>
      </c>
      <c r="CA9" s="427">
        <f ca="1">INDEX(Product_Pricing_Schedule,MATCH(TRIM($BV9),Products,0),MATCH(VLOOKUP(CA$3,tEnv[],3,FALSE),Envs,0))*GETPIVOTDATA(CELL("contents",$BV9),$BD$2,"Env Label",CA$3)</f>
        <v>0</v>
      </c>
      <c r="CB9" s="427">
        <f ca="1">INDEX(Product_Pricing_Schedule,MATCH(TRIM($BV9),Products,0),MATCH(VLOOKUP(CB$3,tEnv[],3,FALSE),Envs,0))*GETPIVOTDATA(CELL("contents",$BV9),$BD$2,"Env Label",CB$3)</f>
        <v>0</v>
      </c>
      <c r="CC9" s="427">
        <f ca="1">INDEX(Product_Pricing_Schedule,MATCH(TRIM($BV9),Products,0),MATCH(VLOOKUP(CC$3,tEnv[],3,FALSE),Envs,0))*GETPIVOTDATA(CELL("contents",$BV9),$BD$2,"Env Label",CC$3)</f>
        <v>0</v>
      </c>
      <c r="CD9" s="427">
        <f ca="1">INDEX(Product_Pricing_Schedule,MATCH(TRIM($BV9),Products,0),MATCH(VLOOKUP(CD$3,tEnv[],3,FALSE),Envs,0))*GETPIVOTDATA(CELL("contents",$BV9),$BD$2,"Env Label",CD$3)</f>
        <v>0</v>
      </c>
      <c r="CE9" s="427">
        <f ca="1">INDEX(Product_Pricing_Schedule,MATCH(TRIM($BV9),Products,0),MATCH(VLOOKUP(CE$3,tEnv[],3,FALSE),Envs,0))*GETPIVOTDATA(CELL("contents",$BV9),$BD$2,"Env Label",CE$3)</f>
        <v>0</v>
      </c>
      <c r="CF9" s="427">
        <f ca="1">INDEX(Product_Pricing_Schedule,MATCH(TRIM($BV9),Products,0),MATCH(VLOOKUP(CF$3,tEnv[],3,FALSE),Envs,0))*GETPIVOTDATA(CELL("contents",$BV9),$BD$2,"Env Label",CF$3)</f>
        <v>0</v>
      </c>
      <c r="CG9" s="427">
        <f ca="1">INDEX(Product_Pricing_Schedule,MATCH(TRIM($BV9),Products,0),MATCH(VLOOKUP(CG$3,tEnv[],3,FALSE),Envs,0))*GETPIVOTDATA(CELL("contents",$BV9),$BD$2,"Env Label",CG$3)</f>
        <v>0</v>
      </c>
      <c r="CH9" s="427">
        <f ca="1">INDEX(Product_Pricing_Schedule,MATCH(TRIM($BV9),Products,0),MATCH(VLOOKUP(CH$3,tEnv[],3,FALSE),Envs,0))*GETPIVOTDATA(CELL("contents",$BV9),$BD$2,"Env Label",CH$3)</f>
        <v>0</v>
      </c>
      <c r="CI9" s="427">
        <f ca="1">INDEX(Product_Pricing_Schedule,MATCH(TRIM($BV9),Products,0),MATCH(VLOOKUP(CI$3,tEnv[],3,FALSE),Envs,0))*GETPIVOTDATA(CELL("contents",$BV9),$BD$2,"Env Label",CI$3)</f>
        <v>0</v>
      </c>
      <c r="CJ9" s="427">
        <f ca="1">INDEX(Product_Pricing_Schedule,MATCH(TRIM($BV9),Products,0),MATCH(VLOOKUP(CJ$3,tEnv[],3,FALSE),Envs,0))*GETPIVOTDATA(CELL("contents",$BV9),$BD$2,"Env Label",CJ$3)</f>
        <v>0</v>
      </c>
      <c r="CK9" s="427">
        <f ca="1">INDEX(Product_Pricing_Schedule,MATCH(TRIM($BV9),Products,0),MATCH(VLOOKUP(CK$3,tEnv[],3,FALSE),Envs,0))*GETPIVOTDATA(CELL("contents",$BV9),$BD$2,"Env Label",CK$3)</f>
        <v>0</v>
      </c>
      <c r="CL9" s="428">
        <f ca="1">SUM(AnnualSWCostByProdByEnv[[#This Row],[PROD]:[DEV]])</f>
        <v>0</v>
      </c>
      <c r="CN9" s="262" t="str">
        <f t="shared" si="1"/>
        <v xml:space="preserve">IBM Datastage </v>
      </c>
      <c r="CO9" s="262">
        <f t="shared" ca="1" si="3"/>
        <v>0</v>
      </c>
      <c r="CP9" s="262">
        <f t="shared" ca="1" si="3"/>
        <v>0</v>
      </c>
      <c r="CQ9" s="368">
        <f ca="1">INDEX(Maint_Pricing_Schedule,MATCH(TRIM($CN9),Products,0),MATCH(VLOOKUP(CQ$3,tEnv[],3,FALSE),Envs,0))*GETPIVOTDATA(CELL("contents",$CN9),$BD$2,"Env Label",CQ$3)</f>
        <v>0</v>
      </c>
      <c r="CR9" s="368">
        <f ca="1">INDEX(Maint_Pricing_Schedule,MATCH(TRIM($CN9),Products,0),MATCH(VLOOKUP(CR$3,tEnv[],3,FALSE),Envs,0))*GETPIVOTDATA(CELL("contents",$CN9),$BD$2,"Env Label",CR$3)</f>
        <v>0</v>
      </c>
      <c r="CS9" s="368">
        <f ca="1">INDEX(Maint_Pricing_Schedule,MATCH(TRIM($CN9),Products,0),MATCH(VLOOKUP(CS$3,tEnv[],3,FALSE),Envs,0))*GETPIVOTDATA(CELL("contents",$CN9),$BD$2,"Env Label",CS$3)</f>
        <v>0</v>
      </c>
      <c r="CT9" s="368">
        <f ca="1">INDEX(Maint_Pricing_Schedule,MATCH(TRIM($CN9),Products,0),MATCH(VLOOKUP(CT$3,tEnv[],3,FALSE),Envs,0))*GETPIVOTDATA(CELL("contents",$CN9),$BD$2,"Env Label",CT$3)</f>
        <v>0</v>
      </c>
      <c r="CU9" s="368">
        <f ca="1">INDEX(Maint_Pricing_Schedule,MATCH(TRIM($CN9),Products,0),MATCH(VLOOKUP(CU$3,tEnv[],3,FALSE),Envs,0))*GETPIVOTDATA(CELL("contents",$CN9),$BD$2,"Env Label",CU$3)</f>
        <v>0</v>
      </c>
      <c r="CV9" s="368">
        <f ca="1">INDEX(Maint_Pricing_Schedule,MATCH(TRIM($CN9),Products,0),MATCH(VLOOKUP(CV$3,tEnv[],3,FALSE),Envs,0))*GETPIVOTDATA(CELL("contents",$CN9),$BD$2,"Env Label",CV$3)</f>
        <v>0</v>
      </c>
      <c r="CW9" s="368">
        <f ca="1">INDEX(Maint_Pricing_Schedule,MATCH(TRIM($CN9),Products,0),MATCH(VLOOKUP(CW$3,tEnv[],3,FALSE),Envs,0))*GETPIVOTDATA(CELL("contents",$CN9),$BD$2,"Env Label",CW$3)</f>
        <v>0</v>
      </c>
      <c r="CX9" s="368">
        <f ca="1">INDEX(Maint_Pricing_Schedule,MATCH(TRIM($CN9),Products,0),MATCH(VLOOKUP(CX$3,tEnv[],3,FALSE),Envs,0))*GETPIVOTDATA(CELL("contents",$CN9),$BD$2,"Env Label",CX$3)</f>
        <v>0</v>
      </c>
      <c r="CY9" s="368">
        <f ca="1">INDEX(Maint_Pricing_Schedule,MATCH(TRIM($CN9),Products,0),MATCH(VLOOKUP(CY$3,tEnv[],3,FALSE),Envs,0))*GETPIVOTDATA(CELL("contents",$CN9),$BD$2,"Env Label",CY$3)</f>
        <v>0</v>
      </c>
      <c r="CZ9" s="368">
        <f ca="1">INDEX(Maint_Pricing_Schedule,MATCH(TRIM($CN9),Products,0),MATCH(VLOOKUP(CZ$3,tEnv[],3,FALSE),Envs,0))*GETPIVOTDATA(CELL("contents",$CN9),$BD$2,"Env Label",CZ$3)</f>
        <v>0</v>
      </c>
      <c r="DA9" s="368">
        <f ca="1">INDEX(Maint_Pricing_Schedule,MATCH(TRIM($CN9),Products,0),MATCH(VLOOKUP(DA$3,tEnv[],3,FALSE),Envs,0))*GETPIVOTDATA(CELL("contents",$CN9),$BD$2,"Env Label",DA$3)</f>
        <v>0</v>
      </c>
      <c r="DB9" s="368">
        <f ca="1">INDEX(Maint_Pricing_Schedule,MATCH(TRIM($CN9),Products,0),MATCH(VLOOKUP(DB$3,tEnv[],3,FALSE),Envs,0))*GETPIVOTDATA(CELL("contents",$CN9),$BD$2,"Env Label",DB$3)</f>
        <v>0</v>
      </c>
      <c r="DC9" s="368">
        <f ca="1">INDEX(Maint_Pricing_Schedule,MATCH(TRIM($CN9),Products,0),MATCH(VLOOKUP(DC$3,tEnv[],3,FALSE),Envs,0))*GETPIVOTDATA(CELL("contents",$CN9),$BD$2,"Env Label",DC$3)</f>
        <v>0</v>
      </c>
      <c r="DD9" s="369">
        <f ca="1">SUM(AnnualSWMaintCostByProdByEnv[[#This Row],[PROD]:[DEV]])</f>
        <v>0</v>
      </c>
    </row>
    <row r="10" spans="1:108">
      <c r="A10" s="281" t="s">
        <v>466</v>
      </c>
      <c r="B10" s="270">
        <v>0</v>
      </c>
      <c r="C10" s="270">
        <v>0</v>
      </c>
      <c r="D10" s="274">
        <v>0</v>
      </c>
      <c r="E10" s="270">
        <v>0</v>
      </c>
      <c r="F10" s="270">
        <v>0</v>
      </c>
      <c r="G10" s="270">
        <v>0</v>
      </c>
      <c r="H10" s="270">
        <v>0</v>
      </c>
      <c r="I10" s="270">
        <v>0</v>
      </c>
      <c r="J10" s="270">
        <v>0</v>
      </c>
      <c r="K10" s="270">
        <v>0</v>
      </c>
      <c r="L10" s="270">
        <v>0</v>
      </c>
      <c r="M10" s="270">
        <v>0</v>
      </c>
      <c r="N10" s="270">
        <v>0</v>
      </c>
      <c r="O10" s="270">
        <v>0</v>
      </c>
      <c r="P10" s="270">
        <v>0</v>
      </c>
      <c r="Q10" s="270">
        <v>0</v>
      </c>
      <c r="R10" s="270">
        <v>0</v>
      </c>
      <c r="S10" s="270">
        <v>0</v>
      </c>
      <c r="T10" s="270">
        <v>0</v>
      </c>
      <c r="U10" s="270">
        <v>0</v>
      </c>
      <c r="V10" s="270">
        <v>0</v>
      </c>
      <c r="W10" s="270">
        <v>0</v>
      </c>
      <c r="X10" s="270">
        <v>0</v>
      </c>
      <c r="Y10" s="270">
        <v>0</v>
      </c>
      <c r="Z10" s="270">
        <v>0</v>
      </c>
      <c r="AA10" s="270">
        <v>0</v>
      </c>
      <c r="AB10" s="270">
        <v>0</v>
      </c>
      <c r="AC10" s="270">
        <v>0</v>
      </c>
      <c r="AD10" s="270">
        <v>0</v>
      </c>
      <c r="AE10" s="270">
        <v>0</v>
      </c>
      <c r="AF10" s="270">
        <v>0</v>
      </c>
      <c r="AG10" s="270">
        <v>0</v>
      </c>
      <c r="AH10" s="270">
        <v>0</v>
      </c>
      <c r="AI10" s="270">
        <v>0</v>
      </c>
      <c r="AJ10" s="270">
        <v>0</v>
      </c>
      <c r="AK10" s="270">
        <v>0</v>
      </c>
      <c r="AL10" s="270">
        <v>0</v>
      </c>
      <c r="AM10" s="270">
        <v>0</v>
      </c>
      <c r="AN10" s="270">
        <v>0</v>
      </c>
      <c r="AO10" s="270">
        <v>0</v>
      </c>
      <c r="AP10" s="270">
        <v>0</v>
      </c>
      <c r="AQ10" s="270">
        <v>0</v>
      </c>
      <c r="AR10" s="270">
        <v>0</v>
      </c>
      <c r="AS10" s="270">
        <v>0</v>
      </c>
      <c r="AT10" s="270">
        <v>0</v>
      </c>
      <c r="AU10" s="270">
        <v>0</v>
      </c>
      <c r="AV10" s="270">
        <v>0</v>
      </c>
      <c r="AW10" s="270">
        <v>0</v>
      </c>
      <c r="AX10" s="270">
        <v>0</v>
      </c>
      <c r="AY10" s="270">
        <v>0</v>
      </c>
      <c r="AZ10" s="270">
        <v>0</v>
      </c>
      <c r="BA10" s="270">
        <v>0</v>
      </c>
      <c r="BB10" s="266">
        <v>0</v>
      </c>
      <c r="BC10" s="266"/>
      <c r="BD10" s="281" t="s">
        <v>181</v>
      </c>
      <c r="BE10" s="272">
        <v>0</v>
      </c>
      <c r="BF10" s="272">
        <v>0</v>
      </c>
      <c r="BG10" s="272">
        <v>0</v>
      </c>
      <c r="BH10" s="272">
        <v>0</v>
      </c>
      <c r="BI10" s="272">
        <v>0</v>
      </c>
      <c r="BJ10" s="272">
        <v>0</v>
      </c>
      <c r="BK10" s="272">
        <v>0</v>
      </c>
      <c r="BL10" s="272">
        <v>0</v>
      </c>
      <c r="BM10" s="272">
        <v>0</v>
      </c>
      <c r="BN10" s="272">
        <v>0</v>
      </c>
      <c r="BO10" s="272">
        <v>0</v>
      </c>
      <c r="BP10" s="272">
        <v>0</v>
      </c>
      <c r="BQ10" s="272">
        <v>0</v>
      </c>
      <c r="BR10" s="272">
        <v>0</v>
      </c>
      <c r="BS10" s="272">
        <v>0</v>
      </c>
      <c r="BT10" s="272">
        <v>0</v>
      </c>
      <c r="BV10" s="262" t="str">
        <f t="shared" si="0"/>
        <v xml:space="preserve">IBM DS Designer </v>
      </c>
      <c r="BW10" s="262">
        <f t="shared" si="0"/>
        <v>0</v>
      </c>
      <c r="BX10" s="262">
        <f t="shared" si="0"/>
        <v>0</v>
      </c>
      <c r="BY10" s="427">
        <f ca="1">INDEX(Product_Pricing_Schedule,MATCH(TRIM($BV10),Products,0),MATCH(VLOOKUP(BY$3,tEnv[],3,FALSE),Envs,0))*GETPIVOTDATA(CELL("contents",$BV10),$BD$2,"Env Label",BY$3)</f>
        <v>0</v>
      </c>
      <c r="BZ10" s="427">
        <f ca="1">INDEX(Product_Pricing_Schedule,MATCH(TRIM($BV10),Products,0),MATCH(VLOOKUP(BZ$3,tEnv[],3,FALSE),Envs,0))*GETPIVOTDATA(CELL("contents",$BV10),$BD$2,"Env Label",BZ$3)</f>
        <v>0</v>
      </c>
      <c r="CA10" s="427">
        <f ca="1">INDEX(Product_Pricing_Schedule,MATCH(TRIM($BV10),Products,0),MATCH(VLOOKUP(CA$3,tEnv[],3,FALSE),Envs,0))*GETPIVOTDATA(CELL("contents",$BV10),$BD$2,"Env Label",CA$3)</f>
        <v>0</v>
      </c>
      <c r="CB10" s="427">
        <f ca="1">INDEX(Product_Pricing_Schedule,MATCH(TRIM($BV10),Products,0),MATCH(VLOOKUP(CB$3,tEnv[],3,FALSE),Envs,0))*GETPIVOTDATA(CELL("contents",$BV10),$BD$2,"Env Label",CB$3)</f>
        <v>0</v>
      </c>
      <c r="CC10" s="427">
        <f ca="1">INDEX(Product_Pricing_Schedule,MATCH(TRIM($BV10),Products,0),MATCH(VLOOKUP(CC$3,tEnv[],3,FALSE),Envs,0))*GETPIVOTDATA(CELL("contents",$BV10),$BD$2,"Env Label",CC$3)</f>
        <v>0</v>
      </c>
      <c r="CD10" s="427">
        <f ca="1">INDEX(Product_Pricing_Schedule,MATCH(TRIM($BV10),Products,0),MATCH(VLOOKUP(CD$3,tEnv[],3,FALSE),Envs,0))*GETPIVOTDATA(CELL("contents",$BV10),$BD$2,"Env Label",CD$3)</f>
        <v>0</v>
      </c>
      <c r="CE10" s="427">
        <f ca="1">INDEX(Product_Pricing_Schedule,MATCH(TRIM($BV10),Products,0),MATCH(VLOOKUP(CE$3,tEnv[],3,FALSE),Envs,0))*GETPIVOTDATA(CELL("contents",$BV10),$BD$2,"Env Label",CE$3)</f>
        <v>0</v>
      </c>
      <c r="CF10" s="427">
        <f ca="1">INDEX(Product_Pricing_Schedule,MATCH(TRIM($BV10),Products,0),MATCH(VLOOKUP(CF$3,tEnv[],3,FALSE),Envs,0))*GETPIVOTDATA(CELL("contents",$BV10),$BD$2,"Env Label",CF$3)</f>
        <v>0</v>
      </c>
      <c r="CG10" s="427">
        <f ca="1">INDEX(Product_Pricing_Schedule,MATCH(TRIM($BV10),Products,0),MATCH(VLOOKUP(CG$3,tEnv[],3,FALSE),Envs,0))*GETPIVOTDATA(CELL("contents",$BV10),$BD$2,"Env Label",CG$3)</f>
        <v>0</v>
      </c>
      <c r="CH10" s="427">
        <f ca="1">INDEX(Product_Pricing_Schedule,MATCH(TRIM($BV10),Products,0),MATCH(VLOOKUP(CH$3,tEnv[],3,FALSE),Envs,0))*GETPIVOTDATA(CELL("contents",$BV10),$BD$2,"Env Label",CH$3)</f>
        <v>0</v>
      </c>
      <c r="CI10" s="427">
        <f ca="1">INDEX(Product_Pricing_Schedule,MATCH(TRIM($BV10),Products,0),MATCH(VLOOKUP(CI$3,tEnv[],3,FALSE),Envs,0))*GETPIVOTDATA(CELL("contents",$BV10),$BD$2,"Env Label",CI$3)</f>
        <v>0</v>
      </c>
      <c r="CJ10" s="427">
        <f ca="1">INDEX(Product_Pricing_Schedule,MATCH(TRIM($BV10),Products,0),MATCH(VLOOKUP(CJ$3,tEnv[],3,FALSE),Envs,0))*GETPIVOTDATA(CELL("contents",$BV10),$BD$2,"Env Label",CJ$3)</f>
        <v>0</v>
      </c>
      <c r="CK10" s="427">
        <f ca="1">INDEX(Product_Pricing_Schedule,MATCH(TRIM($BV10),Products,0),MATCH(VLOOKUP(CK$3,tEnv[],3,FALSE),Envs,0))*GETPIVOTDATA(CELL("contents",$BV10),$BD$2,"Env Label",CK$3)</f>
        <v>0</v>
      </c>
      <c r="CL10" s="428">
        <f ca="1">SUM(AnnualSWCostByProdByEnv[[#This Row],[PROD]:[DEV]])</f>
        <v>0</v>
      </c>
      <c r="CN10" s="262" t="str">
        <f t="shared" si="1"/>
        <v xml:space="preserve">IBM DS Designer </v>
      </c>
      <c r="CO10" s="262">
        <f t="shared" ca="1" si="3"/>
        <v>0</v>
      </c>
      <c r="CP10" s="262">
        <f t="shared" ca="1" si="3"/>
        <v>0</v>
      </c>
      <c r="CQ10" s="368">
        <f ca="1">INDEX(Maint_Pricing_Schedule,MATCH(TRIM($CN10),Products,0),MATCH(VLOOKUP(CQ$3,tEnv[],3,FALSE),Envs,0))*GETPIVOTDATA(CELL("contents",$CN10),$BD$2,"Env Label",CQ$3)</f>
        <v>0</v>
      </c>
      <c r="CR10" s="368">
        <f ca="1">INDEX(Maint_Pricing_Schedule,MATCH(TRIM($CN10),Products,0),MATCH(VLOOKUP(CR$3,tEnv[],3,FALSE),Envs,0))*GETPIVOTDATA(CELL("contents",$CN10),$BD$2,"Env Label",CR$3)</f>
        <v>0</v>
      </c>
      <c r="CS10" s="368">
        <f ca="1">INDEX(Maint_Pricing_Schedule,MATCH(TRIM($CN10),Products,0),MATCH(VLOOKUP(CS$3,tEnv[],3,FALSE),Envs,0))*GETPIVOTDATA(CELL("contents",$CN10),$BD$2,"Env Label",CS$3)</f>
        <v>0</v>
      </c>
      <c r="CT10" s="368">
        <f ca="1">INDEX(Maint_Pricing_Schedule,MATCH(TRIM($CN10),Products,0),MATCH(VLOOKUP(CT$3,tEnv[],3,FALSE),Envs,0))*GETPIVOTDATA(CELL("contents",$CN10),$BD$2,"Env Label",CT$3)</f>
        <v>0</v>
      </c>
      <c r="CU10" s="368">
        <f ca="1">INDEX(Maint_Pricing_Schedule,MATCH(TRIM($CN10),Products,0),MATCH(VLOOKUP(CU$3,tEnv[],3,FALSE),Envs,0))*GETPIVOTDATA(CELL("contents",$CN10),$BD$2,"Env Label",CU$3)</f>
        <v>0</v>
      </c>
      <c r="CV10" s="368">
        <f ca="1">INDEX(Maint_Pricing_Schedule,MATCH(TRIM($CN10),Products,0),MATCH(VLOOKUP(CV$3,tEnv[],3,FALSE),Envs,0))*GETPIVOTDATA(CELL("contents",$CN10),$BD$2,"Env Label",CV$3)</f>
        <v>0</v>
      </c>
      <c r="CW10" s="368">
        <f ca="1">INDEX(Maint_Pricing_Schedule,MATCH(TRIM($CN10),Products,0),MATCH(VLOOKUP(CW$3,tEnv[],3,FALSE),Envs,0))*GETPIVOTDATA(CELL("contents",$CN10),$BD$2,"Env Label",CW$3)</f>
        <v>0</v>
      </c>
      <c r="CX10" s="368">
        <f ca="1">INDEX(Maint_Pricing_Schedule,MATCH(TRIM($CN10),Products,0),MATCH(VLOOKUP(CX$3,tEnv[],3,FALSE),Envs,0))*GETPIVOTDATA(CELL("contents",$CN10),$BD$2,"Env Label",CX$3)</f>
        <v>0</v>
      </c>
      <c r="CY10" s="368">
        <f ca="1">INDEX(Maint_Pricing_Schedule,MATCH(TRIM($CN10),Products,0),MATCH(VLOOKUP(CY$3,tEnv[],3,FALSE),Envs,0))*GETPIVOTDATA(CELL("contents",$CN10),$BD$2,"Env Label",CY$3)</f>
        <v>0</v>
      </c>
      <c r="CZ10" s="368">
        <f ca="1">INDEX(Maint_Pricing_Schedule,MATCH(TRIM($CN10),Products,0),MATCH(VLOOKUP(CZ$3,tEnv[],3,FALSE),Envs,0))*GETPIVOTDATA(CELL("contents",$CN10),$BD$2,"Env Label",CZ$3)</f>
        <v>0</v>
      </c>
      <c r="DA10" s="368">
        <f ca="1">INDEX(Maint_Pricing_Schedule,MATCH(TRIM($CN10),Products,0),MATCH(VLOOKUP(DA$3,tEnv[],3,FALSE),Envs,0))*GETPIVOTDATA(CELL("contents",$CN10),$BD$2,"Env Label",DA$3)</f>
        <v>0</v>
      </c>
      <c r="DB10" s="368">
        <f ca="1">INDEX(Maint_Pricing_Schedule,MATCH(TRIM($CN10),Products,0),MATCH(VLOOKUP(DB$3,tEnv[],3,FALSE),Envs,0))*GETPIVOTDATA(CELL("contents",$CN10),$BD$2,"Env Label",DB$3)</f>
        <v>0</v>
      </c>
      <c r="DC10" s="368">
        <f ca="1">INDEX(Maint_Pricing_Schedule,MATCH(TRIM($CN10),Products,0),MATCH(VLOOKUP(DC$3,tEnv[],3,FALSE),Envs,0))*GETPIVOTDATA(CELL("contents",$CN10),$BD$2,"Env Label",DC$3)</f>
        <v>0</v>
      </c>
      <c r="DD10" s="369">
        <f ca="1">SUM(AnnualSWMaintCostByProdByEnv[[#This Row],[PROD]:[DEV]])</f>
        <v>0</v>
      </c>
    </row>
    <row r="11" spans="1:108">
      <c r="A11" s="281" t="s">
        <v>212</v>
      </c>
      <c r="B11" s="270">
        <v>0</v>
      </c>
      <c r="C11" s="270">
        <v>3</v>
      </c>
      <c r="D11" s="274">
        <v>0</v>
      </c>
      <c r="E11" s="270">
        <v>0</v>
      </c>
      <c r="F11" s="270">
        <v>0</v>
      </c>
      <c r="G11" s="270">
        <v>0</v>
      </c>
      <c r="H11" s="270">
        <v>0</v>
      </c>
      <c r="I11" s="270">
        <v>0</v>
      </c>
      <c r="J11" s="270">
        <v>0</v>
      </c>
      <c r="K11" s="270">
        <v>64</v>
      </c>
      <c r="L11" s="270">
        <v>0</v>
      </c>
      <c r="M11" s="270">
        <v>0</v>
      </c>
      <c r="N11" s="270">
        <v>48</v>
      </c>
      <c r="O11" s="270">
        <v>0</v>
      </c>
      <c r="P11" s="270">
        <v>0</v>
      </c>
      <c r="Q11" s="270">
        <v>0</v>
      </c>
      <c r="R11" s="270">
        <v>0</v>
      </c>
      <c r="S11" s="270">
        <v>0</v>
      </c>
      <c r="T11" s="270">
        <v>0</v>
      </c>
      <c r="U11" s="270">
        <v>0</v>
      </c>
      <c r="V11" s="270">
        <v>0</v>
      </c>
      <c r="W11" s="270">
        <v>0</v>
      </c>
      <c r="X11" s="270">
        <v>0</v>
      </c>
      <c r="Y11" s="270">
        <v>0</v>
      </c>
      <c r="Z11" s="270">
        <v>0</v>
      </c>
      <c r="AA11" s="270">
        <v>0</v>
      </c>
      <c r="AB11" s="270">
        <v>0</v>
      </c>
      <c r="AC11" s="270">
        <v>0</v>
      </c>
      <c r="AD11" s="270">
        <v>0</v>
      </c>
      <c r="AE11" s="270">
        <v>0</v>
      </c>
      <c r="AF11" s="270">
        <v>0</v>
      </c>
      <c r="AG11" s="270">
        <v>0</v>
      </c>
      <c r="AH11" s="270">
        <v>0</v>
      </c>
      <c r="AI11" s="270">
        <v>0</v>
      </c>
      <c r="AJ11" s="270">
        <v>0</v>
      </c>
      <c r="AK11" s="270">
        <v>0</v>
      </c>
      <c r="AL11" s="270">
        <v>0</v>
      </c>
      <c r="AM11" s="270">
        <v>0</v>
      </c>
      <c r="AN11" s="270">
        <v>0</v>
      </c>
      <c r="AO11" s="270">
        <v>0</v>
      </c>
      <c r="AP11" s="270">
        <v>0</v>
      </c>
      <c r="AQ11" s="270">
        <v>0</v>
      </c>
      <c r="AR11" s="270">
        <v>0</v>
      </c>
      <c r="AS11" s="270">
        <v>0</v>
      </c>
      <c r="AT11" s="270">
        <v>0</v>
      </c>
      <c r="AU11" s="270">
        <v>0</v>
      </c>
      <c r="AV11" s="270">
        <v>0</v>
      </c>
      <c r="AW11" s="270">
        <v>0</v>
      </c>
      <c r="AX11" s="270">
        <v>192</v>
      </c>
      <c r="AY11" s="270">
        <v>64</v>
      </c>
      <c r="AZ11" s="270">
        <v>0</v>
      </c>
      <c r="BA11" s="270">
        <v>0</v>
      </c>
      <c r="BB11" s="266">
        <v>3517.3991999999994</v>
      </c>
      <c r="BC11" s="266"/>
      <c r="BD11" s="281" t="s">
        <v>472</v>
      </c>
      <c r="BE11" s="272">
        <v>0</v>
      </c>
      <c r="BF11" s="272">
        <v>0</v>
      </c>
      <c r="BG11" s="272">
        <v>0</v>
      </c>
      <c r="BH11" s="272">
        <v>0</v>
      </c>
      <c r="BI11" s="272">
        <v>0</v>
      </c>
      <c r="BJ11" s="272">
        <v>0</v>
      </c>
      <c r="BK11" s="272">
        <v>0</v>
      </c>
      <c r="BL11" s="272">
        <v>0</v>
      </c>
      <c r="BM11" s="272">
        <v>0</v>
      </c>
      <c r="BN11" s="272">
        <v>0</v>
      </c>
      <c r="BO11" s="272">
        <v>0</v>
      </c>
      <c r="BP11" s="272">
        <v>0</v>
      </c>
      <c r="BQ11" s="272">
        <v>0</v>
      </c>
      <c r="BR11" s="272">
        <v>0</v>
      </c>
      <c r="BS11" s="272">
        <v>0</v>
      </c>
      <c r="BT11" s="272">
        <v>0</v>
      </c>
      <c r="BV11" s="262" t="str">
        <f t="shared" si="0"/>
        <v xml:space="preserve">IBM DS IS Dir </v>
      </c>
      <c r="BW11" s="262">
        <f t="shared" si="0"/>
        <v>0</v>
      </c>
      <c r="BX11" s="262">
        <f t="shared" si="0"/>
        <v>0</v>
      </c>
      <c r="BY11" s="427">
        <f ca="1">INDEX(Product_Pricing_Schedule,MATCH(TRIM($BV11),Products,0),MATCH(VLOOKUP(BY$3,tEnv[],3,FALSE),Envs,0))*GETPIVOTDATA(CELL("contents",$BV11),$BD$2,"Env Label",BY$3)</f>
        <v>0</v>
      </c>
      <c r="BZ11" s="427">
        <f ca="1">INDEX(Product_Pricing_Schedule,MATCH(TRIM($BV11),Products,0),MATCH(VLOOKUP(BZ$3,tEnv[],3,FALSE),Envs,0))*GETPIVOTDATA(CELL("contents",$BV11),$BD$2,"Env Label",BZ$3)</f>
        <v>0</v>
      </c>
      <c r="CA11" s="427">
        <f ca="1">INDEX(Product_Pricing_Schedule,MATCH(TRIM($BV11),Products,0),MATCH(VLOOKUP(CA$3,tEnv[],3,FALSE),Envs,0))*GETPIVOTDATA(CELL("contents",$BV11),$BD$2,"Env Label",CA$3)</f>
        <v>0</v>
      </c>
      <c r="CB11" s="427">
        <f ca="1">INDEX(Product_Pricing_Schedule,MATCH(TRIM($BV11),Products,0),MATCH(VLOOKUP(CB$3,tEnv[],3,FALSE),Envs,0))*GETPIVOTDATA(CELL("contents",$BV11),$BD$2,"Env Label",CB$3)</f>
        <v>0</v>
      </c>
      <c r="CC11" s="427">
        <f ca="1">INDEX(Product_Pricing_Schedule,MATCH(TRIM($BV11),Products,0),MATCH(VLOOKUP(CC$3,tEnv[],3,FALSE),Envs,0))*GETPIVOTDATA(CELL("contents",$BV11),$BD$2,"Env Label",CC$3)</f>
        <v>0</v>
      </c>
      <c r="CD11" s="427">
        <f ca="1">INDEX(Product_Pricing_Schedule,MATCH(TRIM($BV11),Products,0),MATCH(VLOOKUP(CD$3,tEnv[],3,FALSE),Envs,0))*GETPIVOTDATA(CELL("contents",$BV11),$BD$2,"Env Label",CD$3)</f>
        <v>0</v>
      </c>
      <c r="CE11" s="427">
        <f ca="1">INDEX(Product_Pricing_Schedule,MATCH(TRIM($BV11),Products,0),MATCH(VLOOKUP(CE$3,tEnv[],3,FALSE),Envs,0))*GETPIVOTDATA(CELL("contents",$BV11),$BD$2,"Env Label",CE$3)</f>
        <v>0</v>
      </c>
      <c r="CF11" s="427">
        <f ca="1">INDEX(Product_Pricing_Schedule,MATCH(TRIM($BV11),Products,0),MATCH(VLOOKUP(CF$3,tEnv[],3,FALSE),Envs,0))*GETPIVOTDATA(CELL("contents",$BV11),$BD$2,"Env Label",CF$3)</f>
        <v>0</v>
      </c>
      <c r="CG11" s="427">
        <f ca="1">INDEX(Product_Pricing_Schedule,MATCH(TRIM($BV11),Products,0),MATCH(VLOOKUP(CG$3,tEnv[],3,FALSE),Envs,0))*GETPIVOTDATA(CELL("contents",$BV11),$BD$2,"Env Label",CG$3)</f>
        <v>0</v>
      </c>
      <c r="CH11" s="427">
        <f ca="1">INDEX(Product_Pricing_Schedule,MATCH(TRIM($BV11),Products,0),MATCH(VLOOKUP(CH$3,tEnv[],3,FALSE),Envs,0))*GETPIVOTDATA(CELL("contents",$BV11),$BD$2,"Env Label",CH$3)</f>
        <v>0</v>
      </c>
      <c r="CI11" s="427">
        <f ca="1">INDEX(Product_Pricing_Schedule,MATCH(TRIM($BV11),Products,0),MATCH(VLOOKUP(CI$3,tEnv[],3,FALSE),Envs,0))*GETPIVOTDATA(CELL("contents",$BV11),$BD$2,"Env Label",CI$3)</f>
        <v>0</v>
      </c>
      <c r="CJ11" s="427">
        <f ca="1">INDEX(Product_Pricing_Schedule,MATCH(TRIM($BV11),Products,0),MATCH(VLOOKUP(CJ$3,tEnv[],3,FALSE),Envs,0))*GETPIVOTDATA(CELL("contents",$BV11),$BD$2,"Env Label",CJ$3)</f>
        <v>0</v>
      </c>
      <c r="CK11" s="427">
        <f ca="1">INDEX(Product_Pricing_Schedule,MATCH(TRIM($BV11),Products,0),MATCH(VLOOKUP(CK$3,tEnv[],3,FALSE),Envs,0))*GETPIVOTDATA(CELL("contents",$BV11),$BD$2,"Env Label",CK$3)</f>
        <v>0</v>
      </c>
      <c r="CL11" s="428">
        <f ca="1">SUM(AnnualSWCostByProdByEnv[[#This Row],[PROD]:[DEV]])</f>
        <v>0</v>
      </c>
      <c r="CN11" s="262" t="str">
        <f t="shared" si="1"/>
        <v xml:space="preserve">IBM DS IS Dir </v>
      </c>
      <c r="CO11" s="262">
        <f t="shared" ca="1" si="3"/>
        <v>0</v>
      </c>
      <c r="CP11" s="262">
        <f t="shared" ca="1" si="3"/>
        <v>0</v>
      </c>
      <c r="CQ11" s="368">
        <f ca="1">INDEX(Maint_Pricing_Schedule,MATCH(TRIM($CN11),Products,0),MATCH(VLOOKUP(CQ$3,tEnv[],3,FALSE),Envs,0))*GETPIVOTDATA(CELL("contents",$CN11),$BD$2,"Env Label",CQ$3)</f>
        <v>0</v>
      </c>
      <c r="CR11" s="368">
        <f ca="1">INDEX(Maint_Pricing_Schedule,MATCH(TRIM($CN11),Products,0),MATCH(VLOOKUP(CR$3,tEnv[],3,FALSE),Envs,0))*GETPIVOTDATA(CELL("contents",$CN11),$BD$2,"Env Label",CR$3)</f>
        <v>0</v>
      </c>
      <c r="CS11" s="368">
        <f ca="1">INDEX(Maint_Pricing_Schedule,MATCH(TRIM($CN11),Products,0),MATCH(VLOOKUP(CS$3,tEnv[],3,FALSE),Envs,0))*GETPIVOTDATA(CELL("contents",$CN11),$BD$2,"Env Label",CS$3)</f>
        <v>0</v>
      </c>
      <c r="CT11" s="368">
        <f ca="1">INDEX(Maint_Pricing_Schedule,MATCH(TRIM($CN11),Products,0),MATCH(VLOOKUP(CT$3,tEnv[],3,FALSE),Envs,0))*GETPIVOTDATA(CELL("contents",$CN11),$BD$2,"Env Label",CT$3)</f>
        <v>0</v>
      </c>
      <c r="CU11" s="368">
        <f ca="1">INDEX(Maint_Pricing_Schedule,MATCH(TRIM($CN11),Products,0),MATCH(VLOOKUP(CU$3,tEnv[],3,FALSE),Envs,0))*GETPIVOTDATA(CELL("contents",$CN11),$BD$2,"Env Label",CU$3)</f>
        <v>0</v>
      </c>
      <c r="CV11" s="368">
        <f ca="1">INDEX(Maint_Pricing_Schedule,MATCH(TRIM($CN11),Products,0),MATCH(VLOOKUP(CV$3,tEnv[],3,FALSE),Envs,0))*GETPIVOTDATA(CELL("contents",$CN11),$BD$2,"Env Label",CV$3)</f>
        <v>0</v>
      </c>
      <c r="CW11" s="368">
        <f ca="1">INDEX(Maint_Pricing_Schedule,MATCH(TRIM($CN11),Products,0),MATCH(VLOOKUP(CW$3,tEnv[],3,FALSE),Envs,0))*GETPIVOTDATA(CELL("contents",$CN11),$BD$2,"Env Label",CW$3)</f>
        <v>0</v>
      </c>
      <c r="CX11" s="368">
        <f ca="1">INDEX(Maint_Pricing_Schedule,MATCH(TRIM($CN11),Products,0),MATCH(VLOOKUP(CX$3,tEnv[],3,FALSE),Envs,0))*GETPIVOTDATA(CELL("contents",$CN11),$BD$2,"Env Label",CX$3)</f>
        <v>0</v>
      </c>
      <c r="CY11" s="368">
        <f ca="1">INDEX(Maint_Pricing_Schedule,MATCH(TRIM($CN11),Products,0),MATCH(VLOOKUP(CY$3,tEnv[],3,FALSE),Envs,0))*GETPIVOTDATA(CELL("contents",$CN11),$BD$2,"Env Label",CY$3)</f>
        <v>0</v>
      </c>
      <c r="CZ11" s="368">
        <f ca="1">INDEX(Maint_Pricing_Schedule,MATCH(TRIM($CN11),Products,0),MATCH(VLOOKUP(CZ$3,tEnv[],3,FALSE),Envs,0))*GETPIVOTDATA(CELL("contents",$CN11),$BD$2,"Env Label",CZ$3)</f>
        <v>0</v>
      </c>
      <c r="DA11" s="368">
        <f ca="1">INDEX(Maint_Pricing_Schedule,MATCH(TRIM($CN11),Products,0),MATCH(VLOOKUP(DA$3,tEnv[],3,FALSE),Envs,0))*GETPIVOTDATA(CELL("contents",$CN11),$BD$2,"Env Label",DA$3)</f>
        <v>0</v>
      </c>
      <c r="DB11" s="368">
        <f ca="1">INDEX(Maint_Pricing_Schedule,MATCH(TRIM($CN11),Products,0),MATCH(VLOOKUP(DB$3,tEnv[],3,FALSE),Envs,0))*GETPIVOTDATA(CELL("contents",$CN11),$BD$2,"Env Label",DB$3)</f>
        <v>0</v>
      </c>
      <c r="DC11" s="368">
        <f ca="1">INDEX(Maint_Pricing_Schedule,MATCH(TRIM($CN11),Products,0),MATCH(VLOOKUP(DC$3,tEnv[],3,FALSE),Envs,0))*GETPIVOTDATA(CELL("contents",$CN11),$BD$2,"Env Label",DC$3)</f>
        <v>0</v>
      </c>
      <c r="DD11" s="369">
        <f ca="1">SUM(AnnualSWMaintCostByProdByEnv[[#This Row],[PROD]:[DEV]])</f>
        <v>0</v>
      </c>
    </row>
    <row r="12" spans="1:108">
      <c r="A12" s="281" t="s">
        <v>4139</v>
      </c>
      <c r="B12" s="270">
        <v>0</v>
      </c>
      <c r="C12" s="270">
        <v>3</v>
      </c>
      <c r="D12" s="274">
        <v>0</v>
      </c>
      <c r="E12" s="270">
        <v>0</v>
      </c>
      <c r="F12" s="270">
        <v>0</v>
      </c>
      <c r="G12" s="270">
        <v>0</v>
      </c>
      <c r="H12" s="270">
        <v>0</v>
      </c>
      <c r="I12" s="270">
        <v>0</v>
      </c>
      <c r="J12" s="270">
        <v>0</v>
      </c>
      <c r="K12" s="270">
        <v>64</v>
      </c>
      <c r="L12" s="270">
        <v>0</v>
      </c>
      <c r="M12" s="270">
        <v>0</v>
      </c>
      <c r="N12" s="270">
        <v>48</v>
      </c>
      <c r="O12" s="270">
        <v>0</v>
      </c>
      <c r="P12" s="270">
        <v>0</v>
      </c>
      <c r="Q12" s="270">
        <v>0</v>
      </c>
      <c r="R12" s="270">
        <v>0</v>
      </c>
      <c r="S12" s="270">
        <v>0</v>
      </c>
      <c r="T12" s="270">
        <v>0</v>
      </c>
      <c r="U12" s="270">
        <v>0</v>
      </c>
      <c r="V12" s="270">
        <v>0</v>
      </c>
      <c r="W12" s="270">
        <v>0</v>
      </c>
      <c r="X12" s="270">
        <v>0</v>
      </c>
      <c r="Y12" s="270">
        <v>0</v>
      </c>
      <c r="Z12" s="270">
        <v>0</v>
      </c>
      <c r="AA12" s="270">
        <v>0</v>
      </c>
      <c r="AB12" s="270">
        <v>0</v>
      </c>
      <c r="AC12" s="270">
        <v>0</v>
      </c>
      <c r="AD12" s="270">
        <v>0</v>
      </c>
      <c r="AE12" s="270">
        <v>0</v>
      </c>
      <c r="AF12" s="270">
        <v>0</v>
      </c>
      <c r="AG12" s="270">
        <v>0</v>
      </c>
      <c r="AH12" s="270">
        <v>0</v>
      </c>
      <c r="AI12" s="270">
        <v>0</v>
      </c>
      <c r="AJ12" s="270">
        <v>0</v>
      </c>
      <c r="AK12" s="270">
        <v>0</v>
      </c>
      <c r="AL12" s="270">
        <v>128</v>
      </c>
      <c r="AM12" s="270">
        <v>0</v>
      </c>
      <c r="AN12" s="270">
        <v>0</v>
      </c>
      <c r="AO12" s="270">
        <v>0</v>
      </c>
      <c r="AP12" s="270">
        <v>0</v>
      </c>
      <c r="AQ12" s="270">
        <v>0</v>
      </c>
      <c r="AR12" s="270">
        <v>0</v>
      </c>
      <c r="AS12" s="270">
        <v>0</v>
      </c>
      <c r="AT12" s="270">
        <v>0</v>
      </c>
      <c r="AU12" s="270">
        <v>0</v>
      </c>
      <c r="AV12" s="270">
        <v>0</v>
      </c>
      <c r="AW12" s="270">
        <v>0</v>
      </c>
      <c r="AX12" s="270">
        <v>0</v>
      </c>
      <c r="AY12" s="270">
        <v>0</v>
      </c>
      <c r="AZ12" s="270">
        <v>0</v>
      </c>
      <c r="BA12" s="270">
        <v>0</v>
      </c>
      <c r="BB12" s="266">
        <v>18054.880000000005</v>
      </c>
      <c r="BC12" s="266"/>
      <c r="BD12" s="281" t="s">
        <v>409</v>
      </c>
      <c r="BE12" s="272">
        <v>0</v>
      </c>
      <c r="BF12" s="272">
        <v>0</v>
      </c>
      <c r="BG12" s="272">
        <v>0</v>
      </c>
      <c r="BH12" s="272">
        <v>0</v>
      </c>
      <c r="BI12" s="272">
        <v>0</v>
      </c>
      <c r="BJ12" s="272">
        <v>0</v>
      </c>
      <c r="BK12" s="272">
        <v>0</v>
      </c>
      <c r="BL12" s="272">
        <v>0</v>
      </c>
      <c r="BM12" s="272">
        <v>0</v>
      </c>
      <c r="BN12" s="272">
        <v>0</v>
      </c>
      <c r="BO12" s="272">
        <v>0</v>
      </c>
      <c r="BP12" s="272">
        <v>0</v>
      </c>
      <c r="BQ12" s="272">
        <v>0</v>
      </c>
      <c r="BR12" s="272">
        <v>0</v>
      </c>
      <c r="BS12" s="272">
        <v>0</v>
      </c>
      <c r="BT12" s="272">
        <v>0</v>
      </c>
      <c r="BV12" s="262" t="str">
        <f t="shared" si="0"/>
        <v xml:space="preserve">IBM HTTP pSeries </v>
      </c>
      <c r="BW12" s="262">
        <f t="shared" si="0"/>
        <v>0</v>
      </c>
      <c r="BX12" s="262">
        <f t="shared" si="0"/>
        <v>0</v>
      </c>
      <c r="BY12" s="427">
        <f ca="1">INDEX(Product_Pricing_Schedule,MATCH(TRIM($BV12),Products,0),MATCH(VLOOKUP(BY$3,tEnv[],3,FALSE),Envs,0))*GETPIVOTDATA(CELL("contents",$BV12),$BD$2,"Env Label",BY$3)</f>
        <v>0</v>
      </c>
      <c r="BZ12" s="427">
        <f ca="1">INDEX(Product_Pricing_Schedule,MATCH(TRIM($BV12),Products,0),MATCH(VLOOKUP(BZ$3,tEnv[],3,FALSE),Envs,0))*GETPIVOTDATA(CELL("contents",$BV12),$BD$2,"Env Label",BZ$3)</f>
        <v>0</v>
      </c>
      <c r="CA12" s="427">
        <f ca="1">INDEX(Product_Pricing_Schedule,MATCH(TRIM($BV12),Products,0),MATCH(VLOOKUP(CA$3,tEnv[],3,FALSE),Envs,0))*GETPIVOTDATA(CELL("contents",$BV12),$BD$2,"Env Label",CA$3)</f>
        <v>0</v>
      </c>
      <c r="CB12" s="427">
        <f ca="1">INDEX(Product_Pricing_Schedule,MATCH(TRIM($BV12),Products,0),MATCH(VLOOKUP(CB$3,tEnv[],3,FALSE),Envs,0))*GETPIVOTDATA(CELL("contents",$BV12),$BD$2,"Env Label",CB$3)</f>
        <v>0</v>
      </c>
      <c r="CC12" s="427">
        <f ca="1">INDEX(Product_Pricing_Schedule,MATCH(TRIM($BV12),Products,0),MATCH(VLOOKUP(CC$3,tEnv[],3,FALSE),Envs,0))*GETPIVOTDATA(CELL("contents",$BV12),$BD$2,"Env Label",CC$3)</f>
        <v>0</v>
      </c>
      <c r="CD12" s="427">
        <f ca="1">INDEX(Product_Pricing_Schedule,MATCH(TRIM($BV12),Products,0),MATCH(VLOOKUP(CD$3,tEnv[],3,FALSE),Envs,0))*GETPIVOTDATA(CELL("contents",$BV12),$BD$2,"Env Label",CD$3)</f>
        <v>0</v>
      </c>
      <c r="CE12" s="427">
        <f ca="1">INDEX(Product_Pricing_Schedule,MATCH(TRIM($BV12),Products,0),MATCH(VLOOKUP(CE$3,tEnv[],3,FALSE),Envs,0))*GETPIVOTDATA(CELL("contents",$BV12),$BD$2,"Env Label",CE$3)</f>
        <v>0</v>
      </c>
      <c r="CF12" s="427">
        <f ca="1">INDEX(Product_Pricing_Schedule,MATCH(TRIM($BV12),Products,0),MATCH(VLOOKUP(CF$3,tEnv[],3,FALSE),Envs,0))*GETPIVOTDATA(CELL("contents",$BV12),$BD$2,"Env Label",CF$3)</f>
        <v>0</v>
      </c>
      <c r="CG12" s="427">
        <f ca="1">INDEX(Product_Pricing_Schedule,MATCH(TRIM($BV12),Products,0),MATCH(VLOOKUP(CG$3,tEnv[],3,FALSE),Envs,0))*GETPIVOTDATA(CELL("contents",$BV12),$BD$2,"Env Label",CG$3)</f>
        <v>0</v>
      </c>
      <c r="CH12" s="427">
        <f ca="1">INDEX(Product_Pricing_Schedule,MATCH(TRIM($BV12),Products,0),MATCH(VLOOKUP(CH$3,tEnv[],3,FALSE),Envs,0))*GETPIVOTDATA(CELL("contents",$BV12),$BD$2,"Env Label",CH$3)</f>
        <v>0</v>
      </c>
      <c r="CI12" s="427">
        <f ca="1">INDEX(Product_Pricing_Schedule,MATCH(TRIM($BV12),Products,0),MATCH(VLOOKUP(CI$3,tEnv[],3,FALSE),Envs,0))*GETPIVOTDATA(CELL("contents",$BV12),$BD$2,"Env Label",CI$3)</f>
        <v>0</v>
      </c>
      <c r="CJ12" s="427">
        <f ca="1">INDEX(Product_Pricing_Schedule,MATCH(TRIM($BV12),Products,0),MATCH(VLOOKUP(CJ$3,tEnv[],3,FALSE),Envs,0))*GETPIVOTDATA(CELL("contents",$BV12),$BD$2,"Env Label",CJ$3)</f>
        <v>0</v>
      </c>
      <c r="CK12" s="427">
        <f ca="1">INDEX(Product_Pricing_Schedule,MATCH(TRIM($BV12),Products,0),MATCH(VLOOKUP(CK$3,tEnv[],3,FALSE),Envs,0))*GETPIVOTDATA(CELL("contents",$BV12),$BD$2,"Env Label",CK$3)</f>
        <v>0</v>
      </c>
      <c r="CL12" s="428">
        <f ca="1">SUM(AnnualSWCostByProdByEnv[[#This Row],[PROD]:[DEV]])</f>
        <v>0</v>
      </c>
      <c r="CN12" s="262" t="str">
        <f t="shared" si="1"/>
        <v xml:space="preserve">IBM HTTP pSeries </v>
      </c>
      <c r="CO12" s="262">
        <f t="shared" ca="1" si="3"/>
        <v>0</v>
      </c>
      <c r="CP12" s="262">
        <f t="shared" ca="1" si="3"/>
        <v>0</v>
      </c>
      <c r="CQ12" s="368">
        <f ca="1">INDEX(Maint_Pricing_Schedule,MATCH(TRIM($CN12),Products,0),MATCH(VLOOKUP(CQ$3,tEnv[],3,FALSE),Envs,0))*GETPIVOTDATA(CELL("contents",$CN12),$BD$2,"Env Label",CQ$3)</f>
        <v>0</v>
      </c>
      <c r="CR12" s="368">
        <f ca="1">INDEX(Maint_Pricing_Schedule,MATCH(TRIM($CN12),Products,0),MATCH(VLOOKUP(CR$3,tEnv[],3,FALSE),Envs,0))*GETPIVOTDATA(CELL("contents",$CN12),$BD$2,"Env Label",CR$3)</f>
        <v>0</v>
      </c>
      <c r="CS12" s="368">
        <f ca="1">INDEX(Maint_Pricing_Schedule,MATCH(TRIM($CN12),Products,0),MATCH(VLOOKUP(CS$3,tEnv[],3,FALSE),Envs,0))*GETPIVOTDATA(CELL("contents",$CN12),$BD$2,"Env Label",CS$3)</f>
        <v>0</v>
      </c>
      <c r="CT12" s="368">
        <f ca="1">INDEX(Maint_Pricing_Schedule,MATCH(TRIM($CN12),Products,0),MATCH(VLOOKUP(CT$3,tEnv[],3,FALSE),Envs,0))*GETPIVOTDATA(CELL("contents",$CN12),$BD$2,"Env Label",CT$3)</f>
        <v>0</v>
      </c>
      <c r="CU12" s="368">
        <f ca="1">INDEX(Maint_Pricing_Schedule,MATCH(TRIM($CN12),Products,0),MATCH(VLOOKUP(CU$3,tEnv[],3,FALSE),Envs,0))*GETPIVOTDATA(CELL("contents",$CN12),$BD$2,"Env Label",CU$3)</f>
        <v>0</v>
      </c>
      <c r="CV12" s="368">
        <f ca="1">INDEX(Maint_Pricing_Schedule,MATCH(TRIM($CN12),Products,0),MATCH(VLOOKUP(CV$3,tEnv[],3,FALSE),Envs,0))*GETPIVOTDATA(CELL("contents",$CN12),$BD$2,"Env Label",CV$3)</f>
        <v>0</v>
      </c>
      <c r="CW12" s="368">
        <f ca="1">INDEX(Maint_Pricing_Schedule,MATCH(TRIM($CN12),Products,0),MATCH(VLOOKUP(CW$3,tEnv[],3,FALSE),Envs,0))*GETPIVOTDATA(CELL("contents",$CN12),$BD$2,"Env Label",CW$3)</f>
        <v>0</v>
      </c>
      <c r="CX12" s="368">
        <f ca="1">INDEX(Maint_Pricing_Schedule,MATCH(TRIM($CN12),Products,0),MATCH(VLOOKUP(CX$3,tEnv[],3,FALSE),Envs,0))*GETPIVOTDATA(CELL("contents",$CN12),$BD$2,"Env Label",CX$3)</f>
        <v>0</v>
      </c>
      <c r="CY12" s="368">
        <f ca="1">INDEX(Maint_Pricing_Schedule,MATCH(TRIM($CN12),Products,0),MATCH(VLOOKUP(CY$3,tEnv[],3,FALSE),Envs,0))*GETPIVOTDATA(CELL("contents",$CN12),$BD$2,"Env Label",CY$3)</f>
        <v>0</v>
      </c>
      <c r="CZ12" s="368">
        <f ca="1">INDEX(Maint_Pricing_Schedule,MATCH(TRIM($CN12),Products,0),MATCH(VLOOKUP(CZ$3,tEnv[],3,FALSE),Envs,0))*GETPIVOTDATA(CELL("contents",$CN12),$BD$2,"Env Label",CZ$3)</f>
        <v>0</v>
      </c>
      <c r="DA12" s="368">
        <f ca="1">INDEX(Maint_Pricing_Schedule,MATCH(TRIM($CN12),Products,0),MATCH(VLOOKUP(DA$3,tEnv[],3,FALSE),Envs,0))*GETPIVOTDATA(CELL("contents",$CN12),$BD$2,"Env Label",DA$3)</f>
        <v>0</v>
      </c>
      <c r="DB12" s="368">
        <f ca="1">INDEX(Maint_Pricing_Schedule,MATCH(TRIM($CN12),Products,0),MATCH(VLOOKUP(DB$3,tEnv[],3,FALSE),Envs,0))*GETPIVOTDATA(CELL("contents",$CN12),$BD$2,"Env Label",DB$3)</f>
        <v>0</v>
      </c>
      <c r="DC12" s="368">
        <f ca="1">INDEX(Maint_Pricing_Schedule,MATCH(TRIM($CN12),Products,0),MATCH(VLOOKUP(DC$3,tEnv[],3,FALSE),Envs,0))*GETPIVOTDATA(CELL("contents",$CN12),$BD$2,"Env Label",DC$3)</f>
        <v>0</v>
      </c>
      <c r="DD12" s="369">
        <f ca="1">SUM(AnnualSWMaintCostByProdByEnv[[#This Row],[PROD]:[DEV]])</f>
        <v>0</v>
      </c>
    </row>
    <row r="13" spans="1:108">
      <c r="A13" s="281" t="s">
        <v>213</v>
      </c>
      <c r="B13" s="270">
        <v>0</v>
      </c>
      <c r="C13" s="270">
        <v>2</v>
      </c>
      <c r="D13" s="274">
        <v>0</v>
      </c>
      <c r="E13" s="270">
        <v>0</v>
      </c>
      <c r="F13" s="270">
        <v>0</v>
      </c>
      <c r="G13" s="270">
        <v>0</v>
      </c>
      <c r="H13" s="270">
        <v>0</v>
      </c>
      <c r="I13" s="270">
        <v>0</v>
      </c>
      <c r="J13" s="270">
        <v>0</v>
      </c>
      <c r="K13" s="270">
        <v>32</v>
      </c>
      <c r="L13" s="270">
        <v>0</v>
      </c>
      <c r="M13" s="270">
        <v>0</v>
      </c>
      <c r="N13" s="270">
        <v>32</v>
      </c>
      <c r="O13" s="270">
        <v>0</v>
      </c>
      <c r="P13" s="270">
        <v>0</v>
      </c>
      <c r="Q13" s="270">
        <v>0</v>
      </c>
      <c r="R13" s="270">
        <v>0</v>
      </c>
      <c r="S13" s="270">
        <v>0</v>
      </c>
      <c r="T13" s="270">
        <v>0</v>
      </c>
      <c r="U13" s="270">
        <v>0</v>
      </c>
      <c r="V13" s="270">
        <v>0</v>
      </c>
      <c r="W13" s="270">
        <v>0</v>
      </c>
      <c r="X13" s="270">
        <v>0</v>
      </c>
      <c r="Y13" s="270">
        <v>0</v>
      </c>
      <c r="Z13" s="270">
        <v>0</v>
      </c>
      <c r="AA13" s="270">
        <v>0</v>
      </c>
      <c r="AB13" s="270">
        <v>0</v>
      </c>
      <c r="AC13" s="270">
        <v>0</v>
      </c>
      <c r="AD13" s="270">
        <v>0</v>
      </c>
      <c r="AE13" s="270">
        <v>0</v>
      </c>
      <c r="AF13" s="270">
        <v>0</v>
      </c>
      <c r="AG13" s="270">
        <v>0</v>
      </c>
      <c r="AH13" s="270">
        <v>0</v>
      </c>
      <c r="AI13" s="270">
        <v>0</v>
      </c>
      <c r="AJ13" s="270">
        <v>0</v>
      </c>
      <c r="AK13" s="270">
        <v>0</v>
      </c>
      <c r="AL13" s="270">
        <v>0</v>
      </c>
      <c r="AM13" s="270">
        <v>0</v>
      </c>
      <c r="AN13" s="270">
        <v>0</v>
      </c>
      <c r="AO13" s="270">
        <v>0</v>
      </c>
      <c r="AP13" s="270">
        <v>0</v>
      </c>
      <c r="AQ13" s="270">
        <v>0</v>
      </c>
      <c r="AR13" s="270">
        <v>0</v>
      </c>
      <c r="AS13" s="270">
        <v>0</v>
      </c>
      <c r="AT13" s="270">
        <v>0</v>
      </c>
      <c r="AU13" s="270">
        <v>0</v>
      </c>
      <c r="AV13" s="270">
        <v>0</v>
      </c>
      <c r="AW13" s="270">
        <v>0</v>
      </c>
      <c r="AX13" s="270">
        <v>0</v>
      </c>
      <c r="AY13" s="270">
        <v>0</v>
      </c>
      <c r="AZ13" s="270">
        <v>0</v>
      </c>
      <c r="BA13" s="270">
        <v>0</v>
      </c>
      <c r="BB13" s="266">
        <v>6750</v>
      </c>
      <c r="BC13" s="266"/>
      <c r="BD13" s="281" t="s">
        <v>410</v>
      </c>
      <c r="BE13" s="272">
        <v>0</v>
      </c>
      <c r="BF13" s="272">
        <v>0</v>
      </c>
      <c r="BG13" s="272">
        <v>96</v>
      </c>
      <c r="BH13" s="272">
        <v>96</v>
      </c>
      <c r="BI13" s="272">
        <v>0</v>
      </c>
      <c r="BJ13" s="272">
        <v>0</v>
      </c>
      <c r="BK13" s="272">
        <v>0</v>
      </c>
      <c r="BL13" s="272">
        <v>0</v>
      </c>
      <c r="BM13" s="272">
        <v>64</v>
      </c>
      <c r="BN13" s="272">
        <v>64</v>
      </c>
      <c r="BO13" s="272">
        <v>32</v>
      </c>
      <c r="BP13" s="272">
        <v>0</v>
      </c>
      <c r="BQ13" s="272">
        <v>32</v>
      </c>
      <c r="BR13" s="272">
        <v>0</v>
      </c>
      <c r="BS13" s="272">
        <v>0</v>
      </c>
      <c r="BT13" s="272">
        <v>384</v>
      </c>
      <c r="BV13" s="262" t="str">
        <f t="shared" si="0"/>
        <v xml:space="preserve">IBM HTTP x86 </v>
      </c>
      <c r="BW13" s="262">
        <f t="shared" si="0"/>
        <v>0</v>
      </c>
      <c r="BX13" s="262">
        <f t="shared" si="0"/>
        <v>0</v>
      </c>
      <c r="BY13" s="427">
        <f ca="1">INDEX(Product_Pricing_Schedule,MATCH(TRIM($BV13),Products,0),MATCH(VLOOKUP(BY$3,tEnv[],3,FALSE),Envs,0))*GETPIVOTDATA(CELL("contents",$BV13),$BD$2,"Env Label",BY$3)</f>
        <v>0</v>
      </c>
      <c r="BZ13" s="427">
        <f ca="1">INDEX(Product_Pricing_Schedule,MATCH(TRIM($BV13),Products,0),MATCH(VLOOKUP(BZ$3,tEnv[],3,FALSE),Envs,0))*GETPIVOTDATA(CELL("contents",$BV13),$BD$2,"Env Label",BZ$3)</f>
        <v>0</v>
      </c>
      <c r="CA13" s="427">
        <f ca="1">INDEX(Product_Pricing_Schedule,MATCH(TRIM($BV13),Products,0),MATCH(VLOOKUP(CA$3,tEnv[],3,FALSE),Envs,0))*GETPIVOTDATA(CELL("contents",$BV13),$BD$2,"Env Label",CA$3)</f>
        <v>0</v>
      </c>
      <c r="CB13" s="427">
        <f ca="1">INDEX(Product_Pricing_Schedule,MATCH(TRIM($BV13),Products,0),MATCH(VLOOKUP(CB$3,tEnv[],3,FALSE),Envs,0))*GETPIVOTDATA(CELL("contents",$BV13),$BD$2,"Env Label",CB$3)</f>
        <v>0</v>
      </c>
      <c r="CC13" s="427">
        <f ca="1">INDEX(Product_Pricing_Schedule,MATCH(TRIM($BV13),Products,0),MATCH(VLOOKUP(CC$3,tEnv[],3,FALSE),Envs,0))*GETPIVOTDATA(CELL("contents",$BV13),$BD$2,"Env Label",CC$3)</f>
        <v>0</v>
      </c>
      <c r="CD13" s="427">
        <f ca="1">INDEX(Product_Pricing_Schedule,MATCH(TRIM($BV13),Products,0),MATCH(VLOOKUP(CD$3,tEnv[],3,FALSE),Envs,0))*GETPIVOTDATA(CELL("contents",$BV13),$BD$2,"Env Label",CD$3)</f>
        <v>0</v>
      </c>
      <c r="CE13" s="427">
        <f ca="1">INDEX(Product_Pricing_Schedule,MATCH(TRIM($BV13),Products,0),MATCH(VLOOKUP(CE$3,tEnv[],3,FALSE),Envs,0))*GETPIVOTDATA(CELL("contents",$BV13),$BD$2,"Env Label",CE$3)</f>
        <v>0</v>
      </c>
      <c r="CF13" s="427">
        <f ca="1">INDEX(Product_Pricing_Schedule,MATCH(TRIM($BV13),Products,0),MATCH(VLOOKUP(CF$3,tEnv[],3,FALSE),Envs,0))*GETPIVOTDATA(CELL("contents",$BV13),$BD$2,"Env Label",CF$3)</f>
        <v>0</v>
      </c>
      <c r="CG13" s="427">
        <f ca="1">INDEX(Product_Pricing_Schedule,MATCH(TRIM($BV13),Products,0),MATCH(VLOOKUP(CG$3,tEnv[],3,FALSE),Envs,0))*GETPIVOTDATA(CELL("contents",$BV13),$BD$2,"Env Label",CG$3)</f>
        <v>0</v>
      </c>
      <c r="CH13" s="427">
        <f ca="1">INDEX(Product_Pricing_Schedule,MATCH(TRIM($BV13),Products,0),MATCH(VLOOKUP(CH$3,tEnv[],3,FALSE),Envs,0))*GETPIVOTDATA(CELL("contents",$BV13),$BD$2,"Env Label",CH$3)</f>
        <v>0</v>
      </c>
      <c r="CI13" s="427">
        <f ca="1">INDEX(Product_Pricing_Schedule,MATCH(TRIM($BV13),Products,0),MATCH(VLOOKUP(CI$3,tEnv[],3,FALSE),Envs,0))*GETPIVOTDATA(CELL("contents",$BV13),$BD$2,"Env Label",CI$3)</f>
        <v>0</v>
      </c>
      <c r="CJ13" s="427">
        <f ca="1">INDEX(Product_Pricing_Schedule,MATCH(TRIM($BV13),Products,0),MATCH(VLOOKUP(CJ$3,tEnv[],3,FALSE),Envs,0))*GETPIVOTDATA(CELL("contents",$BV13),$BD$2,"Env Label",CJ$3)</f>
        <v>0</v>
      </c>
      <c r="CK13" s="427">
        <f ca="1">INDEX(Product_Pricing_Schedule,MATCH(TRIM($BV13),Products,0),MATCH(VLOOKUP(CK$3,tEnv[],3,FALSE),Envs,0))*GETPIVOTDATA(CELL("contents",$BV13),$BD$2,"Env Label",CK$3)</f>
        <v>0</v>
      </c>
      <c r="CL13" s="428">
        <f ca="1">SUM(AnnualSWCostByProdByEnv[[#This Row],[PROD]:[DEV]])</f>
        <v>0</v>
      </c>
      <c r="CN13" s="262" t="str">
        <f t="shared" si="1"/>
        <v xml:space="preserve">IBM HTTP x86 </v>
      </c>
      <c r="CO13" s="262">
        <f t="shared" ca="1" si="3"/>
        <v>0</v>
      </c>
      <c r="CP13" s="262">
        <f t="shared" ca="1" si="3"/>
        <v>0</v>
      </c>
      <c r="CQ13" s="368">
        <f ca="1">INDEX(Maint_Pricing_Schedule,MATCH(TRIM($CN13),Products,0),MATCH(VLOOKUP(CQ$3,tEnv[],3,FALSE),Envs,0))*GETPIVOTDATA(CELL("contents",$CN13),$BD$2,"Env Label",CQ$3)</f>
        <v>0</v>
      </c>
      <c r="CR13" s="368">
        <f ca="1">INDEX(Maint_Pricing_Schedule,MATCH(TRIM($CN13),Products,0),MATCH(VLOOKUP(CR$3,tEnv[],3,FALSE),Envs,0))*GETPIVOTDATA(CELL("contents",$CN13),$BD$2,"Env Label",CR$3)</f>
        <v>0</v>
      </c>
      <c r="CS13" s="368">
        <f ca="1">INDEX(Maint_Pricing_Schedule,MATCH(TRIM($CN13),Products,0),MATCH(VLOOKUP(CS$3,tEnv[],3,FALSE),Envs,0))*GETPIVOTDATA(CELL("contents",$CN13),$BD$2,"Env Label",CS$3)</f>
        <v>0</v>
      </c>
      <c r="CT13" s="368">
        <f ca="1">INDEX(Maint_Pricing_Schedule,MATCH(TRIM($CN13),Products,0),MATCH(VLOOKUP(CT$3,tEnv[],3,FALSE),Envs,0))*GETPIVOTDATA(CELL("contents",$CN13),$BD$2,"Env Label",CT$3)</f>
        <v>0</v>
      </c>
      <c r="CU13" s="368">
        <f ca="1">INDEX(Maint_Pricing_Schedule,MATCH(TRIM($CN13),Products,0),MATCH(VLOOKUP(CU$3,tEnv[],3,FALSE),Envs,0))*GETPIVOTDATA(CELL("contents",$CN13),$BD$2,"Env Label",CU$3)</f>
        <v>0</v>
      </c>
      <c r="CV13" s="368">
        <f ca="1">INDEX(Maint_Pricing_Schedule,MATCH(TRIM($CN13),Products,0),MATCH(VLOOKUP(CV$3,tEnv[],3,FALSE),Envs,0))*GETPIVOTDATA(CELL("contents",$CN13),$BD$2,"Env Label",CV$3)</f>
        <v>0</v>
      </c>
      <c r="CW13" s="368">
        <f ca="1">INDEX(Maint_Pricing_Schedule,MATCH(TRIM($CN13),Products,0),MATCH(VLOOKUP(CW$3,tEnv[],3,FALSE),Envs,0))*GETPIVOTDATA(CELL("contents",$CN13),$BD$2,"Env Label",CW$3)</f>
        <v>0</v>
      </c>
      <c r="CX13" s="368">
        <f ca="1">INDEX(Maint_Pricing_Schedule,MATCH(TRIM($CN13),Products,0),MATCH(VLOOKUP(CX$3,tEnv[],3,FALSE),Envs,0))*GETPIVOTDATA(CELL("contents",$CN13),$BD$2,"Env Label",CX$3)</f>
        <v>0</v>
      </c>
      <c r="CY13" s="368">
        <f ca="1">INDEX(Maint_Pricing_Schedule,MATCH(TRIM($CN13),Products,0),MATCH(VLOOKUP(CY$3,tEnv[],3,FALSE),Envs,0))*GETPIVOTDATA(CELL("contents",$CN13),$BD$2,"Env Label",CY$3)</f>
        <v>0</v>
      </c>
      <c r="CZ13" s="368">
        <f ca="1">INDEX(Maint_Pricing_Schedule,MATCH(TRIM($CN13),Products,0),MATCH(VLOOKUP(CZ$3,tEnv[],3,FALSE),Envs,0))*GETPIVOTDATA(CELL("contents",$CN13),$BD$2,"Env Label",CZ$3)</f>
        <v>0</v>
      </c>
      <c r="DA13" s="368">
        <f ca="1">INDEX(Maint_Pricing_Schedule,MATCH(TRIM($CN13),Products,0),MATCH(VLOOKUP(DA$3,tEnv[],3,FALSE),Envs,0))*GETPIVOTDATA(CELL("contents",$CN13),$BD$2,"Env Label",DA$3)</f>
        <v>0</v>
      </c>
      <c r="DB13" s="368">
        <f ca="1">INDEX(Maint_Pricing_Schedule,MATCH(TRIM($CN13),Products,0),MATCH(VLOOKUP(DB$3,tEnv[],3,FALSE),Envs,0))*GETPIVOTDATA(CELL("contents",$CN13),$BD$2,"Env Label",DB$3)</f>
        <v>0</v>
      </c>
      <c r="DC13" s="368">
        <f ca="1">INDEX(Maint_Pricing_Schedule,MATCH(TRIM($CN13),Products,0),MATCH(VLOOKUP(DC$3,tEnv[],3,FALSE),Envs,0))*GETPIVOTDATA(CELL("contents",$CN13),$BD$2,"Env Label",DC$3)</f>
        <v>0</v>
      </c>
      <c r="DD13" s="369">
        <f ca="1">SUM(AnnualSWMaintCostByProdByEnv[[#This Row],[PROD]:[DEV]])</f>
        <v>0</v>
      </c>
    </row>
    <row r="14" spans="1:108">
      <c r="A14" s="281" t="s">
        <v>4089</v>
      </c>
      <c r="B14" s="270">
        <v>0</v>
      </c>
      <c r="C14" s="270">
        <v>0</v>
      </c>
      <c r="D14" s="274">
        <v>0</v>
      </c>
      <c r="E14" s="270">
        <v>0</v>
      </c>
      <c r="F14" s="270">
        <v>0</v>
      </c>
      <c r="G14" s="270">
        <v>0</v>
      </c>
      <c r="H14" s="270">
        <v>0</v>
      </c>
      <c r="I14" s="270">
        <v>0</v>
      </c>
      <c r="J14" s="270">
        <v>0</v>
      </c>
      <c r="K14" s="270">
        <v>0</v>
      </c>
      <c r="L14" s="270">
        <v>0</v>
      </c>
      <c r="M14" s="270">
        <v>0</v>
      </c>
      <c r="N14" s="270">
        <v>0</v>
      </c>
      <c r="O14" s="270">
        <v>0</v>
      </c>
      <c r="P14" s="270">
        <v>0</v>
      </c>
      <c r="Q14" s="270">
        <v>0</v>
      </c>
      <c r="R14" s="270">
        <v>0</v>
      </c>
      <c r="S14" s="270">
        <v>0</v>
      </c>
      <c r="T14" s="270">
        <v>0</v>
      </c>
      <c r="U14" s="270">
        <v>0</v>
      </c>
      <c r="V14" s="270">
        <v>0</v>
      </c>
      <c r="W14" s="270">
        <v>0</v>
      </c>
      <c r="X14" s="270">
        <v>0</v>
      </c>
      <c r="Y14" s="270">
        <v>0</v>
      </c>
      <c r="Z14" s="270">
        <v>0</v>
      </c>
      <c r="AA14" s="270">
        <v>0</v>
      </c>
      <c r="AB14" s="270">
        <v>0</v>
      </c>
      <c r="AC14" s="270">
        <v>0</v>
      </c>
      <c r="AD14" s="270">
        <v>0</v>
      </c>
      <c r="AE14" s="270">
        <v>0</v>
      </c>
      <c r="AF14" s="270">
        <v>0</v>
      </c>
      <c r="AG14" s="270">
        <v>0</v>
      </c>
      <c r="AH14" s="270">
        <v>0</v>
      </c>
      <c r="AI14" s="270">
        <v>0</v>
      </c>
      <c r="AJ14" s="270">
        <v>0</v>
      </c>
      <c r="AK14" s="270">
        <v>0</v>
      </c>
      <c r="AL14" s="270">
        <v>0</v>
      </c>
      <c r="AM14" s="270">
        <v>0</v>
      </c>
      <c r="AN14" s="270">
        <v>0</v>
      </c>
      <c r="AO14" s="270">
        <v>0</v>
      </c>
      <c r="AP14" s="270">
        <v>0</v>
      </c>
      <c r="AQ14" s="270">
        <v>0</v>
      </c>
      <c r="AR14" s="270">
        <v>0</v>
      </c>
      <c r="AS14" s="270">
        <v>0</v>
      </c>
      <c r="AT14" s="270">
        <v>0</v>
      </c>
      <c r="AU14" s="270">
        <v>0</v>
      </c>
      <c r="AV14" s="270">
        <v>0</v>
      </c>
      <c r="AW14" s="270">
        <v>0</v>
      </c>
      <c r="AX14" s="270">
        <v>0</v>
      </c>
      <c r="AY14" s="270">
        <v>0</v>
      </c>
      <c r="AZ14" s="270">
        <v>0</v>
      </c>
      <c r="BA14" s="270">
        <v>0</v>
      </c>
      <c r="BB14" s="266">
        <v>512.75</v>
      </c>
      <c r="BD14" s="281" t="s">
        <v>553</v>
      </c>
      <c r="BE14" s="272">
        <v>0</v>
      </c>
      <c r="BF14" s="272">
        <v>0</v>
      </c>
      <c r="BG14" s="272">
        <v>0</v>
      </c>
      <c r="BH14" s="272">
        <v>0</v>
      </c>
      <c r="BI14" s="272">
        <v>0</v>
      </c>
      <c r="BJ14" s="272">
        <v>0</v>
      </c>
      <c r="BK14" s="272">
        <v>0</v>
      </c>
      <c r="BL14" s="272">
        <v>0</v>
      </c>
      <c r="BM14" s="272">
        <v>0</v>
      </c>
      <c r="BN14" s="272">
        <v>0</v>
      </c>
      <c r="BO14" s="272">
        <v>0</v>
      </c>
      <c r="BP14" s="272">
        <v>0</v>
      </c>
      <c r="BQ14" s="272">
        <v>0</v>
      </c>
      <c r="BR14" s="272">
        <v>0</v>
      </c>
      <c r="BS14" s="272">
        <v>0</v>
      </c>
      <c r="BT14" s="272">
        <v>0</v>
      </c>
      <c r="BV14" s="262" t="str">
        <f t="shared" si="0"/>
        <v xml:space="preserve">IBM Tivoli DS </v>
      </c>
      <c r="BW14" s="262">
        <f t="shared" si="0"/>
        <v>0</v>
      </c>
      <c r="BX14" s="262">
        <f t="shared" si="0"/>
        <v>0</v>
      </c>
      <c r="BY14" s="427">
        <f ca="1">INDEX(Product_Pricing_Schedule,MATCH(TRIM($BV14),Products,0),MATCH(VLOOKUP(BY$3,tEnv[],3,FALSE),Envs,0))*GETPIVOTDATA(CELL("contents",$BV14),$BD$2,"Env Label",BY$3)</f>
        <v>0</v>
      </c>
      <c r="BZ14" s="427">
        <f ca="1">INDEX(Product_Pricing_Schedule,MATCH(TRIM($BV14),Products,0),MATCH(VLOOKUP(BZ$3,tEnv[],3,FALSE),Envs,0))*GETPIVOTDATA(CELL("contents",$BV14),$BD$2,"Env Label",BZ$3)</f>
        <v>0</v>
      </c>
      <c r="CA14" s="427">
        <f ca="1">INDEX(Product_Pricing_Schedule,MATCH(TRIM($BV14),Products,0),MATCH(VLOOKUP(CA$3,tEnv[],3,FALSE),Envs,0))*GETPIVOTDATA(CELL("contents",$BV14),$BD$2,"Env Label",CA$3)</f>
        <v>0</v>
      </c>
      <c r="CB14" s="427">
        <f ca="1">INDEX(Product_Pricing_Schedule,MATCH(TRIM($BV14),Products,0),MATCH(VLOOKUP(CB$3,tEnv[],3,FALSE),Envs,0))*GETPIVOTDATA(CELL("contents",$BV14),$BD$2,"Env Label",CB$3)</f>
        <v>0</v>
      </c>
      <c r="CC14" s="427">
        <f ca="1">INDEX(Product_Pricing_Schedule,MATCH(TRIM($BV14),Products,0),MATCH(VLOOKUP(CC$3,tEnv[],3,FALSE),Envs,0))*GETPIVOTDATA(CELL("contents",$BV14),$BD$2,"Env Label",CC$3)</f>
        <v>0</v>
      </c>
      <c r="CD14" s="427">
        <f ca="1">INDEX(Product_Pricing_Schedule,MATCH(TRIM($BV14),Products,0),MATCH(VLOOKUP(CD$3,tEnv[],3,FALSE),Envs,0))*GETPIVOTDATA(CELL("contents",$BV14),$BD$2,"Env Label",CD$3)</f>
        <v>0</v>
      </c>
      <c r="CE14" s="427">
        <f ca="1">INDEX(Product_Pricing_Schedule,MATCH(TRIM($BV14),Products,0),MATCH(VLOOKUP(CE$3,tEnv[],3,FALSE),Envs,0))*GETPIVOTDATA(CELL("contents",$BV14),$BD$2,"Env Label",CE$3)</f>
        <v>0</v>
      </c>
      <c r="CF14" s="427">
        <f ca="1">INDEX(Product_Pricing_Schedule,MATCH(TRIM($BV14),Products,0),MATCH(VLOOKUP(CF$3,tEnv[],3,FALSE),Envs,0))*GETPIVOTDATA(CELL("contents",$BV14),$BD$2,"Env Label",CF$3)</f>
        <v>0</v>
      </c>
      <c r="CG14" s="427">
        <f ca="1">INDEX(Product_Pricing_Schedule,MATCH(TRIM($BV14),Products,0),MATCH(VLOOKUP(CG$3,tEnv[],3,FALSE),Envs,0))*GETPIVOTDATA(CELL("contents",$BV14),$BD$2,"Env Label",CG$3)</f>
        <v>0</v>
      </c>
      <c r="CH14" s="427">
        <f ca="1">INDEX(Product_Pricing_Schedule,MATCH(TRIM($BV14),Products,0),MATCH(VLOOKUP(CH$3,tEnv[],3,FALSE),Envs,0))*GETPIVOTDATA(CELL("contents",$BV14),$BD$2,"Env Label",CH$3)</f>
        <v>0</v>
      </c>
      <c r="CI14" s="427">
        <f ca="1">INDEX(Product_Pricing_Schedule,MATCH(TRIM($BV14),Products,0),MATCH(VLOOKUP(CI$3,tEnv[],3,FALSE),Envs,0))*GETPIVOTDATA(CELL("contents",$BV14),$BD$2,"Env Label",CI$3)</f>
        <v>0</v>
      </c>
      <c r="CJ14" s="427">
        <f ca="1">INDEX(Product_Pricing_Schedule,MATCH(TRIM($BV14),Products,0),MATCH(VLOOKUP(CJ$3,tEnv[],3,FALSE),Envs,0))*GETPIVOTDATA(CELL("contents",$BV14),$BD$2,"Env Label",CJ$3)</f>
        <v>0</v>
      </c>
      <c r="CK14" s="427">
        <f ca="1">INDEX(Product_Pricing_Schedule,MATCH(TRIM($BV14),Products,0),MATCH(VLOOKUP(CK$3,tEnv[],3,FALSE),Envs,0))*GETPIVOTDATA(CELL("contents",$BV14),$BD$2,"Env Label",CK$3)</f>
        <v>0</v>
      </c>
      <c r="CL14" s="428">
        <f ca="1">SUM(AnnualSWCostByProdByEnv[[#This Row],[PROD]:[DEV]])</f>
        <v>0</v>
      </c>
      <c r="CN14" s="262" t="str">
        <f t="shared" si="1"/>
        <v xml:space="preserve">IBM Tivoli DS </v>
      </c>
      <c r="CO14" s="262">
        <f t="shared" ca="1" si="3"/>
        <v>0</v>
      </c>
      <c r="CP14" s="262">
        <f t="shared" ca="1" si="3"/>
        <v>0</v>
      </c>
      <c r="CQ14" s="368">
        <f ca="1">INDEX(Maint_Pricing_Schedule,MATCH(TRIM($CN14),Products,0),MATCH(VLOOKUP(CQ$3,tEnv[],3,FALSE),Envs,0))*GETPIVOTDATA(CELL("contents",$CN14),$BD$2,"Env Label",CQ$3)</f>
        <v>0</v>
      </c>
      <c r="CR14" s="368">
        <f ca="1">INDEX(Maint_Pricing_Schedule,MATCH(TRIM($CN14),Products,0),MATCH(VLOOKUP(CR$3,tEnv[],3,FALSE),Envs,0))*GETPIVOTDATA(CELL("contents",$CN14),$BD$2,"Env Label",CR$3)</f>
        <v>0</v>
      </c>
      <c r="CS14" s="368">
        <f ca="1">INDEX(Maint_Pricing_Schedule,MATCH(TRIM($CN14),Products,0),MATCH(VLOOKUP(CS$3,tEnv[],3,FALSE),Envs,0))*GETPIVOTDATA(CELL("contents",$CN14),$BD$2,"Env Label",CS$3)</f>
        <v>0</v>
      </c>
      <c r="CT14" s="368">
        <f ca="1">INDEX(Maint_Pricing_Schedule,MATCH(TRIM($CN14),Products,0),MATCH(VLOOKUP(CT$3,tEnv[],3,FALSE),Envs,0))*GETPIVOTDATA(CELL("contents",$CN14),$BD$2,"Env Label",CT$3)</f>
        <v>0</v>
      </c>
      <c r="CU14" s="368">
        <f ca="1">INDEX(Maint_Pricing_Schedule,MATCH(TRIM($CN14),Products,0),MATCH(VLOOKUP(CU$3,tEnv[],3,FALSE),Envs,0))*GETPIVOTDATA(CELL("contents",$CN14),$BD$2,"Env Label",CU$3)</f>
        <v>0</v>
      </c>
      <c r="CV14" s="368">
        <f ca="1">INDEX(Maint_Pricing_Schedule,MATCH(TRIM($CN14),Products,0),MATCH(VLOOKUP(CV$3,tEnv[],3,FALSE),Envs,0))*GETPIVOTDATA(CELL("contents",$CN14),$BD$2,"Env Label",CV$3)</f>
        <v>0</v>
      </c>
      <c r="CW14" s="368">
        <f ca="1">INDEX(Maint_Pricing_Schedule,MATCH(TRIM($CN14),Products,0),MATCH(VLOOKUP(CW$3,tEnv[],3,FALSE),Envs,0))*GETPIVOTDATA(CELL("contents",$CN14),$BD$2,"Env Label",CW$3)</f>
        <v>0</v>
      </c>
      <c r="CX14" s="368">
        <f ca="1">INDEX(Maint_Pricing_Schedule,MATCH(TRIM($CN14),Products,0),MATCH(VLOOKUP(CX$3,tEnv[],3,FALSE),Envs,0))*GETPIVOTDATA(CELL("contents",$CN14),$BD$2,"Env Label",CX$3)</f>
        <v>0</v>
      </c>
      <c r="CY14" s="368">
        <f ca="1">INDEX(Maint_Pricing_Schedule,MATCH(TRIM($CN14),Products,0),MATCH(VLOOKUP(CY$3,tEnv[],3,FALSE),Envs,0))*GETPIVOTDATA(CELL("contents",$CN14),$BD$2,"Env Label",CY$3)</f>
        <v>0</v>
      </c>
      <c r="CZ14" s="368">
        <f ca="1">INDEX(Maint_Pricing_Schedule,MATCH(TRIM($CN14),Products,0),MATCH(VLOOKUP(CZ$3,tEnv[],3,FALSE),Envs,0))*GETPIVOTDATA(CELL("contents",$CN14),$BD$2,"Env Label",CZ$3)</f>
        <v>0</v>
      </c>
      <c r="DA14" s="368">
        <f ca="1">INDEX(Maint_Pricing_Schedule,MATCH(TRIM($CN14),Products,0),MATCH(VLOOKUP(DA$3,tEnv[],3,FALSE),Envs,0))*GETPIVOTDATA(CELL("contents",$CN14),$BD$2,"Env Label",DA$3)</f>
        <v>0</v>
      </c>
      <c r="DB14" s="368">
        <f ca="1">INDEX(Maint_Pricing_Schedule,MATCH(TRIM($CN14),Products,0),MATCH(VLOOKUP(DB$3,tEnv[],3,FALSE),Envs,0))*GETPIVOTDATA(CELL("contents",$CN14),$BD$2,"Env Label",DB$3)</f>
        <v>0</v>
      </c>
      <c r="DC14" s="368">
        <f ca="1">INDEX(Maint_Pricing_Schedule,MATCH(TRIM($CN14),Products,0),MATCH(VLOOKUP(DC$3,tEnv[],3,FALSE),Envs,0))*GETPIVOTDATA(CELL("contents",$CN14),$BD$2,"Env Label",DC$3)</f>
        <v>0</v>
      </c>
      <c r="DD14" s="369">
        <f ca="1">SUM(AnnualSWMaintCostByProdByEnv[[#This Row],[PROD]:[DEV]])</f>
        <v>0</v>
      </c>
    </row>
    <row r="15" spans="1:108">
      <c r="A15" s="281" t="s">
        <v>25</v>
      </c>
      <c r="B15" s="270">
        <v>0</v>
      </c>
      <c r="C15" s="270">
        <v>2</v>
      </c>
      <c r="D15" s="274">
        <v>0</v>
      </c>
      <c r="E15" s="270">
        <v>0</v>
      </c>
      <c r="F15" s="270">
        <v>0</v>
      </c>
      <c r="G15" s="270">
        <v>0</v>
      </c>
      <c r="H15" s="270">
        <v>0</v>
      </c>
      <c r="I15" s="270">
        <v>0</v>
      </c>
      <c r="J15" s="270">
        <v>0</v>
      </c>
      <c r="K15" s="270">
        <v>32</v>
      </c>
      <c r="L15" s="270">
        <v>0</v>
      </c>
      <c r="M15" s="270">
        <v>0</v>
      </c>
      <c r="N15" s="270">
        <v>32</v>
      </c>
      <c r="O15" s="270">
        <v>0</v>
      </c>
      <c r="P15" s="270">
        <v>0</v>
      </c>
      <c r="Q15" s="270">
        <v>0</v>
      </c>
      <c r="R15" s="270">
        <v>0</v>
      </c>
      <c r="S15" s="270">
        <v>0</v>
      </c>
      <c r="T15" s="270">
        <v>0</v>
      </c>
      <c r="U15" s="270">
        <v>0</v>
      </c>
      <c r="V15" s="270">
        <v>0</v>
      </c>
      <c r="W15" s="270">
        <v>0</v>
      </c>
      <c r="X15" s="270">
        <v>0</v>
      </c>
      <c r="Y15" s="270">
        <v>0</v>
      </c>
      <c r="Z15" s="270">
        <v>0</v>
      </c>
      <c r="AA15" s="270">
        <v>0</v>
      </c>
      <c r="AB15" s="270">
        <v>0</v>
      </c>
      <c r="AC15" s="270">
        <v>0</v>
      </c>
      <c r="AD15" s="270">
        <v>0</v>
      </c>
      <c r="AE15" s="270">
        <v>0</v>
      </c>
      <c r="AF15" s="270">
        <v>0</v>
      </c>
      <c r="AG15" s="270">
        <v>0</v>
      </c>
      <c r="AH15" s="270">
        <v>0</v>
      </c>
      <c r="AI15" s="270">
        <v>0</v>
      </c>
      <c r="AJ15" s="270">
        <v>0</v>
      </c>
      <c r="AK15" s="270">
        <v>0</v>
      </c>
      <c r="AL15" s="270">
        <v>0</v>
      </c>
      <c r="AM15" s="270">
        <v>0</v>
      </c>
      <c r="AN15" s="270">
        <v>0</v>
      </c>
      <c r="AO15" s="270">
        <v>0</v>
      </c>
      <c r="AP15" s="270">
        <v>0</v>
      </c>
      <c r="AQ15" s="270">
        <v>0</v>
      </c>
      <c r="AR15" s="270">
        <v>0</v>
      </c>
      <c r="AS15" s="270">
        <v>0</v>
      </c>
      <c r="AT15" s="270">
        <v>0</v>
      </c>
      <c r="AU15" s="270">
        <v>0</v>
      </c>
      <c r="AV15" s="270">
        <v>0</v>
      </c>
      <c r="AW15" s="270">
        <v>0</v>
      </c>
      <c r="AX15" s="270">
        <v>0</v>
      </c>
      <c r="AY15" s="270">
        <v>0</v>
      </c>
      <c r="AZ15" s="270">
        <v>0</v>
      </c>
      <c r="BA15" s="270">
        <v>0</v>
      </c>
      <c r="BB15" s="266">
        <v>0</v>
      </c>
      <c r="BD15" s="281" t="s">
        <v>179</v>
      </c>
      <c r="BE15" s="272">
        <v>0</v>
      </c>
      <c r="BF15" s="272">
        <v>0</v>
      </c>
      <c r="BG15" s="272">
        <v>0</v>
      </c>
      <c r="BH15" s="272">
        <v>0</v>
      </c>
      <c r="BI15" s="272">
        <v>0</v>
      </c>
      <c r="BJ15" s="272">
        <v>0</v>
      </c>
      <c r="BK15" s="272">
        <v>0</v>
      </c>
      <c r="BL15" s="272">
        <v>0</v>
      </c>
      <c r="BM15" s="272">
        <v>0</v>
      </c>
      <c r="BN15" s="272">
        <v>0</v>
      </c>
      <c r="BO15" s="272">
        <v>0</v>
      </c>
      <c r="BP15" s="272">
        <v>0</v>
      </c>
      <c r="BQ15" s="272">
        <v>0</v>
      </c>
      <c r="BR15" s="272">
        <v>0</v>
      </c>
      <c r="BS15" s="272">
        <v>0</v>
      </c>
      <c r="BT15" s="272">
        <v>0</v>
      </c>
      <c r="BV15" s="262" t="str">
        <f t="shared" si="0"/>
        <v xml:space="preserve">IBM WAS pSeries </v>
      </c>
      <c r="BW15" s="262">
        <f t="shared" si="0"/>
        <v>0</v>
      </c>
      <c r="BX15" s="262">
        <f t="shared" si="0"/>
        <v>0</v>
      </c>
      <c r="BY15" s="427">
        <f ca="1">INDEX(Product_Pricing_Schedule,MATCH(TRIM($BV15),Products,0),MATCH(VLOOKUP(BY$3,tEnv[],3,FALSE),Envs,0))*GETPIVOTDATA(CELL("contents",$BV15),$BD$2,"Env Label",BY$3)</f>
        <v>0</v>
      </c>
      <c r="BZ15" s="427">
        <f ca="1">INDEX(Product_Pricing_Schedule,MATCH(TRIM($BV15),Products,0),MATCH(VLOOKUP(BZ$3,tEnv[],3,FALSE),Envs,0))*GETPIVOTDATA(CELL("contents",$BV15),$BD$2,"Env Label",BZ$3)</f>
        <v>0</v>
      </c>
      <c r="CA15" s="427">
        <f ca="1">INDEX(Product_Pricing_Schedule,MATCH(TRIM($BV15),Products,0),MATCH(VLOOKUP(CA$3,tEnv[],3,FALSE),Envs,0))*GETPIVOTDATA(CELL("contents",$BV15),$BD$2,"Env Label",CA$3)</f>
        <v>0</v>
      </c>
      <c r="CB15" s="427">
        <f ca="1">INDEX(Product_Pricing_Schedule,MATCH(TRIM($BV15),Products,0),MATCH(VLOOKUP(CB$3,tEnv[],3,FALSE),Envs,0))*GETPIVOTDATA(CELL("contents",$BV15),$BD$2,"Env Label",CB$3)</f>
        <v>0</v>
      </c>
      <c r="CC15" s="427">
        <f ca="1">INDEX(Product_Pricing_Schedule,MATCH(TRIM($BV15),Products,0),MATCH(VLOOKUP(CC$3,tEnv[],3,FALSE),Envs,0))*GETPIVOTDATA(CELL("contents",$BV15),$BD$2,"Env Label",CC$3)</f>
        <v>0</v>
      </c>
      <c r="CD15" s="427">
        <f ca="1">INDEX(Product_Pricing_Schedule,MATCH(TRIM($BV15),Products,0),MATCH(VLOOKUP(CD$3,tEnv[],3,FALSE),Envs,0))*GETPIVOTDATA(CELL("contents",$BV15),$BD$2,"Env Label",CD$3)</f>
        <v>0</v>
      </c>
      <c r="CE15" s="427">
        <f ca="1">INDEX(Product_Pricing_Schedule,MATCH(TRIM($BV15),Products,0),MATCH(VLOOKUP(CE$3,tEnv[],3,FALSE),Envs,0))*GETPIVOTDATA(CELL("contents",$BV15),$BD$2,"Env Label",CE$3)</f>
        <v>0</v>
      </c>
      <c r="CF15" s="427">
        <f ca="1">INDEX(Product_Pricing_Schedule,MATCH(TRIM($BV15),Products,0),MATCH(VLOOKUP(CF$3,tEnv[],3,FALSE),Envs,0))*GETPIVOTDATA(CELL("contents",$BV15),$BD$2,"Env Label",CF$3)</f>
        <v>0</v>
      </c>
      <c r="CG15" s="427">
        <f ca="1">INDEX(Product_Pricing_Schedule,MATCH(TRIM($BV15),Products,0),MATCH(VLOOKUP(CG$3,tEnv[],3,FALSE),Envs,0))*GETPIVOTDATA(CELL("contents",$BV15),$BD$2,"Env Label",CG$3)</f>
        <v>0</v>
      </c>
      <c r="CH15" s="427">
        <f ca="1">INDEX(Product_Pricing_Schedule,MATCH(TRIM($BV15),Products,0),MATCH(VLOOKUP(CH$3,tEnv[],3,FALSE),Envs,0))*GETPIVOTDATA(CELL("contents",$BV15),$BD$2,"Env Label",CH$3)</f>
        <v>0</v>
      </c>
      <c r="CI15" s="427">
        <f ca="1">INDEX(Product_Pricing_Schedule,MATCH(TRIM($BV15),Products,0),MATCH(VLOOKUP(CI$3,tEnv[],3,FALSE),Envs,0))*GETPIVOTDATA(CELL("contents",$BV15),$BD$2,"Env Label",CI$3)</f>
        <v>0</v>
      </c>
      <c r="CJ15" s="427">
        <f ca="1">INDEX(Product_Pricing_Schedule,MATCH(TRIM($BV15),Products,0),MATCH(VLOOKUP(CJ$3,tEnv[],3,FALSE),Envs,0))*GETPIVOTDATA(CELL("contents",$BV15),$BD$2,"Env Label",CJ$3)</f>
        <v>0</v>
      </c>
      <c r="CK15" s="427">
        <f ca="1">INDEX(Product_Pricing_Schedule,MATCH(TRIM($BV15),Products,0),MATCH(VLOOKUP(CK$3,tEnv[],3,FALSE),Envs,0))*GETPIVOTDATA(CELL("contents",$BV15),$BD$2,"Env Label",CK$3)</f>
        <v>0</v>
      </c>
      <c r="CL15" s="428">
        <f ca="1">SUM(AnnualSWCostByProdByEnv[[#This Row],[PROD]:[DEV]])</f>
        <v>0</v>
      </c>
      <c r="CN15" s="262" t="str">
        <f t="shared" si="1"/>
        <v xml:space="preserve">IBM WAS pSeries </v>
      </c>
      <c r="CO15" s="262">
        <f t="shared" ca="1" si="3"/>
        <v>0</v>
      </c>
      <c r="CP15" s="262">
        <f t="shared" ca="1" si="3"/>
        <v>0</v>
      </c>
      <c r="CQ15" s="368">
        <f ca="1">INDEX(Maint_Pricing_Schedule,MATCH(TRIM($CN15),Products,0),MATCH(VLOOKUP(CQ$3,tEnv[],3,FALSE),Envs,0))*GETPIVOTDATA(CELL("contents",$CN15),$BD$2,"Env Label",CQ$3)</f>
        <v>0</v>
      </c>
      <c r="CR15" s="368">
        <f ca="1">INDEX(Maint_Pricing_Schedule,MATCH(TRIM($CN15),Products,0),MATCH(VLOOKUP(CR$3,tEnv[],3,FALSE),Envs,0))*GETPIVOTDATA(CELL("contents",$CN15),$BD$2,"Env Label",CR$3)</f>
        <v>0</v>
      </c>
      <c r="CS15" s="368">
        <f ca="1">INDEX(Maint_Pricing_Schedule,MATCH(TRIM($CN15),Products,0),MATCH(VLOOKUP(CS$3,tEnv[],3,FALSE),Envs,0))*GETPIVOTDATA(CELL("contents",$CN15),$BD$2,"Env Label",CS$3)</f>
        <v>0</v>
      </c>
      <c r="CT15" s="368">
        <f ca="1">INDEX(Maint_Pricing_Schedule,MATCH(TRIM($CN15),Products,0),MATCH(VLOOKUP(CT$3,tEnv[],3,FALSE),Envs,0))*GETPIVOTDATA(CELL("contents",$CN15),$BD$2,"Env Label",CT$3)</f>
        <v>0</v>
      </c>
      <c r="CU15" s="368">
        <f ca="1">INDEX(Maint_Pricing_Schedule,MATCH(TRIM($CN15),Products,0),MATCH(VLOOKUP(CU$3,tEnv[],3,FALSE),Envs,0))*GETPIVOTDATA(CELL("contents",$CN15),$BD$2,"Env Label",CU$3)</f>
        <v>0</v>
      </c>
      <c r="CV15" s="368">
        <f ca="1">INDEX(Maint_Pricing_Schedule,MATCH(TRIM($CN15),Products,0),MATCH(VLOOKUP(CV$3,tEnv[],3,FALSE),Envs,0))*GETPIVOTDATA(CELL("contents",$CN15),$BD$2,"Env Label",CV$3)</f>
        <v>0</v>
      </c>
      <c r="CW15" s="368">
        <f ca="1">INDEX(Maint_Pricing_Schedule,MATCH(TRIM($CN15),Products,0),MATCH(VLOOKUP(CW$3,tEnv[],3,FALSE),Envs,0))*GETPIVOTDATA(CELL("contents",$CN15),$BD$2,"Env Label",CW$3)</f>
        <v>0</v>
      </c>
      <c r="CX15" s="368">
        <f ca="1">INDEX(Maint_Pricing_Schedule,MATCH(TRIM($CN15),Products,0),MATCH(VLOOKUP(CX$3,tEnv[],3,FALSE),Envs,0))*GETPIVOTDATA(CELL("contents",$CN15),$BD$2,"Env Label",CX$3)</f>
        <v>0</v>
      </c>
      <c r="CY15" s="368">
        <f ca="1">INDEX(Maint_Pricing_Schedule,MATCH(TRIM($CN15),Products,0),MATCH(VLOOKUP(CY$3,tEnv[],3,FALSE),Envs,0))*GETPIVOTDATA(CELL("contents",$CN15),$BD$2,"Env Label",CY$3)</f>
        <v>0</v>
      </c>
      <c r="CZ15" s="368">
        <f ca="1">INDEX(Maint_Pricing_Schedule,MATCH(TRIM($CN15),Products,0),MATCH(VLOOKUP(CZ$3,tEnv[],3,FALSE),Envs,0))*GETPIVOTDATA(CELL("contents",$CN15),$BD$2,"Env Label",CZ$3)</f>
        <v>0</v>
      </c>
      <c r="DA15" s="368">
        <f ca="1">INDEX(Maint_Pricing_Schedule,MATCH(TRIM($CN15),Products,0),MATCH(VLOOKUP(DA$3,tEnv[],3,FALSE),Envs,0))*GETPIVOTDATA(CELL("contents",$CN15),$BD$2,"Env Label",DA$3)</f>
        <v>0</v>
      </c>
      <c r="DB15" s="368">
        <f ca="1">INDEX(Maint_Pricing_Schedule,MATCH(TRIM($CN15),Products,0),MATCH(VLOOKUP(DB$3,tEnv[],3,FALSE),Envs,0))*GETPIVOTDATA(CELL("contents",$CN15),$BD$2,"Env Label",DB$3)</f>
        <v>0</v>
      </c>
      <c r="DC15" s="368">
        <f ca="1">INDEX(Maint_Pricing_Schedule,MATCH(TRIM($CN15),Products,0),MATCH(VLOOKUP(DC$3,tEnv[],3,FALSE),Envs,0))*GETPIVOTDATA(CELL("contents",$CN15),$BD$2,"Env Label",DC$3)</f>
        <v>0</v>
      </c>
      <c r="DD15" s="369">
        <f ca="1">SUM(AnnualSWMaintCostByProdByEnv[[#This Row],[PROD]:[DEV]])</f>
        <v>0</v>
      </c>
    </row>
    <row r="16" spans="1:108">
      <c r="A16" s="281" t="s">
        <v>23</v>
      </c>
      <c r="B16" s="270">
        <v>0</v>
      </c>
      <c r="C16" s="270">
        <v>0</v>
      </c>
      <c r="D16" s="274">
        <v>0</v>
      </c>
      <c r="E16" s="270">
        <v>0</v>
      </c>
      <c r="F16" s="270">
        <v>0</v>
      </c>
      <c r="G16" s="270">
        <v>0</v>
      </c>
      <c r="H16" s="270">
        <v>0</v>
      </c>
      <c r="I16" s="270">
        <v>0</v>
      </c>
      <c r="J16" s="270">
        <v>0</v>
      </c>
      <c r="K16" s="270">
        <v>0</v>
      </c>
      <c r="L16" s="270">
        <v>0</v>
      </c>
      <c r="M16" s="270">
        <v>0</v>
      </c>
      <c r="N16" s="270">
        <v>0</v>
      </c>
      <c r="O16" s="270">
        <v>0</v>
      </c>
      <c r="P16" s="270">
        <v>0</v>
      </c>
      <c r="Q16" s="270">
        <v>0</v>
      </c>
      <c r="R16" s="270">
        <v>0</v>
      </c>
      <c r="S16" s="270">
        <v>0</v>
      </c>
      <c r="T16" s="270">
        <v>0</v>
      </c>
      <c r="U16" s="270">
        <v>0</v>
      </c>
      <c r="V16" s="270">
        <v>0</v>
      </c>
      <c r="W16" s="270">
        <v>0</v>
      </c>
      <c r="X16" s="270">
        <v>0</v>
      </c>
      <c r="Y16" s="270">
        <v>0</v>
      </c>
      <c r="Z16" s="270">
        <v>0</v>
      </c>
      <c r="AA16" s="270">
        <v>0</v>
      </c>
      <c r="AB16" s="270">
        <v>0</v>
      </c>
      <c r="AC16" s="270">
        <v>0</v>
      </c>
      <c r="AD16" s="270">
        <v>0</v>
      </c>
      <c r="AE16" s="270">
        <v>0</v>
      </c>
      <c r="AF16" s="270">
        <v>0</v>
      </c>
      <c r="AG16" s="270">
        <v>0</v>
      </c>
      <c r="AH16" s="270">
        <v>0</v>
      </c>
      <c r="AI16" s="270">
        <v>0</v>
      </c>
      <c r="AJ16" s="270">
        <v>0</v>
      </c>
      <c r="AK16" s="270">
        <v>0</v>
      </c>
      <c r="AL16" s="270">
        <v>0</v>
      </c>
      <c r="AM16" s="270">
        <v>0</v>
      </c>
      <c r="AN16" s="270">
        <v>0</v>
      </c>
      <c r="AO16" s="270">
        <v>0</v>
      </c>
      <c r="AP16" s="270">
        <v>0</v>
      </c>
      <c r="AQ16" s="270">
        <v>0</v>
      </c>
      <c r="AR16" s="270">
        <v>0</v>
      </c>
      <c r="AS16" s="270">
        <v>0</v>
      </c>
      <c r="AT16" s="270">
        <v>0</v>
      </c>
      <c r="AU16" s="270">
        <v>0</v>
      </c>
      <c r="AV16" s="270">
        <v>0</v>
      </c>
      <c r="AW16" s="270">
        <v>0</v>
      </c>
      <c r="AX16" s="270">
        <v>0</v>
      </c>
      <c r="AY16" s="270">
        <v>0</v>
      </c>
      <c r="AZ16" s="270">
        <v>0</v>
      </c>
      <c r="BA16" s="270">
        <v>0</v>
      </c>
      <c r="BB16" s="266">
        <v>0</v>
      </c>
      <c r="BD16" s="281" t="s">
        <v>176</v>
      </c>
      <c r="BE16" s="272">
        <v>0</v>
      </c>
      <c r="BF16" s="272">
        <v>0</v>
      </c>
      <c r="BG16" s="272">
        <v>80</v>
      </c>
      <c r="BH16" s="272">
        <v>80</v>
      </c>
      <c r="BI16" s="272">
        <v>0</v>
      </c>
      <c r="BJ16" s="272">
        <v>0</v>
      </c>
      <c r="BK16" s="272">
        <v>0</v>
      </c>
      <c r="BL16" s="272">
        <v>0</v>
      </c>
      <c r="BM16" s="272">
        <v>48</v>
      </c>
      <c r="BN16" s="272">
        <v>48</v>
      </c>
      <c r="BO16" s="272">
        <v>32</v>
      </c>
      <c r="BP16" s="272">
        <v>0</v>
      </c>
      <c r="BQ16" s="272">
        <v>32</v>
      </c>
      <c r="BR16" s="272">
        <v>0</v>
      </c>
      <c r="BS16" s="272">
        <v>0</v>
      </c>
      <c r="BT16" s="272">
        <v>320</v>
      </c>
      <c r="BV16" s="262" t="str">
        <f t="shared" si="0"/>
        <v xml:space="preserve">IBM WAS x86 </v>
      </c>
      <c r="BW16" s="262">
        <f t="shared" si="0"/>
        <v>0</v>
      </c>
      <c r="BX16" s="262">
        <f t="shared" si="0"/>
        <v>0</v>
      </c>
      <c r="BY16" s="427">
        <f ca="1">INDEX(Product_Pricing_Schedule,MATCH(TRIM($BV16),Products,0),MATCH(VLOOKUP(BY$3,tEnv[],3,FALSE),Envs,0))*GETPIVOTDATA(CELL("contents",$BV16),$BD$2,"Env Label",BY$3)</f>
        <v>246120</v>
      </c>
      <c r="BZ16" s="427">
        <f ca="1">INDEX(Product_Pricing_Schedule,MATCH(TRIM($BV16),Products,0),MATCH(VLOOKUP(BZ$3,tEnv[],3,FALSE),Envs,0))*GETPIVOTDATA(CELL("contents",$BV16),$BD$2,"Env Label",BZ$3)</f>
        <v>246120</v>
      </c>
      <c r="CA16" s="427">
        <f ca="1">INDEX(Product_Pricing_Schedule,MATCH(TRIM($BV16),Products,0),MATCH(VLOOKUP(CA$3,tEnv[],3,FALSE),Envs,0))*GETPIVOTDATA(CELL("contents",$BV16),$BD$2,"Env Label",CA$3)</f>
        <v>0</v>
      </c>
      <c r="CB16" s="427">
        <f ca="1">INDEX(Product_Pricing_Schedule,MATCH(TRIM($BV16),Products,0),MATCH(VLOOKUP(CB$3,tEnv[],3,FALSE),Envs,0))*GETPIVOTDATA(CELL("contents",$BV16),$BD$2,"Env Label",CB$3)</f>
        <v>0</v>
      </c>
      <c r="CC16" s="427">
        <f ca="1">INDEX(Product_Pricing_Schedule,MATCH(TRIM($BV16),Products,0),MATCH(VLOOKUP(CC$3,tEnv[],3,FALSE),Envs,0))*GETPIVOTDATA(CELL("contents",$BV16),$BD$2,"Env Label",CC$3)</f>
        <v>0</v>
      </c>
      <c r="CD16" s="427">
        <f ca="1">INDEX(Product_Pricing_Schedule,MATCH(TRIM($BV16),Products,0),MATCH(VLOOKUP(CD$3,tEnv[],3,FALSE),Envs,0))*GETPIVOTDATA(CELL("contents",$BV16),$BD$2,"Env Label",CD$3)</f>
        <v>0</v>
      </c>
      <c r="CE16" s="427">
        <f ca="1">INDEX(Product_Pricing_Schedule,MATCH(TRIM($BV16),Products,0),MATCH(VLOOKUP(CE$3,tEnv[],3,FALSE),Envs,0))*GETPIVOTDATA(CELL("contents",$BV16),$BD$2,"Env Label",CE$3)</f>
        <v>147672</v>
      </c>
      <c r="CF16" s="427">
        <f ca="1">INDEX(Product_Pricing_Schedule,MATCH(TRIM($BV16),Products,0),MATCH(VLOOKUP(CF$3,tEnv[],3,FALSE),Envs,0))*GETPIVOTDATA(CELL("contents",$BV16),$BD$2,"Env Label",CF$3)</f>
        <v>147672</v>
      </c>
      <c r="CG16" s="427">
        <f ca="1">INDEX(Product_Pricing_Schedule,MATCH(TRIM($BV16),Products,0),MATCH(VLOOKUP(CG$3,tEnv[],3,FALSE),Envs,0))*GETPIVOTDATA(CELL("contents",$BV16),$BD$2,"Env Label",CG$3)</f>
        <v>98448</v>
      </c>
      <c r="CH16" s="427">
        <f ca="1">INDEX(Product_Pricing_Schedule,MATCH(TRIM($BV16),Products,0),MATCH(VLOOKUP(CH$3,tEnv[],3,FALSE),Envs,0))*GETPIVOTDATA(CELL("contents",$BV16),$BD$2,"Env Label",CH$3)</f>
        <v>0</v>
      </c>
      <c r="CI16" s="427">
        <f ca="1">INDEX(Product_Pricing_Schedule,MATCH(TRIM($BV16),Products,0),MATCH(VLOOKUP(CI$3,tEnv[],3,FALSE),Envs,0))*GETPIVOTDATA(CELL("contents",$BV16),$BD$2,"Env Label",CI$3)</f>
        <v>98448</v>
      </c>
      <c r="CJ16" s="427">
        <f ca="1">INDEX(Product_Pricing_Schedule,MATCH(TRIM($BV16),Products,0),MATCH(VLOOKUP(CJ$3,tEnv[],3,FALSE),Envs,0))*GETPIVOTDATA(CELL("contents",$BV16),$BD$2,"Env Label",CJ$3)</f>
        <v>0</v>
      </c>
      <c r="CK16" s="427">
        <f ca="1">INDEX(Product_Pricing_Schedule,MATCH(TRIM($BV16),Products,0),MATCH(VLOOKUP(CK$3,tEnv[],3,FALSE),Envs,0))*GETPIVOTDATA(CELL("contents",$BV16),$BD$2,"Env Label",CK$3)</f>
        <v>0</v>
      </c>
      <c r="CL16" s="428">
        <f ca="1">SUM(AnnualSWCostByProdByEnv[[#This Row],[PROD]:[DEV]])</f>
        <v>984480</v>
      </c>
      <c r="CN16" s="262" t="str">
        <f t="shared" si="1"/>
        <v xml:space="preserve">IBM WAS x86 </v>
      </c>
      <c r="CO16" s="262">
        <f t="shared" ca="1" si="3"/>
        <v>246120</v>
      </c>
      <c r="CP16" s="262">
        <f t="shared" ca="1" si="3"/>
        <v>246120</v>
      </c>
      <c r="CQ16" s="368">
        <f ca="1">INDEX(Maint_Pricing_Schedule,MATCH(TRIM($CN16),Products,0),MATCH(VLOOKUP(CQ$3,tEnv[],3,FALSE),Envs,0))*GETPIVOTDATA(CELL("contents",$CN16),$BD$2,"Env Label",CQ$3)</f>
        <v>98280</v>
      </c>
      <c r="CR16" s="368">
        <f ca="1">INDEX(Maint_Pricing_Schedule,MATCH(TRIM($CN16),Products,0),MATCH(VLOOKUP(CR$3,tEnv[],3,FALSE),Envs,0))*GETPIVOTDATA(CELL("contents",$CN16),$BD$2,"Env Label",CR$3)</f>
        <v>98280</v>
      </c>
      <c r="CS16" s="368">
        <f ca="1">INDEX(Maint_Pricing_Schedule,MATCH(TRIM($CN16),Products,0),MATCH(VLOOKUP(CS$3,tEnv[],3,FALSE),Envs,0))*GETPIVOTDATA(CELL("contents",$CN16),$BD$2,"Env Label",CS$3)</f>
        <v>0</v>
      </c>
      <c r="CT16" s="368">
        <f ca="1">INDEX(Maint_Pricing_Schedule,MATCH(TRIM($CN16),Products,0),MATCH(VLOOKUP(CT$3,tEnv[],3,FALSE),Envs,0))*GETPIVOTDATA(CELL("contents",$CN16),$BD$2,"Env Label",CT$3)</f>
        <v>0</v>
      </c>
      <c r="CU16" s="368">
        <f ca="1">INDEX(Maint_Pricing_Schedule,MATCH(TRIM($CN16),Products,0),MATCH(VLOOKUP(CU$3,tEnv[],3,FALSE),Envs,0))*GETPIVOTDATA(CELL("contents",$CN16),$BD$2,"Env Label",CU$3)</f>
        <v>0</v>
      </c>
      <c r="CV16" s="368">
        <f ca="1">INDEX(Maint_Pricing_Schedule,MATCH(TRIM($CN16),Products,0),MATCH(VLOOKUP(CV$3,tEnv[],3,FALSE),Envs,0))*GETPIVOTDATA(CELL("contents",$CN16),$BD$2,"Env Label",CV$3)</f>
        <v>0</v>
      </c>
      <c r="CW16" s="368">
        <f ca="1">INDEX(Maint_Pricing_Schedule,MATCH(TRIM($CN16),Products,0),MATCH(VLOOKUP(CW$3,tEnv[],3,FALSE),Envs,0))*GETPIVOTDATA(CELL("contents",$CN16),$BD$2,"Env Label",CW$3)</f>
        <v>58968</v>
      </c>
      <c r="CX16" s="368">
        <f ca="1">INDEX(Maint_Pricing_Schedule,MATCH(TRIM($CN16),Products,0),MATCH(VLOOKUP(CX$3,tEnv[],3,FALSE),Envs,0))*GETPIVOTDATA(CELL("contents",$CN16),$BD$2,"Env Label",CX$3)</f>
        <v>58968</v>
      </c>
      <c r="CY16" s="368">
        <f ca="1">INDEX(Maint_Pricing_Schedule,MATCH(TRIM($CN16),Products,0),MATCH(VLOOKUP(CY$3,tEnv[],3,FALSE),Envs,0))*GETPIVOTDATA(CELL("contents",$CN16),$BD$2,"Env Label",CY$3)</f>
        <v>39312</v>
      </c>
      <c r="CZ16" s="368">
        <f ca="1">INDEX(Maint_Pricing_Schedule,MATCH(TRIM($CN16),Products,0),MATCH(VLOOKUP(CZ$3,tEnv[],3,FALSE),Envs,0))*GETPIVOTDATA(CELL("contents",$CN16),$BD$2,"Env Label",CZ$3)</f>
        <v>0</v>
      </c>
      <c r="DA16" s="368">
        <f ca="1">INDEX(Maint_Pricing_Schedule,MATCH(TRIM($CN16),Products,0),MATCH(VLOOKUP(DA$3,tEnv[],3,FALSE),Envs,0))*GETPIVOTDATA(CELL("contents",$CN16),$BD$2,"Env Label",DA$3)</f>
        <v>39312</v>
      </c>
      <c r="DB16" s="368">
        <f ca="1">INDEX(Maint_Pricing_Schedule,MATCH(TRIM($CN16),Products,0),MATCH(VLOOKUP(DB$3,tEnv[],3,FALSE),Envs,0))*GETPIVOTDATA(CELL("contents",$CN16),$BD$2,"Env Label",DB$3)</f>
        <v>0</v>
      </c>
      <c r="DC16" s="368">
        <f ca="1">INDEX(Maint_Pricing_Schedule,MATCH(TRIM($CN16),Products,0),MATCH(VLOOKUP(DC$3,tEnv[],3,FALSE),Envs,0))*GETPIVOTDATA(CELL("contents",$CN16),$BD$2,"Env Label",DC$3)</f>
        <v>0</v>
      </c>
      <c r="DD16" s="369">
        <f ca="1">SUM(AnnualSWMaintCostByProdByEnv[[#This Row],[PROD]:[DEV]])</f>
        <v>393120</v>
      </c>
    </row>
    <row r="17" spans="1:108">
      <c r="A17" s="281" t="s">
        <v>209</v>
      </c>
      <c r="B17" s="270">
        <v>0</v>
      </c>
      <c r="C17" s="270">
        <v>0</v>
      </c>
      <c r="D17" s="274">
        <v>0</v>
      </c>
      <c r="E17" s="270">
        <v>0</v>
      </c>
      <c r="F17" s="270">
        <v>0</v>
      </c>
      <c r="G17" s="270">
        <v>0</v>
      </c>
      <c r="H17" s="270">
        <v>0</v>
      </c>
      <c r="I17" s="270">
        <v>0</v>
      </c>
      <c r="J17" s="270">
        <v>0</v>
      </c>
      <c r="K17" s="270">
        <v>0</v>
      </c>
      <c r="L17" s="270">
        <v>0</v>
      </c>
      <c r="M17" s="270">
        <v>0</v>
      </c>
      <c r="N17" s="270">
        <v>0</v>
      </c>
      <c r="O17" s="270">
        <v>0</v>
      </c>
      <c r="P17" s="270">
        <v>0</v>
      </c>
      <c r="Q17" s="270">
        <v>0</v>
      </c>
      <c r="R17" s="270">
        <v>0</v>
      </c>
      <c r="S17" s="270">
        <v>0</v>
      </c>
      <c r="T17" s="270">
        <v>0</v>
      </c>
      <c r="U17" s="270">
        <v>0</v>
      </c>
      <c r="V17" s="270">
        <v>0</v>
      </c>
      <c r="W17" s="270">
        <v>0</v>
      </c>
      <c r="X17" s="270">
        <v>0</v>
      </c>
      <c r="Y17" s="270">
        <v>0</v>
      </c>
      <c r="Z17" s="270">
        <v>0</v>
      </c>
      <c r="AA17" s="270">
        <v>0</v>
      </c>
      <c r="AB17" s="270">
        <v>0</v>
      </c>
      <c r="AC17" s="270">
        <v>0</v>
      </c>
      <c r="AD17" s="270">
        <v>0</v>
      </c>
      <c r="AE17" s="270">
        <v>0</v>
      </c>
      <c r="AF17" s="270">
        <v>0</v>
      </c>
      <c r="AG17" s="270">
        <v>0</v>
      </c>
      <c r="AH17" s="270">
        <v>0</v>
      </c>
      <c r="AI17" s="270">
        <v>0</v>
      </c>
      <c r="AJ17" s="270">
        <v>0</v>
      </c>
      <c r="AK17" s="270">
        <v>0</v>
      </c>
      <c r="AL17" s="270">
        <v>0</v>
      </c>
      <c r="AM17" s="270">
        <v>0</v>
      </c>
      <c r="AN17" s="270">
        <v>0</v>
      </c>
      <c r="AO17" s="270">
        <v>0</v>
      </c>
      <c r="AP17" s="270">
        <v>0</v>
      </c>
      <c r="AQ17" s="270">
        <v>0</v>
      </c>
      <c r="AR17" s="270">
        <v>0</v>
      </c>
      <c r="AS17" s="270">
        <v>0</v>
      </c>
      <c r="AT17" s="270">
        <v>0</v>
      </c>
      <c r="AU17" s="270">
        <v>0</v>
      </c>
      <c r="AV17" s="270">
        <v>0</v>
      </c>
      <c r="AW17" s="270">
        <v>0</v>
      </c>
      <c r="AX17" s="270">
        <v>0</v>
      </c>
      <c r="AY17" s="270">
        <v>0</v>
      </c>
      <c r="AZ17" s="270">
        <v>0</v>
      </c>
      <c r="BA17" s="270">
        <v>0</v>
      </c>
      <c r="BB17" s="266">
        <v>0</v>
      </c>
      <c r="BD17" s="281" t="s">
        <v>556</v>
      </c>
      <c r="BE17" s="272">
        <v>0</v>
      </c>
      <c r="BF17" s="272">
        <v>0</v>
      </c>
      <c r="BG17" s="272">
        <v>0</v>
      </c>
      <c r="BH17" s="272">
        <v>0</v>
      </c>
      <c r="BI17" s="272">
        <v>0</v>
      </c>
      <c r="BJ17" s="272">
        <v>0</v>
      </c>
      <c r="BK17" s="272">
        <v>0</v>
      </c>
      <c r="BL17" s="272">
        <v>0</v>
      </c>
      <c r="BM17" s="272">
        <v>0</v>
      </c>
      <c r="BN17" s="272">
        <v>0</v>
      </c>
      <c r="BO17" s="272">
        <v>0</v>
      </c>
      <c r="BP17" s="272">
        <v>0</v>
      </c>
      <c r="BQ17" s="272">
        <v>0</v>
      </c>
      <c r="BR17" s="272">
        <v>0</v>
      </c>
      <c r="BS17" s="272">
        <v>0</v>
      </c>
      <c r="BT17" s="272">
        <v>0</v>
      </c>
      <c r="BV17" s="262" t="str">
        <f t="shared" si="0"/>
        <v xml:space="preserve">IBM WBM pSeries </v>
      </c>
      <c r="BW17" s="262">
        <f t="shared" si="0"/>
        <v>0</v>
      </c>
      <c r="BX17" s="262">
        <f t="shared" si="0"/>
        <v>0</v>
      </c>
      <c r="BY17" s="427">
        <f ca="1">INDEX(Product_Pricing_Schedule,MATCH(TRIM($BV17),Products,0),MATCH(VLOOKUP(BY$3,tEnv[],3,FALSE),Envs,0))*GETPIVOTDATA(CELL("contents",$BV17),$BD$2,"Env Label",BY$3)</f>
        <v>0</v>
      </c>
      <c r="BZ17" s="427">
        <f ca="1">INDEX(Product_Pricing_Schedule,MATCH(TRIM($BV17),Products,0),MATCH(VLOOKUP(BZ$3,tEnv[],3,FALSE),Envs,0))*GETPIVOTDATA(CELL("contents",$BV17),$BD$2,"Env Label",BZ$3)</f>
        <v>0</v>
      </c>
      <c r="CA17" s="427">
        <f ca="1">INDEX(Product_Pricing_Schedule,MATCH(TRIM($BV17),Products,0),MATCH(VLOOKUP(CA$3,tEnv[],3,FALSE),Envs,0))*GETPIVOTDATA(CELL("contents",$BV17),$BD$2,"Env Label",CA$3)</f>
        <v>0</v>
      </c>
      <c r="CB17" s="427">
        <f ca="1">INDEX(Product_Pricing_Schedule,MATCH(TRIM($BV17),Products,0),MATCH(VLOOKUP(CB$3,tEnv[],3,FALSE),Envs,0))*GETPIVOTDATA(CELL("contents",$BV17),$BD$2,"Env Label",CB$3)</f>
        <v>0</v>
      </c>
      <c r="CC17" s="427">
        <f ca="1">INDEX(Product_Pricing_Schedule,MATCH(TRIM($BV17),Products,0),MATCH(VLOOKUP(CC$3,tEnv[],3,FALSE),Envs,0))*GETPIVOTDATA(CELL("contents",$BV17),$BD$2,"Env Label",CC$3)</f>
        <v>0</v>
      </c>
      <c r="CD17" s="427">
        <f ca="1">INDEX(Product_Pricing_Schedule,MATCH(TRIM($BV17),Products,0),MATCH(VLOOKUP(CD$3,tEnv[],3,FALSE),Envs,0))*GETPIVOTDATA(CELL("contents",$BV17),$BD$2,"Env Label",CD$3)</f>
        <v>0</v>
      </c>
      <c r="CE17" s="427">
        <f ca="1">INDEX(Product_Pricing_Schedule,MATCH(TRIM($BV17),Products,0),MATCH(VLOOKUP(CE$3,tEnv[],3,FALSE),Envs,0))*GETPIVOTDATA(CELL("contents",$BV17),$BD$2,"Env Label",CE$3)</f>
        <v>0</v>
      </c>
      <c r="CF17" s="427">
        <f ca="1">INDEX(Product_Pricing_Schedule,MATCH(TRIM($BV17),Products,0),MATCH(VLOOKUP(CF$3,tEnv[],3,FALSE),Envs,0))*GETPIVOTDATA(CELL("contents",$BV17),$BD$2,"Env Label",CF$3)</f>
        <v>0</v>
      </c>
      <c r="CG17" s="427">
        <f ca="1">INDEX(Product_Pricing_Schedule,MATCH(TRIM($BV17),Products,0),MATCH(VLOOKUP(CG$3,tEnv[],3,FALSE),Envs,0))*GETPIVOTDATA(CELL("contents",$BV17),$BD$2,"Env Label",CG$3)</f>
        <v>0</v>
      </c>
      <c r="CH17" s="427">
        <f ca="1">INDEX(Product_Pricing_Schedule,MATCH(TRIM($BV17),Products,0),MATCH(VLOOKUP(CH$3,tEnv[],3,FALSE),Envs,0))*GETPIVOTDATA(CELL("contents",$BV17),$BD$2,"Env Label",CH$3)</f>
        <v>0</v>
      </c>
      <c r="CI17" s="427">
        <f ca="1">INDEX(Product_Pricing_Schedule,MATCH(TRIM($BV17),Products,0),MATCH(VLOOKUP(CI$3,tEnv[],3,FALSE),Envs,0))*GETPIVOTDATA(CELL("contents",$BV17),$BD$2,"Env Label",CI$3)</f>
        <v>0</v>
      </c>
      <c r="CJ17" s="427">
        <f ca="1">INDEX(Product_Pricing_Schedule,MATCH(TRIM($BV17),Products,0),MATCH(VLOOKUP(CJ$3,tEnv[],3,FALSE),Envs,0))*GETPIVOTDATA(CELL("contents",$BV17),$BD$2,"Env Label",CJ$3)</f>
        <v>0</v>
      </c>
      <c r="CK17" s="427">
        <f ca="1">INDEX(Product_Pricing_Schedule,MATCH(TRIM($BV17),Products,0),MATCH(VLOOKUP(CK$3,tEnv[],3,FALSE),Envs,0))*GETPIVOTDATA(CELL("contents",$BV17),$BD$2,"Env Label",CK$3)</f>
        <v>0</v>
      </c>
      <c r="CL17" s="428">
        <f ca="1">SUM(AnnualSWCostByProdByEnv[[#This Row],[PROD]:[DEV]])</f>
        <v>0</v>
      </c>
      <c r="CN17" s="262" t="str">
        <f t="shared" si="1"/>
        <v xml:space="preserve">IBM WBM pSeries </v>
      </c>
      <c r="CO17" s="262">
        <f t="shared" ca="1" si="3"/>
        <v>0</v>
      </c>
      <c r="CP17" s="262">
        <f t="shared" ca="1" si="3"/>
        <v>0</v>
      </c>
      <c r="CQ17" s="368">
        <f ca="1">INDEX(Maint_Pricing_Schedule,MATCH(TRIM($CN17),Products,0),MATCH(VLOOKUP(CQ$3,tEnv[],3,FALSE),Envs,0))*GETPIVOTDATA(CELL("contents",$CN17),$BD$2,"Env Label",CQ$3)</f>
        <v>0</v>
      </c>
      <c r="CR17" s="368">
        <f ca="1">INDEX(Maint_Pricing_Schedule,MATCH(TRIM($CN17),Products,0),MATCH(VLOOKUP(CR$3,tEnv[],3,FALSE),Envs,0))*GETPIVOTDATA(CELL("contents",$CN17),$BD$2,"Env Label",CR$3)</f>
        <v>0</v>
      </c>
      <c r="CS17" s="368">
        <f ca="1">INDEX(Maint_Pricing_Schedule,MATCH(TRIM($CN17),Products,0),MATCH(VLOOKUP(CS$3,tEnv[],3,FALSE),Envs,0))*GETPIVOTDATA(CELL("contents",$CN17),$BD$2,"Env Label",CS$3)</f>
        <v>0</v>
      </c>
      <c r="CT17" s="368">
        <f ca="1">INDEX(Maint_Pricing_Schedule,MATCH(TRIM($CN17),Products,0),MATCH(VLOOKUP(CT$3,tEnv[],3,FALSE),Envs,0))*GETPIVOTDATA(CELL("contents",$CN17),$BD$2,"Env Label",CT$3)</f>
        <v>0</v>
      </c>
      <c r="CU17" s="368">
        <f ca="1">INDEX(Maint_Pricing_Schedule,MATCH(TRIM($CN17),Products,0),MATCH(VLOOKUP(CU$3,tEnv[],3,FALSE),Envs,0))*GETPIVOTDATA(CELL("contents",$CN17),$BD$2,"Env Label",CU$3)</f>
        <v>0</v>
      </c>
      <c r="CV17" s="368">
        <f ca="1">INDEX(Maint_Pricing_Schedule,MATCH(TRIM($CN17),Products,0),MATCH(VLOOKUP(CV$3,tEnv[],3,FALSE),Envs,0))*GETPIVOTDATA(CELL("contents",$CN17),$BD$2,"Env Label",CV$3)</f>
        <v>0</v>
      </c>
      <c r="CW17" s="368">
        <f ca="1">INDEX(Maint_Pricing_Schedule,MATCH(TRIM($CN17),Products,0),MATCH(VLOOKUP(CW$3,tEnv[],3,FALSE),Envs,0))*GETPIVOTDATA(CELL("contents",$CN17),$BD$2,"Env Label",CW$3)</f>
        <v>0</v>
      </c>
      <c r="CX17" s="368">
        <f ca="1">INDEX(Maint_Pricing_Schedule,MATCH(TRIM($CN17),Products,0),MATCH(VLOOKUP(CX$3,tEnv[],3,FALSE),Envs,0))*GETPIVOTDATA(CELL("contents",$CN17),$BD$2,"Env Label",CX$3)</f>
        <v>0</v>
      </c>
      <c r="CY17" s="368">
        <f ca="1">INDEX(Maint_Pricing_Schedule,MATCH(TRIM($CN17),Products,0),MATCH(VLOOKUP(CY$3,tEnv[],3,FALSE),Envs,0))*GETPIVOTDATA(CELL("contents",$CN17),$BD$2,"Env Label",CY$3)</f>
        <v>0</v>
      </c>
      <c r="CZ17" s="368">
        <f ca="1">INDEX(Maint_Pricing_Schedule,MATCH(TRIM($CN17),Products,0),MATCH(VLOOKUP(CZ$3,tEnv[],3,FALSE),Envs,0))*GETPIVOTDATA(CELL("contents",$CN17),$BD$2,"Env Label",CZ$3)</f>
        <v>0</v>
      </c>
      <c r="DA17" s="368">
        <f ca="1">INDEX(Maint_Pricing_Schedule,MATCH(TRIM($CN17),Products,0),MATCH(VLOOKUP(DA$3,tEnv[],3,FALSE),Envs,0))*GETPIVOTDATA(CELL("contents",$CN17),$BD$2,"Env Label",DA$3)</f>
        <v>0</v>
      </c>
      <c r="DB17" s="368">
        <f ca="1">INDEX(Maint_Pricing_Schedule,MATCH(TRIM($CN17),Products,0),MATCH(VLOOKUP(DB$3,tEnv[],3,FALSE),Envs,0))*GETPIVOTDATA(CELL("contents",$CN17),$BD$2,"Env Label",DB$3)</f>
        <v>0</v>
      </c>
      <c r="DC17" s="368">
        <f ca="1">INDEX(Maint_Pricing_Schedule,MATCH(TRIM($CN17),Products,0),MATCH(VLOOKUP(DC$3,tEnv[],3,FALSE),Envs,0))*GETPIVOTDATA(CELL("contents",$CN17),$BD$2,"Env Label",DC$3)</f>
        <v>0</v>
      </c>
      <c r="DD17" s="369">
        <f ca="1">SUM(AnnualSWMaintCostByProdByEnv[[#This Row],[PROD]:[DEV]])</f>
        <v>0</v>
      </c>
    </row>
    <row r="18" spans="1:108">
      <c r="A18" s="281" t="s">
        <v>102</v>
      </c>
      <c r="B18" s="366">
        <v>0</v>
      </c>
      <c r="C18" s="270">
        <v>52</v>
      </c>
      <c r="D18" s="271">
        <v>0</v>
      </c>
      <c r="E18" s="366">
        <v>0</v>
      </c>
      <c r="F18" s="366">
        <v>0</v>
      </c>
      <c r="G18" s="366">
        <v>0</v>
      </c>
      <c r="H18" s="366">
        <v>0</v>
      </c>
      <c r="I18" s="366">
        <v>0</v>
      </c>
      <c r="J18" s="366">
        <v>0</v>
      </c>
      <c r="K18" s="366">
        <v>384</v>
      </c>
      <c r="L18" s="272">
        <v>0</v>
      </c>
      <c r="M18" s="366">
        <v>0</v>
      </c>
      <c r="N18" s="366">
        <v>320</v>
      </c>
      <c r="O18" s="272">
        <v>0</v>
      </c>
      <c r="P18" s="272">
        <v>0</v>
      </c>
      <c r="Q18" s="366">
        <v>0</v>
      </c>
      <c r="R18" s="366">
        <v>0</v>
      </c>
      <c r="S18" s="272">
        <v>0</v>
      </c>
      <c r="T18" s="270">
        <v>0</v>
      </c>
      <c r="U18" s="270">
        <v>0</v>
      </c>
      <c r="V18" s="270">
        <v>0</v>
      </c>
      <c r="W18" s="270">
        <v>0</v>
      </c>
      <c r="X18" s="270">
        <v>0</v>
      </c>
      <c r="Y18" s="270">
        <v>0</v>
      </c>
      <c r="Z18" s="366">
        <v>0</v>
      </c>
      <c r="AA18" s="270">
        <v>0</v>
      </c>
      <c r="AB18" s="270">
        <v>0</v>
      </c>
      <c r="AC18" s="270">
        <v>0</v>
      </c>
      <c r="AD18" s="270">
        <v>0</v>
      </c>
      <c r="AE18" s="270">
        <v>0</v>
      </c>
      <c r="AF18" s="270">
        <v>0</v>
      </c>
      <c r="AG18" s="270">
        <v>0</v>
      </c>
      <c r="AH18" s="270">
        <v>0</v>
      </c>
      <c r="AI18" s="270">
        <v>0</v>
      </c>
      <c r="AJ18" s="270">
        <v>0</v>
      </c>
      <c r="AK18" s="270">
        <v>4</v>
      </c>
      <c r="AL18" s="270">
        <v>256</v>
      </c>
      <c r="AM18" s="270">
        <v>0</v>
      </c>
      <c r="AN18" s="270">
        <v>0</v>
      </c>
      <c r="AO18" s="272">
        <v>0</v>
      </c>
      <c r="AP18" s="270">
        <v>0</v>
      </c>
      <c r="AQ18" s="270">
        <v>0</v>
      </c>
      <c r="AR18" s="366">
        <v>0</v>
      </c>
      <c r="AS18" s="366">
        <v>0</v>
      </c>
      <c r="AT18" s="366">
        <v>0</v>
      </c>
      <c r="AU18" s="272">
        <v>0</v>
      </c>
      <c r="AV18" s="366">
        <v>0</v>
      </c>
      <c r="AW18" s="366">
        <v>0</v>
      </c>
      <c r="AX18" s="366">
        <v>384</v>
      </c>
      <c r="AY18" s="366">
        <v>128</v>
      </c>
      <c r="AZ18" s="366">
        <v>0</v>
      </c>
      <c r="BA18" s="366">
        <v>16</v>
      </c>
      <c r="BB18" s="266">
        <v>51569.664200000007</v>
      </c>
      <c r="BD18" s="281" t="s">
        <v>554</v>
      </c>
      <c r="BE18" s="272">
        <v>0</v>
      </c>
      <c r="BF18" s="272">
        <v>0</v>
      </c>
      <c r="BG18" s="272">
        <v>0</v>
      </c>
      <c r="BH18" s="272">
        <v>0</v>
      </c>
      <c r="BI18" s="272">
        <v>0</v>
      </c>
      <c r="BJ18" s="272">
        <v>0</v>
      </c>
      <c r="BK18" s="272">
        <v>0</v>
      </c>
      <c r="BL18" s="272">
        <v>0</v>
      </c>
      <c r="BM18" s="272">
        <v>0</v>
      </c>
      <c r="BN18" s="272">
        <v>0</v>
      </c>
      <c r="BO18" s="272">
        <v>0</v>
      </c>
      <c r="BP18" s="272">
        <v>0</v>
      </c>
      <c r="BQ18" s="272">
        <v>0</v>
      </c>
      <c r="BR18" s="272">
        <v>0</v>
      </c>
      <c r="BS18" s="272">
        <v>0</v>
      </c>
      <c r="BT18" s="272">
        <v>0</v>
      </c>
      <c r="BV18" s="262" t="str">
        <f t="shared" si="0"/>
        <v xml:space="preserve">IBM WMQ x86 </v>
      </c>
      <c r="BW18" s="262">
        <f t="shared" si="0"/>
        <v>0</v>
      </c>
      <c r="BX18" s="262">
        <f t="shared" si="0"/>
        <v>0</v>
      </c>
      <c r="BY18" s="427">
        <f ca="1">INDEX(Product_Pricing_Schedule,MATCH(TRIM($BV18),Products,0),MATCH(VLOOKUP(BY$3,tEnv[],3,FALSE),Envs,0))*GETPIVOTDATA(CELL("contents",$BV18),$BD$2,"Env Label",BY$3)</f>
        <v>0</v>
      </c>
      <c r="BZ18" s="427">
        <f ca="1">INDEX(Product_Pricing_Schedule,MATCH(TRIM($BV18),Products,0),MATCH(VLOOKUP(BZ$3,tEnv[],3,FALSE),Envs,0))*GETPIVOTDATA(CELL("contents",$BV18),$BD$2,"Env Label",BZ$3)</f>
        <v>0</v>
      </c>
      <c r="CA18" s="427">
        <f ca="1">INDEX(Product_Pricing_Schedule,MATCH(TRIM($BV18),Products,0),MATCH(VLOOKUP(CA$3,tEnv[],3,FALSE),Envs,0))*GETPIVOTDATA(CELL("contents",$BV18),$BD$2,"Env Label",CA$3)</f>
        <v>0</v>
      </c>
      <c r="CB18" s="427">
        <f ca="1">INDEX(Product_Pricing_Schedule,MATCH(TRIM($BV18),Products,0),MATCH(VLOOKUP(CB$3,tEnv[],3,FALSE),Envs,0))*GETPIVOTDATA(CELL("contents",$BV18),$BD$2,"Env Label",CB$3)</f>
        <v>0</v>
      </c>
      <c r="CC18" s="427">
        <f ca="1">INDEX(Product_Pricing_Schedule,MATCH(TRIM($BV18),Products,0),MATCH(VLOOKUP(CC$3,tEnv[],3,FALSE),Envs,0))*GETPIVOTDATA(CELL("contents",$BV18),$BD$2,"Env Label",CC$3)</f>
        <v>0</v>
      </c>
      <c r="CD18" s="427">
        <f ca="1">INDEX(Product_Pricing_Schedule,MATCH(TRIM($BV18),Products,0),MATCH(VLOOKUP(CD$3,tEnv[],3,FALSE),Envs,0))*GETPIVOTDATA(CELL("contents",$BV18),$BD$2,"Env Label",CD$3)</f>
        <v>0</v>
      </c>
      <c r="CE18" s="427">
        <f ca="1">INDEX(Product_Pricing_Schedule,MATCH(TRIM($BV18),Products,0),MATCH(VLOOKUP(CE$3,tEnv[],3,FALSE),Envs,0))*GETPIVOTDATA(CELL("contents",$BV18),$BD$2,"Env Label",CE$3)</f>
        <v>0</v>
      </c>
      <c r="CF18" s="427">
        <f ca="1">INDEX(Product_Pricing_Schedule,MATCH(TRIM($BV18),Products,0),MATCH(VLOOKUP(CF$3,tEnv[],3,FALSE),Envs,0))*GETPIVOTDATA(CELL("contents",$BV18),$BD$2,"Env Label",CF$3)</f>
        <v>0</v>
      </c>
      <c r="CG18" s="427">
        <f ca="1">INDEX(Product_Pricing_Schedule,MATCH(TRIM($BV18),Products,0),MATCH(VLOOKUP(CG$3,tEnv[],3,FALSE),Envs,0))*GETPIVOTDATA(CELL("contents",$BV18),$BD$2,"Env Label",CG$3)</f>
        <v>0</v>
      </c>
      <c r="CH18" s="427">
        <f ca="1">INDEX(Product_Pricing_Schedule,MATCH(TRIM($BV18),Products,0),MATCH(VLOOKUP(CH$3,tEnv[],3,FALSE),Envs,0))*GETPIVOTDATA(CELL("contents",$BV18),$BD$2,"Env Label",CH$3)</f>
        <v>0</v>
      </c>
      <c r="CI18" s="427">
        <f ca="1">INDEX(Product_Pricing_Schedule,MATCH(TRIM($BV18),Products,0),MATCH(VLOOKUP(CI$3,tEnv[],3,FALSE),Envs,0))*GETPIVOTDATA(CELL("contents",$BV18),$BD$2,"Env Label",CI$3)</f>
        <v>0</v>
      </c>
      <c r="CJ18" s="427">
        <f ca="1">INDEX(Product_Pricing_Schedule,MATCH(TRIM($BV18),Products,0),MATCH(VLOOKUP(CJ$3,tEnv[],3,FALSE),Envs,0))*GETPIVOTDATA(CELL("contents",$BV18),$BD$2,"Env Label",CJ$3)</f>
        <v>0</v>
      </c>
      <c r="CK18" s="427">
        <f ca="1">INDEX(Product_Pricing_Schedule,MATCH(TRIM($BV18),Products,0),MATCH(VLOOKUP(CK$3,tEnv[],3,FALSE),Envs,0))*GETPIVOTDATA(CELL("contents",$BV18),$BD$2,"Env Label",CK$3)</f>
        <v>0</v>
      </c>
      <c r="CL18" s="428">
        <f ca="1">SUM(AnnualSWCostByProdByEnv[[#This Row],[PROD]:[DEV]])</f>
        <v>0</v>
      </c>
      <c r="CN18" s="262" t="str">
        <f t="shared" si="1"/>
        <v xml:space="preserve">IBM WMQ x86 </v>
      </c>
      <c r="CO18" s="262">
        <f t="shared" ca="1" si="3"/>
        <v>0</v>
      </c>
      <c r="CP18" s="262">
        <f t="shared" ca="1" si="3"/>
        <v>0</v>
      </c>
      <c r="CQ18" s="368">
        <f ca="1">INDEX(Maint_Pricing_Schedule,MATCH(TRIM($CN18),Products,0),MATCH(VLOOKUP(CQ$3,tEnv[],3,FALSE),Envs,0))*GETPIVOTDATA(CELL("contents",$CN18),$BD$2,"Env Label",CQ$3)</f>
        <v>0</v>
      </c>
      <c r="CR18" s="368">
        <f ca="1">INDEX(Maint_Pricing_Schedule,MATCH(TRIM($CN18),Products,0),MATCH(VLOOKUP(CR$3,tEnv[],3,FALSE),Envs,0))*GETPIVOTDATA(CELL("contents",$CN18),$BD$2,"Env Label",CR$3)</f>
        <v>0</v>
      </c>
      <c r="CS18" s="368">
        <f ca="1">INDEX(Maint_Pricing_Schedule,MATCH(TRIM($CN18),Products,0),MATCH(VLOOKUP(CS$3,tEnv[],3,FALSE),Envs,0))*GETPIVOTDATA(CELL("contents",$CN18),$BD$2,"Env Label",CS$3)</f>
        <v>0</v>
      </c>
      <c r="CT18" s="368">
        <f ca="1">INDEX(Maint_Pricing_Schedule,MATCH(TRIM($CN18),Products,0),MATCH(VLOOKUP(CT$3,tEnv[],3,FALSE),Envs,0))*GETPIVOTDATA(CELL("contents",$CN18),$BD$2,"Env Label",CT$3)</f>
        <v>0</v>
      </c>
      <c r="CU18" s="368">
        <f ca="1">INDEX(Maint_Pricing_Schedule,MATCH(TRIM($CN18),Products,0),MATCH(VLOOKUP(CU$3,tEnv[],3,FALSE),Envs,0))*GETPIVOTDATA(CELL("contents",$CN18),$BD$2,"Env Label",CU$3)</f>
        <v>0</v>
      </c>
      <c r="CV18" s="368">
        <f ca="1">INDEX(Maint_Pricing_Schedule,MATCH(TRIM($CN18),Products,0),MATCH(VLOOKUP(CV$3,tEnv[],3,FALSE),Envs,0))*GETPIVOTDATA(CELL("contents",$CN18),$BD$2,"Env Label",CV$3)</f>
        <v>0</v>
      </c>
      <c r="CW18" s="368">
        <f ca="1">INDEX(Maint_Pricing_Schedule,MATCH(TRIM($CN18),Products,0),MATCH(VLOOKUP(CW$3,tEnv[],3,FALSE),Envs,0))*GETPIVOTDATA(CELL("contents",$CN18),$BD$2,"Env Label",CW$3)</f>
        <v>0</v>
      </c>
      <c r="CX18" s="368">
        <f ca="1">INDEX(Maint_Pricing_Schedule,MATCH(TRIM($CN18),Products,0),MATCH(VLOOKUP(CX$3,tEnv[],3,FALSE),Envs,0))*GETPIVOTDATA(CELL("contents",$CN18),$BD$2,"Env Label",CX$3)</f>
        <v>0</v>
      </c>
      <c r="CY18" s="368">
        <f ca="1">INDEX(Maint_Pricing_Schedule,MATCH(TRIM($CN18),Products,0),MATCH(VLOOKUP(CY$3,tEnv[],3,FALSE),Envs,0))*GETPIVOTDATA(CELL("contents",$CN18),$BD$2,"Env Label",CY$3)</f>
        <v>0</v>
      </c>
      <c r="CZ18" s="368">
        <f ca="1">INDEX(Maint_Pricing_Schedule,MATCH(TRIM($CN18),Products,0),MATCH(VLOOKUP(CZ$3,tEnv[],3,FALSE),Envs,0))*GETPIVOTDATA(CELL("contents",$CN18),$BD$2,"Env Label",CZ$3)</f>
        <v>0</v>
      </c>
      <c r="DA18" s="368">
        <f ca="1">INDEX(Maint_Pricing_Schedule,MATCH(TRIM($CN18),Products,0),MATCH(VLOOKUP(DA$3,tEnv[],3,FALSE),Envs,0))*GETPIVOTDATA(CELL("contents",$CN18),$BD$2,"Env Label",DA$3)</f>
        <v>0</v>
      </c>
      <c r="DB18" s="368">
        <f ca="1">INDEX(Maint_Pricing_Schedule,MATCH(TRIM($CN18),Products,0),MATCH(VLOOKUP(DB$3,tEnv[],3,FALSE),Envs,0))*GETPIVOTDATA(CELL("contents",$CN18),$BD$2,"Env Label",DB$3)</f>
        <v>0</v>
      </c>
      <c r="DC18" s="368">
        <f ca="1">INDEX(Maint_Pricing_Schedule,MATCH(TRIM($CN18),Products,0),MATCH(VLOOKUP(DC$3,tEnv[],3,FALSE),Envs,0))*GETPIVOTDATA(CELL("contents",$CN18),$BD$2,"Env Label",DC$3)</f>
        <v>0</v>
      </c>
      <c r="DD18" s="369">
        <f ca="1">SUM(AnnualSWMaintCostByProdByEnv[[#This Row],[PROD]:[DEV]])</f>
        <v>0</v>
      </c>
    </row>
    <row r="19" spans="1:108">
      <c r="W19"/>
      <c r="X19"/>
      <c r="Y19"/>
      <c r="Z19"/>
      <c r="AB19"/>
      <c r="AE19"/>
      <c r="AF19"/>
      <c r="BD19" s="281" t="s">
        <v>178</v>
      </c>
      <c r="BE19" s="272">
        <v>0</v>
      </c>
      <c r="BF19" s="272">
        <v>0</v>
      </c>
      <c r="BG19" s="272">
        <v>0</v>
      </c>
      <c r="BH19" s="272">
        <v>0</v>
      </c>
      <c r="BI19" s="272">
        <v>0</v>
      </c>
      <c r="BJ19" s="272">
        <v>0</v>
      </c>
      <c r="BK19" s="272">
        <v>0</v>
      </c>
      <c r="BL19" s="272">
        <v>0</v>
      </c>
      <c r="BM19" s="272">
        <v>0</v>
      </c>
      <c r="BN19" s="272">
        <v>0</v>
      </c>
      <c r="BO19" s="272">
        <v>0</v>
      </c>
      <c r="BP19" s="272">
        <v>0</v>
      </c>
      <c r="BQ19" s="272">
        <v>0</v>
      </c>
      <c r="BR19" s="272">
        <v>0</v>
      </c>
      <c r="BS19" s="272">
        <v>0</v>
      </c>
      <c r="BT19" s="272">
        <v>0</v>
      </c>
      <c r="BV19" s="262" t="str">
        <f t="shared" si="0"/>
        <v xml:space="preserve">IBM WPS pSeries </v>
      </c>
      <c r="BW19" s="262">
        <f t="shared" si="0"/>
        <v>0</v>
      </c>
      <c r="BX19" s="262">
        <f t="shared" si="0"/>
        <v>0</v>
      </c>
      <c r="BY19" s="427">
        <f ca="1">INDEX(Product_Pricing_Schedule,MATCH(TRIM($BV19),Products,0),MATCH(VLOOKUP(BY$3,tEnv[],3,FALSE),Envs,0))*GETPIVOTDATA(CELL("contents",$BV19),$BD$2,"Env Label",BY$3)</f>
        <v>0</v>
      </c>
      <c r="BZ19" s="427">
        <f ca="1">INDEX(Product_Pricing_Schedule,MATCH(TRIM($BV19),Products,0),MATCH(VLOOKUP(BZ$3,tEnv[],3,FALSE),Envs,0))*GETPIVOTDATA(CELL("contents",$BV19),$BD$2,"Env Label",BZ$3)</f>
        <v>0</v>
      </c>
      <c r="CA19" s="427">
        <f ca="1">INDEX(Product_Pricing_Schedule,MATCH(TRIM($BV19),Products,0),MATCH(VLOOKUP(CA$3,tEnv[],3,FALSE),Envs,0))*GETPIVOTDATA(CELL("contents",$BV19),$BD$2,"Env Label",CA$3)</f>
        <v>0</v>
      </c>
      <c r="CB19" s="427">
        <f ca="1">INDEX(Product_Pricing_Schedule,MATCH(TRIM($BV19),Products,0),MATCH(VLOOKUP(CB$3,tEnv[],3,FALSE),Envs,0))*GETPIVOTDATA(CELL("contents",$BV19),$BD$2,"Env Label",CB$3)</f>
        <v>0</v>
      </c>
      <c r="CC19" s="427">
        <f ca="1">INDEX(Product_Pricing_Schedule,MATCH(TRIM($BV19),Products,0),MATCH(VLOOKUP(CC$3,tEnv[],3,FALSE),Envs,0))*GETPIVOTDATA(CELL("contents",$BV19),$BD$2,"Env Label",CC$3)</f>
        <v>0</v>
      </c>
      <c r="CD19" s="427">
        <f ca="1">INDEX(Product_Pricing_Schedule,MATCH(TRIM($BV19),Products,0),MATCH(VLOOKUP(CD$3,tEnv[],3,FALSE),Envs,0))*GETPIVOTDATA(CELL("contents",$BV19),$BD$2,"Env Label",CD$3)</f>
        <v>0</v>
      </c>
      <c r="CE19" s="427">
        <f ca="1">INDEX(Product_Pricing_Schedule,MATCH(TRIM($BV19),Products,0),MATCH(VLOOKUP(CE$3,tEnv[],3,FALSE),Envs,0))*GETPIVOTDATA(CELL("contents",$BV19),$BD$2,"Env Label",CE$3)</f>
        <v>0</v>
      </c>
      <c r="CF19" s="427">
        <f ca="1">INDEX(Product_Pricing_Schedule,MATCH(TRIM($BV19),Products,0),MATCH(VLOOKUP(CF$3,tEnv[],3,FALSE),Envs,0))*GETPIVOTDATA(CELL("contents",$BV19),$BD$2,"Env Label",CF$3)</f>
        <v>0</v>
      </c>
      <c r="CG19" s="427">
        <f ca="1">INDEX(Product_Pricing_Schedule,MATCH(TRIM($BV19),Products,0),MATCH(VLOOKUP(CG$3,tEnv[],3,FALSE),Envs,0))*GETPIVOTDATA(CELL("contents",$BV19),$BD$2,"Env Label",CG$3)</f>
        <v>0</v>
      </c>
      <c r="CH19" s="427">
        <f ca="1">INDEX(Product_Pricing_Schedule,MATCH(TRIM($BV19),Products,0),MATCH(VLOOKUP(CH$3,tEnv[],3,FALSE),Envs,0))*GETPIVOTDATA(CELL("contents",$BV19),$BD$2,"Env Label",CH$3)</f>
        <v>0</v>
      </c>
      <c r="CI19" s="427">
        <f ca="1">INDEX(Product_Pricing_Schedule,MATCH(TRIM($BV19),Products,0),MATCH(VLOOKUP(CI$3,tEnv[],3,FALSE),Envs,0))*GETPIVOTDATA(CELL("contents",$BV19),$BD$2,"Env Label",CI$3)</f>
        <v>0</v>
      </c>
      <c r="CJ19" s="427">
        <f ca="1">INDEX(Product_Pricing_Schedule,MATCH(TRIM($BV19),Products,0),MATCH(VLOOKUP(CJ$3,tEnv[],3,FALSE),Envs,0))*GETPIVOTDATA(CELL("contents",$BV19),$BD$2,"Env Label",CJ$3)</f>
        <v>0</v>
      </c>
      <c r="CK19" s="427">
        <f ca="1">INDEX(Product_Pricing_Schedule,MATCH(TRIM($BV19),Products,0),MATCH(VLOOKUP(CK$3,tEnv[],3,FALSE),Envs,0))*GETPIVOTDATA(CELL("contents",$BV19),$BD$2,"Env Label",CK$3)</f>
        <v>0</v>
      </c>
      <c r="CL19" s="428">
        <f ca="1">SUM(AnnualSWCostByProdByEnv[[#This Row],[PROD]:[DEV]])</f>
        <v>0</v>
      </c>
      <c r="CN19" s="262" t="str">
        <f t="shared" si="1"/>
        <v xml:space="preserve">IBM WPS pSeries </v>
      </c>
      <c r="CO19" s="262">
        <f t="shared" ca="1" si="3"/>
        <v>0</v>
      </c>
      <c r="CP19" s="262">
        <f t="shared" ca="1" si="3"/>
        <v>0</v>
      </c>
      <c r="CQ19" s="368">
        <f ca="1">INDEX(Maint_Pricing_Schedule,MATCH(TRIM($CN19),Products,0),MATCH(VLOOKUP(CQ$3,tEnv[],3,FALSE),Envs,0))*GETPIVOTDATA(CELL("contents",$CN19),$BD$2,"Env Label",CQ$3)</f>
        <v>0</v>
      </c>
      <c r="CR19" s="368">
        <f ca="1">INDEX(Maint_Pricing_Schedule,MATCH(TRIM($CN19),Products,0),MATCH(VLOOKUP(CR$3,tEnv[],3,FALSE),Envs,0))*GETPIVOTDATA(CELL("contents",$CN19),$BD$2,"Env Label",CR$3)</f>
        <v>0</v>
      </c>
      <c r="CS19" s="368">
        <f ca="1">INDEX(Maint_Pricing_Schedule,MATCH(TRIM($CN19),Products,0),MATCH(VLOOKUP(CS$3,tEnv[],3,FALSE),Envs,0))*GETPIVOTDATA(CELL("contents",$CN19),$BD$2,"Env Label",CS$3)</f>
        <v>0</v>
      </c>
      <c r="CT19" s="368">
        <f ca="1">INDEX(Maint_Pricing_Schedule,MATCH(TRIM($CN19),Products,0),MATCH(VLOOKUP(CT$3,tEnv[],3,FALSE),Envs,0))*GETPIVOTDATA(CELL("contents",$CN19),$BD$2,"Env Label",CT$3)</f>
        <v>0</v>
      </c>
      <c r="CU19" s="368">
        <f ca="1">INDEX(Maint_Pricing_Schedule,MATCH(TRIM($CN19),Products,0),MATCH(VLOOKUP(CU$3,tEnv[],3,FALSE),Envs,0))*GETPIVOTDATA(CELL("contents",$CN19),$BD$2,"Env Label",CU$3)</f>
        <v>0</v>
      </c>
      <c r="CV19" s="368">
        <f ca="1">INDEX(Maint_Pricing_Schedule,MATCH(TRIM($CN19),Products,0),MATCH(VLOOKUP(CV$3,tEnv[],3,FALSE),Envs,0))*GETPIVOTDATA(CELL("contents",$CN19),$BD$2,"Env Label",CV$3)</f>
        <v>0</v>
      </c>
      <c r="CW19" s="368">
        <f ca="1">INDEX(Maint_Pricing_Schedule,MATCH(TRIM($CN19),Products,0),MATCH(VLOOKUP(CW$3,tEnv[],3,FALSE),Envs,0))*GETPIVOTDATA(CELL("contents",$CN19),$BD$2,"Env Label",CW$3)</f>
        <v>0</v>
      </c>
      <c r="CX19" s="368">
        <f ca="1">INDEX(Maint_Pricing_Schedule,MATCH(TRIM($CN19),Products,0),MATCH(VLOOKUP(CX$3,tEnv[],3,FALSE),Envs,0))*GETPIVOTDATA(CELL("contents",$CN19),$BD$2,"Env Label",CX$3)</f>
        <v>0</v>
      </c>
      <c r="CY19" s="368">
        <f ca="1">INDEX(Maint_Pricing_Schedule,MATCH(TRIM($CN19),Products,0),MATCH(VLOOKUP(CY$3,tEnv[],3,FALSE),Envs,0))*GETPIVOTDATA(CELL("contents",$CN19),$BD$2,"Env Label",CY$3)</f>
        <v>0</v>
      </c>
      <c r="CZ19" s="368">
        <f ca="1">INDEX(Maint_Pricing_Schedule,MATCH(TRIM($CN19),Products,0),MATCH(VLOOKUP(CZ$3,tEnv[],3,FALSE),Envs,0))*GETPIVOTDATA(CELL("contents",$CN19),$BD$2,"Env Label",CZ$3)</f>
        <v>0</v>
      </c>
      <c r="DA19" s="368">
        <f ca="1">INDEX(Maint_Pricing_Schedule,MATCH(TRIM($CN19),Products,0),MATCH(VLOOKUP(DA$3,tEnv[],3,FALSE),Envs,0))*GETPIVOTDATA(CELL("contents",$CN19),$BD$2,"Env Label",DA$3)</f>
        <v>0</v>
      </c>
      <c r="DB19" s="368">
        <f ca="1">INDEX(Maint_Pricing_Schedule,MATCH(TRIM($CN19),Products,0),MATCH(VLOOKUP(DB$3,tEnv[],3,FALSE),Envs,0))*GETPIVOTDATA(CELL("contents",$CN19),$BD$2,"Env Label",DB$3)</f>
        <v>0</v>
      </c>
      <c r="DC19" s="368">
        <f ca="1">INDEX(Maint_Pricing_Schedule,MATCH(TRIM($CN19),Products,0),MATCH(VLOOKUP(DC$3,tEnv[],3,FALSE),Envs,0))*GETPIVOTDATA(CELL("contents",$CN19),$BD$2,"Env Label",DC$3)</f>
        <v>0</v>
      </c>
      <c r="DD19" s="369">
        <f ca="1">SUM(AnnualSWMaintCostByProdByEnv[[#This Row],[PROD]:[DEV]])</f>
        <v>0</v>
      </c>
    </row>
    <row r="20" spans="1:108">
      <c r="W20"/>
      <c r="X20"/>
      <c r="Y20" s="143"/>
      <c r="Z20" s="143"/>
      <c r="AE20"/>
      <c r="AF20"/>
      <c r="BD20" s="281" t="s">
        <v>177</v>
      </c>
      <c r="BE20" s="272">
        <v>0</v>
      </c>
      <c r="BF20" s="272">
        <v>0</v>
      </c>
      <c r="BG20" s="272">
        <v>0</v>
      </c>
      <c r="BH20" s="272">
        <v>0</v>
      </c>
      <c r="BI20" s="272">
        <v>0</v>
      </c>
      <c r="BJ20" s="272">
        <v>0</v>
      </c>
      <c r="BK20" s="272">
        <v>0</v>
      </c>
      <c r="BL20" s="272">
        <v>0</v>
      </c>
      <c r="BM20" s="272">
        <v>0</v>
      </c>
      <c r="BN20" s="272">
        <v>0</v>
      </c>
      <c r="BO20" s="272">
        <v>0</v>
      </c>
      <c r="BP20" s="272">
        <v>0</v>
      </c>
      <c r="BQ20" s="272">
        <v>0</v>
      </c>
      <c r="BR20" s="272">
        <v>0</v>
      </c>
      <c r="BS20" s="272">
        <v>0</v>
      </c>
      <c r="BT20" s="272">
        <v>0</v>
      </c>
      <c r="BV20" s="262" t="str">
        <f t="shared" si="0"/>
        <v xml:space="preserve">IBM WPS x86 </v>
      </c>
      <c r="BW20" s="262">
        <f t="shared" si="0"/>
        <v>0</v>
      </c>
      <c r="BX20" s="262">
        <f t="shared" si="0"/>
        <v>0</v>
      </c>
      <c r="BY20" s="427">
        <f ca="1">INDEX(Product_Pricing_Schedule,MATCH(TRIM($BV20),Products,0),MATCH(VLOOKUP(BY$3,tEnv[],3,FALSE),Envs,0))*GETPIVOTDATA(CELL("contents",$BV20),$BD$2,"Env Label",BY$3)</f>
        <v>0</v>
      </c>
      <c r="BZ20" s="427">
        <f ca="1">INDEX(Product_Pricing_Schedule,MATCH(TRIM($BV20),Products,0),MATCH(VLOOKUP(BZ$3,tEnv[],3,FALSE),Envs,0))*GETPIVOTDATA(CELL("contents",$BV20),$BD$2,"Env Label",BZ$3)</f>
        <v>0</v>
      </c>
      <c r="CA20" s="427">
        <f ca="1">INDEX(Product_Pricing_Schedule,MATCH(TRIM($BV20),Products,0),MATCH(VLOOKUP(CA$3,tEnv[],3,FALSE),Envs,0))*GETPIVOTDATA(CELL("contents",$BV20),$BD$2,"Env Label",CA$3)</f>
        <v>0</v>
      </c>
      <c r="CB20" s="427">
        <f ca="1">INDEX(Product_Pricing_Schedule,MATCH(TRIM($BV20),Products,0),MATCH(VLOOKUP(CB$3,tEnv[],3,FALSE),Envs,0))*GETPIVOTDATA(CELL("contents",$BV20),$BD$2,"Env Label",CB$3)</f>
        <v>0</v>
      </c>
      <c r="CC20" s="427">
        <f ca="1">INDEX(Product_Pricing_Schedule,MATCH(TRIM($BV20),Products,0),MATCH(VLOOKUP(CC$3,tEnv[],3,FALSE),Envs,0))*GETPIVOTDATA(CELL("contents",$BV20),$BD$2,"Env Label",CC$3)</f>
        <v>0</v>
      </c>
      <c r="CD20" s="427">
        <f ca="1">INDEX(Product_Pricing_Schedule,MATCH(TRIM($BV20),Products,0),MATCH(VLOOKUP(CD$3,tEnv[],3,FALSE),Envs,0))*GETPIVOTDATA(CELL("contents",$BV20),$BD$2,"Env Label",CD$3)</f>
        <v>0</v>
      </c>
      <c r="CE20" s="427">
        <f ca="1">INDEX(Product_Pricing_Schedule,MATCH(TRIM($BV20),Products,0),MATCH(VLOOKUP(CE$3,tEnv[],3,FALSE),Envs,0))*GETPIVOTDATA(CELL("contents",$BV20),$BD$2,"Env Label",CE$3)</f>
        <v>0</v>
      </c>
      <c r="CF20" s="427">
        <f ca="1">INDEX(Product_Pricing_Schedule,MATCH(TRIM($BV20),Products,0),MATCH(VLOOKUP(CF$3,tEnv[],3,FALSE),Envs,0))*GETPIVOTDATA(CELL("contents",$BV20),$BD$2,"Env Label",CF$3)</f>
        <v>0</v>
      </c>
      <c r="CG20" s="427">
        <f ca="1">INDEX(Product_Pricing_Schedule,MATCH(TRIM($BV20),Products,0),MATCH(VLOOKUP(CG$3,tEnv[],3,FALSE),Envs,0))*GETPIVOTDATA(CELL("contents",$BV20),$BD$2,"Env Label",CG$3)</f>
        <v>0</v>
      </c>
      <c r="CH20" s="427">
        <f ca="1">INDEX(Product_Pricing_Schedule,MATCH(TRIM($BV20),Products,0),MATCH(VLOOKUP(CH$3,tEnv[],3,FALSE),Envs,0))*GETPIVOTDATA(CELL("contents",$BV20),$BD$2,"Env Label",CH$3)</f>
        <v>0</v>
      </c>
      <c r="CI20" s="427">
        <f ca="1">INDEX(Product_Pricing_Schedule,MATCH(TRIM($BV20),Products,0),MATCH(VLOOKUP(CI$3,tEnv[],3,FALSE),Envs,0))*GETPIVOTDATA(CELL("contents",$BV20),$BD$2,"Env Label",CI$3)</f>
        <v>0</v>
      </c>
      <c r="CJ20" s="427">
        <f ca="1">INDEX(Product_Pricing_Schedule,MATCH(TRIM($BV20),Products,0),MATCH(VLOOKUP(CJ$3,tEnv[],3,FALSE),Envs,0))*GETPIVOTDATA(CELL("contents",$BV20),$BD$2,"Env Label",CJ$3)</f>
        <v>0</v>
      </c>
      <c r="CK20" s="427">
        <f ca="1">INDEX(Product_Pricing_Schedule,MATCH(TRIM($BV20),Products,0),MATCH(VLOOKUP(CK$3,tEnv[],3,FALSE),Envs,0))*GETPIVOTDATA(CELL("contents",$BV20),$BD$2,"Env Label",CK$3)</f>
        <v>0</v>
      </c>
      <c r="CL20" s="428">
        <f ca="1">SUM(AnnualSWCostByProdByEnv[[#This Row],[PROD]:[DEV]])</f>
        <v>0</v>
      </c>
      <c r="CN20" s="262" t="str">
        <f t="shared" si="1"/>
        <v xml:space="preserve">IBM WPS x86 </v>
      </c>
      <c r="CO20" s="262">
        <f t="shared" ca="1" si="3"/>
        <v>0</v>
      </c>
      <c r="CP20" s="262">
        <f t="shared" ca="1" si="3"/>
        <v>0</v>
      </c>
      <c r="CQ20" s="368">
        <f ca="1">INDEX(Maint_Pricing_Schedule,MATCH(TRIM($CN20),Products,0),MATCH(VLOOKUP(CQ$3,tEnv[],3,FALSE),Envs,0))*GETPIVOTDATA(CELL("contents",$CN20),$BD$2,"Env Label",CQ$3)</f>
        <v>0</v>
      </c>
      <c r="CR20" s="368">
        <f ca="1">INDEX(Maint_Pricing_Schedule,MATCH(TRIM($CN20),Products,0),MATCH(VLOOKUP(CR$3,tEnv[],3,FALSE),Envs,0))*GETPIVOTDATA(CELL("contents",$CN20),$BD$2,"Env Label",CR$3)</f>
        <v>0</v>
      </c>
      <c r="CS20" s="368">
        <f ca="1">INDEX(Maint_Pricing_Schedule,MATCH(TRIM($CN20),Products,0),MATCH(VLOOKUP(CS$3,tEnv[],3,FALSE),Envs,0))*GETPIVOTDATA(CELL("contents",$CN20),$BD$2,"Env Label",CS$3)</f>
        <v>0</v>
      </c>
      <c r="CT20" s="368">
        <f ca="1">INDEX(Maint_Pricing_Schedule,MATCH(TRIM($CN20),Products,0),MATCH(VLOOKUP(CT$3,tEnv[],3,FALSE),Envs,0))*GETPIVOTDATA(CELL("contents",$CN20),$BD$2,"Env Label",CT$3)</f>
        <v>0</v>
      </c>
      <c r="CU20" s="368">
        <f ca="1">INDEX(Maint_Pricing_Schedule,MATCH(TRIM($CN20),Products,0),MATCH(VLOOKUP(CU$3,tEnv[],3,FALSE),Envs,0))*GETPIVOTDATA(CELL("contents",$CN20),$BD$2,"Env Label",CU$3)</f>
        <v>0</v>
      </c>
      <c r="CV20" s="368">
        <f ca="1">INDEX(Maint_Pricing_Schedule,MATCH(TRIM($CN20),Products,0),MATCH(VLOOKUP(CV$3,tEnv[],3,FALSE),Envs,0))*GETPIVOTDATA(CELL("contents",$CN20),$BD$2,"Env Label",CV$3)</f>
        <v>0</v>
      </c>
      <c r="CW20" s="368">
        <f ca="1">INDEX(Maint_Pricing_Schedule,MATCH(TRIM($CN20),Products,0),MATCH(VLOOKUP(CW$3,tEnv[],3,FALSE),Envs,0))*GETPIVOTDATA(CELL("contents",$CN20),$BD$2,"Env Label",CW$3)</f>
        <v>0</v>
      </c>
      <c r="CX20" s="368">
        <f ca="1">INDEX(Maint_Pricing_Schedule,MATCH(TRIM($CN20),Products,0),MATCH(VLOOKUP(CX$3,tEnv[],3,FALSE),Envs,0))*GETPIVOTDATA(CELL("contents",$CN20),$BD$2,"Env Label",CX$3)</f>
        <v>0</v>
      </c>
      <c r="CY20" s="368">
        <f ca="1">INDEX(Maint_Pricing_Schedule,MATCH(TRIM($CN20),Products,0),MATCH(VLOOKUP(CY$3,tEnv[],3,FALSE),Envs,0))*GETPIVOTDATA(CELL("contents",$CN20),$BD$2,"Env Label",CY$3)</f>
        <v>0</v>
      </c>
      <c r="CZ20" s="368">
        <f ca="1">INDEX(Maint_Pricing_Schedule,MATCH(TRIM($CN20),Products,0),MATCH(VLOOKUP(CZ$3,tEnv[],3,FALSE),Envs,0))*GETPIVOTDATA(CELL("contents",$CN20),$BD$2,"Env Label",CZ$3)</f>
        <v>0</v>
      </c>
      <c r="DA20" s="368">
        <f ca="1">INDEX(Maint_Pricing_Schedule,MATCH(TRIM($CN20),Products,0),MATCH(VLOOKUP(DA$3,tEnv[],3,FALSE),Envs,0))*GETPIVOTDATA(CELL("contents",$CN20),$BD$2,"Env Label",DA$3)</f>
        <v>0</v>
      </c>
      <c r="DB20" s="368">
        <f ca="1">INDEX(Maint_Pricing_Schedule,MATCH(TRIM($CN20),Products,0),MATCH(VLOOKUP(DB$3,tEnv[],3,FALSE),Envs,0))*GETPIVOTDATA(CELL("contents",$CN20),$BD$2,"Env Label",DB$3)</f>
        <v>0</v>
      </c>
      <c r="DC20" s="368">
        <f ca="1">INDEX(Maint_Pricing_Schedule,MATCH(TRIM($CN20),Products,0),MATCH(VLOOKUP(DC$3,tEnv[],3,FALSE),Envs,0))*GETPIVOTDATA(CELL("contents",$CN20),$BD$2,"Env Label",DC$3)</f>
        <v>0</v>
      </c>
      <c r="DD20" s="369">
        <f ca="1">SUM(AnnualSWMaintCostByProdByEnv[[#This Row],[PROD]:[DEV]])</f>
        <v>0</v>
      </c>
    </row>
    <row r="21" spans="1:108">
      <c r="W21"/>
      <c r="X21"/>
      <c r="Y21" s="143"/>
      <c r="Z21" s="143"/>
      <c r="AE21"/>
      <c r="AF21"/>
      <c r="BD21" s="281" t="s">
        <v>555</v>
      </c>
      <c r="BE21" s="272">
        <v>0</v>
      </c>
      <c r="BF21" s="272">
        <v>0</v>
      </c>
      <c r="BG21" s="272">
        <v>0</v>
      </c>
      <c r="BH21" s="272">
        <v>0</v>
      </c>
      <c r="BI21" s="272">
        <v>0</v>
      </c>
      <c r="BJ21" s="272">
        <v>0</v>
      </c>
      <c r="BK21" s="272">
        <v>0</v>
      </c>
      <c r="BL21" s="272">
        <v>0</v>
      </c>
      <c r="BM21" s="272">
        <v>0</v>
      </c>
      <c r="BN21" s="272">
        <v>0</v>
      </c>
      <c r="BO21" s="272">
        <v>0</v>
      </c>
      <c r="BP21" s="272">
        <v>0</v>
      </c>
      <c r="BQ21" s="272">
        <v>0</v>
      </c>
      <c r="BR21" s="272">
        <v>0</v>
      </c>
      <c r="BS21" s="272">
        <v>0</v>
      </c>
      <c r="BT21" s="272">
        <v>0</v>
      </c>
      <c r="BV21" s="262" t="str">
        <f t="shared" si="0"/>
        <v xml:space="preserve">IBM WS Process Srvr </v>
      </c>
      <c r="BW21" s="262">
        <f t="shared" si="0"/>
        <v>0</v>
      </c>
      <c r="BX21" s="262">
        <f t="shared" si="0"/>
        <v>0</v>
      </c>
      <c r="BY21" s="427">
        <f ca="1">INDEX(Product_Pricing_Schedule,MATCH(TRIM($BV21),Products,0),MATCH(VLOOKUP(BY$3,tEnv[],3,FALSE),Envs,0))*GETPIVOTDATA(CELL("contents",$BV21),$BD$2,"Env Label",BY$3)</f>
        <v>0</v>
      </c>
      <c r="BZ21" s="427">
        <f ca="1">INDEX(Product_Pricing_Schedule,MATCH(TRIM($BV21),Products,0),MATCH(VLOOKUP(BZ$3,tEnv[],3,FALSE),Envs,0))*GETPIVOTDATA(CELL("contents",$BV21),$BD$2,"Env Label",BZ$3)</f>
        <v>0</v>
      </c>
      <c r="CA21" s="427">
        <f ca="1">INDEX(Product_Pricing_Schedule,MATCH(TRIM($BV21),Products,0),MATCH(VLOOKUP(CA$3,tEnv[],3,FALSE),Envs,0))*GETPIVOTDATA(CELL("contents",$BV21),$BD$2,"Env Label",CA$3)</f>
        <v>0</v>
      </c>
      <c r="CB21" s="427">
        <f ca="1">INDEX(Product_Pricing_Schedule,MATCH(TRIM($BV21),Products,0),MATCH(VLOOKUP(CB$3,tEnv[],3,FALSE),Envs,0))*GETPIVOTDATA(CELL("contents",$BV21),$BD$2,"Env Label",CB$3)</f>
        <v>0</v>
      </c>
      <c r="CC21" s="427">
        <f ca="1">INDEX(Product_Pricing_Schedule,MATCH(TRIM($BV21),Products,0),MATCH(VLOOKUP(CC$3,tEnv[],3,FALSE),Envs,0))*GETPIVOTDATA(CELL("contents",$BV21),$BD$2,"Env Label",CC$3)</f>
        <v>0</v>
      </c>
      <c r="CD21" s="427">
        <f ca="1">INDEX(Product_Pricing_Schedule,MATCH(TRIM($BV21),Products,0),MATCH(VLOOKUP(CD$3,tEnv[],3,FALSE),Envs,0))*GETPIVOTDATA(CELL("contents",$BV21),$BD$2,"Env Label",CD$3)</f>
        <v>0</v>
      </c>
      <c r="CE21" s="427">
        <f ca="1">INDEX(Product_Pricing_Schedule,MATCH(TRIM($BV21),Products,0),MATCH(VLOOKUP(CE$3,tEnv[],3,FALSE),Envs,0))*GETPIVOTDATA(CELL("contents",$BV21),$BD$2,"Env Label",CE$3)</f>
        <v>0</v>
      </c>
      <c r="CF21" s="427">
        <f ca="1">INDEX(Product_Pricing_Schedule,MATCH(TRIM($BV21),Products,0),MATCH(VLOOKUP(CF$3,tEnv[],3,FALSE),Envs,0))*GETPIVOTDATA(CELL("contents",$BV21),$BD$2,"Env Label",CF$3)</f>
        <v>0</v>
      </c>
      <c r="CG21" s="427">
        <f ca="1">INDEX(Product_Pricing_Schedule,MATCH(TRIM($BV21),Products,0),MATCH(VLOOKUP(CG$3,tEnv[],3,FALSE),Envs,0))*GETPIVOTDATA(CELL("contents",$BV21),$BD$2,"Env Label",CG$3)</f>
        <v>0</v>
      </c>
      <c r="CH21" s="427">
        <f ca="1">INDEX(Product_Pricing_Schedule,MATCH(TRIM($BV21),Products,0),MATCH(VLOOKUP(CH$3,tEnv[],3,FALSE),Envs,0))*GETPIVOTDATA(CELL("contents",$BV21),$BD$2,"Env Label",CH$3)</f>
        <v>0</v>
      </c>
      <c r="CI21" s="427">
        <f ca="1">INDEX(Product_Pricing_Schedule,MATCH(TRIM($BV21),Products,0),MATCH(VLOOKUP(CI$3,tEnv[],3,FALSE),Envs,0))*GETPIVOTDATA(CELL("contents",$BV21),$BD$2,"Env Label",CI$3)</f>
        <v>0</v>
      </c>
      <c r="CJ21" s="427">
        <f ca="1">INDEX(Product_Pricing_Schedule,MATCH(TRIM($BV21),Products,0),MATCH(VLOOKUP(CJ$3,tEnv[],3,FALSE),Envs,0))*GETPIVOTDATA(CELL("contents",$BV21),$BD$2,"Env Label",CJ$3)</f>
        <v>0</v>
      </c>
      <c r="CK21" s="427">
        <f ca="1">INDEX(Product_Pricing_Schedule,MATCH(TRIM($BV21),Products,0),MATCH(VLOOKUP(CK$3,tEnv[],3,FALSE),Envs,0))*GETPIVOTDATA(CELL("contents",$BV21),$BD$2,"Env Label",CK$3)</f>
        <v>0</v>
      </c>
      <c r="CL21" s="428">
        <f ca="1">SUM(AnnualSWCostByProdByEnv[[#This Row],[PROD]:[DEV]])</f>
        <v>0</v>
      </c>
      <c r="CN21" s="262" t="str">
        <f t="shared" si="1"/>
        <v xml:space="preserve">IBM WS Process Srvr </v>
      </c>
      <c r="CO21" s="262">
        <f t="shared" ca="1" si="3"/>
        <v>0</v>
      </c>
      <c r="CP21" s="262">
        <f t="shared" ca="1" si="3"/>
        <v>0</v>
      </c>
      <c r="CQ21" s="368">
        <f ca="1">INDEX(Maint_Pricing_Schedule,MATCH(TRIM($CN21),Products,0),MATCH(VLOOKUP(CQ$3,tEnv[],3,FALSE),Envs,0))*GETPIVOTDATA(CELL("contents",$CN21),$BD$2,"Env Label",CQ$3)</f>
        <v>0</v>
      </c>
      <c r="CR21" s="368">
        <f ca="1">INDEX(Maint_Pricing_Schedule,MATCH(TRIM($CN21),Products,0),MATCH(VLOOKUP(CR$3,tEnv[],3,FALSE),Envs,0))*GETPIVOTDATA(CELL("contents",$CN21),$BD$2,"Env Label",CR$3)</f>
        <v>0</v>
      </c>
      <c r="CS21" s="368">
        <f ca="1">INDEX(Maint_Pricing_Schedule,MATCH(TRIM($CN21),Products,0),MATCH(VLOOKUP(CS$3,tEnv[],3,FALSE),Envs,0))*GETPIVOTDATA(CELL("contents",$CN21),$BD$2,"Env Label",CS$3)</f>
        <v>0</v>
      </c>
      <c r="CT21" s="368">
        <f ca="1">INDEX(Maint_Pricing_Schedule,MATCH(TRIM($CN21),Products,0),MATCH(VLOOKUP(CT$3,tEnv[],3,FALSE),Envs,0))*GETPIVOTDATA(CELL("contents",$CN21),$BD$2,"Env Label",CT$3)</f>
        <v>0</v>
      </c>
      <c r="CU21" s="368">
        <f ca="1">INDEX(Maint_Pricing_Schedule,MATCH(TRIM($CN21),Products,0),MATCH(VLOOKUP(CU$3,tEnv[],3,FALSE),Envs,0))*GETPIVOTDATA(CELL("contents",$CN21),$BD$2,"Env Label",CU$3)</f>
        <v>0</v>
      </c>
      <c r="CV21" s="368">
        <f ca="1">INDEX(Maint_Pricing_Schedule,MATCH(TRIM($CN21),Products,0),MATCH(VLOOKUP(CV$3,tEnv[],3,FALSE),Envs,0))*GETPIVOTDATA(CELL("contents",$CN21),$BD$2,"Env Label",CV$3)</f>
        <v>0</v>
      </c>
      <c r="CW21" s="368">
        <f ca="1">INDEX(Maint_Pricing_Schedule,MATCH(TRIM($CN21),Products,0),MATCH(VLOOKUP(CW$3,tEnv[],3,FALSE),Envs,0))*GETPIVOTDATA(CELL("contents",$CN21),$BD$2,"Env Label",CW$3)</f>
        <v>0</v>
      </c>
      <c r="CX21" s="368">
        <f ca="1">INDEX(Maint_Pricing_Schedule,MATCH(TRIM($CN21),Products,0),MATCH(VLOOKUP(CX$3,tEnv[],3,FALSE),Envs,0))*GETPIVOTDATA(CELL("contents",$CN21),$BD$2,"Env Label",CX$3)</f>
        <v>0</v>
      </c>
      <c r="CY21" s="368">
        <f ca="1">INDEX(Maint_Pricing_Schedule,MATCH(TRIM($CN21),Products,0),MATCH(VLOOKUP(CY$3,tEnv[],3,FALSE),Envs,0))*GETPIVOTDATA(CELL("contents",$CN21),$BD$2,"Env Label",CY$3)</f>
        <v>0</v>
      </c>
      <c r="CZ21" s="368">
        <f ca="1">INDEX(Maint_Pricing_Schedule,MATCH(TRIM($CN21),Products,0),MATCH(VLOOKUP(CZ$3,tEnv[],3,FALSE),Envs,0))*GETPIVOTDATA(CELL("contents",$CN21),$BD$2,"Env Label",CZ$3)</f>
        <v>0</v>
      </c>
      <c r="DA21" s="368">
        <f ca="1">INDEX(Maint_Pricing_Schedule,MATCH(TRIM($CN21),Products,0),MATCH(VLOOKUP(DA$3,tEnv[],3,FALSE),Envs,0))*GETPIVOTDATA(CELL("contents",$CN21),$BD$2,"Env Label",DA$3)</f>
        <v>0</v>
      </c>
      <c r="DB21" s="368">
        <f ca="1">INDEX(Maint_Pricing_Schedule,MATCH(TRIM($CN21),Products,0),MATCH(VLOOKUP(DB$3,tEnv[],3,FALSE),Envs,0))*GETPIVOTDATA(CELL("contents",$CN21),$BD$2,"Env Label",DB$3)</f>
        <v>0</v>
      </c>
      <c r="DC21" s="368">
        <f ca="1">INDEX(Maint_Pricing_Schedule,MATCH(TRIM($CN21),Products,0),MATCH(VLOOKUP(DC$3,tEnv[],3,FALSE),Envs,0))*GETPIVOTDATA(CELL("contents",$CN21),$BD$2,"Env Label",DC$3)</f>
        <v>0</v>
      </c>
      <c r="DD21" s="369">
        <f ca="1">SUM(AnnualSWMaintCostByProdByEnv[[#This Row],[PROD]:[DEV]])</f>
        <v>0</v>
      </c>
    </row>
    <row r="22" spans="1:108">
      <c r="W22"/>
      <c r="X22"/>
      <c r="Y22" s="143"/>
      <c r="Z22" s="143"/>
      <c r="AE22"/>
      <c r="AF22"/>
      <c r="BD22" s="281" t="s">
        <v>2331</v>
      </c>
      <c r="BE22" s="272">
        <v>0</v>
      </c>
      <c r="BF22" s="272">
        <v>0</v>
      </c>
      <c r="BG22" s="272">
        <v>0</v>
      </c>
      <c r="BH22" s="272">
        <v>0</v>
      </c>
      <c r="BI22" s="272">
        <v>0</v>
      </c>
      <c r="BJ22" s="272">
        <v>0</v>
      </c>
      <c r="BK22" s="272">
        <v>0</v>
      </c>
      <c r="BL22" s="272">
        <v>0</v>
      </c>
      <c r="BM22" s="272">
        <v>0</v>
      </c>
      <c r="BN22" s="272">
        <v>0</v>
      </c>
      <c r="BO22" s="272">
        <v>0</v>
      </c>
      <c r="BP22" s="272">
        <v>0</v>
      </c>
      <c r="BQ22" s="272">
        <v>0</v>
      </c>
      <c r="BR22" s="272">
        <v>0</v>
      </c>
      <c r="BS22" s="272">
        <v>0</v>
      </c>
      <c r="BT22" s="272">
        <v>0</v>
      </c>
      <c r="BV22" s="262" t="str">
        <f t="shared" si="0"/>
        <v xml:space="preserve">IBM WS VE (Cntrlr) </v>
      </c>
      <c r="BW22" s="262">
        <f t="shared" si="0"/>
        <v>0</v>
      </c>
      <c r="BX22" s="262">
        <f t="shared" si="0"/>
        <v>0</v>
      </c>
      <c r="BY22" s="427">
        <f ca="1">INDEX(Product_Pricing_Schedule,MATCH(TRIM($BV22),Products,0),MATCH(VLOOKUP(BY$3,tEnv[],3,FALSE),Envs,0))*GETPIVOTDATA(CELL("contents",$BV22),$BD$2,"Env Label",BY$3)</f>
        <v>0</v>
      </c>
      <c r="BZ22" s="427">
        <f ca="1">INDEX(Product_Pricing_Schedule,MATCH(TRIM($BV22),Products,0),MATCH(VLOOKUP(BZ$3,tEnv[],3,FALSE),Envs,0))*GETPIVOTDATA(CELL("contents",$BV22),$BD$2,"Env Label",BZ$3)</f>
        <v>0</v>
      </c>
      <c r="CA22" s="427">
        <f ca="1">INDEX(Product_Pricing_Schedule,MATCH(TRIM($BV22),Products,0),MATCH(VLOOKUP(CA$3,tEnv[],3,FALSE),Envs,0))*GETPIVOTDATA(CELL("contents",$BV22),$BD$2,"Env Label",CA$3)</f>
        <v>0</v>
      </c>
      <c r="CB22" s="427">
        <f ca="1">INDEX(Product_Pricing_Schedule,MATCH(TRIM($BV22),Products,0),MATCH(VLOOKUP(CB$3,tEnv[],3,FALSE),Envs,0))*GETPIVOTDATA(CELL("contents",$BV22),$BD$2,"Env Label",CB$3)</f>
        <v>0</v>
      </c>
      <c r="CC22" s="427">
        <f ca="1">INDEX(Product_Pricing_Schedule,MATCH(TRIM($BV22),Products,0),MATCH(VLOOKUP(CC$3,tEnv[],3,FALSE),Envs,0))*GETPIVOTDATA(CELL("contents",$BV22),$BD$2,"Env Label",CC$3)</f>
        <v>0</v>
      </c>
      <c r="CD22" s="427">
        <f ca="1">INDEX(Product_Pricing_Schedule,MATCH(TRIM($BV22),Products,0),MATCH(VLOOKUP(CD$3,tEnv[],3,FALSE),Envs,0))*GETPIVOTDATA(CELL("contents",$BV22),$BD$2,"Env Label",CD$3)</f>
        <v>0</v>
      </c>
      <c r="CE22" s="427">
        <f ca="1">INDEX(Product_Pricing_Schedule,MATCH(TRIM($BV22),Products,0),MATCH(VLOOKUP(CE$3,tEnv[],3,FALSE),Envs,0))*GETPIVOTDATA(CELL("contents",$BV22),$BD$2,"Env Label",CE$3)</f>
        <v>0</v>
      </c>
      <c r="CF22" s="427">
        <f ca="1">INDEX(Product_Pricing_Schedule,MATCH(TRIM($BV22),Products,0),MATCH(VLOOKUP(CF$3,tEnv[],3,FALSE),Envs,0))*GETPIVOTDATA(CELL("contents",$BV22),$BD$2,"Env Label",CF$3)</f>
        <v>0</v>
      </c>
      <c r="CG22" s="427">
        <f ca="1">INDEX(Product_Pricing_Schedule,MATCH(TRIM($BV22),Products,0),MATCH(VLOOKUP(CG$3,tEnv[],3,FALSE),Envs,0))*GETPIVOTDATA(CELL("contents",$BV22),$BD$2,"Env Label",CG$3)</f>
        <v>0</v>
      </c>
      <c r="CH22" s="427">
        <f ca="1">INDEX(Product_Pricing_Schedule,MATCH(TRIM($BV22),Products,0),MATCH(VLOOKUP(CH$3,tEnv[],3,FALSE),Envs,0))*GETPIVOTDATA(CELL("contents",$BV22),$BD$2,"Env Label",CH$3)</f>
        <v>0</v>
      </c>
      <c r="CI22" s="427">
        <f ca="1">INDEX(Product_Pricing_Schedule,MATCH(TRIM($BV22),Products,0),MATCH(VLOOKUP(CI$3,tEnv[],3,FALSE),Envs,0))*GETPIVOTDATA(CELL("contents",$BV22),$BD$2,"Env Label",CI$3)</f>
        <v>0</v>
      </c>
      <c r="CJ22" s="427">
        <f ca="1">INDEX(Product_Pricing_Schedule,MATCH(TRIM($BV22),Products,0),MATCH(VLOOKUP(CJ$3,tEnv[],3,FALSE),Envs,0))*GETPIVOTDATA(CELL("contents",$BV22),$BD$2,"Env Label",CJ$3)</f>
        <v>0</v>
      </c>
      <c r="CK22" s="427">
        <f ca="1">INDEX(Product_Pricing_Schedule,MATCH(TRIM($BV22),Products,0),MATCH(VLOOKUP(CK$3,tEnv[],3,FALSE),Envs,0))*GETPIVOTDATA(CELL("contents",$BV22),$BD$2,"Env Label",CK$3)</f>
        <v>0</v>
      </c>
      <c r="CL22" s="428">
        <f ca="1">SUM(AnnualSWCostByProdByEnv[[#This Row],[PROD]:[DEV]])</f>
        <v>0</v>
      </c>
      <c r="CN22" s="262" t="str">
        <f t="shared" si="1"/>
        <v xml:space="preserve">IBM WS VE (Cntrlr) </v>
      </c>
      <c r="CO22" s="262">
        <f t="shared" ca="1" si="3"/>
        <v>0</v>
      </c>
      <c r="CP22" s="262">
        <f t="shared" ca="1" si="3"/>
        <v>0</v>
      </c>
      <c r="CQ22" s="368">
        <f ca="1">INDEX(Maint_Pricing_Schedule,MATCH(TRIM($CN22),Products,0),MATCH(VLOOKUP(CQ$3,tEnv[],3,FALSE),Envs,0))*GETPIVOTDATA(CELL("contents",$CN22),$BD$2,"Env Label",CQ$3)</f>
        <v>0</v>
      </c>
      <c r="CR22" s="368">
        <f ca="1">INDEX(Maint_Pricing_Schedule,MATCH(TRIM($CN22),Products,0),MATCH(VLOOKUP(CR$3,tEnv[],3,FALSE),Envs,0))*GETPIVOTDATA(CELL("contents",$CN22),$BD$2,"Env Label",CR$3)</f>
        <v>0</v>
      </c>
      <c r="CS22" s="368">
        <f ca="1">INDEX(Maint_Pricing_Schedule,MATCH(TRIM($CN22),Products,0),MATCH(VLOOKUP(CS$3,tEnv[],3,FALSE),Envs,0))*GETPIVOTDATA(CELL("contents",$CN22),$BD$2,"Env Label",CS$3)</f>
        <v>0</v>
      </c>
      <c r="CT22" s="368">
        <f ca="1">INDEX(Maint_Pricing_Schedule,MATCH(TRIM($CN22),Products,0),MATCH(VLOOKUP(CT$3,tEnv[],3,FALSE),Envs,0))*GETPIVOTDATA(CELL("contents",$CN22),$BD$2,"Env Label",CT$3)</f>
        <v>0</v>
      </c>
      <c r="CU22" s="368">
        <f ca="1">INDEX(Maint_Pricing_Schedule,MATCH(TRIM($CN22),Products,0),MATCH(VLOOKUP(CU$3,tEnv[],3,FALSE),Envs,0))*GETPIVOTDATA(CELL("contents",$CN22),$BD$2,"Env Label",CU$3)</f>
        <v>0</v>
      </c>
      <c r="CV22" s="368">
        <f ca="1">INDEX(Maint_Pricing_Schedule,MATCH(TRIM($CN22),Products,0),MATCH(VLOOKUP(CV$3,tEnv[],3,FALSE),Envs,0))*GETPIVOTDATA(CELL("contents",$CN22),$BD$2,"Env Label",CV$3)</f>
        <v>0</v>
      </c>
      <c r="CW22" s="368">
        <f ca="1">INDEX(Maint_Pricing_Schedule,MATCH(TRIM($CN22),Products,0),MATCH(VLOOKUP(CW$3,tEnv[],3,FALSE),Envs,0))*GETPIVOTDATA(CELL("contents",$CN22),$BD$2,"Env Label",CW$3)</f>
        <v>0</v>
      </c>
      <c r="CX22" s="368">
        <f ca="1">INDEX(Maint_Pricing_Schedule,MATCH(TRIM($CN22),Products,0),MATCH(VLOOKUP(CX$3,tEnv[],3,FALSE),Envs,0))*GETPIVOTDATA(CELL("contents",$CN22),$BD$2,"Env Label",CX$3)</f>
        <v>0</v>
      </c>
      <c r="CY22" s="368">
        <f ca="1">INDEX(Maint_Pricing_Schedule,MATCH(TRIM($CN22),Products,0),MATCH(VLOOKUP(CY$3,tEnv[],3,FALSE),Envs,0))*GETPIVOTDATA(CELL("contents",$CN22),$BD$2,"Env Label",CY$3)</f>
        <v>0</v>
      </c>
      <c r="CZ22" s="368">
        <f ca="1">INDEX(Maint_Pricing_Schedule,MATCH(TRIM($CN22),Products,0),MATCH(VLOOKUP(CZ$3,tEnv[],3,FALSE),Envs,0))*GETPIVOTDATA(CELL("contents",$CN22),$BD$2,"Env Label",CZ$3)</f>
        <v>0</v>
      </c>
      <c r="DA22" s="368">
        <f ca="1">INDEX(Maint_Pricing_Schedule,MATCH(TRIM($CN22),Products,0),MATCH(VLOOKUP(DA$3,tEnv[],3,FALSE),Envs,0))*GETPIVOTDATA(CELL("contents",$CN22),$BD$2,"Env Label",DA$3)</f>
        <v>0</v>
      </c>
      <c r="DB22" s="368">
        <f ca="1">INDEX(Maint_Pricing_Schedule,MATCH(TRIM($CN22),Products,0),MATCH(VLOOKUP(DB$3,tEnv[],3,FALSE),Envs,0))*GETPIVOTDATA(CELL("contents",$CN22),$BD$2,"Env Label",DB$3)</f>
        <v>0</v>
      </c>
      <c r="DC22" s="368">
        <f ca="1">INDEX(Maint_Pricing_Schedule,MATCH(TRIM($CN22),Products,0),MATCH(VLOOKUP(DC$3,tEnv[],3,FALSE),Envs,0))*GETPIVOTDATA(CELL("contents",$CN22),$BD$2,"Env Label",DC$3)</f>
        <v>0</v>
      </c>
      <c r="DD22" s="369">
        <f ca="1">SUM(AnnualSWMaintCostByProdByEnv[[#This Row],[PROD]:[DEV]])</f>
        <v>0</v>
      </c>
    </row>
    <row r="23" spans="1:108">
      <c r="W23"/>
      <c r="X23"/>
      <c r="Y23" s="143"/>
      <c r="Z23" s="143"/>
      <c r="AE23"/>
      <c r="AF23"/>
      <c r="BD23" s="281" t="s">
        <v>2332</v>
      </c>
      <c r="BE23" s="272">
        <v>0</v>
      </c>
      <c r="BF23" s="272">
        <v>0</v>
      </c>
      <c r="BG23" s="272">
        <v>0</v>
      </c>
      <c r="BH23" s="272">
        <v>0</v>
      </c>
      <c r="BI23" s="272">
        <v>0</v>
      </c>
      <c r="BJ23" s="272">
        <v>0</v>
      </c>
      <c r="BK23" s="272">
        <v>0</v>
      </c>
      <c r="BL23" s="272">
        <v>0</v>
      </c>
      <c r="BM23" s="272">
        <v>0</v>
      </c>
      <c r="BN23" s="272">
        <v>0</v>
      </c>
      <c r="BO23" s="272">
        <v>0</v>
      </c>
      <c r="BP23" s="272">
        <v>0</v>
      </c>
      <c r="BQ23" s="272">
        <v>0</v>
      </c>
      <c r="BR23" s="272">
        <v>0</v>
      </c>
      <c r="BS23" s="272">
        <v>0</v>
      </c>
      <c r="BT23" s="272">
        <v>0</v>
      </c>
      <c r="BV23" s="262" t="str">
        <f t="shared" si="0"/>
        <v xml:space="preserve">IBM WS VE (Node) </v>
      </c>
      <c r="BW23" s="262">
        <f t="shared" si="0"/>
        <v>0</v>
      </c>
      <c r="BX23" s="262">
        <f t="shared" si="0"/>
        <v>0</v>
      </c>
      <c r="BY23" s="427">
        <f ca="1">INDEX(Product_Pricing_Schedule,MATCH(TRIM($BV23),Products,0),MATCH(VLOOKUP(BY$3,tEnv[],3,FALSE),Envs,0))*GETPIVOTDATA(CELL("contents",$BV23),$BD$2,"Env Label",BY$3)</f>
        <v>0</v>
      </c>
      <c r="BZ23" s="427">
        <f ca="1">INDEX(Product_Pricing_Schedule,MATCH(TRIM($BV23),Products,0),MATCH(VLOOKUP(BZ$3,tEnv[],3,FALSE),Envs,0))*GETPIVOTDATA(CELL("contents",$BV23),$BD$2,"Env Label",BZ$3)</f>
        <v>0</v>
      </c>
      <c r="CA23" s="427">
        <f ca="1">INDEX(Product_Pricing_Schedule,MATCH(TRIM($BV23),Products,0),MATCH(VLOOKUP(CA$3,tEnv[],3,FALSE),Envs,0))*GETPIVOTDATA(CELL("contents",$BV23),$BD$2,"Env Label",CA$3)</f>
        <v>0</v>
      </c>
      <c r="CB23" s="427">
        <f ca="1">INDEX(Product_Pricing_Schedule,MATCH(TRIM($BV23),Products,0),MATCH(VLOOKUP(CB$3,tEnv[],3,FALSE),Envs,0))*GETPIVOTDATA(CELL("contents",$BV23),$BD$2,"Env Label",CB$3)</f>
        <v>0</v>
      </c>
      <c r="CC23" s="427">
        <f ca="1">INDEX(Product_Pricing_Schedule,MATCH(TRIM($BV23),Products,0),MATCH(VLOOKUP(CC$3,tEnv[],3,FALSE),Envs,0))*GETPIVOTDATA(CELL("contents",$BV23),$BD$2,"Env Label",CC$3)</f>
        <v>0</v>
      </c>
      <c r="CD23" s="427">
        <f ca="1">INDEX(Product_Pricing_Schedule,MATCH(TRIM($BV23),Products,0),MATCH(VLOOKUP(CD$3,tEnv[],3,FALSE),Envs,0))*GETPIVOTDATA(CELL("contents",$BV23),$BD$2,"Env Label",CD$3)</f>
        <v>0</v>
      </c>
      <c r="CE23" s="427">
        <f ca="1">INDEX(Product_Pricing_Schedule,MATCH(TRIM($BV23),Products,0),MATCH(VLOOKUP(CE$3,tEnv[],3,FALSE),Envs,0))*GETPIVOTDATA(CELL("contents",$BV23),$BD$2,"Env Label",CE$3)</f>
        <v>0</v>
      </c>
      <c r="CF23" s="427">
        <f ca="1">INDEX(Product_Pricing_Schedule,MATCH(TRIM($BV23),Products,0),MATCH(VLOOKUP(CF$3,tEnv[],3,FALSE),Envs,0))*GETPIVOTDATA(CELL("contents",$BV23),$BD$2,"Env Label",CF$3)</f>
        <v>0</v>
      </c>
      <c r="CG23" s="427">
        <f ca="1">INDEX(Product_Pricing_Schedule,MATCH(TRIM($BV23),Products,0),MATCH(VLOOKUP(CG$3,tEnv[],3,FALSE),Envs,0))*GETPIVOTDATA(CELL("contents",$BV23),$BD$2,"Env Label",CG$3)</f>
        <v>0</v>
      </c>
      <c r="CH23" s="427">
        <f ca="1">INDEX(Product_Pricing_Schedule,MATCH(TRIM($BV23),Products,0),MATCH(VLOOKUP(CH$3,tEnv[],3,FALSE),Envs,0))*GETPIVOTDATA(CELL("contents",$BV23),$BD$2,"Env Label",CH$3)</f>
        <v>0</v>
      </c>
      <c r="CI23" s="427">
        <f ca="1">INDEX(Product_Pricing_Schedule,MATCH(TRIM($BV23),Products,0),MATCH(VLOOKUP(CI$3,tEnv[],3,FALSE),Envs,0))*GETPIVOTDATA(CELL("contents",$BV23),$BD$2,"Env Label",CI$3)</f>
        <v>0</v>
      </c>
      <c r="CJ23" s="427">
        <f ca="1">INDEX(Product_Pricing_Schedule,MATCH(TRIM($BV23),Products,0),MATCH(VLOOKUP(CJ$3,tEnv[],3,FALSE),Envs,0))*GETPIVOTDATA(CELL("contents",$BV23),$BD$2,"Env Label",CJ$3)</f>
        <v>0</v>
      </c>
      <c r="CK23" s="427">
        <f ca="1">INDEX(Product_Pricing_Schedule,MATCH(TRIM($BV23),Products,0),MATCH(VLOOKUP(CK$3,tEnv[],3,FALSE),Envs,0))*GETPIVOTDATA(CELL("contents",$BV23),$BD$2,"Env Label",CK$3)</f>
        <v>0</v>
      </c>
      <c r="CL23" s="428">
        <f ca="1">SUM(AnnualSWCostByProdByEnv[[#This Row],[PROD]:[DEV]])</f>
        <v>0</v>
      </c>
      <c r="CN23" s="262" t="str">
        <f t="shared" si="1"/>
        <v xml:space="preserve">IBM WS VE (Node) </v>
      </c>
      <c r="CO23" s="262">
        <f t="shared" ca="1" si="3"/>
        <v>0</v>
      </c>
      <c r="CP23" s="262">
        <f t="shared" ca="1" si="3"/>
        <v>0</v>
      </c>
      <c r="CQ23" s="368">
        <f ca="1">INDEX(Maint_Pricing_Schedule,MATCH(TRIM($CN23),Products,0),MATCH(VLOOKUP(CQ$3,tEnv[],3,FALSE),Envs,0))*GETPIVOTDATA(CELL("contents",$CN23),$BD$2,"Env Label",CQ$3)</f>
        <v>0</v>
      </c>
      <c r="CR23" s="368">
        <f ca="1">INDEX(Maint_Pricing_Schedule,MATCH(TRIM($CN23),Products,0),MATCH(VLOOKUP(CR$3,tEnv[],3,FALSE),Envs,0))*GETPIVOTDATA(CELL("contents",$CN23),$BD$2,"Env Label",CR$3)</f>
        <v>0</v>
      </c>
      <c r="CS23" s="368">
        <f ca="1">INDEX(Maint_Pricing_Schedule,MATCH(TRIM($CN23),Products,0),MATCH(VLOOKUP(CS$3,tEnv[],3,FALSE),Envs,0))*GETPIVOTDATA(CELL("contents",$CN23),$BD$2,"Env Label",CS$3)</f>
        <v>0</v>
      </c>
      <c r="CT23" s="368">
        <f ca="1">INDEX(Maint_Pricing_Schedule,MATCH(TRIM($CN23),Products,0),MATCH(VLOOKUP(CT$3,tEnv[],3,FALSE),Envs,0))*GETPIVOTDATA(CELL("contents",$CN23),$BD$2,"Env Label",CT$3)</f>
        <v>0</v>
      </c>
      <c r="CU23" s="368">
        <f ca="1">INDEX(Maint_Pricing_Schedule,MATCH(TRIM($CN23),Products,0),MATCH(VLOOKUP(CU$3,tEnv[],3,FALSE),Envs,0))*GETPIVOTDATA(CELL("contents",$CN23),$BD$2,"Env Label",CU$3)</f>
        <v>0</v>
      </c>
      <c r="CV23" s="368">
        <f ca="1">INDEX(Maint_Pricing_Schedule,MATCH(TRIM($CN23),Products,0),MATCH(VLOOKUP(CV$3,tEnv[],3,FALSE),Envs,0))*GETPIVOTDATA(CELL("contents",$CN23),$BD$2,"Env Label",CV$3)</f>
        <v>0</v>
      </c>
      <c r="CW23" s="368">
        <f ca="1">INDEX(Maint_Pricing_Schedule,MATCH(TRIM($CN23),Products,0),MATCH(VLOOKUP(CW$3,tEnv[],3,FALSE),Envs,0))*GETPIVOTDATA(CELL("contents",$CN23),$BD$2,"Env Label",CW$3)</f>
        <v>0</v>
      </c>
      <c r="CX23" s="368">
        <f ca="1">INDEX(Maint_Pricing_Schedule,MATCH(TRIM($CN23),Products,0),MATCH(VLOOKUP(CX$3,tEnv[],3,FALSE),Envs,0))*GETPIVOTDATA(CELL("contents",$CN23),$BD$2,"Env Label",CX$3)</f>
        <v>0</v>
      </c>
      <c r="CY23" s="368">
        <f ca="1">INDEX(Maint_Pricing_Schedule,MATCH(TRIM($CN23),Products,0),MATCH(VLOOKUP(CY$3,tEnv[],3,FALSE),Envs,0))*GETPIVOTDATA(CELL("contents",$CN23),$BD$2,"Env Label",CY$3)</f>
        <v>0</v>
      </c>
      <c r="CZ23" s="368">
        <f ca="1">INDEX(Maint_Pricing_Schedule,MATCH(TRIM($CN23),Products,0),MATCH(VLOOKUP(CZ$3,tEnv[],3,FALSE),Envs,0))*GETPIVOTDATA(CELL("contents",$CN23),$BD$2,"Env Label",CZ$3)</f>
        <v>0</v>
      </c>
      <c r="DA23" s="368">
        <f ca="1">INDEX(Maint_Pricing_Schedule,MATCH(TRIM($CN23),Products,0),MATCH(VLOOKUP(DA$3,tEnv[],3,FALSE),Envs,0))*GETPIVOTDATA(CELL("contents",$CN23),$BD$2,"Env Label",DA$3)</f>
        <v>0</v>
      </c>
      <c r="DB23" s="368">
        <f ca="1">INDEX(Maint_Pricing_Schedule,MATCH(TRIM($CN23),Products,0),MATCH(VLOOKUP(DB$3,tEnv[],3,FALSE),Envs,0))*GETPIVOTDATA(CELL("contents",$CN23),$BD$2,"Env Label",DB$3)</f>
        <v>0</v>
      </c>
      <c r="DC23" s="368">
        <f ca="1">INDEX(Maint_Pricing_Schedule,MATCH(TRIM($CN23),Products,0),MATCH(VLOOKUP(DC$3,tEnv[],3,FALSE),Envs,0))*GETPIVOTDATA(CELL("contents",$CN23),$BD$2,"Env Label",DC$3)</f>
        <v>0</v>
      </c>
      <c r="DD23" s="369">
        <f ca="1">SUM(AnnualSWMaintCostByProdByEnv[[#This Row],[PROD]:[DEV]])</f>
        <v>0</v>
      </c>
    </row>
    <row r="24" spans="1:108">
      <c r="W24"/>
      <c r="X24"/>
      <c r="Y24" s="143"/>
      <c r="Z24" s="143"/>
      <c r="AE24"/>
      <c r="AF24"/>
      <c r="BD24" s="281" t="s">
        <v>191</v>
      </c>
      <c r="BE24" s="272">
        <v>0</v>
      </c>
      <c r="BF24" s="272">
        <v>0</v>
      </c>
      <c r="BG24" s="272">
        <v>0</v>
      </c>
      <c r="BH24" s="272">
        <v>0</v>
      </c>
      <c r="BI24" s="272">
        <v>0</v>
      </c>
      <c r="BJ24" s="272">
        <v>0</v>
      </c>
      <c r="BK24" s="272">
        <v>0</v>
      </c>
      <c r="BL24" s="272">
        <v>0</v>
      </c>
      <c r="BM24" s="272">
        <v>0</v>
      </c>
      <c r="BN24" s="272">
        <v>0</v>
      </c>
      <c r="BO24" s="272">
        <v>0</v>
      </c>
      <c r="BP24" s="272">
        <v>0</v>
      </c>
      <c r="BQ24" s="272">
        <v>0</v>
      </c>
      <c r="BR24" s="272">
        <v>0</v>
      </c>
      <c r="BS24" s="272">
        <v>0</v>
      </c>
      <c r="BT24" s="272">
        <v>0</v>
      </c>
      <c r="BV24" s="262" t="str">
        <f t="shared" si="0"/>
        <v xml:space="preserve">Kana (Both) </v>
      </c>
      <c r="BW24" s="262">
        <f t="shared" si="0"/>
        <v>0</v>
      </c>
      <c r="BX24" s="262">
        <f t="shared" si="0"/>
        <v>0</v>
      </c>
      <c r="BY24" s="427">
        <f ca="1">INDEX(Product_Pricing_Schedule,MATCH(TRIM($BV24),Products,0),MATCH(VLOOKUP(BY$3,tEnv[],3,FALSE),Envs,0))*GETPIVOTDATA(CELL("contents",$BV24),$BD$2,"Env Label",BY$3)</f>
        <v>0</v>
      </c>
      <c r="BZ24" s="427">
        <f ca="1">INDEX(Product_Pricing_Schedule,MATCH(TRIM($BV24),Products,0),MATCH(VLOOKUP(BZ$3,tEnv[],3,FALSE),Envs,0))*GETPIVOTDATA(CELL("contents",$BV24),$BD$2,"Env Label",BZ$3)</f>
        <v>0</v>
      </c>
      <c r="CA24" s="427">
        <f ca="1">INDEX(Product_Pricing_Schedule,MATCH(TRIM($BV24),Products,0),MATCH(VLOOKUP(CA$3,tEnv[],3,FALSE),Envs,0))*GETPIVOTDATA(CELL("contents",$BV24),$BD$2,"Env Label",CA$3)</f>
        <v>0</v>
      </c>
      <c r="CB24" s="427">
        <f ca="1">INDEX(Product_Pricing_Schedule,MATCH(TRIM($BV24),Products,0),MATCH(VLOOKUP(CB$3,tEnv[],3,FALSE),Envs,0))*GETPIVOTDATA(CELL("contents",$BV24),$BD$2,"Env Label",CB$3)</f>
        <v>0</v>
      </c>
      <c r="CC24" s="427">
        <f ca="1">INDEX(Product_Pricing_Schedule,MATCH(TRIM($BV24),Products,0),MATCH(VLOOKUP(CC$3,tEnv[],3,FALSE),Envs,0))*GETPIVOTDATA(CELL("contents",$BV24),$BD$2,"Env Label",CC$3)</f>
        <v>0</v>
      </c>
      <c r="CD24" s="427">
        <f ca="1">INDEX(Product_Pricing_Schedule,MATCH(TRIM($BV24),Products,0),MATCH(VLOOKUP(CD$3,tEnv[],3,FALSE),Envs,0))*GETPIVOTDATA(CELL("contents",$BV24),$BD$2,"Env Label",CD$3)</f>
        <v>0</v>
      </c>
      <c r="CE24" s="427">
        <f ca="1">INDEX(Product_Pricing_Schedule,MATCH(TRIM($BV24),Products,0),MATCH(VLOOKUP(CE$3,tEnv[],3,FALSE),Envs,0))*GETPIVOTDATA(CELL("contents",$BV24),$BD$2,"Env Label",CE$3)</f>
        <v>0</v>
      </c>
      <c r="CF24" s="427">
        <f ca="1">INDEX(Product_Pricing_Schedule,MATCH(TRIM($BV24),Products,0),MATCH(VLOOKUP(CF$3,tEnv[],3,FALSE),Envs,0))*GETPIVOTDATA(CELL("contents",$BV24),$BD$2,"Env Label",CF$3)</f>
        <v>0</v>
      </c>
      <c r="CG24" s="427">
        <f ca="1">INDEX(Product_Pricing_Schedule,MATCH(TRIM($BV24),Products,0),MATCH(VLOOKUP(CG$3,tEnv[],3,FALSE),Envs,0))*GETPIVOTDATA(CELL("contents",$BV24),$BD$2,"Env Label",CG$3)</f>
        <v>0</v>
      </c>
      <c r="CH24" s="427">
        <f ca="1">INDEX(Product_Pricing_Schedule,MATCH(TRIM($BV24),Products,0),MATCH(VLOOKUP(CH$3,tEnv[],3,FALSE),Envs,0))*GETPIVOTDATA(CELL("contents",$BV24),$BD$2,"Env Label",CH$3)</f>
        <v>0</v>
      </c>
      <c r="CI24" s="427">
        <f ca="1">INDEX(Product_Pricing_Schedule,MATCH(TRIM($BV24),Products,0),MATCH(VLOOKUP(CI$3,tEnv[],3,FALSE),Envs,0))*GETPIVOTDATA(CELL("contents",$BV24),$BD$2,"Env Label",CI$3)</f>
        <v>0</v>
      </c>
      <c r="CJ24" s="427">
        <f ca="1">INDEX(Product_Pricing_Schedule,MATCH(TRIM($BV24),Products,0),MATCH(VLOOKUP(CJ$3,tEnv[],3,FALSE),Envs,0))*GETPIVOTDATA(CELL("contents",$BV24),$BD$2,"Env Label",CJ$3)</f>
        <v>0</v>
      </c>
      <c r="CK24" s="427">
        <f ca="1">INDEX(Product_Pricing_Schedule,MATCH(TRIM($BV24),Products,0),MATCH(VLOOKUP(CK$3,tEnv[],3,FALSE),Envs,0))*GETPIVOTDATA(CELL("contents",$BV24),$BD$2,"Env Label",CK$3)</f>
        <v>0</v>
      </c>
      <c r="CL24" s="428">
        <f ca="1">SUM(AnnualSWCostByProdByEnv[[#This Row],[PROD]:[DEV]])</f>
        <v>0</v>
      </c>
      <c r="CN24" s="262" t="str">
        <f t="shared" si="1"/>
        <v xml:space="preserve">Kana (Both) </v>
      </c>
      <c r="CO24" s="262">
        <f t="shared" ca="1" si="3"/>
        <v>0</v>
      </c>
      <c r="CP24" s="262">
        <f t="shared" ca="1" si="3"/>
        <v>0</v>
      </c>
      <c r="CQ24" s="368">
        <f ca="1">INDEX(Maint_Pricing_Schedule,MATCH(TRIM($CN24),Products,0),MATCH(VLOOKUP(CQ$3,tEnv[],3,FALSE),Envs,0))*GETPIVOTDATA(CELL("contents",$CN24),$BD$2,"Env Label",CQ$3)</f>
        <v>0</v>
      </c>
      <c r="CR24" s="368">
        <f ca="1">INDEX(Maint_Pricing_Schedule,MATCH(TRIM($CN24),Products,0),MATCH(VLOOKUP(CR$3,tEnv[],3,FALSE),Envs,0))*GETPIVOTDATA(CELL("contents",$CN24),$BD$2,"Env Label",CR$3)</f>
        <v>0</v>
      </c>
      <c r="CS24" s="368">
        <f ca="1">INDEX(Maint_Pricing_Schedule,MATCH(TRIM($CN24),Products,0),MATCH(VLOOKUP(CS$3,tEnv[],3,FALSE),Envs,0))*GETPIVOTDATA(CELL("contents",$CN24),$BD$2,"Env Label",CS$3)</f>
        <v>0</v>
      </c>
      <c r="CT24" s="368">
        <f ca="1">INDEX(Maint_Pricing_Schedule,MATCH(TRIM($CN24),Products,0),MATCH(VLOOKUP(CT$3,tEnv[],3,FALSE),Envs,0))*GETPIVOTDATA(CELL("contents",$CN24),$BD$2,"Env Label",CT$3)</f>
        <v>0</v>
      </c>
      <c r="CU24" s="368">
        <f ca="1">INDEX(Maint_Pricing_Schedule,MATCH(TRIM($CN24),Products,0),MATCH(VLOOKUP(CU$3,tEnv[],3,FALSE),Envs,0))*GETPIVOTDATA(CELL("contents",$CN24),$BD$2,"Env Label",CU$3)</f>
        <v>0</v>
      </c>
      <c r="CV24" s="368">
        <f ca="1">INDEX(Maint_Pricing_Schedule,MATCH(TRIM($CN24),Products,0),MATCH(VLOOKUP(CV$3,tEnv[],3,FALSE),Envs,0))*GETPIVOTDATA(CELL("contents",$CN24),$BD$2,"Env Label",CV$3)</f>
        <v>0</v>
      </c>
      <c r="CW24" s="368">
        <f ca="1">INDEX(Maint_Pricing_Schedule,MATCH(TRIM($CN24),Products,0),MATCH(VLOOKUP(CW$3,tEnv[],3,FALSE),Envs,0))*GETPIVOTDATA(CELL("contents",$CN24),$BD$2,"Env Label",CW$3)</f>
        <v>0</v>
      </c>
      <c r="CX24" s="368">
        <f ca="1">INDEX(Maint_Pricing_Schedule,MATCH(TRIM($CN24),Products,0),MATCH(VLOOKUP(CX$3,tEnv[],3,FALSE),Envs,0))*GETPIVOTDATA(CELL("contents",$CN24),$BD$2,"Env Label",CX$3)</f>
        <v>0</v>
      </c>
      <c r="CY24" s="368">
        <f ca="1">INDEX(Maint_Pricing_Schedule,MATCH(TRIM($CN24),Products,0),MATCH(VLOOKUP(CY$3,tEnv[],3,FALSE),Envs,0))*GETPIVOTDATA(CELL("contents",$CN24),$BD$2,"Env Label",CY$3)</f>
        <v>0</v>
      </c>
      <c r="CZ24" s="368">
        <f ca="1">INDEX(Maint_Pricing_Schedule,MATCH(TRIM($CN24),Products,0),MATCH(VLOOKUP(CZ$3,tEnv[],3,FALSE),Envs,0))*GETPIVOTDATA(CELL("contents",$CN24),$BD$2,"Env Label",CZ$3)</f>
        <v>0</v>
      </c>
      <c r="DA24" s="368">
        <f ca="1">INDEX(Maint_Pricing_Schedule,MATCH(TRIM($CN24),Products,0),MATCH(VLOOKUP(DA$3,tEnv[],3,FALSE),Envs,0))*GETPIVOTDATA(CELL("contents",$CN24),$BD$2,"Env Label",DA$3)</f>
        <v>0</v>
      </c>
      <c r="DB24" s="368">
        <f ca="1">INDEX(Maint_Pricing_Schedule,MATCH(TRIM($CN24),Products,0),MATCH(VLOOKUP(DB$3,tEnv[],3,FALSE),Envs,0))*GETPIVOTDATA(CELL("contents",$CN24),$BD$2,"Env Label",DB$3)</f>
        <v>0</v>
      </c>
      <c r="DC24" s="368">
        <f ca="1">INDEX(Maint_Pricing_Schedule,MATCH(TRIM($CN24),Products,0),MATCH(VLOOKUP(DC$3,tEnv[],3,FALSE),Envs,0))*GETPIVOTDATA(CELL("contents",$CN24),$BD$2,"Env Label",DC$3)</f>
        <v>0</v>
      </c>
      <c r="DD24" s="369">
        <f ca="1">SUM(AnnualSWMaintCostByProdByEnv[[#This Row],[PROD]:[DEV]])</f>
        <v>0</v>
      </c>
    </row>
    <row r="25" spans="1:108">
      <c r="W25"/>
      <c r="X25"/>
      <c r="Y25" s="143"/>
      <c r="Z25" s="143"/>
      <c r="AE25"/>
      <c r="AF25"/>
      <c r="BD25" s="281" t="s">
        <v>2352</v>
      </c>
      <c r="BE25" s="272">
        <v>0</v>
      </c>
      <c r="BF25" s="272">
        <v>0</v>
      </c>
      <c r="BG25" s="272">
        <v>0</v>
      </c>
      <c r="BH25" s="272">
        <v>0</v>
      </c>
      <c r="BI25" s="272">
        <v>0</v>
      </c>
      <c r="BJ25" s="272">
        <v>0</v>
      </c>
      <c r="BK25" s="272">
        <v>0</v>
      </c>
      <c r="BL25" s="272">
        <v>0</v>
      </c>
      <c r="BM25" s="272">
        <v>0</v>
      </c>
      <c r="BN25" s="272">
        <v>0</v>
      </c>
      <c r="BO25" s="272">
        <v>0</v>
      </c>
      <c r="BP25" s="272">
        <v>0</v>
      </c>
      <c r="BQ25" s="272">
        <v>0</v>
      </c>
      <c r="BR25" s="272">
        <v>0</v>
      </c>
      <c r="BS25" s="272">
        <v>0</v>
      </c>
      <c r="BT25" s="272">
        <v>0</v>
      </c>
      <c r="BV25" s="262" t="str">
        <f t="shared" si="0"/>
        <v xml:space="preserve">MS SQL EE (Ext) </v>
      </c>
      <c r="BW25" s="262">
        <f t="shared" si="0"/>
        <v>0</v>
      </c>
      <c r="BX25" s="262">
        <f t="shared" si="0"/>
        <v>0</v>
      </c>
      <c r="BY25" s="427">
        <f ca="1">INDEX(Product_Pricing_Schedule,MATCH(TRIM($BV25),Products,0),MATCH(VLOOKUP(BY$3,tEnv[],3,FALSE),Envs,0))*GETPIVOTDATA(CELL("contents",$BV25),$BD$2,"Env Label",BY$3)</f>
        <v>0</v>
      </c>
      <c r="BZ25" s="427">
        <f ca="1">INDEX(Product_Pricing_Schedule,MATCH(TRIM($BV25),Products,0),MATCH(VLOOKUP(BZ$3,tEnv[],3,FALSE),Envs,0))*GETPIVOTDATA(CELL("contents",$BV25),$BD$2,"Env Label",BZ$3)</f>
        <v>0</v>
      </c>
      <c r="CA25" s="427">
        <f ca="1">INDEX(Product_Pricing_Schedule,MATCH(TRIM($BV25),Products,0),MATCH(VLOOKUP(CA$3,tEnv[],3,FALSE),Envs,0))*GETPIVOTDATA(CELL("contents",$BV25),$BD$2,"Env Label",CA$3)</f>
        <v>0</v>
      </c>
      <c r="CB25" s="427">
        <f ca="1">INDEX(Product_Pricing_Schedule,MATCH(TRIM($BV25),Products,0),MATCH(VLOOKUP(CB$3,tEnv[],3,FALSE),Envs,0))*GETPIVOTDATA(CELL("contents",$BV25),$BD$2,"Env Label",CB$3)</f>
        <v>0</v>
      </c>
      <c r="CC25" s="427">
        <f ca="1">INDEX(Product_Pricing_Schedule,MATCH(TRIM($BV25),Products,0),MATCH(VLOOKUP(CC$3,tEnv[],3,FALSE),Envs,0))*GETPIVOTDATA(CELL("contents",$BV25),$BD$2,"Env Label",CC$3)</f>
        <v>0</v>
      </c>
      <c r="CD25" s="427">
        <f ca="1">INDEX(Product_Pricing_Schedule,MATCH(TRIM($BV25),Products,0),MATCH(VLOOKUP(CD$3,tEnv[],3,FALSE),Envs,0))*GETPIVOTDATA(CELL("contents",$BV25),$BD$2,"Env Label",CD$3)</f>
        <v>0</v>
      </c>
      <c r="CE25" s="427">
        <f ca="1">INDEX(Product_Pricing_Schedule,MATCH(TRIM($BV25),Products,0),MATCH(VLOOKUP(CE$3,tEnv[],3,FALSE),Envs,0))*GETPIVOTDATA(CELL("contents",$BV25),$BD$2,"Env Label",CE$3)</f>
        <v>0</v>
      </c>
      <c r="CF25" s="427">
        <f ca="1">INDEX(Product_Pricing_Schedule,MATCH(TRIM($BV25),Products,0),MATCH(VLOOKUP(CF$3,tEnv[],3,FALSE),Envs,0))*GETPIVOTDATA(CELL("contents",$BV25),$BD$2,"Env Label",CF$3)</f>
        <v>0</v>
      </c>
      <c r="CG25" s="427">
        <f ca="1">INDEX(Product_Pricing_Schedule,MATCH(TRIM($BV25),Products,0),MATCH(VLOOKUP(CG$3,tEnv[],3,FALSE),Envs,0))*GETPIVOTDATA(CELL("contents",$BV25),$BD$2,"Env Label",CG$3)</f>
        <v>0</v>
      </c>
      <c r="CH25" s="427">
        <f ca="1">INDEX(Product_Pricing_Schedule,MATCH(TRIM($BV25),Products,0),MATCH(VLOOKUP(CH$3,tEnv[],3,FALSE),Envs,0))*GETPIVOTDATA(CELL("contents",$BV25),$BD$2,"Env Label",CH$3)</f>
        <v>0</v>
      </c>
      <c r="CI25" s="427">
        <f ca="1">INDEX(Product_Pricing_Schedule,MATCH(TRIM($BV25),Products,0),MATCH(VLOOKUP(CI$3,tEnv[],3,FALSE),Envs,0))*GETPIVOTDATA(CELL("contents",$BV25),$BD$2,"Env Label",CI$3)</f>
        <v>0</v>
      </c>
      <c r="CJ25" s="427">
        <f ca="1">INDEX(Product_Pricing_Schedule,MATCH(TRIM($BV25),Products,0),MATCH(VLOOKUP(CJ$3,tEnv[],3,FALSE),Envs,0))*GETPIVOTDATA(CELL("contents",$BV25),$BD$2,"Env Label",CJ$3)</f>
        <v>0</v>
      </c>
      <c r="CK25" s="427">
        <f ca="1">INDEX(Product_Pricing_Schedule,MATCH(TRIM($BV25),Products,0),MATCH(VLOOKUP(CK$3,tEnv[],3,FALSE),Envs,0))*GETPIVOTDATA(CELL("contents",$BV25),$BD$2,"Env Label",CK$3)</f>
        <v>0</v>
      </c>
      <c r="CL25" s="428">
        <f ca="1">SUM(AnnualSWCostByProdByEnv[[#This Row],[PROD]:[DEV]])</f>
        <v>0</v>
      </c>
      <c r="CN25" s="262" t="str">
        <f t="shared" si="1"/>
        <v xml:space="preserve">MS SQL EE (Ext) </v>
      </c>
      <c r="CO25" s="262">
        <f t="shared" ca="1" si="3"/>
        <v>0</v>
      </c>
      <c r="CP25" s="262">
        <f t="shared" ca="1" si="3"/>
        <v>0</v>
      </c>
      <c r="CQ25" s="368">
        <f ca="1">INDEX(Maint_Pricing_Schedule,MATCH(TRIM($CN25),Products,0),MATCH(VLOOKUP(CQ$3,tEnv[],3,FALSE),Envs,0))*GETPIVOTDATA(CELL("contents",$CN25),$BD$2,"Env Label",CQ$3)</f>
        <v>0</v>
      </c>
      <c r="CR25" s="368">
        <f ca="1">INDEX(Maint_Pricing_Schedule,MATCH(TRIM($CN25),Products,0),MATCH(VLOOKUP(CR$3,tEnv[],3,FALSE),Envs,0))*GETPIVOTDATA(CELL("contents",$CN25),$BD$2,"Env Label",CR$3)</f>
        <v>0</v>
      </c>
      <c r="CS25" s="368">
        <f ca="1">INDEX(Maint_Pricing_Schedule,MATCH(TRIM($CN25),Products,0),MATCH(VLOOKUP(CS$3,tEnv[],3,FALSE),Envs,0))*GETPIVOTDATA(CELL("contents",$CN25),$BD$2,"Env Label",CS$3)</f>
        <v>0</v>
      </c>
      <c r="CT25" s="368">
        <f ca="1">INDEX(Maint_Pricing_Schedule,MATCH(TRIM($CN25),Products,0),MATCH(VLOOKUP(CT$3,tEnv[],3,FALSE),Envs,0))*GETPIVOTDATA(CELL("contents",$CN25),$BD$2,"Env Label",CT$3)</f>
        <v>0</v>
      </c>
      <c r="CU25" s="368">
        <f ca="1">INDEX(Maint_Pricing_Schedule,MATCH(TRIM($CN25),Products,0),MATCH(VLOOKUP(CU$3,tEnv[],3,FALSE),Envs,0))*GETPIVOTDATA(CELL("contents",$CN25),$BD$2,"Env Label",CU$3)</f>
        <v>0</v>
      </c>
      <c r="CV25" s="368">
        <f ca="1">INDEX(Maint_Pricing_Schedule,MATCH(TRIM($CN25),Products,0),MATCH(VLOOKUP(CV$3,tEnv[],3,FALSE),Envs,0))*GETPIVOTDATA(CELL("contents",$CN25),$BD$2,"Env Label",CV$3)</f>
        <v>0</v>
      </c>
      <c r="CW25" s="368">
        <f ca="1">INDEX(Maint_Pricing_Schedule,MATCH(TRIM($CN25),Products,0),MATCH(VLOOKUP(CW$3,tEnv[],3,FALSE),Envs,0))*GETPIVOTDATA(CELL("contents",$CN25),$BD$2,"Env Label",CW$3)</f>
        <v>0</v>
      </c>
      <c r="CX25" s="368">
        <f ca="1">INDEX(Maint_Pricing_Schedule,MATCH(TRIM($CN25),Products,0),MATCH(VLOOKUP(CX$3,tEnv[],3,FALSE),Envs,0))*GETPIVOTDATA(CELL("contents",$CN25),$BD$2,"Env Label",CX$3)</f>
        <v>0</v>
      </c>
      <c r="CY25" s="368">
        <f ca="1">INDEX(Maint_Pricing_Schedule,MATCH(TRIM($CN25),Products,0),MATCH(VLOOKUP(CY$3,tEnv[],3,FALSE),Envs,0))*GETPIVOTDATA(CELL("contents",$CN25),$BD$2,"Env Label",CY$3)</f>
        <v>0</v>
      </c>
      <c r="CZ25" s="368">
        <f ca="1">INDEX(Maint_Pricing_Schedule,MATCH(TRIM($CN25),Products,0),MATCH(VLOOKUP(CZ$3,tEnv[],3,FALSE),Envs,0))*GETPIVOTDATA(CELL("contents",$CN25),$BD$2,"Env Label",CZ$3)</f>
        <v>0</v>
      </c>
      <c r="DA25" s="368">
        <f ca="1">INDEX(Maint_Pricing_Schedule,MATCH(TRIM($CN25),Products,0),MATCH(VLOOKUP(DA$3,tEnv[],3,FALSE),Envs,0))*GETPIVOTDATA(CELL("contents",$CN25),$BD$2,"Env Label",DA$3)</f>
        <v>0</v>
      </c>
      <c r="DB25" s="368">
        <f ca="1">INDEX(Maint_Pricing_Schedule,MATCH(TRIM($CN25),Products,0),MATCH(VLOOKUP(DB$3,tEnv[],3,FALSE),Envs,0))*GETPIVOTDATA(CELL("contents",$CN25),$BD$2,"Env Label",DB$3)</f>
        <v>0</v>
      </c>
      <c r="DC25" s="368">
        <f ca="1">INDEX(Maint_Pricing_Schedule,MATCH(TRIM($CN25),Products,0),MATCH(VLOOKUP(DC$3,tEnv[],3,FALSE),Envs,0))*GETPIVOTDATA(CELL("contents",$CN25),$BD$2,"Env Label",DC$3)</f>
        <v>0</v>
      </c>
      <c r="DD25" s="369">
        <f ca="1">SUM(AnnualSWMaintCostByProdByEnv[[#This Row],[PROD]:[DEV]])</f>
        <v>0</v>
      </c>
    </row>
    <row r="26" spans="1:108">
      <c r="W26"/>
      <c r="X26"/>
      <c r="Y26" s="143"/>
      <c r="Z26" s="143"/>
      <c r="AE26"/>
      <c r="AF26"/>
      <c r="BD26" s="281" t="s">
        <v>2353</v>
      </c>
      <c r="BE26" s="272">
        <v>0</v>
      </c>
      <c r="BF26" s="272">
        <v>0</v>
      </c>
      <c r="BG26" s="272">
        <v>0</v>
      </c>
      <c r="BH26" s="272">
        <v>0</v>
      </c>
      <c r="BI26" s="272">
        <v>0</v>
      </c>
      <c r="BJ26" s="272">
        <v>0</v>
      </c>
      <c r="BK26" s="272">
        <v>0</v>
      </c>
      <c r="BL26" s="272">
        <v>0</v>
      </c>
      <c r="BM26" s="272">
        <v>0</v>
      </c>
      <c r="BN26" s="272">
        <v>0</v>
      </c>
      <c r="BO26" s="272">
        <v>0</v>
      </c>
      <c r="BP26" s="272">
        <v>0</v>
      </c>
      <c r="BQ26" s="272">
        <v>0</v>
      </c>
      <c r="BR26" s="272">
        <v>0</v>
      </c>
      <c r="BS26" s="272">
        <v>0</v>
      </c>
      <c r="BT26" s="272">
        <v>0</v>
      </c>
      <c r="BV26" s="262" t="str">
        <f t="shared" si="0"/>
        <v xml:space="preserve">MS SQL EE (Int) </v>
      </c>
      <c r="BW26" s="262">
        <f t="shared" si="0"/>
        <v>0</v>
      </c>
      <c r="BX26" s="262">
        <f t="shared" si="0"/>
        <v>0</v>
      </c>
      <c r="BY26" s="427">
        <f ca="1">INDEX(Product_Pricing_Schedule,MATCH(TRIM($BV26),Products,0),MATCH(VLOOKUP(BY$3,tEnv[],3,FALSE),Envs,0))*GETPIVOTDATA(CELL("contents",$BV26),$BD$2,"Env Label",BY$3)</f>
        <v>0</v>
      </c>
      <c r="BZ26" s="427">
        <f ca="1">INDEX(Product_Pricing_Schedule,MATCH(TRIM($BV26),Products,0),MATCH(VLOOKUP(BZ$3,tEnv[],3,FALSE),Envs,0))*GETPIVOTDATA(CELL("contents",$BV26),$BD$2,"Env Label",BZ$3)</f>
        <v>0</v>
      </c>
      <c r="CA26" s="427">
        <f ca="1">INDEX(Product_Pricing_Schedule,MATCH(TRIM($BV26),Products,0),MATCH(VLOOKUP(CA$3,tEnv[],3,FALSE),Envs,0))*GETPIVOTDATA(CELL("contents",$BV26),$BD$2,"Env Label",CA$3)</f>
        <v>0</v>
      </c>
      <c r="CB26" s="427">
        <f ca="1">INDEX(Product_Pricing_Schedule,MATCH(TRIM($BV26),Products,0),MATCH(VLOOKUP(CB$3,tEnv[],3,FALSE),Envs,0))*GETPIVOTDATA(CELL("contents",$BV26),$BD$2,"Env Label",CB$3)</f>
        <v>0</v>
      </c>
      <c r="CC26" s="427">
        <f ca="1">INDEX(Product_Pricing_Schedule,MATCH(TRIM($BV26),Products,0),MATCH(VLOOKUP(CC$3,tEnv[],3,FALSE),Envs,0))*GETPIVOTDATA(CELL("contents",$BV26),$BD$2,"Env Label",CC$3)</f>
        <v>0</v>
      </c>
      <c r="CD26" s="427">
        <f ca="1">INDEX(Product_Pricing_Schedule,MATCH(TRIM($BV26),Products,0),MATCH(VLOOKUP(CD$3,tEnv[],3,FALSE),Envs,0))*GETPIVOTDATA(CELL("contents",$BV26),$BD$2,"Env Label",CD$3)</f>
        <v>0</v>
      </c>
      <c r="CE26" s="427">
        <f ca="1">INDEX(Product_Pricing_Schedule,MATCH(TRIM($BV26),Products,0),MATCH(VLOOKUP(CE$3,tEnv[],3,FALSE),Envs,0))*GETPIVOTDATA(CELL("contents",$BV26),$BD$2,"Env Label",CE$3)</f>
        <v>0</v>
      </c>
      <c r="CF26" s="427">
        <f ca="1">INDEX(Product_Pricing_Schedule,MATCH(TRIM($BV26),Products,0),MATCH(VLOOKUP(CF$3,tEnv[],3,FALSE),Envs,0))*GETPIVOTDATA(CELL("contents",$BV26),$BD$2,"Env Label",CF$3)</f>
        <v>0</v>
      </c>
      <c r="CG26" s="427">
        <f ca="1">INDEX(Product_Pricing_Schedule,MATCH(TRIM($BV26),Products,0),MATCH(VLOOKUP(CG$3,tEnv[],3,FALSE),Envs,0))*GETPIVOTDATA(CELL("contents",$BV26),$BD$2,"Env Label",CG$3)</f>
        <v>0</v>
      </c>
      <c r="CH26" s="427">
        <f ca="1">INDEX(Product_Pricing_Schedule,MATCH(TRIM($BV26),Products,0),MATCH(VLOOKUP(CH$3,tEnv[],3,FALSE),Envs,0))*GETPIVOTDATA(CELL("contents",$BV26),$BD$2,"Env Label",CH$3)</f>
        <v>0</v>
      </c>
      <c r="CI26" s="427">
        <f ca="1">INDEX(Product_Pricing_Schedule,MATCH(TRIM($BV26),Products,0),MATCH(VLOOKUP(CI$3,tEnv[],3,FALSE),Envs,0))*GETPIVOTDATA(CELL("contents",$BV26),$BD$2,"Env Label",CI$3)</f>
        <v>0</v>
      </c>
      <c r="CJ26" s="427">
        <f ca="1">INDEX(Product_Pricing_Schedule,MATCH(TRIM($BV26),Products,0),MATCH(VLOOKUP(CJ$3,tEnv[],3,FALSE),Envs,0))*GETPIVOTDATA(CELL("contents",$BV26),$BD$2,"Env Label",CJ$3)</f>
        <v>0</v>
      </c>
      <c r="CK26" s="427">
        <f ca="1">INDEX(Product_Pricing_Schedule,MATCH(TRIM($BV26),Products,0),MATCH(VLOOKUP(CK$3,tEnv[],3,FALSE),Envs,0))*GETPIVOTDATA(CELL("contents",$BV26),$BD$2,"Env Label",CK$3)</f>
        <v>0</v>
      </c>
      <c r="CL26" s="428">
        <f ca="1">SUM(AnnualSWCostByProdByEnv[[#This Row],[PROD]:[DEV]])</f>
        <v>0</v>
      </c>
      <c r="CN26" s="262" t="str">
        <f t="shared" si="1"/>
        <v xml:space="preserve">MS SQL EE (Int) </v>
      </c>
      <c r="CO26" s="262">
        <f t="shared" ca="1" si="3"/>
        <v>0</v>
      </c>
      <c r="CP26" s="262">
        <f t="shared" ca="1" si="3"/>
        <v>0</v>
      </c>
      <c r="CQ26" s="368">
        <f ca="1">INDEX(Maint_Pricing_Schedule,MATCH(TRIM($CN26),Products,0),MATCH(VLOOKUP(CQ$3,tEnv[],3,FALSE),Envs,0))*GETPIVOTDATA(CELL("contents",$CN26),$BD$2,"Env Label",CQ$3)</f>
        <v>0</v>
      </c>
      <c r="CR26" s="368">
        <f ca="1">INDEX(Maint_Pricing_Schedule,MATCH(TRIM($CN26),Products,0),MATCH(VLOOKUP(CR$3,tEnv[],3,FALSE),Envs,0))*GETPIVOTDATA(CELL("contents",$CN26),$BD$2,"Env Label",CR$3)</f>
        <v>0</v>
      </c>
      <c r="CS26" s="368">
        <f ca="1">INDEX(Maint_Pricing_Schedule,MATCH(TRIM($CN26),Products,0),MATCH(VLOOKUP(CS$3,tEnv[],3,FALSE),Envs,0))*GETPIVOTDATA(CELL("contents",$CN26),$BD$2,"Env Label",CS$3)</f>
        <v>0</v>
      </c>
      <c r="CT26" s="368">
        <f ca="1">INDEX(Maint_Pricing_Schedule,MATCH(TRIM($CN26),Products,0),MATCH(VLOOKUP(CT$3,tEnv[],3,FALSE),Envs,0))*GETPIVOTDATA(CELL("contents",$CN26),$BD$2,"Env Label",CT$3)</f>
        <v>0</v>
      </c>
      <c r="CU26" s="368">
        <f ca="1">INDEX(Maint_Pricing_Schedule,MATCH(TRIM($CN26),Products,0),MATCH(VLOOKUP(CU$3,tEnv[],3,FALSE),Envs,0))*GETPIVOTDATA(CELL("contents",$CN26),$BD$2,"Env Label",CU$3)</f>
        <v>0</v>
      </c>
      <c r="CV26" s="368">
        <f ca="1">INDEX(Maint_Pricing_Schedule,MATCH(TRIM($CN26),Products,0),MATCH(VLOOKUP(CV$3,tEnv[],3,FALSE),Envs,0))*GETPIVOTDATA(CELL("contents",$CN26),$BD$2,"Env Label",CV$3)</f>
        <v>0</v>
      </c>
      <c r="CW26" s="368">
        <f ca="1">INDEX(Maint_Pricing_Schedule,MATCH(TRIM($CN26),Products,0),MATCH(VLOOKUP(CW$3,tEnv[],3,FALSE),Envs,0))*GETPIVOTDATA(CELL("contents",$CN26),$BD$2,"Env Label",CW$3)</f>
        <v>0</v>
      </c>
      <c r="CX26" s="368">
        <f ca="1">INDEX(Maint_Pricing_Schedule,MATCH(TRIM($CN26),Products,0),MATCH(VLOOKUP(CX$3,tEnv[],3,FALSE),Envs,0))*GETPIVOTDATA(CELL("contents",$CN26),$BD$2,"Env Label",CX$3)</f>
        <v>0</v>
      </c>
      <c r="CY26" s="368">
        <f ca="1">INDEX(Maint_Pricing_Schedule,MATCH(TRIM($CN26),Products,0),MATCH(VLOOKUP(CY$3,tEnv[],3,FALSE),Envs,0))*GETPIVOTDATA(CELL("contents",$CN26),$BD$2,"Env Label",CY$3)</f>
        <v>0</v>
      </c>
      <c r="CZ26" s="368">
        <f ca="1">INDEX(Maint_Pricing_Schedule,MATCH(TRIM($CN26),Products,0),MATCH(VLOOKUP(CZ$3,tEnv[],3,FALSE),Envs,0))*GETPIVOTDATA(CELL("contents",$CN26),$BD$2,"Env Label",CZ$3)</f>
        <v>0</v>
      </c>
      <c r="DA26" s="368">
        <f ca="1">INDEX(Maint_Pricing_Schedule,MATCH(TRIM($CN26),Products,0),MATCH(VLOOKUP(DA$3,tEnv[],3,FALSE),Envs,0))*GETPIVOTDATA(CELL("contents",$CN26),$BD$2,"Env Label",DA$3)</f>
        <v>0</v>
      </c>
      <c r="DB26" s="368">
        <f ca="1">INDEX(Maint_Pricing_Schedule,MATCH(TRIM($CN26),Products,0),MATCH(VLOOKUP(DB$3,tEnv[],3,FALSE),Envs,0))*GETPIVOTDATA(CELL("contents",$CN26),$BD$2,"Env Label",DB$3)</f>
        <v>0</v>
      </c>
      <c r="DC26" s="368">
        <f ca="1">INDEX(Maint_Pricing_Schedule,MATCH(TRIM($CN26),Products,0),MATCH(VLOOKUP(DC$3,tEnv[],3,FALSE),Envs,0))*GETPIVOTDATA(CELL("contents",$CN26),$BD$2,"Env Label",DC$3)</f>
        <v>0</v>
      </c>
      <c r="DD26" s="369">
        <f ca="1">SUM(AnnualSWMaintCostByProdByEnv[[#This Row],[PROD]:[DEV]])</f>
        <v>0</v>
      </c>
    </row>
    <row r="27" spans="1:108">
      <c r="W27"/>
      <c r="X27"/>
      <c r="Y27" s="143"/>
      <c r="Z27" s="143"/>
      <c r="AE27"/>
      <c r="AF27"/>
      <c r="BD27" s="281" t="s">
        <v>2354</v>
      </c>
      <c r="BE27" s="272">
        <v>0</v>
      </c>
      <c r="BF27" s="272">
        <v>0</v>
      </c>
      <c r="BG27" s="272">
        <v>0</v>
      </c>
      <c r="BH27" s="272">
        <v>0</v>
      </c>
      <c r="BI27" s="272">
        <v>0</v>
      </c>
      <c r="BJ27" s="272">
        <v>0</v>
      </c>
      <c r="BK27" s="272">
        <v>0</v>
      </c>
      <c r="BL27" s="272">
        <v>0</v>
      </c>
      <c r="BM27" s="272">
        <v>0</v>
      </c>
      <c r="BN27" s="272">
        <v>0</v>
      </c>
      <c r="BO27" s="272">
        <v>0</v>
      </c>
      <c r="BP27" s="272">
        <v>0</v>
      </c>
      <c r="BQ27" s="272">
        <v>0</v>
      </c>
      <c r="BR27" s="272">
        <v>0</v>
      </c>
      <c r="BS27" s="272">
        <v>0</v>
      </c>
      <c r="BT27" s="272">
        <v>0</v>
      </c>
      <c r="BV27" s="262" t="str">
        <f t="shared" si="0"/>
        <v xml:space="preserve">MS SQL SE (Ext) </v>
      </c>
      <c r="BW27" s="262">
        <f t="shared" si="0"/>
        <v>0</v>
      </c>
      <c r="BX27" s="262">
        <f t="shared" si="0"/>
        <v>0</v>
      </c>
      <c r="BY27" s="427">
        <f ca="1">INDEX(Product_Pricing_Schedule,MATCH(TRIM($BV27),Products,0),MATCH(VLOOKUP(BY$3,tEnv[],3,FALSE),Envs,0))*GETPIVOTDATA(CELL("contents",$BV27),$BD$2,"Env Label",BY$3)</f>
        <v>0</v>
      </c>
      <c r="BZ27" s="427">
        <f ca="1">INDEX(Product_Pricing_Schedule,MATCH(TRIM($BV27),Products,0),MATCH(VLOOKUP(BZ$3,tEnv[],3,FALSE),Envs,0))*GETPIVOTDATA(CELL("contents",$BV27),$BD$2,"Env Label",BZ$3)</f>
        <v>0</v>
      </c>
      <c r="CA27" s="427">
        <f ca="1">INDEX(Product_Pricing_Schedule,MATCH(TRIM($BV27),Products,0),MATCH(VLOOKUP(CA$3,tEnv[],3,FALSE),Envs,0))*GETPIVOTDATA(CELL("contents",$BV27),$BD$2,"Env Label",CA$3)</f>
        <v>0</v>
      </c>
      <c r="CB27" s="427">
        <f ca="1">INDEX(Product_Pricing_Schedule,MATCH(TRIM($BV27),Products,0),MATCH(VLOOKUP(CB$3,tEnv[],3,FALSE),Envs,0))*GETPIVOTDATA(CELL("contents",$BV27),$BD$2,"Env Label",CB$3)</f>
        <v>0</v>
      </c>
      <c r="CC27" s="427">
        <f ca="1">INDEX(Product_Pricing_Schedule,MATCH(TRIM($BV27),Products,0),MATCH(VLOOKUP(CC$3,tEnv[],3,FALSE),Envs,0))*GETPIVOTDATA(CELL("contents",$BV27),$BD$2,"Env Label",CC$3)</f>
        <v>0</v>
      </c>
      <c r="CD27" s="427">
        <f ca="1">INDEX(Product_Pricing_Schedule,MATCH(TRIM($BV27),Products,0),MATCH(VLOOKUP(CD$3,tEnv[],3,FALSE),Envs,0))*GETPIVOTDATA(CELL("contents",$BV27),$BD$2,"Env Label",CD$3)</f>
        <v>0</v>
      </c>
      <c r="CE27" s="427">
        <f ca="1">INDEX(Product_Pricing_Schedule,MATCH(TRIM($BV27),Products,0),MATCH(VLOOKUP(CE$3,tEnv[],3,FALSE),Envs,0))*GETPIVOTDATA(CELL("contents",$BV27),$BD$2,"Env Label",CE$3)</f>
        <v>0</v>
      </c>
      <c r="CF27" s="427">
        <f ca="1">INDEX(Product_Pricing_Schedule,MATCH(TRIM($BV27),Products,0),MATCH(VLOOKUP(CF$3,tEnv[],3,FALSE),Envs,0))*GETPIVOTDATA(CELL("contents",$BV27),$BD$2,"Env Label",CF$3)</f>
        <v>0</v>
      </c>
      <c r="CG27" s="427">
        <f ca="1">INDEX(Product_Pricing_Schedule,MATCH(TRIM($BV27),Products,0),MATCH(VLOOKUP(CG$3,tEnv[],3,FALSE),Envs,0))*GETPIVOTDATA(CELL("contents",$BV27),$BD$2,"Env Label",CG$3)</f>
        <v>0</v>
      </c>
      <c r="CH27" s="427">
        <f ca="1">INDEX(Product_Pricing_Schedule,MATCH(TRIM($BV27),Products,0),MATCH(VLOOKUP(CH$3,tEnv[],3,FALSE),Envs,0))*GETPIVOTDATA(CELL("contents",$BV27),$BD$2,"Env Label",CH$3)</f>
        <v>0</v>
      </c>
      <c r="CI27" s="427">
        <f ca="1">INDEX(Product_Pricing_Schedule,MATCH(TRIM($BV27),Products,0),MATCH(VLOOKUP(CI$3,tEnv[],3,FALSE),Envs,0))*GETPIVOTDATA(CELL("contents",$BV27),$BD$2,"Env Label",CI$3)</f>
        <v>0</v>
      </c>
      <c r="CJ27" s="427">
        <f ca="1">INDEX(Product_Pricing_Schedule,MATCH(TRIM($BV27),Products,0),MATCH(VLOOKUP(CJ$3,tEnv[],3,FALSE),Envs,0))*GETPIVOTDATA(CELL("contents",$BV27),$BD$2,"Env Label",CJ$3)</f>
        <v>0</v>
      </c>
      <c r="CK27" s="427">
        <f ca="1">INDEX(Product_Pricing_Schedule,MATCH(TRIM($BV27),Products,0),MATCH(VLOOKUP(CK$3,tEnv[],3,FALSE),Envs,0))*GETPIVOTDATA(CELL("contents",$BV27),$BD$2,"Env Label",CK$3)</f>
        <v>0</v>
      </c>
      <c r="CL27" s="428">
        <f ca="1">SUM(AnnualSWCostByProdByEnv[[#This Row],[PROD]:[DEV]])</f>
        <v>0</v>
      </c>
      <c r="CN27" s="262" t="str">
        <f t="shared" si="1"/>
        <v xml:space="preserve">MS SQL SE (Ext) </v>
      </c>
      <c r="CO27" s="262">
        <f t="shared" ca="1" si="3"/>
        <v>0</v>
      </c>
      <c r="CP27" s="262">
        <f t="shared" ca="1" si="3"/>
        <v>0</v>
      </c>
      <c r="CQ27" s="368">
        <f ca="1">INDEX(Maint_Pricing_Schedule,MATCH(TRIM($CN27),Products,0),MATCH(VLOOKUP(CQ$3,tEnv[],3,FALSE),Envs,0))*GETPIVOTDATA(CELL("contents",$CN27),$BD$2,"Env Label",CQ$3)</f>
        <v>0</v>
      </c>
      <c r="CR27" s="368">
        <f ca="1">INDEX(Maint_Pricing_Schedule,MATCH(TRIM($CN27),Products,0),MATCH(VLOOKUP(CR$3,tEnv[],3,FALSE),Envs,0))*GETPIVOTDATA(CELL("contents",$CN27),$BD$2,"Env Label",CR$3)</f>
        <v>0</v>
      </c>
      <c r="CS27" s="368">
        <f ca="1">INDEX(Maint_Pricing_Schedule,MATCH(TRIM($CN27),Products,0),MATCH(VLOOKUP(CS$3,tEnv[],3,FALSE),Envs,0))*GETPIVOTDATA(CELL("contents",$CN27),$BD$2,"Env Label",CS$3)</f>
        <v>0</v>
      </c>
      <c r="CT27" s="368">
        <f ca="1">INDEX(Maint_Pricing_Schedule,MATCH(TRIM($CN27),Products,0),MATCH(VLOOKUP(CT$3,tEnv[],3,FALSE),Envs,0))*GETPIVOTDATA(CELL("contents",$CN27),$BD$2,"Env Label",CT$3)</f>
        <v>0</v>
      </c>
      <c r="CU27" s="368">
        <f ca="1">INDEX(Maint_Pricing_Schedule,MATCH(TRIM($CN27),Products,0),MATCH(VLOOKUP(CU$3,tEnv[],3,FALSE),Envs,0))*GETPIVOTDATA(CELL("contents",$CN27),$BD$2,"Env Label",CU$3)</f>
        <v>0</v>
      </c>
      <c r="CV27" s="368">
        <f ca="1">INDEX(Maint_Pricing_Schedule,MATCH(TRIM($CN27),Products,0),MATCH(VLOOKUP(CV$3,tEnv[],3,FALSE),Envs,0))*GETPIVOTDATA(CELL("contents",$CN27),$BD$2,"Env Label",CV$3)</f>
        <v>0</v>
      </c>
      <c r="CW27" s="368">
        <f ca="1">INDEX(Maint_Pricing_Schedule,MATCH(TRIM($CN27),Products,0),MATCH(VLOOKUP(CW$3,tEnv[],3,FALSE),Envs,0))*GETPIVOTDATA(CELL("contents",$CN27),$BD$2,"Env Label",CW$3)</f>
        <v>0</v>
      </c>
      <c r="CX27" s="368">
        <f ca="1">INDEX(Maint_Pricing_Schedule,MATCH(TRIM($CN27),Products,0),MATCH(VLOOKUP(CX$3,tEnv[],3,FALSE),Envs,0))*GETPIVOTDATA(CELL("contents",$CN27),$BD$2,"Env Label",CX$3)</f>
        <v>0</v>
      </c>
      <c r="CY27" s="368">
        <f ca="1">INDEX(Maint_Pricing_Schedule,MATCH(TRIM($CN27),Products,0),MATCH(VLOOKUP(CY$3,tEnv[],3,FALSE),Envs,0))*GETPIVOTDATA(CELL("contents",$CN27),$BD$2,"Env Label",CY$3)</f>
        <v>0</v>
      </c>
      <c r="CZ27" s="368">
        <f ca="1">INDEX(Maint_Pricing_Schedule,MATCH(TRIM($CN27),Products,0),MATCH(VLOOKUP(CZ$3,tEnv[],3,FALSE),Envs,0))*GETPIVOTDATA(CELL("contents",$CN27),$BD$2,"Env Label",CZ$3)</f>
        <v>0</v>
      </c>
      <c r="DA27" s="368">
        <f ca="1">INDEX(Maint_Pricing_Schedule,MATCH(TRIM($CN27),Products,0),MATCH(VLOOKUP(DA$3,tEnv[],3,FALSE),Envs,0))*GETPIVOTDATA(CELL("contents",$CN27),$BD$2,"Env Label",DA$3)</f>
        <v>0</v>
      </c>
      <c r="DB27" s="368">
        <f ca="1">INDEX(Maint_Pricing_Schedule,MATCH(TRIM($CN27),Products,0),MATCH(VLOOKUP(DB$3,tEnv[],3,FALSE),Envs,0))*GETPIVOTDATA(CELL("contents",$CN27),$BD$2,"Env Label",DB$3)</f>
        <v>0</v>
      </c>
      <c r="DC27" s="368">
        <f ca="1">INDEX(Maint_Pricing_Schedule,MATCH(TRIM($CN27),Products,0),MATCH(VLOOKUP(DC$3,tEnv[],3,FALSE),Envs,0))*GETPIVOTDATA(CELL("contents",$CN27),$BD$2,"Env Label",DC$3)</f>
        <v>0</v>
      </c>
      <c r="DD27" s="369">
        <f ca="1">SUM(AnnualSWMaintCostByProdByEnv[[#This Row],[PROD]:[DEV]])</f>
        <v>0</v>
      </c>
    </row>
    <row r="28" spans="1:108">
      <c r="W28"/>
      <c r="X28"/>
      <c r="Y28" s="143"/>
      <c r="Z28" s="143"/>
      <c r="AE28"/>
      <c r="AF28"/>
      <c r="BD28" s="281" t="s">
        <v>2355</v>
      </c>
      <c r="BE28" s="272">
        <v>0</v>
      </c>
      <c r="BF28" s="272">
        <v>0</v>
      </c>
      <c r="BG28" s="272">
        <v>0</v>
      </c>
      <c r="BH28" s="272">
        <v>0</v>
      </c>
      <c r="BI28" s="272">
        <v>0</v>
      </c>
      <c r="BJ28" s="272">
        <v>0</v>
      </c>
      <c r="BK28" s="272">
        <v>0</v>
      </c>
      <c r="BL28" s="272">
        <v>0</v>
      </c>
      <c r="BM28" s="272">
        <v>0</v>
      </c>
      <c r="BN28" s="272">
        <v>0</v>
      </c>
      <c r="BO28" s="272">
        <v>0</v>
      </c>
      <c r="BP28" s="272">
        <v>0</v>
      </c>
      <c r="BQ28" s="272">
        <v>0</v>
      </c>
      <c r="BR28" s="272">
        <v>0</v>
      </c>
      <c r="BS28" s="272">
        <v>0</v>
      </c>
      <c r="BT28" s="272">
        <v>0</v>
      </c>
      <c r="BV28" s="262" t="str">
        <f t="shared" si="0"/>
        <v xml:space="preserve">MS SQL SE (Int) </v>
      </c>
      <c r="BW28" s="262">
        <f t="shared" si="0"/>
        <v>0</v>
      </c>
      <c r="BX28" s="262">
        <f t="shared" si="0"/>
        <v>0</v>
      </c>
      <c r="BY28" s="427">
        <f ca="1">INDEX(Product_Pricing_Schedule,MATCH(TRIM($BV28),Products,0),MATCH(VLOOKUP(BY$3,tEnv[],3,FALSE),Envs,0))*GETPIVOTDATA(CELL("contents",$BV28),$BD$2,"Env Label",BY$3)</f>
        <v>0</v>
      </c>
      <c r="BZ28" s="427">
        <f ca="1">INDEX(Product_Pricing_Schedule,MATCH(TRIM($BV28),Products,0),MATCH(VLOOKUP(BZ$3,tEnv[],3,FALSE),Envs,0))*GETPIVOTDATA(CELL("contents",$BV28),$BD$2,"Env Label",BZ$3)</f>
        <v>0</v>
      </c>
      <c r="CA28" s="427">
        <f ca="1">INDEX(Product_Pricing_Schedule,MATCH(TRIM($BV28),Products,0),MATCH(VLOOKUP(CA$3,tEnv[],3,FALSE),Envs,0))*GETPIVOTDATA(CELL("contents",$BV28),$BD$2,"Env Label",CA$3)</f>
        <v>0</v>
      </c>
      <c r="CB28" s="427">
        <f ca="1">INDEX(Product_Pricing_Schedule,MATCH(TRIM($BV28),Products,0),MATCH(VLOOKUP(CB$3,tEnv[],3,FALSE),Envs,0))*GETPIVOTDATA(CELL("contents",$BV28),$BD$2,"Env Label",CB$3)</f>
        <v>0</v>
      </c>
      <c r="CC28" s="427">
        <f ca="1">INDEX(Product_Pricing_Schedule,MATCH(TRIM($BV28),Products,0),MATCH(VLOOKUP(CC$3,tEnv[],3,FALSE),Envs,0))*GETPIVOTDATA(CELL("contents",$BV28),$BD$2,"Env Label",CC$3)</f>
        <v>0</v>
      </c>
      <c r="CD28" s="427">
        <f ca="1">INDEX(Product_Pricing_Schedule,MATCH(TRIM($BV28),Products,0),MATCH(VLOOKUP(CD$3,tEnv[],3,FALSE),Envs,0))*GETPIVOTDATA(CELL("contents",$BV28),$BD$2,"Env Label",CD$3)</f>
        <v>0</v>
      </c>
      <c r="CE28" s="427">
        <f ca="1">INDEX(Product_Pricing_Schedule,MATCH(TRIM($BV28),Products,0),MATCH(VLOOKUP(CE$3,tEnv[],3,FALSE),Envs,0))*GETPIVOTDATA(CELL("contents",$BV28),$BD$2,"Env Label",CE$3)</f>
        <v>0</v>
      </c>
      <c r="CF28" s="427">
        <f ca="1">INDEX(Product_Pricing_Schedule,MATCH(TRIM($BV28),Products,0),MATCH(VLOOKUP(CF$3,tEnv[],3,FALSE),Envs,0))*GETPIVOTDATA(CELL("contents",$BV28),$BD$2,"Env Label",CF$3)</f>
        <v>0</v>
      </c>
      <c r="CG28" s="427">
        <f ca="1">INDEX(Product_Pricing_Schedule,MATCH(TRIM($BV28),Products,0),MATCH(VLOOKUP(CG$3,tEnv[],3,FALSE),Envs,0))*GETPIVOTDATA(CELL("contents",$BV28),$BD$2,"Env Label",CG$3)</f>
        <v>0</v>
      </c>
      <c r="CH28" s="427">
        <f ca="1">INDEX(Product_Pricing_Schedule,MATCH(TRIM($BV28),Products,0),MATCH(VLOOKUP(CH$3,tEnv[],3,FALSE),Envs,0))*GETPIVOTDATA(CELL("contents",$BV28),$BD$2,"Env Label",CH$3)</f>
        <v>0</v>
      </c>
      <c r="CI28" s="427">
        <f ca="1">INDEX(Product_Pricing_Schedule,MATCH(TRIM($BV28),Products,0),MATCH(VLOOKUP(CI$3,tEnv[],3,FALSE),Envs,0))*GETPIVOTDATA(CELL("contents",$BV28),$BD$2,"Env Label",CI$3)</f>
        <v>0</v>
      </c>
      <c r="CJ28" s="427">
        <f ca="1">INDEX(Product_Pricing_Schedule,MATCH(TRIM($BV28),Products,0),MATCH(VLOOKUP(CJ$3,tEnv[],3,FALSE),Envs,0))*GETPIVOTDATA(CELL("contents",$BV28),$BD$2,"Env Label",CJ$3)</f>
        <v>0</v>
      </c>
      <c r="CK28" s="427">
        <f ca="1">INDEX(Product_Pricing_Schedule,MATCH(TRIM($BV28),Products,0),MATCH(VLOOKUP(CK$3,tEnv[],3,FALSE),Envs,0))*GETPIVOTDATA(CELL("contents",$BV28),$BD$2,"Env Label",CK$3)</f>
        <v>0</v>
      </c>
      <c r="CL28" s="428">
        <f ca="1">SUM(AnnualSWCostByProdByEnv[[#This Row],[PROD]:[DEV]])</f>
        <v>0</v>
      </c>
      <c r="CN28" s="262" t="str">
        <f t="shared" si="1"/>
        <v xml:space="preserve">MS SQL SE (Int) </v>
      </c>
      <c r="CO28" s="262">
        <f t="shared" ca="1" si="3"/>
        <v>0</v>
      </c>
      <c r="CP28" s="262">
        <f t="shared" ca="1" si="3"/>
        <v>0</v>
      </c>
      <c r="CQ28" s="368">
        <f ca="1">INDEX(Maint_Pricing_Schedule,MATCH(TRIM($CN28),Products,0),MATCH(VLOOKUP(CQ$3,tEnv[],3,FALSE),Envs,0))*GETPIVOTDATA(CELL("contents",$CN28),$BD$2,"Env Label",CQ$3)</f>
        <v>0</v>
      </c>
      <c r="CR28" s="368">
        <f ca="1">INDEX(Maint_Pricing_Schedule,MATCH(TRIM($CN28),Products,0),MATCH(VLOOKUP(CR$3,tEnv[],3,FALSE),Envs,0))*GETPIVOTDATA(CELL("contents",$CN28),$BD$2,"Env Label",CR$3)</f>
        <v>0</v>
      </c>
      <c r="CS28" s="368">
        <f ca="1">INDEX(Maint_Pricing_Schedule,MATCH(TRIM($CN28),Products,0),MATCH(VLOOKUP(CS$3,tEnv[],3,FALSE),Envs,0))*GETPIVOTDATA(CELL("contents",$CN28),$BD$2,"Env Label",CS$3)</f>
        <v>0</v>
      </c>
      <c r="CT28" s="368">
        <f ca="1">INDEX(Maint_Pricing_Schedule,MATCH(TRIM($CN28),Products,0),MATCH(VLOOKUP(CT$3,tEnv[],3,FALSE),Envs,0))*GETPIVOTDATA(CELL("contents",$CN28),$BD$2,"Env Label",CT$3)</f>
        <v>0</v>
      </c>
      <c r="CU28" s="368">
        <f ca="1">INDEX(Maint_Pricing_Schedule,MATCH(TRIM($CN28),Products,0),MATCH(VLOOKUP(CU$3,tEnv[],3,FALSE),Envs,0))*GETPIVOTDATA(CELL("contents",$CN28),$BD$2,"Env Label",CU$3)</f>
        <v>0</v>
      </c>
      <c r="CV28" s="368">
        <f ca="1">INDEX(Maint_Pricing_Schedule,MATCH(TRIM($CN28),Products,0),MATCH(VLOOKUP(CV$3,tEnv[],3,FALSE),Envs,0))*GETPIVOTDATA(CELL("contents",$CN28),$BD$2,"Env Label",CV$3)</f>
        <v>0</v>
      </c>
      <c r="CW28" s="368">
        <f ca="1">INDEX(Maint_Pricing_Schedule,MATCH(TRIM($CN28),Products,0),MATCH(VLOOKUP(CW$3,tEnv[],3,FALSE),Envs,0))*GETPIVOTDATA(CELL("contents",$CN28),$BD$2,"Env Label",CW$3)</f>
        <v>0</v>
      </c>
      <c r="CX28" s="368">
        <f ca="1">INDEX(Maint_Pricing_Schedule,MATCH(TRIM($CN28),Products,0),MATCH(VLOOKUP(CX$3,tEnv[],3,FALSE),Envs,0))*GETPIVOTDATA(CELL("contents",$CN28),$BD$2,"Env Label",CX$3)</f>
        <v>0</v>
      </c>
      <c r="CY28" s="368">
        <f ca="1">INDEX(Maint_Pricing_Schedule,MATCH(TRIM($CN28),Products,0),MATCH(VLOOKUP(CY$3,tEnv[],3,FALSE),Envs,0))*GETPIVOTDATA(CELL("contents",$CN28),$BD$2,"Env Label",CY$3)</f>
        <v>0</v>
      </c>
      <c r="CZ28" s="368">
        <f ca="1">INDEX(Maint_Pricing_Schedule,MATCH(TRIM($CN28),Products,0),MATCH(VLOOKUP(CZ$3,tEnv[],3,FALSE),Envs,0))*GETPIVOTDATA(CELL("contents",$CN28),$BD$2,"Env Label",CZ$3)</f>
        <v>0</v>
      </c>
      <c r="DA28" s="368">
        <f ca="1">INDEX(Maint_Pricing_Schedule,MATCH(TRIM($CN28),Products,0),MATCH(VLOOKUP(DA$3,tEnv[],3,FALSE),Envs,0))*GETPIVOTDATA(CELL("contents",$CN28),$BD$2,"Env Label",DA$3)</f>
        <v>0</v>
      </c>
      <c r="DB28" s="368">
        <f ca="1">INDEX(Maint_Pricing_Schedule,MATCH(TRIM($CN28),Products,0),MATCH(VLOOKUP(DB$3,tEnv[],3,FALSE),Envs,0))*GETPIVOTDATA(CELL("contents",$CN28),$BD$2,"Env Label",DB$3)</f>
        <v>0</v>
      </c>
      <c r="DC28" s="368">
        <f ca="1">INDEX(Maint_Pricing_Schedule,MATCH(TRIM($CN28),Products,0),MATCH(VLOOKUP(DC$3,tEnv[],3,FALSE),Envs,0))*GETPIVOTDATA(CELL("contents",$CN28),$BD$2,"Env Label",DC$3)</f>
        <v>0</v>
      </c>
      <c r="DD28" s="369">
        <f ca="1">SUM(AnnualSWMaintCostByProdByEnv[[#This Row],[PROD]:[DEV]])</f>
        <v>0</v>
      </c>
    </row>
    <row r="29" spans="1:108">
      <c r="W29"/>
      <c r="X29"/>
      <c r="Y29" s="143"/>
      <c r="Z29" s="143"/>
      <c r="AE29"/>
      <c r="AF29"/>
      <c r="BD29" s="281" t="s">
        <v>2278</v>
      </c>
      <c r="BE29" s="272">
        <v>0</v>
      </c>
      <c r="BF29" s="272">
        <v>0</v>
      </c>
      <c r="BG29" s="272">
        <v>0</v>
      </c>
      <c r="BH29" s="272">
        <v>0</v>
      </c>
      <c r="BI29" s="272">
        <v>0</v>
      </c>
      <c r="BJ29" s="272">
        <v>0</v>
      </c>
      <c r="BK29" s="272">
        <v>0</v>
      </c>
      <c r="BL29" s="272">
        <v>0</v>
      </c>
      <c r="BM29" s="272">
        <v>0</v>
      </c>
      <c r="BN29" s="272">
        <v>0</v>
      </c>
      <c r="BO29" s="272">
        <v>0</v>
      </c>
      <c r="BP29" s="272">
        <v>0</v>
      </c>
      <c r="BQ29" s="272">
        <v>0</v>
      </c>
      <c r="BR29" s="272">
        <v>0</v>
      </c>
      <c r="BS29" s="272">
        <v>0</v>
      </c>
      <c r="BT29" s="272">
        <v>0</v>
      </c>
      <c r="BV29" s="262" t="str">
        <f t="shared" si="0"/>
        <v xml:space="preserve">Oracle ASO pSeries </v>
      </c>
      <c r="BW29" s="262">
        <f t="shared" si="0"/>
        <v>0</v>
      </c>
      <c r="BX29" s="262">
        <f t="shared" si="0"/>
        <v>0</v>
      </c>
      <c r="BY29" s="427">
        <f ca="1">INDEX(Product_Pricing_Schedule,MATCH(TRIM($BV29),Products,0),MATCH(VLOOKUP(BY$3,tEnv[],3,FALSE),Envs,0))*GETPIVOTDATA(CELL("contents",$BV29),$BD$2,"Env Label",BY$3)</f>
        <v>0</v>
      </c>
      <c r="BZ29" s="427">
        <f ca="1">INDEX(Product_Pricing_Schedule,MATCH(TRIM($BV29),Products,0),MATCH(VLOOKUP(BZ$3,tEnv[],3,FALSE),Envs,0))*GETPIVOTDATA(CELL("contents",$BV29),$BD$2,"Env Label",BZ$3)</f>
        <v>0</v>
      </c>
      <c r="CA29" s="427">
        <f ca="1">INDEX(Product_Pricing_Schedule,MATCH(TRIM($BV29),Products,0),MATCH(VLOOKUP(CA$3,tEnv[],3,FALSE),Envs,0))*GETPIVOTDATA(CELL("contents",$BV29),$BD$2,"Env Label",CA$3)</f>
        <v>0</v>
      </c>
      <c r="CB29" s="427">
        <f ca="1">INDEX(Product_Pricing_Schedule,MATCH(TRIM($BV29),Products,0),MATCH(VLOOKUP(CB$3,tEnv[],3,FALSE),Envs,0))*GETPIVOTDATA(CELL("contents",$BV29),$BD$2,"Env Label",CB$3)</f>
        <v>0</v>
      </c>
      <c r="CC29" s="427">
        <f ca="1">INDEX(Product_Pricing_Schedule,MATCH(TRIM($BV29),Products,0),MATCH(VLOOKUP(CC$3,tEnv[],3,FALSE),Envs,0))*GETPIVOTDATA(CELL("contents",$BV29),$BD$2,"Env Label",CC$3)</f>
        <v>0</v>
      </c>
      <c r="CD29" s="427">
        <f ca="1">INDEX(Product_Pricing_Schedule,MATCH(TRIM($BV29),Products,0),MATCH(VLOOKUP(CD$3,tEnv[],3,FALSE),Envs,0))*GETPIVOTDATA(CELL("contents",$BV29),$BD$2,"Env Label",CD$3)</f>
        <v>0</v>
      </c>
      <c r="CE29" s="427">
        <f ca="1">INDEX(Product_Pricing_Schedule,MATCH(TRIM($BV29),Products,0),MATCH(VLOOKUP(CE$3,tEnv[],3,FALSE),Envs,0))*GETPIVOTDATA(CELL("contents",$BV29),$BD$2,"Env Label",CE$3)</f>
        <v>0</v>
      </c>
      <c r="CF29" s="427">
        <f ca="1">INDEX(Product_Pricing_Schedule,MATCH(TRIM($BV29),Products,0),MATCH(VLOOKUP(CF$3,tEnv[],3,FALSE),Envs,0))*GETPIVOTDATA(CELL("contents",$BV29),$BD$2,"Env Label",CF$3)</f>
        <v>0</v>
      </c>
      <c r="CG29" s="427">
        <f ca="1">INDEX(Product_Pricing_Schedule,MATCH(TRIM($BV29),Products,0),MATCH(VLOOKUP(CG$3,tEnv[],3,FALSE),Envs,0))*GETPIVOTDATA(CELL("contents",$BV29),$BD$2,"Env Label",CG$3)</f>
        <v>0</v>
      </c>
      <c r="CH29" s="427">
        <f ca="1">INDEX(Product_Pricing_Schedule,MATCH(TRIM($BV29),Products,0),MATCH(VLOOKUP(CH$3,tEnv[],3,FALSE),Envs,0))*GETPIVOTDATA(CELL("contents",$BV29),$BD$2,"Env Label",CH$3)</f>
        <v>0</v>
      </c>
      <c r="CI29" s="427">
        <f ca="1">INDEX(Product_Pricing_Schedule,MATCH(TRIM($BV29),Products,0),MATCH(VLOOKUP(CI$3,tEnv[],3,FALSE),Envs,0))*GETPIVOTDATA(CELL("contents",$BV29),$BD$2,"Env Label",CI$3)</f>
        <v>0</v>
      </c>
      <c r="CJ29" s="427">
        <f ca="1">INDEX(Product_Pricing_Schedule,MATCH(TRIM($BV29),Products,0),MATCH(VLOOKUP(CJ$3,tEnv[],3,FALSE),Envs,0))*GETPIVOTDATA(CELL("contents",$BV29),$BD$2,"Env Label",CJ$3)</f>
        <v>0</v>
      </c>
      <c r="CK29" s="427">
        <f ca="1">INDEX(Product_Pricing_Schedule,MATCH(TRIM($BV29),Products,0),MATCH(VLOOKUP(CK$3,tEnv[],3,FALSE),Envs,0))*GETPIVOTDATA(CELL("contents",$BV29),$BD$2,"Env Label",CK$3)</f>
        <v>0</v>
      </c>
      <c r="CL29" s="428">
        <f ca="1">SUM(AnnualSWCostByProdByEnv[[#This Row],[PROD]:[DEV]])</f>
        <v>0</v>
      </c>
      <c r="CN29" s="262" t="str">
        <f t="shared" si="1"/>
        <v xml:space="preserve">Oracle ASO pSeries </v>
      </c>
      <c r="CO29" s="262">
        <f t="shared" ca="1" si="3"/>
        <v>0</v>
      </c>
      <c r="CP29" s="262">
        <f t="shared" ca="1" si="3"/>
        <v>0</v>
      </c>
      <c r="CQ29" s="368">
        <f ca="1">INDEX(Maint_Pricing_Schedule,MATCH(TRIM($CN29),Products,0),MATCH(VLOOKUP(CQ$3,tEnv[],3,FALSE),Envs,0))*GETPIVOTDATA(CELL("contents",$CN29),$BD$2,"Env Label",CQ$3)</f>
        <v>0</v>
      </c>
      <c r="CR29" s="368">
        <f ca="1">INDEX(Maint_Pricing_Schedule,MATCH(TRIM($CN29),Products,0),MATCH(VLOOKUP(CR$3,tEnv[],3,FALSE),Envs,0))*GETPIVOTDATA(CELL("contents",$CN29),$BD$2,"Env Label",CR$3)</f>
        <v>0</v>
      </c>
      <c r="CS29" s="368">
        <f ca="1">INDEX(Maint_Pricing_Schedule,MATCH(TRIM($CN29),Products,0),MATCH(VLOOKUP(CS$3,tEnv[],3,FALSE),Envs,0))*GETPIVOTDATA(CELL("contents",$CN29),$BD$2,"Env Label",CS$3)</f>
        <v>0</v>
      </c>
      <c r="CT29" s="368">
        <f ca="1">INDEX(Maint_Pricing_Schedule,MATCH(TRIM($CN29),Products,0),MATCH(VLOOKUP(CT$3,tEnv[],3,FALSE),Envs,0))*GETPIVOTDATA(CELL("contents",$CN29),$BD$2,"Env Label",CT$3)</f>
        <v>0</v>
      </c>
      <c r="CU29" s="368">
        <f ca="1">INDEX(Maint_Pricing_Schedule,MATCH(TRIM($CN29),Products,0),MATCH(VLOOKUP(CU$3,tEnv[],3,FALSE),Envs,0))*GETPIVOTDATA(CELL("contents",$CN29),$BD$2,"Env Label",CU$3)</f>
        <v>0</v>
      </c>
      <c r="CV29" s="368">
        <f ca="1">INDEX(Maint_Pricing_Schedule,MATCH(TRIM($CN29),Products,0),MATCH(VLOOKUP(CV$3,tEnv[],3,FALSE),Envs,0))*GETPIVOTDATA(CELL("contents",$CN29),$BD$2,"Env Label",CV$3)</f>
        <v>0</v>
      </c>
      <c r="CW29" s="368">
        <f ca="1">INDEX(Maint_Pricing_Schedule,MATCH(TRIM($CN29),Products,0),MATCH(VLOOKUP(CW$3,tEnv[],3,FALSE),Envs,0))*GETPIVOTDATA(CELL("contents",$CN29),$BD$2,"Env Label",CW$3)</f>
        <v>0</v>
      </c>
      <c r="CX29" s="368">
        <f ca="1">INDEX(Maint_Pricing_Schedule,MATCH(TRIM($CN29),Products,0),MATCH(VLOOKUP(CX$3,tEnv[],3,FALSE),Envs,0))*GETPIVOTDATA(CELL("contents",$CN29),$BD$2,"Env Label",CX$3)</f>
        <v>0</v>
      </c>
      <c r="CY29" s="368">
        <f ca="1">INDEX(Maint_Pricing_Schedule,MATCH(TRIM($CN29),Products,0),MATCH(VLOOKUP(CY$3,tEnv[],3,FALSE),Envs,0))*GETPIVOTDATA(CELL("contents",$CN29),$BD$2,"Env Label",CY$3)</f>
        <v>0</v>
      </c>
      <c r="CZ29" s="368">
        <f ca="1">INDEX(Maint_Pricing_Schedule,MATCH(TRIM($CN29),Products,0),MATCH(VLOOKUP(CZ$3,tEnv[],3,FALSE),Envs,0))*GETPIVOTDATA(CELL("contents",$CN29),$BD$2,"Env Label",CZ$3)</f>
        <v>0</v>
      </c>
      <c r="DA29" s="368">
        <f ca="1">INDEX(Maint_Pricing_Schedule,MATCH(TRIM($CN29),Products,0),MATCH(VLOOKUP(DA$3,tEnv[],3,FALSE),Envs,0))*GETPIVOTDATA(CELL("contents",$CN29),$BD$2,"Env Label",DA$3)</f>
        <v>0</v>
      </c>
      <c r="DB29" s="368">
        <f ca="1">INDEX(Maint_Pricing_Schedule,MATCH(TRIM($CN29),Products,0),MATCH(VLOOKUP(DB$3,tEnv[],3,FALSE),Envs,0))*GETPIVOTDATA(CELL("contents",$CN29),$BD$2,"Env Label",DB$3)</f>
        <v>0</v>
      </c>
      <c r="DC29" s="368">
        <f ca="1">INDEX(Maint_Pricing_Schedule,MATCH(TRIM($CN29),Products,0),MATCH(VLOOKUP(DC$3,tEnv[],3,FALSE),Envs,0))*GETPIVOTDATA(CELL("contents",$CN29),$BD$2,"Env Label",DC$3)</f>
        <v>0</v>
      </c>
      <c r="DD29" s="369">
        <f ca="1">SUM(AnnualSWMaintCostByProdByEnv[[#This Row],[PROD]:[DEV]])</f>
        <v>0</v>
      </c>
    </row>
    <row r="30" spans="1:108">
      <c r="W30"/>
      <c r="X30"/>
      <c r="Y30" s="143"/>
      <c r="Z30" s="143"/>
      <c r="AE30"/>
      <c r="AF30"/>
      <c r="BD30" s="281" t="s">
        <v>2279</v>
      </c>
      <c r="BE30" s="272">
        <v>0</v>
      </c>
      <c r="BF30" s="272">
        <v>0</v>
      </c>
      <c r="BG30" s="272">
        <v>0</v>
      </c>
      <c r="BH30" s="272">
        <v>0</v>
      </c>
      <c r="BI30" s="272">
        <v>0</v>
      </c>
      <c r="BJ30" s="272">
        <v>0</v>
      </c>
      <c r="BK30" s="272">
        <v>0</v>
      </c>
      <c r="BL30" s="272">
        <v>0</v>
      </c>
      <c r="BM30" s="272">
        <v>0</v>
      </c>
      <c r="BN30" s="272">
        <v>0</v>
      </c>
      <c r="BO30" s="272">
        <v>0</v>
      </c>
      <c r="BP30" s="272">
        <v>0</v>
      </c>
      <c r="BQ30" s="272">
        <v>0</v>
      </c>
      <c r="BR30" s="272">
        <v>0</v>
      </c>
      <c r="BS30" s="272">
        <v>0</v>
      </c>
      <c r="BT30" s="272">
        <v>0</v>
      </c>
      <c r="BV30" s="262" t="str">
        <f t="shared" si="0"/>
        <v xml:space="preserve">Oracle ASO x86 </v>
      </c>
      <c r="BW30" s="262">
        <f t="shared" si="0"/>
        <v>0</v>
      </c>
      <c r="BX30" s="262">
        <f t="shared" si="0"/>
        <v>0</v>
      </c>
      <c r="BY30" s="427">
        <f ca="1">INDEX(Product_Pricing_Schedule,MATCH(TRIM($BV30),Products,0),MATCH(VLOOKUP(BY$3,tEnv[],3,FALSE),Envs,0))*GETPIVOTDATA(CELL("contents",$BV30),$BD$2,"Env Label",BY$3)</f>
        <v>0</v>
      </c>
      <c r="BZ30" s="427">
        <f ca="1">INDEX(Product_Pricing_Schedule,MATCH(TRIM($BV30),Products,0),MATCH(VLOOKUP(BZ$3,tEnv[],3,FALSE),Envs,0))*GETPIVOTDATA(CELL("contents",$BV30),$BD$2,"Env Label",BZ$3)</f>
        <v>0</v>
      </c>
      <c r="CA30" s="427">
        <f ca="1">INDEX(Product_Pricing_Schedule,MATCH(TRIM($BV30),Products,0),MATCH(VLOOKUP(CA$3,tEnv[],3,FALSE),Envs,0))*GETPIVOTDATA(CELL("contents",$BV30),$BD$2,"Env Label",CA$3)</f>
        <v>0</v>
      </c>
      <c r="CB30" s="427">
        <f ca="1">INDEX(Product_Pricing_Schedule,MATCH(TRIM($BV30),Products,0),MATCH(VLOOKUP(CB$3,tEnv[],3,FALSE),Envs,0))*GETPIVOTDATA(CELL("contents",$BV30),$BD$2,"Env Label",CB$3)</f>
        <v>0</v>
      </c>
      <c r="CC30" s="427">
        <f ca="1">INDEX(Product_Pricing_Schedule,MATCH(TRIM($BV30),Products,0),MATCH(VLOOKUP(CC$3,tEnv[],3,FALSE),Envs,0))*GETPIVOTDATA(CELL("contents",$BV30),$BD$2,"Env Label",CC$3)</f>
        <v>0</v>
      </c>
      <c r="CD30" s="427">
        <f ca="1">INDEX(Product_Pricing_Schedule,MATCH(TRIM($BV30),Products,0),MATCH(VLOOKUP(CD$3,tEnv[],3,FALSE),Envs,0))*GETPIVOTDATA(CELL("contents",$BV30),$BD$2,"Env Label",CD$3)</f>
        <v>0</v>
      </c>
      <c r="CE30" s="427">
        <f ca="1">INDEX(Product_Pricing_Schedule,MATCH(TRIM($BV30),Products,0),MATCH(VLOOKUP(CE$3,tEnv[],3,FALSE),Envs,0))*GETPIVOTDATA(CELL("contents",$BV30),$BD$2,"Env Label",CE$3)</f>
        <v>0</v>
      </c>
      <c r="CF30" s="427">
        <f ca="1">INDEX(Product_Pricing_Schedule,MATCH(TRIM($BV30),Products,0),MATCH(VLOOKUP(CF$3,tEnv[],3,FALSE),Envs,0))*GETPIVOTDATA(CELL("contents",$BV30),$BD$2,"Env Label",CF$3)</f>
        <v>0</v>
      </c>
      <c r="CG30" s="427">
        <f ca="1">INDEX(Product_Pricing_Schedule,MATCH(TRIM($BV30),Products,0),MATCH(VLOOKUP(CG$3,tEnv[],3,FALSE),Envs,0))*GETPIVOTDATA(CELL("contents",$BV30),$BD$2,"Env Label",CG$3)</f>
        <v>0</v>
      </c>
      <c r="CH30" s="427">
        <f ca="1">INDEX(Product_Pricing_Schedule,MATCH(TRIM($BV30),Products,0),MATCH(VLOOKUP(CH$3,tEnv[],3,FALSE),Envs,0))*GETPIVOTDATA(CELL("contents",$BV30),$BD$2,"Env Label",CH$3)</f>
        <v>0</v>
      </c>
      <c r="CI30" s="427">
        <f ca="1">INDEX(Product_Pricing_Schedule,MATCH(TRIM($BV30),Products,0),MATCH(VLOOKUP(CI$3,tEnv[],3,FALSE),Envs,0))*GETPIVOTDATA(CELL("contents",$BV30),$BD$2,"Env Label",CI$3)</f>
        <v>0</v>
      </c>
      <c r="CJ30" s="427">
        <f ca="1">INDEX(Product_Pricing_Schedule,MATCH(TRIM($BV30),Products,0),MATCH(VLOOKUP(CJ$3,tEnv[],3,FALSE),Envs,0))*GETPIVOTDATA(CELL("contents",$BV30),$BD$2,"Env Label",CJ$3)</f>
        <v>0</v>
      </c>
      <c r="CK30" s="427">
        <f ca="1">INDEX(Product_Pricing_Schedule,MATCH(TRIM($BV30),Products,0),MATCH(VLOOKUP(CK$3,tEnv[],3,FALSE),Envs,0))*GETPIVOTDATA(CELL("contents",$BV30),$BD$2,"Env Label",CK$3)</f>
        <v>0</v>
      </c>
      <c r="CL30" s="428">
        <f ca="1">SUM(AnnualSWCostByProdByEnv[[#This Row],[PROD]:[DEV]])</f>
        <v>0</v>
      </c>
      <c r="CN30" s="262" t="str">
        <f t="shared" si="1"/>
        <v xml:space="preserve">Oracle ASO x86 </v>
      </c>
      <c r="CO30" s="262">
        <f t="shared" ca="1" si="3"/>
        <v>0</v>
      </c>
      <c r="CP30" s="262">
        <f t="shared" ca="1" si="3"/>
        <v>0</v>
      </c>
      <c r="CQ30" s="368">
        <f ca="1">INDEX(Maint_Pricing_Schedule,MATCH(TRIM($CN30),Products,0),MATCH(VLOOKUP(CQ$3,tEnv[],3,FALSE),Envs,0))*GETPIVOTDATA(CELL("contents",$CN30),$BD$2,"Env Label",CQ$3)</f>
        <v>0</v>
      </c>
      <c r="CR30" s="368">
        <f ca="1">INDEX(Maint_Pricing_Schedule,MATCH(TRIM($CN30),Products,0),MATCH(VLOOKUP(CR$3,tEnv[],3,FALSE),Envs,0))*GETPIVOTDATA(CELL("contents",$CN30),$BD$2,"Env Label",CR$3)</f>
        <v>0</v>
      </c>
      <c r="CS30" s="368">
        <f ca="1">INDEX(Maint_Pricing_Schedule,MATCH(TRIM($CN30),Products,0),MATCH(VLOOKUP(CS$3,tEnv[],3,FALSE),Envs,0))*GETPIVOTDATA(CELL("contents",$CN30),$BD$2,"Env Label",CS$3)</f>
        <v>0</v>
      </c>
      <c r="CT30" s="368">
        <f ca="1">INDEX(Maint_Pricing_Schedule,MATCH(TRIM($CN30),Products,0),MATCH(VLOOKUP(CT$3,tEnv[],3,FALSE),Envs,0))*GETPIVOTDATA(CELL("contents",$CN30),$BD$2,"Env Label",CT$3)</f>
        <v>0</v>
      </c>
      <c r="CU30" s="368">
        <f ca="1">INDEX(Maint_Pricing_Schedule,MATCH(TRIM($CN30),Products,0),MATCH(VLOOKUP(CU$3,tEnv[],3,FALSE),Envs,0))*GETPIVOTDATA(CELL("contents",$CN30),$BD$2,"Env Label",CU$3)</f>
        <v>0</v>
      </c>
      <c r="CV30" s="368">
        <f ca="1">INDEX(Maint_Pricing_Schedule,MATCH(TRIM($CN30),Products,0),MATCH(VLOOKUP(CV$3,tEnv[],3,FALSE),Envs,0))*GETPIVOTDATA(CELL("contents",$CN30),$BD$2,"Env Label",CV$3)</f>
        <v>0</v>
      </c>
      <c r="CW30" s="368">
        <f ca="1">INDEX(Maint_Pricing_Schedule,MATCH(TRIM($CN30),Products,0),MATCH(VLOOKUP(CW$3,tEnv[],3,FALSE),Envs,0))*GETPIVOTDATA(CELL("contents",$CN30),$BD$2,"Env Label",CW$3)</f>
        <v>0</v>
      </c>
      <c r="CX30" s="368">
        <f ca="1">INDEX(Maint_Pricing_Schedule,MATCH(TRIM($CN30),Products,0),MATCH(VLOOKUP(CX$3,tEnv[],3,FALSE),Envs,0))*GETPIVOTDATA(CELL("contents",$CN30),$BD$2,"Env Label",CX$3)</f>
        <v>0</v>
      </c>
      <c r="CY30" s="368">
        <f ca="1">INDEX(Maint_Pricing_Schedule,MATCH(TRIM($CN30),Products,0),MATCH(VLOOKUP(CY$3,tEnv[],3,FALSE),Envs,0))*GETPIVOTDATA(CELL("contents",$CN30),$BD$2,"Env Label",CY$3)</f>
        <v>0</v>
      </c>
      <c r="CZ30" s="368">
        <f ca="1">INDEX(Maint_Pricing_Schedule,MATCH(TRIM($CN30),Products,0),MATCH(VLOOKUP(CZ$3,tEnv[],3,FALSE),Envs,0))*GETPIVOTDATA(CELL("contents",$CN30),$BD$2,"Env Label",CZ$3)</f>
        <v>0</v>
      </c>
      <c r="DA30" s="368">
        <f ca="1">INDEX(Maint_Pricing_Schedule,MATCH(TRIM($CN30),Products,0),MATCH(VLOOKUP(DA$3,tEnv[],3,FALSE),Envs,0))*GETPIVOTDATA(CELL("contents",$CN30),$BD$2,"Env Label",DA$3)</f>
        <v>0</v>
      </c>
      <c r="DB30" s="368">
        <f ca="1">INDEX(Maint_Pricing_Schedule,MATCH(TRIM($CN30),Products,0),MATCH(VLOOKUP(DB$3,tEnv[],3,FALSE),Envs,0))*GETPIVOTDATA(CELL("contents",$CN30),$BD$2,"Env Label",DB$3)</f>
        <v>0</v>
      </c>
      <c r="DC30" s="368">
        <f ca="1">INDEX(Maint_Pricing_Schedule,MATCH(TRIM($CN30),Products,0),MATCH(VLOOKUP(DC$3,tEnv[],3,FALSE),Envs,0))*GETPIVOTDATA(CELL("contents",$CN30),$BD$2,"Env Label",DC$3)</f>
        <v>0</v>
      </c>
      <c r="DD30" s="369">
        <f ca="1">SUM(AnnualSWMaintCostByProdByEnv[[#This Row],[PROD]:[DEV]])</f>
        <v>0</v>
      </c>
    </row>
    <row r="31" spans="1:108">
      <c r="W31"/>
      <c r="X31"/>
      <c r="Y31" s="143"/>
      <c r="Z31" s="143"/>
      <c r="AE31"/>
      <c r="AF31"/>
      <c r="BD31" s="281" t="s">
        <v>2280</v>
      </c>
      <c r="BE31" s="272">
        <v>0</v>
      </c>
      <c r="BF31" s="272">
        <v>0</v>
      </c>
      <c r="BG31" s="272">
        <v>0</v>
      </c>
      <c r="BH31" s="272">
        <v>0</v>
      </c>
      <c r="BI31" s="272">
        <v>0</v>
      </c>
      <c r="BJ31" s="272">
        <v>0</v>
      </c>
      <c r="BK31" s="272">
        <v>0</v>
      </c>
      <c r="BL31" s="272">
        <v>0</v>
      </c>
      <c r="BM31" s="272">
        <v>0</v>
      </c>
      <c r="BN31" s="272">
        <v>0</v>
      </c>
      <c r="BO31" s="272">
        <v>0</v>
      </c>
      <c r="BP31" s="272">
        <v>0</v>
      </c>
      <c r="BQ31" s="272">
        <v>0</v>
      </c>
      <c r="BR31" s="272">
        <v>0</v>
      </c>
      <c r="BS31" s="272">
        <v>0</v>
      </c>
      <c r="BT31" s="272">
        <v>0</v>
      </c>
      <c r="BV31" s="262" t="str">
        <f t="shared" si="0"/>
        <v xml:space="preserve">Oracle Ext. Bundle pSeries </v>
      </c>
      <c r="BW31" s="262">
        <f t="shared" si="0"/>
        <v>0</v>
      </c>
      <c r="BX31" s="262">
        <f t="shared" si="0"/>
        <v>0</v>
      </c>
      <c r="BY31" s="427">
        <f ca="1">INDEX(Product_Pricing_Schedule,MATCH(TRIM($BV31),Products,0),MATCH(VLOOKUP(BY$3,tEnv[],3,FALSE),Envs,0))*GETPIVOTDATA(CELL("contents",$BV31),$BD$2,"Env Label",BY$3)</f>
        <v>0</v>
      </c>
      <c r="BZ31" s="427">
        <f ca="1">INDEX(Product_Pricing_Schedule,MATCH(TRIM($BV31),Products,0),MATCH(VLOOKUP(BZ$3,tEnv[],3,FALSE),Envs,0))*GETPIVOTDATA(CELL("contents",$BV31),$BD$2,"Env Label",BZ$3)</f>
        <v>0</v>
      </c>
      <c r="CA31" s="427">
        <f ca="1">INDEX(Product_Pricing_Schedule,MATCH(TRIM($BV31),Products,0),MATCH(VLOOKUP(CA$3,tEnv[],3,FALSE),Envs,0))*GETPIVOTDATA(CELL("contents",$BV31),$BD$2,"Env Label",CA$3)</f>
        <v>0</v>
      </c>
      <c r="CB31" s="427">
        <f ca="1">INDEX(Product_Pricing_Schedule,MATCH(TRIM($BV31),Products,0),MATCH(VLOOKUP(CB$3,tEnv[],3,FALSE),Envs,0))*GETPIVOTDATA(CELL("contents",$BV31),$BD$2,"Env Label",CB$3)</f>
        <v>0</v>
      </c>
      <c r="CC31" s="427">
        <f ca="1">INDEX(Product_Pricing_Schedule,MATCH(TRIM($BV31),Products,0),MATCH(VLOOKUP(CC$3,tEnv[],3,FALSE),Envs,0))*GETPIVOTDATA(CELL("contents",$BV31),$BD$2,"Env Label",CC$3)</f>
        <v>0</v>
      </c>
      <c r="CD31" s="427">
        <f ca="1">INDEX(Product_Pricing_Schedule,MATCH(TRIM($BV31),Products,0),MATCH(VLOOKUP(CD$3,tEnv[],3,FALSE),Envs,0))*GETPIVOTDATA(CELL("contents",$BV31),$BD$2,"Env Label",CD$3)</f>
        <v>0</v>
      </c>
      <c r="CE31" s="427">
        <f ca="1">INDEX(Product_Pricing_Schedule,MATCH(TRIM($BV31),Products,0),MATCH(VLOOKUP(CE$3,tEnv[],3,FALSE),Envs,0))*GETPIVOTDATA(CELL("contents",$BV31),$BD$2,"Env Label",CE$3)</f>
        <v>0</v>
      </c>
      <c r="CF31" s="427">
        <f ca="1">INDEX(Product_Pricing_Schedule,MATCH(TRIM($BV31),Products,0),MATCH(VLOOKUP(CF$3,tEnv[],3,FALSE),Envs,0))*GETPIVOTDATA(CELL("contents",$BV31),$BD$2,"Env Label",CF$3)</f>
        <v>0</v>
      </c>
      <c r="CG31" s="427">
        <f ca="1">INDEX(Product_Pricing_Schedule,MATCH(TRIM($BV31),Products,0),MATCH(VLOOKUP(CG$3,tEnv[],3,FALSE),Envs,0))*GETPIVOTDATA(CELL("contents",$BV31),$BD$2,"Env Label",CG$3)</f>
        <v>0</v>
      </c>
      <c r="CH31" s="427">
        <f ca="1">INDEX(Product_Pricing_Schedule,MATCH(TRIM($BV31),Products,0),MATCH(VLOOKUP(CH$3,tEnv[],3,FALSE),Envs,0))*GETPIVOTDATA(CELL("contents",$BV31),$BD$2,"Env Label",CH$3)</f>
        <v>0</v>
      </c>
      <c r="CI31" s="427">
        <f ca="1">INDEX(Product_Pricing_Schedule,MATCH(TRIM($BV31),Products,0),MATCH(VLOOKUP(CI$3,tEnv[],3,FALSE),Envs,0))*GETPIVOTDATA(CELL("contents",$BV31),$BD$2,"Env Label",CI$3)</f>
        <v>0</v>
      </c>
      <c r="CJ31" s="427">
        <f ca="1">INDEX(Product_Pricing_Schedule,MATCH(TRIM($BV31),Products,0),MATCH(VLOOKUP(CJ$3,tEnv[],3,FALSE),Envs,0))*GETPIVOTDATA(CELL("contents",$BV31),$BD$2,"Env Label",CJ$3)</f>
        <v>0</v>
      </c>
      <c r="CK31" s="427">
        <f ca="1">INDEX(Product_Pricing_Schedule,MATCH(TRIM($BV31),Products,0),MATCH(VLOOKUP(CK$3,tEnv[],3,FALSE),Envs,0))*GETPIVOTDATA(CELL("contents",$BV31),$BD$2,"Env Label",CK$3)</f>
        <v>0</v>
      </c>
      <c r="CL31" s="428">
        <f ca="1">SUM(AnnualSWCostByProdByEnv[[#This Row],[PROD]:[DEV]])</f>
        <v>0</v>
      </c>
      <c r="CN31" s="262" t="str">
        <f t="shared" si="1"/>
        <v xml:space="preserve">Oracle Ext. Bundle pSeries </v>
      </c>
      <c r="CO31" s="262">
        <f t="shared" ca="1" si="3"/>
        <v>0</v>
      </c>
      <c r="CP31" s="262">
        <f t="shared" ca="1" si="3"/>
        <v>0</v>
      </c>
      <c r="CQ31" s="368">
        <f ca="1">INDEX(Maint_Pricing_Schedule,MATCH(TRIM($CN31),Products,0),MATCH(VLOOKUP(CQ$3,tEnv[],3,FALSE),Envs,0))*GETPIVOTDATA(CELL("contents",$CN31),$BD$2,"Env Label",CQ$3)</f>
        <v>0</v>
      </c>
      <c r="CR31" s="368">
        <f ca="1">INDEX(Maint_Pricing_Schedule,MATCH(TRIM($CN31),Products,0),MATCH(VLOOKUP(CR$3,tEnv[],3,FALSE),Envs,0))*GETPIVOTDATA(CELL("contents",$CN31),$BD$2,"Env Label",CR$3)</f>
        <v>0</v>
      </c>
      <c r="CS31" s="368">
        <f ca="1">INDEX(Maint_Pricing_Schedule,MATCH(TRIM($CN31),Products,0),MATCH(VLOOKUP(CS$3,tEnv[],3,FALSE),Envs,0))*GETPIVOTDATA(CELL("contents",$CN31),$BD$2,"Env Label",CS$3)</f>
        <v>0</v>
      </c>
      <c r="CT31" s="368">
        <f ca="1">INDEX(Maint_Pricing_Schedule,MATCH(TRIM($CN31),Products,0),MATCH(VLOOKUP(CT$3,tEnv[],3,FALSE),Envs,0))*GETPIVOTDATA(CELL("contents",$CN31),$BD$2,"Env Label",CT$3)</f>
        <v>0</v>
      </c>
      <c r="CU31" s="368">
        <f ca="1">INDEX(Maint_Pricing_Schedule,MATCH(TRIM($CN31),Products,0),MATCH(VLOOKUP(CU$3,tEnv[],3,FALSE),Envs,0))*GETPIVOTDATA(CELL("contents",$CN31),$BD$2,"Env Label",CU$3)</f>
        <v>0</v>
      </c>
      <c r="CV31" s="368">
        <f ca="1">INDEX(Maint_Pricing_Schedule,MATCH(TRIM($CN31),Products,0),MATCH(VLOOKUP(CV$3,tEnv[],3,FALSE),Envs,0))*GETPIVOTDATA(CELL("contents",$CN31),$BD$2,"Env Label",CV$3)</f>
        <v>0</v>
      </c>
      <c r="CW31" s="368">
        <f ca="1">INDEX(Maint_Pricing_Schedule,MATCH(TRIM($CN31),Products,0),MATCH(VLOOKUP(CW$3,tEnv[],3,FALSE),Envs,0))*GETPIVOTDATA(CELL("contents",$CN31),$BD$2,"Env Label",CW$3)</f>
        <v>0</v>
      </c>
      <c r="CX31" s="368">
        <f ca="1">INDEX(Maint_Pricing_Schedule,MATCH(TRIM($CN31),Products,0),MATCH(VLOOKUP(CX$3,tEnv[],3,FALSE),Envs,0))*GETPIVOTDATA(CELL("contents",$CN31),$BD$2,"Env Label",CX$3)</f>
        <v>0</v>
      </c>
      <c r="CY31" s="368">
        <f ca="1">INDEX(Maint_Pricing_Schedule,MATCH(TRIM($CN31),Products,0),MATCH(VLOOKUP(CY$3,tEnv[],3,FALSE),Envs,0))*GETPIVOTDATA(CELL("contents",$CN31),$BD$2,"Env Label",CY$3)</f>
        <v>0</v>
      </c>
      <c r="CZ31" s="368">
        <f ca="1">INDEX(Maint_Pricing_Schedule,MATCH(TRIM($CN31),Products,0),MATCH(VLOOKUP(CZ$3,tEnv[],3,FALSE),Envs,0))*GETPIVOTDATA(CELL("contents",$CN31),$BD$2,"Env Label",CZ$3)</f>
        <v>0</v>
      </c>
      <c r="DA31" s="368">
        <f ca="1">INDEX(Maint_Pricing_Schedule,MATCH(TRIM($CN31),Products,0),MATCH(VLOOKUP(DA$3,tEnv[],3,FALSE),Envs,0))*GETPIVOTDATA(CELL("contents",$CN31),$BD$2,"Env Label",DA$3)</f>
        <v>0</v>
      </c>
      <c r="DB31" s="368">
        <f ca="1">INDEX(Maint_Pricing_Schedule,MATCH(TRIM($CN31),Products,0),MATCH(VLOOKUP(DB$3,tEnv[],3,FALSE),Envs,0))*GETPIVOTDATA(CELL("contents",$CN31),$BD$2,"Env Label",DB$3)</f>
        <v>0</v>
      </c>
      <c r="DC31" s="368">
        <f ca="1">INDEX(Maint_Pricing_Schedule,MATCH(TRIM($CN31),Products,0),MATCH(VLOOKUP(DC$3,tEnv[],3,FALSE),Envs,0))*GETPIVOTDATA(CELL("contents",$CN31),$BD$2,"Env Label",DC$3)</f>
        <v>0</v>
      </c>
      <c r="DD31" s="369">
        <f ca="1">SUM(AnnualSWMaintCostByProdByEnv[[#This Row],[PROD]:[DEV]])</f>
        <v>0</v>
      </c>
    </row>
    <row r="32" spans="1:108">
      <c r="W32"/>
      <c r="X32"/>
      <c r="Y32" s="143"/>
      <c r="Z32" s="143"/>
      <c r="BD32" s="281" t="s">
        <v>2281</v>
      </c>
      <c r="BE32" s="272">
        <v>0</v>
      </c>
      <c r="BF32" s="272">
        <v>0</v>
      </c>
      <c r="BG32" s="272">
        <v>0</v>
      </c>
      <c r="BH32" s="272">
        <v>0</v>
      </c>
      <c r="BI32" s="272">
        <v>0</v>
      </c>
      <c r="BJ32" s="272">
        <v>0</v>
      </c>
      <c r="BK32" s="272">
        <v>0</v>
      </c>
      <c r="BL32" s="272">
        <v>0</v>
      </c>
      <c r="BM32" s="272">
        <v>0</v>
      </c>
      <c r="BN32" s="272">
        <v>0</v>
      </c>
      <c r="BO32" s="272">
        <v>0</v>
      </c>
      <c r="BP32" s="272">
        <v>0</v>
      </c>
      <c r="BQ32" s="272">
        <v>0</v>
      </c>
      <c r="BR32" s="272">
        <v>0</v>
      </c>
      <c r="BS32" s="272">
        <v>0</v>
      </c>
      <c r="BT32" s="272">
        <v>0</v>
      </c>
      <c r="BV32" s="262" t="str">
        <f t="shared" si="0"/>
        <v xml:space="preserve">Oracle Ext. Bundle x86 </v>
      </c>
      <c r="BW32" s="262">
        <f t="shared" si="0"/>
        <v>0</v>
      </c>
      <c r="BX32" s="262">
        <f t="shared" si="0"/>
        <v>0</v>
      </c>
      <c r="BY32" s="427">
        <f ca="1">INDEX(Product_Pricing_Schedule,MATCH(TRIM($BV32),Products,0),MATCH(VLOOKUP(BY$3,tEnv[],3,FALSE),Envs,0))*GETPIVOTDATA(CELL("contents",$BV32),$BD$2,"Env Label",BY$3)</f>
        <v>0</v>
      </c>
      <c r="BZ32" s="427">
        <f ca="1">INDEX(Product_Pricing_Schedule,MATCH(TRIM($BV32),Products,0),MATCH(VLOOKUP(BZ$3,tEnv[],3,FALSE),Envs,0))*GETPIVOTDATA(CELL("contents",$BV32),$BD$2,"Env Label",BZ$3)</f>
        <v>0</v>
      </c>
      <c r="CA32" s="427">
        <f ca="1">INDEX(Product_Pricing_Schedule,MATCH(TRIM($BV32),Products,0),MATCH(VLOOKUP(CA$3,tEnv[],3,FALSE),Envs,0))*GETPIVOTDATA(CELL("contents",$BV32),$BD$2,"Env Label",CA$3)</f>
        <v>0</v>
      </c>
      <c r="CB32" s="427">
        <f ca="1">INDEX(Product_Pricing_Schedule,MATCH(TRIM($BV32),Products,0),MATCH(VLOOKUP(CB$3,tEnv[],3,FALSE),Envs,0))*GETPIVOTDATA(CELL("contents",$BV32),$BD$2,"Env Label",CB$3)</f>
        <v>0</v>
      </c>
      <c r="CC32" s="427">
        <f ca="1">INDEX(Product_Pricing_Schedule,MATCH(TRIM($BV32),Products,0),MATCH(VLOOKUP(CC$3,tEnv[],3,FALSE),Envs,0))*GETPIVOTDATA(CELL("contents",$BV32),$BD$2,"Env Label",CC$3)</f>
        <v>0</v>
      </c>
      <c r="CD32" s="427">
        <f ca="1">INDEX(Product_Pricing_Schedule,MATCH(TRIM($BV32),Products,0),MATCH(VLOOKUP(CD$3,tEnv[],3,FALSE),Envs,0))*GETPIVOTDATA(CELL("contents",$BV32),$BD$2,"Env Label",CD$3)</f>
        <v>0</v>
      </c>
      <c r="CE32" s="427">
        <f ca="1">INDEX(Product_Pricing_Schedule,MATCH(TRIM($BV32),Products,0),MATCH(VLOOKUP(CE$3,tEnv[],3,FALSE),Envs,0))*GETPIVOTDATA(CELL("contents",$BV32),$BD$2,"Env Label",CE$3)</f>
        <v>0</v>
      </c>
      <c r="CF32" s="427">
        <f ca="1">INDEX(Product_Pricing_Schedule,MATCH(TRIM($BV32),Products,0),MATCH(VLOOKUP(CF$3,tEnv[],3,FALSE),Envs,0))*GETPIVOTDATA(CELL("contents",$BV32),$BD$2,"Env Label",CF$3)</f>
        <v>0</v>
      </c>
      <c r="CG32" s="427">
        <f ca="1">INDEX(Product_Pricing_Schedule,MATCH(TRIM($BV32),Products,0),MATCH(VLOOKUP(CG$3,tEnv[],3,FALSE),Envs,0))*GETPIVOTDATA(CELL("contents",$BV32),$BD$2,"Env Label",CG$3)</f>
        <v>0</v>
      </c>
      <c r="CH32" s="427">
        <f ca="1">INDEX(Product_Pricing_Schedule,MATCH(TRIM($BV32),Products,0),MATCH(VLOOKUP(CH$3,tEnv[],3,FALSE),Envs,0))*GETPIVOTDATA(CELL("contents",$BV32),$BD$2,"Env Label",CH$3)</f>
        <v>0</v>
      </c>
      <c r="CI32" s="427">
        <f ca="1">INDEX(Product_Pricing_Schedule,MATCH(TRIM($BV32),Products,0),MATCH(VLOOKUP(CI$3,tEnv[],3,FALSE),Envs,0))*GETPIVOTDATA(CELL("contents",$BV32),$BD$2,"Env Label",CI$3)</f>
        <v>0</v>
      </c>
      <c r="CJ32" s="427">
        <f ca="1">INDEX(Product_Pricing_Schedule,MATCH(TRIM($BV32),Products,0),MATCH(VLOOKUP(CJ$3,tEnv[],3,FALSE),Envs,0))*GETPIVOTDATA(CELL("contents",$BV32),$BD$2,"Env Label",CJ$3)</f>
        <v>0</v>
      </c>
      <c r="CK32" s="427">
        <f ca="1">INDEX(Product_Pricing_Schedule,MATCH(TRIM($BV32),Products,0),MATCH(VLOOKUP(CK$3,tEnv[],3,FALSE),Envs,0))*GETPIVOTDATA(CELL("contents",$BV32),$BD$2,"Env Label",CK$3)</f>
        <v>0</v>
      </c>
      <c r="CL32" s="428">
        <f ca="1">SUM(AnnualSWCostByProdByEnv[[#This Row],[PROD]:[DEV]])</f>
        <v>0</v>
      </c>
      <c r="CN32" s="262" t="str">
        <f t="shared" si="1"/>
        <v xml:space="preserve">Oracle Ext. Bundle x86 </v>
      </c>
      <c r="CO32" s="262">
        <f t="shared" ca="1" si="3"/>
        <v>0</v>
      </c>
      <c r="CP32" s="262">
        <f t="shared" ca="1" si="3"/>
        <v>0</v>
      </c>
      <c r="CQ32" s="368">
        <f ca="1">INDEX(Maint_Pricing_Schedule,MATCH(TRIM($CN32),Products,0),MATCH(VLOOKUP(CQ$3,tEnv[],3,FALSE),Envs,0))*GETPIVOTDATA(CELL("contents",$CN32),$BD$2,"Env Label",CQ$3)</f>
        <v>0</v>
      </c>
      <c r="CR32" s="368">
        <f ca="1">INDEX(Maint_Pricing_Schedule,MATCH(TRIM($CN32),Products,0),MATCH(VLOOKUP(CR$3,tEnv[],3,FALSE),Envs,0))*GETPIVOTDATA(CELL("contents",$CN32),$BD$2,"Env Label",CR$3)</f>
        <v>0</v>
      </c>
      <c r="CS32" s="368">
        <f ca="1">INDEX(Maint_Pricing_Schedule,MATCH(TRIM($CN32),Products,0),MATCH(VLOOKUP(CS$3,tEnv[],3,FALSE),Envs,0))*GETPIVOTDATA(CELL("contents",$CN32),$BD$2,"Env Label",CS$3)</f>
        <v>0</v>
      </c>
      <c r="CT32" s="368">
        <f ca="1">INDEX(Maint_Pricing_Schedule,MATCH(TRIM($CN32),Products,0),MATCH(VLOOKUP(CT$3,tEnv[],3,FALSE),Envs,0))*GETPIVOTDATA(CELL("contents",$CN32),$BD$2,"Env Label",CT$3)</f>
        <v>0</v>
      </c>
      <c r="CU32" s="368">
        <f ca="1">INDEX(Maint_Pricing_Schedule,MATCH(TRIM($CN32),Products,0),MATCH(VLOOKUP(CU$3,tEnv[],3,FALSE),Envs,0))*GETPIVOTDATA(CELL("contents",$CN32),$BD$2,"Env Label",CU$3)</f>
        <v>0</v>
      </c>
      <c r="CV32" s="368">
        <f ca="1">INDEX(Maint_Pricing_Schedule,MATCH(TRIM($CN32),Products,0),MATCH(VLOOKUP(CV$3,tEnv[],3,FALSE),Envs,0))*GETPIVOTDATA(CELL("contents",$CN32),$BD$2,"Env Label",CV$3)</f>
        <v>0</v>
      </c>
      <c r="CW32" s="368">
        <f ca="1">INDEX(Maint_Pricing_Schedule,MATCH(TRIM($CN32),Products,0),MATCH(VLOOKUP(CW$3,tEnv[],3,FALSE),Envs,0))*GETPIVOTDATA(CELL("contents",$CN32),$BD$2,"Env Label",CW$3)</f>
        <v>0</v>
      </c>
      <c r="CX32" s="368">
        <f ca="1">INDEX(Maint_Pricing_Schedule,MATCH(TRIM($CN32),Products,0),MATCH(VLOOKUP(CX$3,tEnv[],3,FALSE),Envs,0))*GETPIVOTDATA(CELL("contents",$CN32),$BD$2,"Env Label",CX$3)</f>
        <v>0</v>
      </c>
      <c r="CY32" s="368">
        <f ca="1">INDEX(Maint_Pricing_Schedule,MATCH(TRIM($CN32),Products,0),MATCH(VLOOKUP(CY$3,tEnv[],3,FALSE),Envs,0))*GETPIVOTDATA(CELL("contents",$CN32),$BD$2,"Env Label",CY$3)</f>
        <v>0</v>
      </c>
      <c r="CZ32" s="368">
        <f ca="1">INDEX(Maint_Pricing_Schedule,MATCH(TRIM($CN32),Products,0),MATCH(VLOOKUP(CZ$3,tEnv[],3,FALSE),Envs,0))*GETPIVOTDATA(CELL("contents",$CN32),$BD$2,"Env Label",CZ$3)</f>
        <v>0</v>
      </c>
      <c r="DA32" s="368">
        <f ca="1">INDEX(Maint_Pricing_Schedule,MATCH(TRIM($CN32),Products,0),MATCH(VLOOKUP(DA$3,tEnv[],3,FALSE),Envs,0))*GETPIVOTDATA(CELL("contents",$CN32),$BD$2,"Env Label",DA$3)</f>
        <v>0</v>
      </c>
      <c r="DB32" s="368">
        <f ca="1">INDEX(Maint_Pricing_Schedule,MATCH(TRIM($CN32),Products,0),MATCH(VLOOKUP(DB$3,tEnv[],3,FALSE),Envs,0))*GETPIVOTDATA(CELL("contents",$CN32),$BD$2,"Env Label",DB$3)</f>
        <v>0</v>
      </c>
      <c r="DC32" s="368">
        <f ca="1">INDEX(Maint_Pricing_Schedule,MATCH(TRIM($CN32),Products,0),MATCH(VLOOKUP(DC$3,tEnv[],3,FALSE),Envs,0))*GETPIVOTDATA(CELL("contents",$CN32),$BD$2,"Env Label",DC$3)</f>
        <v>0</v>
      </c>
      <c r="DD32" s="369">
        <f ca="1">SUM(AnnualSWMaintCostByProdByEnv[[#This Row],[PROD]:[DEV]])</f>
        <v>0</v>
      </c>
    </row>
    <row r="33" spans="23:108">
      <c r="W33"/>
      <c r="X33"/>
      <c r="Y33" s="143"/>
      <c r="Z33" s="143"/>
      <c r="BD33" s="281" t="s">
        <v>2282</v>
      </c>
      <c r="BE33" s="272">
        <v>0</v>
      </c>
      <c r="BF33" s="272">
        <v>0</v>
      </c>
      <c r="BG33" s="272">
        <v>0</v>
      </c>
      <c r="BH33" s="272">
        <v>0</v>
      </c>
      <c r="BI33" s="272">
        <v>0</v>
      </c>
      <c r="BJ33" s="272">
        <v>0</v>
      </c>
      <c r="BK33" s="272">
        <v>0</v>
      </c>
      <c r="BL33" s="272">
        <v>0</v>
      </c>
      <c r="BM33" s="272">
        <v>0</v>
      </c>
      <c r="BN33" s="272">
        <v>0</v>
      </c>
      <c r="BO33" s="272">
        <v>0</v>
      </c>
      <c r="BP33" s="272">
        <v>0</v>
      </c>
      <c r="BQ33" s="272">
        <v>0</v>
      </c>
      <c r="BR33" s="272">
        <v>0</v>
      </c>
      <c r="BS33" s="272">
        <v>0</v>
      </c>
      <c r="BT33" s="272">
        <v>0</v>
      </c>
      <c r="BV33" s="262" t="str">
        <f t="shared" si="0"/>
        <v xml:space="preserve">Oracle GG pSeries </v>
      </c>
      <c r="BW33" s="262">
        <f t="shared" si="0"/>
        <v>0</v>
      </c>
      <c r="BX33" s="262">
        <f t="shared" si="0"/>
        <v>0</v>
      </c>
      <c r="BY33" s="427">
        <f ca="1">INDEX(Product_Pricing_Schedule,MATCH(TRIM($BV33),Products,0),MATCH(VLOOKUP(BY$3,tEnv[],3,FALSE),Envs,0))*GETPIVOTDATA(CELL("contents",$BV33),$BD$2,"Env Label",BY$3)</f>
        <v>0</v>
      </c>
      <c r="BZ33" s="427">
        <f ca="1">INDEX(Product_Pricing_Schedule,MATCH(TRIM($BV33),Products,0),MATCH(VLOOKUP(BZ$3,tEnv[],3,FALSE),Envs,0))*GETPIVOTDATA(CELL("contents",$BV33),$BD$2,"Env Label",BZ$3)</f>
        <v>0</v>
      </c>
      <c r="CA33" s="427">
        <f ca="1">INDEX(Product_Pricing_Schedule,MATCH(TRIM($BV33),Products,0),MATCH(VLOOKUP(CA$3,tEnv[],3,FALSE),Envs,0))*GETPIVOTDATA(CELL("contents",$BV33),$BD$2,"Env Label",CA$3)</f>
        <v>0</v>
      </c>
      <c r="CB33" s="427">
        <f ca="1">INDEX(Product_Pricing_Schedule,MATCH(TRIM($BV33),Products,0),MATCH(VLOOKUP(CB$3,tEnv[],3,FALSE),Envs,0))*GETPIVOTDATA(CELL("contents",$BV33),$BD$2,"Env Label",CB$3)</f>
        <v>0</v>
      </c>
      <c r="CC33" s="427">
        <f ca="1">INDEX(Product_Pricing_Schedule,MATCH(TRIM($BV33),Products,0),MATCH(VLOOKUP(CC$3,tEnv[],3,FALSE),Envs,0))*GETPIVOTDATA(CELL("contents",$BV33),$BD$2,"Env Label",CC$3)</f>
        <v>0</v>
      </c>
      <c r="CD33" s="427">
        <f ca="1">INDEX(Product_Pricing_Schedule,MATCH(TRIM($BV33),Products,0),MATCH(VLOOKUP(CD$3,tEnv[],3,FALSE),Envs,0))*GETPIVOTDATA(CELL("contents",$BV33),$BD$2,"Env Label",CD$3)</f>
        <v>0</v>
      </c>
      <c r="CE33" s="427">
        <f ca="1">INDEX(Product_Pricing_Schedule,MATCH(TRIM($BV33),Products,0),MATCH(VLOOKUP(CE$3,tEnv[],3,FALSE),Envs,0))*GETPIVOTDATA(CELL("contents",$BV33),$BD$2,"Env Label",CE$3)</f>
        <v>0</v>
      </c>
      <c r="CF33" s="427">
        <f ca="1">INDEX(Product_Pricing_Schedule,MATCH(TRIM($BV33),Products,0),MATCH(VLOOKUP(CF$3,tEnv[],3,FALSE),Envs,0))*GETPIVOTDATA(CELL("contents",$BV33),$BD$2,"Env Label",CF$3)</f>
        <v>0</v>
      </c>
      <c r="CG33" s="427">
        <f ca="1">INDEX(Product_Pricing_Schedule,MATCH(TRIM($BV33),Products,0),MATCH(VLOOKUP(CG$3,tEnv[],3,FALSE),Envs,0))*GETPIVOTDATA(CELL("contents",$BV33),$BD$2,"Env Label",CG$3)</f>
        <v>0</v>
      </c>
      <c r="CH33" s="427">
        <f ca="1">INDEX(Product_Pricing_Schedule,MATCH(TRIM($BV33),Products,0),MATCH(VLOOKUP(CH$3,tEnv[],3,FALSE),Envs,0))*GETPIVOTDATA(CELL("contents",$BV33),$BD$2,"Env Label",CH$3)</f>
        <v>0</v>
      </c>
      <c r="CI33" s="427">
        <f ca="1">INDEX(Product_Pricing_Schedule,MATCH(TRIM($BV33),Products,0),MATCH(VLOOKUP(CI$3,tEnv[],3,FALSE),Envs,0))*GETPIVOTDATA(CELL("contents",$BV33),$BD$2,"Env Label",CI$3)</f>
        <v>0</v>
      </c>
      <c r="CJ33" s="427">
        <f ca="1">INDEX(Product_Pricing_Schedule,MATCH(TRIM($BV33),Products,0),MATCH(VLOOKUP(CJ$3,tEnv[],3,FALSE),Envs,0))*GETPIVOTDATA(CELL("contents",$BV33),$BD$2,"Env Label",CJ$3)</f>
        <v>0</v>
      </c>
      <c r="CK33" s="427">
        <f ca="1">INDEX(Product_Pricing_Schedule,MATCH(TRIM($BV33),Products,0),MATCH(VLOOKUP(CK$3,tEnv[],3,FALSE),Envs,0))*GETPIVOTDATA(CELL("contents",$BV33),$BD$2,"Env Label",CK$3)</f>
        <v>0</v>
      </c>
      <c r="CL33" s="428">
        <f ca="1">SUM(AnnualSWCostByProdByEnv[[#This Row],[PROD]:[DEV]])</f>
        <v>0</v>
      </c>
      <c r="CN33" s="262" t="str">
        <f t="shared" si="1"/>
        <v xml:space="preserve">Oracle GG pSeries </v>
      </c>
      <c r="CO33" s="262">
        <f t="shared" ca="1" si="3"/>
        <v>0</v>
      </c>
      <c r="CP33" s="262">
        <f t="shared" ca="1" si="3"/>
        <v>0</v>
      </c>
      <c r="CQ33" s="368">
        <f ca="1">INDEX(Maint_Pricing_Schedule,MATCH(TRIM($CN33),Products,0),MATCH(VLOOKUP(CQ$3,tEnv[],3,FALSE),Envs,0))*GETPIVOTDATA(CELL("contents",$CN33),$BD$2,"Env Label",CQ$3)</f>
        <v>0</v>
      </c>
      <c r="CR33" s="368">
        <f ca="1">INDEX(Maint_Pricing_Schedule,MATCH(TRIM($CN33),Products,0),MATCH(VLOOKUP(CR$3,tEnv[],3,FALSE),Envs,0))*GETPIVOTDATA(CELL("contents",$CN33),$BD$2,"Env Label",CR$3)</f>
        <v>0</v>
      </c>
      <c r="CS33" s="368">
        <f ca="1">INDEX(Maint_Pricing_Schedule,MATCH(TRIM($CN33),Products,0),MATCH(VLOOKUP(CS$3,tEnv[],3,FALSE),Envs,0))*GETPIVOTDATA(CELL("contents",$CN33),$BD$2,"Env Label",CS$3)</f>
        <v>0</v>
      </c>
      <c r="CT33" s="368">
        <f ca="1">INDEX(Maint_Pricing_Schedule,MATCH(TRIM($CN33),Products,0),MATCH(VLOOKUP(CT$3,tEnv[],3,FALSE),Envs,0))*GETPIVOTDATA(CELL("contents",$CN33),$BD$2,"Env Label",CT$3)</f>
        <v>0</v>
      </c>
      <c r="CU33" s="368">
        <f ca="1">INDEX(Maint_Pricing_Schedule,MATCH(TRIM($CN33),Products,0),MATCH(VLOOKUP(CU$3,tEnv[],3,FALSE),Envs,0))*GETPIVOTDATA(CELL("contents",$CN33),$BD$2,"Env Label",CU$3)</f>
        <v>0</v>
      </c>
      <c r="CV33" s="368">
        <f ca="1">INDEX(Maint_Pricing_Schedule,MATCH(TRIM($CN33),Products,0),MATCH(VLOOKUP(CV$3,tEnv[],3,FALSE),Envs,0))*GETPIVOTDATA(CELL("contents",$CN33),$BD$2,"Env Label",CV$3)</f>
        <v>0</v>
      </c>
      <c r="CW33" s="368">
        <f ca="1">INDEX(Maint_Pricing_Schedule,MATCH(TRIM($CN33),Products,0),MATCH(VLOOKUP(CW$3,tEnv[],3,FALSE),Envs,0))*GETPIVOTDATA(CELL("contents",$CN33),$BD$2,"Env Label",CW$3)</f>
        <v>0</v>
      </c>
      <c r="CX33" s="368">
        <f ca="1">INDEX(Maint_Pricing_Schedule,MATCH(TRIM($CN33),Products,0),MATCH(VLOOKUP(CX$3,tEnv[],3,FALSE),Envs,0))*GETPIVOTDATA(CELL("contents",$CN33),$BD$2,"Env Label",CX$3)</f>
        <v>0</v>
      </c>
      <c r="CY33" s="368">
        <f ca="1">INDEX(Maint_Pricing_Schedule,MATCH(TRIM($CN33),Products,0),MATCH(VLOOKUP(CY$3,tEnv[],3,FALSE),Envs,0))*GETPIVOTDATA(CELL("contents",$CN33),$BD$2,"Env Label",CY$3)</f>
        <v>0</v>
      </c>
      <c r="CZ33" s="368">
        <f ca="1">INDEX(Maint_Pricing_Schedule,MATCH(TRIM($CN33),Products,0),MATCH(VLOOKUP(CZ$3,tEnv[],3,FALSE),Envs,0))*GETPIVOTDATA(CELL("contents",$CN33),$BD$2,"Env Label",CZ$3)</f>
        <v>0</v>
      </c>
      <c r="DA33" s="368">
        <f ca="1">INDEX(Maint_Pricing_Schedule,MATCH(TRIM($CN33),Products,0),MATCH(VLOOKUP(DA$3,tEnv[],3,FALSE),Envs,0))*GETPIVOTDATA(CELL("contents",$CN33),$BD$2,"Env Label",DA$3)</f>
        <v>0</v>
      </c>
      <c r="DB33" s="368">
        <f ca="1">INDEX(Maint_Pricing_Schedule,MATCH(TRIM($CN33),Products,0),MATCH(VLOOKUP(DB$3,tEnv[],3,FALSE),Envs,0))*GETPIVOTDATA(CELL("contents",$CN33),$BD$2,"Env Label",DB$3)</f>
        <v>0</v>
      </c>
      <c r="DC33" s="368">
        <f ca="1">INDEX(Maint_Pricing_Schedule,MATCH(TRIM($CN33),Products,0),MATCH(VLOOKUP(DC$3,tEnv[],3,FALSE),Envs,0))*GETPIVOTDATA(CELL("contents",$CN33),$BD$2,"Env Label",DC$3)</f>
        <v>0</v>
      </c>
      <c r="DD33" s="369">
        <f ca="1">SUM(AnnualSWMaintCostByProdByEnv[[#This Row],[PROD]:[DEV]])</f>
        <v>0</v>
      </c>
    </row>
    <row r="34" spans="23:108">
      <c r="W34"/>
      <c r="X34"/>
      <c r="Y34" s="143"/>
      <c r="Z34" s="143"/>
      <c r="BD34" s="281" t="s">
        <v>2283</v>
      </c>
      <c r="BE34" s="272">
        <v>0</v>
      </c>
      <c r="BF34" s="272">
        <v>0</v>
      </c>
      <c r="BG34" s="272">
        <v>0</v>
      </c>
      <c r="BH34" s="272">
        <v>0</v>
      </c>
      <c r="BI34" s="272">
        <v>0</v>
      </c>
      <c r="BJ34" s="272">
        <v>0</v>
      </c>
      <c r="BK34" s="272">
        <v>0</v>
      </c>
      <c r="BL34" s="272">
        <v>0</v>
      </c>
      <c r="BM34" s="272">
        <v>0</v>
      </c>
      <c r="BN34" s="272">
        <v>0</v>
      </c>
      <c r="BO34" s="272">
        <v>0</v>
      </c>
      <c r="BP34" s="272">
        <v>0</v>
      </c>
      <c r="BQ34" s="272">
        <v>0</v>
      </c>
      <c r="BR34" s="272">
        <v>0</v>
      </c>
      <c r="BS34" s="272">
        <v>0</v>
      </c>
      <c r="BT34" s="272">
        <v>0</v>
      </c>
      <c r="BV34" s="262" t="str">
        <f t="shared" si="0"/>
        <v xml:space="preserve">Oracle GG x86 </v>
      </c>
      <c r="BW34" s="262">
        <f t="shared" si="0"/>
        <v>0</v>
      </c>
      <c r="BX34" s="262">
        <f t="shared" si="0"/>
        <v>0</v>
      </c>
      <c r="BY34" s="427">
        <f ca="1">INDEX(Product_Pricing_Schedule,MATCH(TRIM($BV34),Products,0),MATCH(VLOOKUP(BY$3,tEnv[],3,FALSE),Envs,0))*GETPIVOTDATA(CELL("contents",$BV34),$BD$2,"Env Label",BY$3)</f>
        <v>0</v>
      </c>
      <c r="BZ34" s="427">
        <f ca="1">INDEX(Product_Pricing_Schedule,MATCH(TRIM($BV34),Products,0),MATCH(VLOOKUP(BZ$3,tEnv[],3,FALSE),Envs,0))*GETPIVOTDATA(CELL("contents",$BV34),$BD$2,"Env Label",BZ$3)</f>
        <v>0</v>
      </c>
      <c r="CA34" s="427">
        <f ca="1">INDEX(Product_Pricing_Schedule,MATCH(TRIM($BV34),Products,0),MATCH(VLOOKUP(CA$3,tEnv[],3,FALSE),Envs,0))*GETPIVOTDATA(CELL("contents",$BV34),$BD$2,"Env Label",CA$3)</f>
        <v>0</v>
      </c>
      <c r="CB34" s="427">
        <f ca="1">INDEX(Product_Pricing_Schedule,MATCH(TRIM($BV34),Products,0),MATCH(VLOOKUP(CB$3,tEnv[],3,FALSE),Envs,0))*GETPIVOTDATA(CELL("contents",$BV34),$BD$2,"Env Label",CB$3)</f>
        <v>0</v>
      </c>
      <c r="CC34" s="427">
        <f ca="1">INDEX(Product_Pricing_Schedule,MATCH(TRIM($BV34),Products,0),MATCH(VLOOKUP(CC$3,tEnv[],3,FALSE),Envs,0))*GETPIVOTDATA(CELL("contents",$BV34),$BD$2,"Env Label",CC$3)</f>
        <v>0</v>
      </c>
      <c r="CD34" s="427">
        <f ca="1">INDEX(Product_Pricing_Schedule,MATCH(TRIM($BV34),Products,0),MATCH(VLOOKUP(CD$3,tEnv[],3,FALSE),Envs,0))*GETPIVOTDATA(CELL("contents",$BV34),$BD$2,"Env Label",CD$3)</f>
        <v>0</v>
      </c>
      <c r="CE34" s="427">
        <f ca="1">INDEX(Product_Pricing_Schedule,MATCH(TRIM($BV34),Products,0),MATCH(VLOOKUP(CE$3,tEnv[],3,FALSE),Envs,0))*GETPIVOTDATA(CELL("contents",$BV34),$BD$2,"Env Label",CE$3)</f>
        <v>0</v>
      </c>
      <c r="CF34" s="427">
        <f ca="1">INDEX(Product_Pricing_Schedule,MATCH(TRIM($BV34),Products,0),MATCH(VLOOKUP(CF$3,tEnv[],3,FALSE),Envs,0))*GETPIVOTDATA(CELL("contents",$BV34),$BD$2,"Env Label",CF$3)</f>
        <v>0</v>
      </c>
      <c r="CG34" s="427">
        <f ca="1">INDEX(Product_Pricing_Schedule,MATCH(TRIM($BV34),Products,0),MATCH(VLOOKUP(CG$3,tEnv[],3,FALSE),Envs,0))*GETPIVOTDATA(CELL("contents",$BV34),$BD$2,"Env Label",CG$3)</f>
        <v>0</v>
      </c>
      <c r="CH34" s="427">
        <f ca="1">INDEX(Product_Pricing_Schedule,MATCH(TRIM($BV34),Products,0),MATCH(VLOOKUP(CH$3,tEnv[],3,FALSE),Envs,0))*GETPIVOTDATA(CELL("contents",$BV34),$BD$2,"Env Label",CH$3)</f>
        <v>0</v>
      </c>
      <c r="CI34" s="427">
        <f ca="1">INDEX(Product_Pricing_Schedule,MATCH(TRIM($BV34),Products,0),MATCH(VLOOKUP(CI$3,tEnv[],3,FALSE),Envs,0))*GETPIVOTDATA(CELL("contents",$BV34),$BD$2,"Env Label",CI$3)</f>
        <v>0</v>
      </c>
      <c r="CJ34" s="427">
        <f ca="1">INDEX(Product_Pricing_Schedule,MATCH(TRIM($BV34),Products,0),MATCH(VLOOKUP(CJ$3,tEnv[],3,FALSE),Envs,0))*GETPIVOTDATA(CELL("contents",$BV34),$BD$2,"Env Label",CJ$3)</f>
        <v>0</v>
      </c>
      <c r="CK34" s="427">
        <f ca="1">INDEX(Product_Pricing_Schedule,MATCH(TRIM($BV34),Products,0),MATCH(VLOOKUP(CK$3,tEnv[],3,FALSE),Envs,0))*GETPIVOTDATA(CELL("contents",$BV34),$BD$2,"Env Label",CK$3)</f>
        <v>0</v>
      </c>
      <c r="CL34" s="428">
        <f ca="1">SUM(AnnualSWCostByProdByEnv[[#This Row],[PROD]:[DEV]])</f>
        <v>0</v>
      </c>
      <c r="CN34" s="262" t="str">
        <f t="shared" si="1"/>
        <v xml:space="preserve">Oracle GG x86 </v>
      </c>
      <c r="CO34" s="262">
        <f t="shared" ca="1" si="3"/>
        <v>0</v>
      </c>
      <c r="CP34" s="262">
        <f t="shared" ca="1" si="3"/>
        <v>0</v>
      </c>
      <c r="CQ34" s="368">
        <f ca="1">INDEX(Maint_Pricing_Schedule,MATCH(TRIM($CN34),Products,0),MATCH(VLOOKUP(CQ$3,tEnv[],3,FALSE),Envs,0))*GETPIVOTDATA(CELL("contents",$CN34),$BD$2,"Env Label",CQ$3)</f>
        <v>0</v>
      </c>
      <c r="CR34" s="368">
        <f ca="1">INDEX(Maint_Pricing_Schedule,MATCH(TRIM($CN34),Products,0),MATCH(VLOOKUP(CR$3,tEnv[],3,FALSE),Envs,0))*GETPIVOTDATA(CELL("contents",$CN34),$BD$2,"Env Label",CR$3)</f>
        <v>0</v>
      </c>
      <c r="CS34" s="368">
        <f ca="1">INDEX(Maint_Pricing_Schedule,MATCH(TRIM($CN34),Products,0),MATCH(VLOOKUP(CS$3,tEnv[],3,FALSE),Envs,0))*GETPIVOTDATA(CELL("contents",$CN34),$BD$2,"Env Label",CS$3)</f>
        <v>0</v>
      </c>
      <c r="CT34" s="368">
        <f ca="1">INDEX(Maint_Pricing_Schedule,MATCH(TRIM($CN34),Products,0),MATCH(VLOOKUP(CT$3,tEnv[],3,FALSE),Envs,0))*GETPIVOTDATA(CELL("contents",$CN34),$BD$2,"Env Label",CT$3)</f>
        <v>0</v>
      </c>
      <c r="CU34" s="368">
        <f ca="1">INDEX(Maint_Pricing_Schedule,MATCH(TRIM($CN34),Products,0),MATCH(VLOOKUP(CU$3,tEnv[],3,FALSE),Envs,0))*GETPIVOTDATA(CELL("contents",$CN34),$BD$2,"Env Label",CU$3)</f>
        <v>0</v>
      </c>
      <c r="CV34" s="368">
        <f ca="1">INDEX(Maint_Pricing_Schedule,MATCH(TRIM($CN34),Products,0),MATCH(VLOOKUP(CV$3,tEnv[],3,FALSE),Envs,0))*GETPIVOTDATA(CELL("contents",$CN34),$BD$2,"Env Label",CV$3)</f>
        <v>0</v>
      </c>
      <c r="CW34" s="368">
        <f ca="1">INDEX(Maint_Pricing_Schedule,MATCH(TRIM($CN34),Products,0),MATCH(VLOOKUP(CW$3,tEnv[],3,FALSE),Envs,0))*GETPIVOTDATA(CELL("contents",$CN34),$BD$2,"Env Label",CW$3)</f>
        <v>0</v>
      </c>
      <c r="CX34" s="368">
        <f ca="1">INDEX(Maint_Pricing_Schedule,MATCH(TRIM($CN34),Products,0),MATCH(VLOOKUP(CX$3,tEnv[],3,FALSE),Envs,0))*GETPIVOTDATA(CELL("contents",$CN34),$BD$2,"Env Label",CX$3)</f>
        <v>0</v>
      </c>
      <c r="CY34" s="368">
        <f ca="1">INDEX(Maint_Pricing_Schedule,MATCH(TRIM($CN34),Products,0),MATCH(VLOOKUP(CY$3,tEnv[],3,FALSE),Envs,0))*GETPIVOTDATA(CELL("contents",$CN34),$BD$2,"Env Label",CY$3)</f>
        <v>0</v>
      </c>
      <c r="CZ34" s="368">
        <f ca="1">INDEX(Maint_Pricing_Schedule,MATCH(TRIM($CN34),Products,0),MATCH(VLOOKUP(CZ$3,tEnv[],3,FALSE),Envs,0))*GETPIVOTDATA(CELL("contents",$CN34),$BD$2,"Env Label",CZ$3)</f>
        <v>0</v>
      </c>
      <c r="DA34" s="368">
        <f ca="1">INDEX(Maint_Pricing_Schedule,MATCH(TRIM($CN34),Products,0),MATCH(VLOOKUP(DA$3,tEnv[],3,FALSE),Envs,0))*GETPIVOTDATA(CELL("contents",$CN34),$BD$2,"Env Label",DA$3)</f>
        <v>0</v>
      </c>
      <c r="DB34" s="368">
        <f ca="1">INDEX(Maint_Pricing_Schedule,MATCH(TRIM($CN34),Products,0),MATCH(VLOOKUP(DB$3,tEnv[],3,FALSE),Envs,0))*GETPIVOTDATA(CELL("contents",$CN34),$BD$2,"Env Label",DB$3)</f>
        <v>0</v>
      </c>
      <c r="DC34" s="368">
        <f ca="1">INDEX(Maint_Pricing_Schedule,MATCH(TRIM($CN34),Products,0),MATCH(VLOOKUP(DC$3,tEnv[],3,FALSE),Envs,0))*GETPIVOTDATA(CELL("contents",$CN34),$BD$2,"Env Label",DC$3)</f>
        <v>0</v>
      </c>
      <c r="DD34" s="369">
        <f ca="1">SUM(AnnualSWMaintCostByProdByEnv[[#This Row],[PROD]:[DEV]])</f>
        <v>0</v>
      </c>
    </row>
    <row r="35" spans="23:108">
      <c r="W35"/>
      <c r="X35"/>
      <c r="Y35" s="143"/>
      <c r="Z35" s="143"/>
      <c r="BD35" s="281" t="s">
        <v>2284</v>
      </c>
      <c r="BE35" s="272">
        <v>0</v>
      </c>
      <c r="BF35" s="272">
        <v>0</v>
      </c>
      <c r="BG35" s="272">
        <v>0</v>
      </c>
      <c r="BH35" s="272">
        <v>0</v>
      </c>
      <c r="BI35" s="272">
        <v>0</v>
      </c>
      <c r="BJ35" s="272">
        <v>0</v>
      </c>
      <c r="BK35" s="272">
        <v>0</v>
      </c>
      <c r="BL35" s="272">
        <v>0</v>
      </c>
      <c r="BM35" s="272">
        <v>0</v>
      </c>
      <c r="BN35" s="272">
        <v>0</v>
      </c>
      <c r="BO35" s="272">
        <v>0</v>
      </c>
      <c r="BP35" s="272">
        <v>0</v>
      </c>
      <c r="BQ35" s="272">
        <v>0</v>
      </c>
      <c r="BR35" s="272">
        <v>0</v>
      </c>
      <c r="BS35" s="272">
        <v>0</v>
      </c>
      <c r="BT35" s="272">
        <v>0</v>
      </c>
      <c r="BV35" s="262" t="str">
        <f t="shared" si="0"/>
        <v xml:space="preserve">Oracle GG Veridata pSeries </v>
      </c>
      <c r="BW35" s="262">
        <f t="shared" si="0"/>
        <v>0</v>
      </c>
      <c r="BX35" s="262">
        <f t="shared" si="0"/>
        <v>0</v>
      </c>
      <c r="BY35" s="427">
        <f ca="1">INDEX(Product_Pricing_Schedule,MATCH(TRIM($BV35),Products,0),MATCH(VLOOKUP(BY$3,tEnv[],3,FALSE),Envs,0))*GETPIVOTDATA(CELL("contents",$BV35),$BD$2,"Env Label",BY$3)</f>
        <v>0</v>
      </c>
      <c r="BZ35" s="427">
        <f ca="1">INDEX(Product_Pricing_Schedule,MATCH(TRIM($BV35),Products,0),MATCH(VLOOKUP(BZ$3,tEnv[],3,FALSE),Envs,0))*GETPIVOTDATA(CELL("contents",$BV35),$BD$2,"Env Label",BZ$3)</f>
        <v>0</v>
      </c>
      <c r="CA35" s="427">
        <f ca="1">INDEX(Product_Pricing_Schedule,MATCH(TRIM($BV35),Products,0),MATCH(VLOOKUP(CA$3,tEnv[],3,FALSE),Envs,0))*GETPIVOTDATA(CELL("contents",$BV35),$BD$2,"Env Label",CA$3)</f>
        <v>0</v>
      </c>
      <c r="CB35" s="427">
        <f ca="1">INDEX(Product_Pricing_Schedule,MATCH(TRIM($BV35),Products,0),MATCH(VLOOKUP(CB$3,tEnv[],3,FALSE),Envs,0))*GETPIVOTDATA(CELL("contents",$BV35),$BD$2,"Env Label",CB$3)</f>
        <v>0</v>
      </c>
      <c r="CC35" s="427">
        <f ca="1">INDEX(Product_Pricing_Schedule,MATCH(TRIM($BV35),Products,0),MATCH(VLOOKUP(CC$3,tEnv[],3,FALSE),Envs,0))*GETPIVOTDATA(CELL("contents",$BV35),$BD$2,"Env Label",CC$3)</f>
        <v>0</v>
      </c>
      <c r="CD35" s="427">
        <f ca="1">INDEX(Product_Pricing_Schedule,MATCH(TRIM($BV35),Products,0),MATCH(VLOOKUP(CD$3,tEnv[],3,FALSE),Envs,0))*GETPIVOTDATA(CELL("contents",$BV35),$BD$2,"Env Label",CD$3)</f>
        <v>0</v>
      </c>
      <c r="CE35" s="427">
        <f ca="1">INDEX(Product_Pricing_Schedule,MATCH(TRIM($BV35),Products,0),MATCH(VLOOKUP(CE$3,tEnv[],3,FALSE),Envs,0))*GETPIVOTDATA(CELL("contents",$BV35),$BD$2,"Env Label",CE$3)</f>
        <v>0</v>
      </c>
      <c r="CF35" s="427">
        <f ca="1">INDEX(Product_Pricing_Schedule,MATCH(TRIM($BV35),Products,0),MATCH(VLOOKUP(CF$3,tEnv[],3,FALSE),Envs,0))*GETPIVOTDATA(CELL("contents",$BV35),$BD$2,"Env Label",CF$3)</f>
        <v>0</v>
      </c>
      <c r="CG35" s="427">
        <f ca="1">INDEX(Product_Pricing_Schedule,MATCH(TRIM($BV35),Products,0),MATCH(VLOOKUP(CG$3,tEnv[],3,FALSE),Envs,0))*GETPIVOTDATA(CELL("contents",$BV35),$BD$2,"Env Label",CG$3)</f>
        <v>0</v>
      </c>
      <c r="CH35" s="427">
        <f ca="1">INDEX(Product_Pricing_Schedule,MATCH(TRIM($BV35),Products,0),MATCH(VLOOKUP(CH$3,tEnv[],3,FALSE),Envs,0))*GETPIVOTDATA(CELL("contents",$BV35),$BD$2,"Env Label",CH$3)</f>
        <v>0</v>
      </c>
      <c r="CI35" s="427">
        <f ca="1">INDEX(Product_Pricing_Schedule,MATCH(TRIM($BV35),Products,0),MATCH(VLOOKUP(CI$3,tEnv[],3,FALSE),Envs,0))*GETPIVOTDATA(CELL("contents",$BV35),$BD$2,"Env Label",CI$3)</f>
        <v>0</v>
      </c>
      <c r="CJ35" s="427">
        <f ca="1">INDEX(Product_Pricing_Schedule,MATCH(TRIM($BV35),Products,0),MATCH(VLOOKUP(CJ$3,tEnv[],3,FALSE),Envs,0))*GETPIVOTDATA(CELL("contents",$BV35),$BD$2,"Env Label",CJ$3)</f>
        <v>0</v>
      </c>
      <c r="CK35" s="427">
        <f ca="1">INDEX(Product_Pricing_Schedule,MATCH(TRIM($BV35),Products,0),MATCH(VLOOKUP(CK$3,tEnv[],3,FALSE),Envs,0))*GETPIVOTDATA(CELL("contents",$BV35),$BD$2,"Env Label",CK$3)</f>
        <v>0</v>
      </c>
      <c r="CL35" s="428">
        <f ca="1">SUM(AnnualSWCostByProdByEnv[[#This Row],[PROD]:[DEV]])</f>
        <v>0</v>
      </c>
      <c r="CN35" s="262" t="str">
        <f t="shared" si="1"/>
        <v xml:space="preserve">Oracle GG Veridata pSeries </v>
      </c>
      <c r="CO35" s="262">
        <f t="shared" ca="1" si="3"/>
        <v>0</v>
      </c>
      <c r="CP35" s="262">
        <f t="shared" ca="1" si="3"/>
        <v>0</v>
      </c>
      <c r="CQ35" s="368">
        <f ca="1">INDEX(Maint_Pricing_Schedule,MATCH(TRIM($CN35),Products,0),MATCH(VLOOKUP(CQ$3,tEnv[],3,FALSE),Envs,0))*GETPIVOTDATA(CELL("contents",$CN35),$BD$2,"Env Label",CQ$3)</f>
        <v>0</v>
      </c>
      <c r="CR35" s="368">
        <f ca="1">INDEX(Maint_Pricing_Schedule,MATCH(TRIM($CN35),Products,0),MATCH(VLOOKUP(CR$3,tEnv[],3,FALSE),Envs,0))*GETPIVOTDATA(CELL("contents",$CN35),$BD$2,"Env Label",CR$3)</f>
        <v>0</v>
      </c>
      <c r="CS35" s="368">
        <f ca="1">INDEX(Maint_Pricing_Schedule,MATCH(TRIM($CN35),Products,0),MATCH(VLOOKUP(CS$3,tEnv[],3,FALSE),Envs,0))*GETPIVOTDATA(CELL("contents",$CN35),$BD$2,"Env Label",CS$3)</f>
        <v>0</v>
      </c>
      <c r="CT35" s="368">
        <f ca="1">INDEX(Maint_Pricing_Schedule,MATCH(TRIM($CN35),Products,0),MATCH(VLOOKUP(CT$3,tEnv[],3,FALSE),Envs,0))*GETPIVOTDATA(CELL("contents",$CN35),$BD$2,"Env Label",CT$3)</f>
        <v>0</v>
      </c>
      <c r="CU35" s="368">
        <f ca="1">INDEX(Maint_Pricing_Schedule,MATCH(TRIM($CN35),Products,0),MATCH(VLOOKUP(CU$3,tEnv[],3,FALSE),Envs,0))*GETPIVOTDATA(CELL("contents",$CN35),$BD$2,"Env Label",CU$3)</f>
        <v>0</v>
      </c>
      <c r="CV35" s="368">
        <f ca="1">INDEX(Maint_Pricing_Schedule,MATCH(TRIM($CN35),Products,0),MATCH(VLOOKUP(CV$3,tEnv[],3,FALSE),Envs,0))*GETPIVOTDATA(CELL("contents",$CN35),$BD$2,"Env Label",CV$3)</f>
        <v>0</v>
      </c>
      <c r="CW35" s="368">
        <f ca="1">INDEX(Maint_Pricing_Schedule,MATCH(TRIM($CN35),Products,0),MATCH(VLOOKUP(CW$3,tEnv[],3,FALSE),Envs,0))*GETPIVOTDATA(CELL("contents",$CN35),$BD$2,"Env Label",CW$3)</f>
        <v>0</v>
      </c>
      <c r="CX35" s="368">
        <f ca="1">INDEX(Maint_Pricing_Schedule,MATCH(TRIM($CN35),Products,0),MATCH(VLOOKUP(CX$3,tEnv[],3,FALSE),Envs,0))*GETPIVOTDATA(CELL("contents",$CN35),$BD$2,"Env Label",CX$3)</f>
        <v>0</v>
      </c>
      <c r="CY35" s="368">
        <f ca="1">INDEX(Maint_Pricing_Schedule,MATCH(TRIM($CN35),Products,0),MATCH(VLOOKUP(CY$3,tEnv[],3,FALSE),Envs,0))*GETPIVOTDATA(CELL("contents",$CN35),$BD$2,"Env Label",CY$3)</f>
        <v>0</v>
      </c>
      <c r="CZ35" s="368">
        <f ca="1">INDEX(Maint_Pricing_Schedule,MATCH(TRIM($CN35),Products,0),MATCH(VLOOKUP(CZ$3,tEnv[],3,FALSE),Envs,0))*GETPIVOTDATA(CELL("contents",$CN35),$BD$2,"Env Label",CZ$3)</f>
        <v>0</v>
      </c>
      <c r="DA35" s="368">
        <f ca="1">INDEX(Maint_Pricing_Schedule,MATCH(TRIM($CN35),Products,0),MATCH(VLOOKUP(DA$3,tEnv[],3,FALSE),Envs,0))*GETPIVOTDATA(CELL("contents",$CN35),$BD$2,"Env Label",DA$3)</f>
        <v>0</v>
      </c>
      <c r="DB35" s="368">
        <f ca="1">INDEX(Maint_Pricing_Schedule,MATCH(TRIM($CN35),Products,0),MATCH(VLOOKUP(DB$3,tEnv[],3,FALSE),Envs,0))*GETPIVOTDATA(CELL("contents",$CN35),$BD$2,"Env Label",DB$3)</f>
        <v>0</v>
      </c>
      <c r="DC35" s="368">
        <f ca="1">INDEX(Maint_Pricing_Schedule,MATCH(TRIM($CN35),Products,0),MATCH(VLOOKUP(DC$3,tEnv[],3,FALSE),Envs,0))*GETPIVOTDATA(CELL("contents",$CN35),$BD$2,"Env Label",DC$3)</f>
        <v>0</v>
      </c>
      <c r="DD35" s="369">
        <f ca="1">SUM(AnnualSWMaintCostByProdByEnv[[#This Row],[PROD]:[DEV]])</f>
        <v>0</v>
      </c>
    </row>
    <row r="36" spans="23:108">
      <c r="W36"/>
      <c r="X36"/>
      <c r="Y36" s="143"/>
      <c r="Z36" s="143"/>
      <c r="BD36" s="281" t="s">
        <v>2285</v>
      </c>
      <c r="BE36" s="272">
        <v>0</v>
      </c>
      <c r="BF36" s="272">
        <v>0</v>
      </c>
      <c r="BG36" s="272">
        <v>0</v>
      </c>
      <c r="BH36" s="272">
        <v>0</v>
      </c>
      <c r="BI36" s="272">
        <v>0</v>
      </c>
      <c r="BJ36" s="272">
        <v>0</v>
      </c>
      <c r="BK36" s="272">
        <v>0</v>
      </c>
      <c r="BL36" s="272">
        <v>0</v>
      </c>
      <c r="BM36" s="272">
        <v>0</v>
      </c>
      <c r="BN36" s="272">
        <v>0</v>
      </c>
      <c r="BO36" s="272">
        <v>0</v>
      </c>
      <c r="BP36" s="272">
        <v>0</v>
      </c>
      <c r="BQ36" s="272">
        <v>0</v>
      </c>
      <c r="BR36" s="272">
        <v>0</v>
      </c>
      <c r="BS36" s="272">
        <v>0</v>
      </c>
      <c r="BT36" s="272">
        <v>0</v>
      </c>
      <c r="BV36" s="262" t="str">
        <f t="shared" si="0"/>
        <v xml:space="preserve">Oracle GG Veridata x86 </v>
      </c>
      <c r="BW36" s="262">
        <f t="shared" si="0"/>
        <v>0</v>
      </c>
      <c r="BX36" s="262">
        <f t="shared" si="0"/>
        <v>0</v>
      </c>
      <c r="BY36" s="427">
        <f ca="1">INDEX(Product_Pricing_Schedule,MATCH(TRIM($BV36),Products,0),MATCH(VLOOKUP(BY$3,tEnv[],3,FALSE),Envs,0))*GETPIVOTDATA(CELL("contents",$BV36),$BD$2,"Env Label",BY$3)</f>
        <v>0</v>
      </c>
      <c r="BZ36" s="427">
        <f ca="1">INDEX(Product_Pricing_Schedule,MATCH(TRIM($BV36),Products,0),MATCH(VLOOKUP(BZ$3,tEnv[],3,FALSE),Envs,0))*GETPIVOTDATA(CELL("contents",$BV36),$BD$2,"Env Label",BZ$3)</f>
        <v>0</v>
      </c>
      <c r="CA36" s="427">
        <f ca="1">INDEX(Product_Pricing_Schedule,MATCH(TRIM($BV36),Products,0),MATCH(VLOOKUP(CA$3,tEnv[],3,FALSE),Envs,0))*GETPIVOTDATA(CELL("contents",$BV36),$BD$2,"Env Label",CA$3)</f>
        <v>0</v>
      </c>
      <c r="CB36" s="427">
        <f ca="1">INDEX(Product_Pricing_Schedule,MATCH(TRIM($BV36),Products,0),MATCH(VLOOKUP(CB$3,tEnv[],3,FALSE),Envs,0))*GETPIVOTDATA(CELL("contents",$BV36),$BD$2,"Env Label",CB$3)</f>
        <v>0</v>
      </c>
      <c r="CC36" s="427">
        <f ca="1">INDEX(Product_Pricing_Schedule,MATCH(TRIM($BV36),Products,0),MATCH(VLOOKUP(CC$3,tEnv[],3,FALSE),Envs,0))*GETPIVOTDATA(CELL("contents",$BV36),$BD$2,"Env Label",CC$3)</f>
        <v>0</v>
      </c>
      <c r="CD36" s="427">
        <f ca="1">INDEX(Product_Pricing_Schedule,MATCH(TRIM($BV36),Products,0),MATCH(VLOOKUP(CD$3,tEnv[],3,FALSE),Envs,0))*GETPIVOTDATA(CELL("contents",$BV36),$BD$2,"Env Label",CD$3)</f>
        <v>0</v>
      </c>
      <c r="CE36" s="427">
        <f ca="1">INDEX(Product_Pricing_Schedule,MATCH(TRIM($BV36),Products,0),MATCH(VLOOKUP(CE$3,tEnv[],3,FALSE),Envs,0))*GETPIVOTDATA(CELL("contents",$BV36),$BD$2,"Env Label",CE$3)</f>
        <v>0</v>
      </c>
      <c r="CF36" s="427">
        <f ca="1">INDEX(Product_Pricing_Schedule,MATCH(TRIM($BV36),Products,0),MATCH(VLOOKUP(CF$3,tEnv[],3,FALSE),Envs,0))*GETPIVOTDATA(CELL("contents",$BV36),$BD$2,"Env Label",CF$3)</f>
        <v>0</v>
      </c>
      <c r="CG36" s="427">
        <f ca="1">INDEX(Product_Pricing_Schedule,MATCH(TRIM($BV36),Products,0),MATCH(VLOOKUP(CG$3,tEnv[],3,FALSE),Envs,0))*GETPIVOTDATA(CELL("contents",$BV36),$BD$2,"Env Label",CG$3)</f>
        <v>0</v>
      </c>
      <c r="CH36" s="427">
        <f ca="1">INDEX(Product_Pricing_Schedule,MATCH(TRIM($BV36),Products,0),MATCH(VLOOKUP(CH$3,tEnv[],3,FALSE),Envs,0))*GETPIVOTDATA(CELL("contents",$BV36),$BD$2,"Env Label",CH$3)</f>
        <v>0</v>
      </c>
      <c r="CI36" s="427">
        <f ca="1">INDEX(Product_Pricing_Schedule,MATCH(TRIM($BV36),Products,0),MATCH(VLOOKUP(CI$3,tEnv[],3,FALSE),Envs,0))*GETPIVOTDATA(CELL("contents",$BV36),$BD$2,"Env Label",CI$3)</f>
        <v>0</v>
      </c>
      <c r="CJ36" s="427">
        <f ca="1">INDEX(Product_Pricing_Schedule,MATCH(TRIM($BV36),Products,0),MATCH(VLOOKUP(CJ$3,tEnv[],3,FALSE),Envs,0))*GETPIVOTDATA(CELL("contents",$BV36),$BD$2,"Env Label",CJ$3)</f>
        <v>0</v>
      </c>
      <c r="CK36" s="427">
        <f ca="1">INDEX(Product_Pricing_Schedule,MATCH(TRIM($BV36),Products,0),MATCH(VLOOKUP(CK$3,tEnv[],3,FALSE),Envs,0))*GETPIVOTDATA(CELL("contents",$BV36),$BD$2,"Env Label",CK$3)</f>
        <v>0</v>
      </c>
      <c r="CL36" s="428">
        <f ca="1">SUM(AnnualSWCostByProdByEnv[[#This Row],[PROD]:[DEV]])</f>
        <v>0</v>
      </c>
      <c r="CN36" s="262" t="str">
        <f t="shared" ref="CN36:CN55" si="4">BV36</f>
        <v xml:space="preserve">Oracle GG Veridata x86 </v>
      </c>
      <c r="CO36" s="262">
        <f t="shared" ca="1" si="3"/>
        <v>0</v>
      </c>
      <c r="CP36" s="262">
        <f t="shared" ca="1" si="3"/>
        <v>0</v>
      </c>
      <c r="CQ36" s="368">
        <f ca="1">INDEX(Maint_Pricing_Schedule,MATCH(TRIM($CN36),Products,0),MATCH(VLOOKUP(CQ$3,tEnv[],3,FALSE),Envs,0))*GETPIVOTDATA(CELL("contents",$CN36),$BD$2,"Env Label",CQ$3)</f>
        <v>0</v>
      </c>
      <c r="CR36" s="368">
        <f ca="1">INDEX(Maint_Pricing_Schedule,MATCH(TRIM($CN36),Products,0),MATCH(VLOOKUP(CR$3,tEnv[],3,FALSE),Envs,0))*GETPIVOTDATA(CELL("contents",$CN36),$BD$2,"Env Label",CR$3)</f>
        <v>0</v>
      </c>
      <c r="CS36" s="368">
        <f ca="1">INDEX(Maint_Pricing_Schedule,MATCH(TRIM($CN36),Products,0),MATCH(VLOOKUP(CS$3,tEnv[],3,FALSE),Envs,0))*GETPIVOTDATA(CELL("contents",$CN36),$BD$2,"Env Label",CS$3)</f>
        <v>0</v>
      </c>
      <c r="CT36" s="368">
        <f ca="1">INDEX(Maint_Pricing_Schedule,MATCH(TRIM($CN36),Products,0),MATCH(VLOOKUP(CT$3,tEnv[],3,FALSE),Envs,0))*GETPIVOTDATA(CELL("contents",$CN36),$BD$2,"Env Label",CT$3)</f>
        <v>0</v>
      </c>
      <c r="CU36" s="368">
        <f ca="1">INDEX(Maint_Pricing_Schedule,MATCH(TRIM($CN36),Products,0),MATCH(VLOOKUP(CU$3,tEnv[],3,FALSE),Envs,0))*GETPIVOTDATA(CELL("contents",$CN36),$BD$2,"Env Label",CU$3)</f>
        <v>0</v>
      </c>
      <c r="CV36" s="368">
        <f ca="1">INDEX(Maint_Pricing_Schedule,MATCH(TRIM($CN36),Products,0),MATCH(VLOOKUP(CV$3,tEnv[],3,FALSE),Envs,0))*GETPIVOTDATA(CELL("contents",$CN36),$BD$2,"Env Label",CV$3)</f>
        <v>0</v>
      </c>
      <c r="CW36" s="368">
        <f ca="1">INDEX(Maint_Pricing_Schedule,MATCH(TRIM($CN36),Products,0),MATCH(VLOOKUP(CW$3,tEnv[],3,FALSE),Envs,0))*GETPIVOTDATA(CELL("contents",$CN36),$BD$2,"Env Label",CW$3)</f>
        <v>0</v>
      </c>
      <c r="CX36" s="368">
        <f ca="1">INDEX(Maint_Pricing_Schedule,MATCH(TRIM($CN36),Products,0),MATCH(VLOOKUP(CX$3,tEnv[],3,FALSE),Envs,0))*GETPIVOTDATA(CELL("contents",$CN36),$BD$2,"Env Label",CX$3)</f>
        <v>0</v>
      </c>
      <c r="CY36" s="368">
        <f ca="1">INDEX(Maint_Pricing_Schedule,MATCH(TRIM($CN36),Products,0),MATCH(VLOOKUP(CY$3,tEnv[],3,FALSE),Envs,0))*GETPIVOTDATA(CELL("contents",$CN36),$BD$2,"Env Label",CY$3)</f>
        <v>0</v>
      </c>
      <c r="CZ36" s="368">
        <f ca="1">INDEX(Maint_Pricing_Schedule,MATCH(TRIM($CN36),Products,0),MATCH(VLOOKUP(CZ$3,tEnv[],3,FALSE),Envs,0))*GETPIVOTDATA(CELL("contents",$CN36),$BD$2,"Env Label",CZ$3)</f>
        <v>0</v>
      </c>
      <c r="DA36" s="368">
        <f ca="1">INDEX(Maint_Pricing_Schedule,MATCH(TRIM($CN36),Products,0),MATCH(VLOOKUP(DA$3,tEnv[],3,FALSE),Envs,0))*GETPIVOTDATA(CELL("contents",$CN36),$BD$2,"Env Label",DA$3)</f>
        <v>0</v>
      </c>
      <c r="DB36" s="368">
        <f ca="1">INDEX(Maint_Pricing_Schedule,MATCH(TRIM($CN36),Products,0),MATCH(VLOOKUP(DB$3,tEnv[],3,FALSE),Envs,0))*GETPIVOTDATA(CELL("contents",$CN36),$BD$2,"Env Label",DB$3)</f>
        <v>0</v>
      </c>
      <c r="DC36" s="368">
        <f ca="1">INDEX(Maint_Pricing_Schedule,MATCH(TRIM($CN36),Products,0),MATCH(VLOOKUP(DC$3,tEnv[],3,FALSE),Envs,0))*GETPIVOTDATA(CELL("contents",$CN36),$BD$2,"Env Label",DC$3)</f>
        <v>0</v>
      </c>
      <c r="DD36" s="369">
        <f ca="1">SUM(AnnualSWMaintCostByProdByEnv[[#This Row],[PROD]:[DEV]])</f>
        <v>0</v>
      </c>
    </row>
    <row r="37" spans="23:108">
      <c r="W37"/>
      <c r="X37"/>
      <c r="Y37" s="143"/>
      <c r="Z37" s="143"/>
      <c r="BD37" s="281" t="s">
        <v>2286</v>
      </c>
      <c r="BE37" s="272">
        <v>0</v>
      </c>
      <c r="BF37" s="272">
        <v>0</v>
      </c>
      <c r="BG37" s="272">
        <v>0</v>
      </c>
      <c r="BH37" s="272">
        <v>0</v>
      </c>
      <c r="BI37" s="272">
        <v>0</v>
      </c>
      <c r="BJ37" s="272">
        <v>0</v>
      </c>
      <c r="BK37" s="272">
        <v>0</v>
      </c>
      <c r="BL37" s="272">
        <v>0</v>
      </c>
      <c r="BM37" s="272">
        <v>0</v>
      </c>
      <c r="BN37" s="272">
        <v>0</v>
      </c>
      <c r="BO37" s="272">
        <v>0</v>
      </c>
      <c r="BP37" s="272">
        <v>0</v>
      </c>
      <c r="BQ37" s="272">
        <v>0</v>
      </c>
      <c r="BR37" s="272">
        <v>0</v>
      </c>
      <c r="BS37" s="272">
        <v>0</v>
      </c>
      <c r="BT37" s="272">
        <v>0</v>
      </c>
      <c r="BV37" s="262" t="str">
        <f t="shared" si="0"/>
        <v xml:space="preserve">Oracle Partitioning pSeries </v>
      </c>
      <c r="BW37" s="262">
        <f t="shared" si="0"/>
        <v>0</v>
      </c>
      <c r="BX37" s="262">
        <f t="shared" si="0"/>
        <v>0</v>
      </c>
      <c r="BY37" s="427">
        <f ca="1">INDEX(Product_Pricing_Schedule,MATCH(TRIM($BV37),Products,0),MATCH(VLOOKUP(BY$3,tEnv[],3,FALSE),Envs,0))*GETPIVOTDATA(CELL("contents",$BV37),$BD$2,"Env Label",BY$3)</f>
        <v>0</v>
      </c>
      <c r="BZ37" s="427">
        <f ca="1">INDEX(Product_Pricing_Schedule,MATCH(TRIM($BV37),Products,0),MATCH(VLOOKUP(BZ$3,tEnv[],3,FALSE),Envs,0))*GETPIVOTDATA(CELL("contents",$BV37),$BD$2,"Env Label",BZ$3)</f>
        <v>0</v>
      </c>
      <c r="CA37" s="427">
        <f ca="1">INDEX(Product_Pricing_Schedule,MATCH(TRIM($BV37),Products,0),MATCH(VLOOKUP(CA$3,tEnv[],3,FALSE),Envs,0))*GETPIVOTDATA(CELL("contents",$BV37),$BD$2,"Env Label",CA$3)</f>
        <v>0</v>
      </c>
      <c r="CB37" s="427">
        <f ca="1">INDEX(Product_Pricing_Schedule,MATCH(TRIM($BV37),Products,0),MATCH(VLOOKUP(CB$3,tEnv[],3,FALSE),Envs,0))*GETPIVOTDATA(CELL("contents",$BV37),$BD$2,"Env Label",CB$3)</f>
        <v>0</v>
      </c>
      <c r="CC37" s="427">
        <f ca="1">INDEX(Product_Pricing_Schedule,MATCH(TRIM($BV37),Products,0),MATCH(VLOOKUP(CC$3,tEnv[],3,FALSE),Envs,0))*GETPIVOTDATA(CELL("contents",$BV37),$BD$2,"Env Label",CC$3)</f>
        <v>0</v>
      </c>
      <c r="CD37" s="427">
        <f ca="1">INDEX(Product_Pricing_Schedule,MATCH(TRIM($BV37),Products,0),MATCH(VLOOKUP(CD$3,tEnv[],3,FALSE),Envs,0))*GETPIVOTDATA(CELL("contents",$BV37),$BD$2,"Env Label",CD$3)</f>
        <v>0</v>
      </c>
      <c r="CE37" s="427">
        <f ca="1">INDEX(Product_Pricing_Schedule,MATCH(TRIM($BV37),Products,0),MATCH(VLOOKUP(CE$3,tEnv[],3,FALSE),Envs,0))*GETPIVOTDATA(CELL("contents",$BV37),$BD$2,"Env Label",CE$3)</f>
        <v>0</v>
      </c>
      <c r="CF37" s="427">
        <f ca="1">INDEX(Product_Pricing_Schedule,MATCH(TRIM($BV37),Products,0),MATCH(VLOOKUP(CF$3,tEnv[],3,FALSE),Envs,0))*GETPIVOTDATA(CELL("contents",$BV37),$BD$2,"Env Label",CF$3)</f>
        <v>0</v>
      </c>
      <c r="CG37" s="427">
        <f ca="1">INDEX(Product_Pricing_Schedule,MATCH(TRIM($BV37),Products,0),MATCH(VLOOKUP(CG$3,tEnv[],3,FALSE),Envs,0))*GETPIVOTDATA(CELL("contents",$BV37),$BD$2,"Env Label",CG$3)</f>
        <v>0</v>
      </c>
      <c r="CH37" s="427">
        <f ca="1">INDEX(Product_Pricing_Schedule,MATCH(TRIM($BV37),Products,0),MATCH(VLOOKUP(CH$3,tEnv[],3,FALSE),Envs,0))*GETPIVOTDATA(CELL("contents",$BV37),$BD$2,"Env Label",CH$3)</f>
        <v>0</v>
      </c>
      <c r="CI37" s="427">
        <f ca="1">INDEX(Product_Pricing_Schedule,MATCH(TRIM($BV37),Products,0),MATCH(VLOOKUP(CI$3,tEnv[],3,FALSE),Envs,0))*GETPIVOTDATA(CELL("contents",$BV37),$BD$2,"Env Label",CI$3)</f>
        <v>0</v>
      </c>
      <c r="CJ37" s="427">
        <f ca="1">INDEX(Product_Pricing_Schedule,MATCH(TRIM($BV37),Products,0),MATCH(VLOOKUP(CJ$3,tEnv[],3,FALSE),Envs,0))*GETPIVOTDATA(CELL("contents",$BV37),$BD$2,"Env Label",CJ$3)</f>
        <v>0</v>
      </c>
      <c r="CK37" s="427">
        <f ca="1">INDEX(Product_Pricing_Schedule,MATCH(TRIM($BV37),Products,0),MATCH(VLOOKUP(CK$3,tEnv[],3,FALSE),Envs,0))*GETPIVOTDATA(CELL("contents",$BV37),$BD$2,"Env Label",CK$3)</f>
        <v>0</v>
      </c>
      <c r="CL37" s="428">
        <f ca="1">SUM(AnnualSWCostByProdByEnv[[#This Row],[PROD]:[DEV]])</f>
        <v>0</v>
      </c>
      <c r="CN37" s="262" t="str">
        <f t="shared" si="4"/>
        <v xml:space="preserve">Oracle Partitioning pSeries </v>
      </c>
      <c r="CO37" s="262">
        <f t="shared" ca="1" si="3"/>
        <v>0</v>
      </c>
      <c r="CP37" s="262">
        <f t="shared" ca="1" si="3"/>
        <v>0</v>
      </c>
      <c r="CQ37" s="368">
        <f ca="1">INDEX(Maint_Pricing_Schedule,MATCH(TRIM($CN37),Products,0),MATCH(VLOOKUP(CQ$3,tEnv[],3,FALSE),Envs,0))*GETPIVOTDATA(CELL("contents",$CN37),$BD$2,"Env Label",CQ$3)</f>
        <v>0</v>
      </c>
      <c r="CR37" s="368">
        <f ca="1">INDEX(Maint_Pricing_Schedule,MATCH(TRIM($CN37),Products,0),MATCH(VLOOKUP(CR$3,tEnv[],3,FALSE),Envs,0))*GETPIVOTDATA(CELL("contents",$CN37),$BD$2,"Env Label",CR$3)</f>
        <v>0</v>
      </c>
      <c r="CS37" s="368">
        <f ca="1">INDEX(Maint_Pricing_Schedule,MATCH(TRIM($CN37),Products,0),MATCH(VLOOKUP(CS$3,tEnv[],3,FALSE),Envs,0))*GETPIVOTDATA(CELL("contents",$CN37),$BD$2,"Env Label",CS$3)</f>
        <v>0</v>
      </c>
      <c r="CT37" s="368">
        <f ca="1">INDEX(Maint_Pricing_Schedule,MATCH(TRIM($CN37),Products,0),MATCH(VLOOKUP(CT$3,tEnv[],3,FALSE),Envs,0))*GETPIVOTDATA(CELL("contents",$CN37),$BD$2,"Env Label",CT$3)</f>
        <v>0</v>
      </c>
      <c r="CU37" s="368">
        <f ca="1">INDEX(Maint_Pricing_Schedule,MATCH(TRIM($CN37),Products,0),MATCH(VLOOKUP(CU$3,tEnv[],3,FALSE),Envs,0))*GETPIVOTDATA(CELL("contents",$CN37),$BD$2,"Env Label",CU$3)</f>
        <v>0</v>
      </c>
      <c r="CV37" s="368">
        <f ca="1">INDEX(Maint_Pricing_Schedule,MATCH(TRIM($CN37),Products,0),MATCH(VLOOKUP(CV$3,tEnv[],3,FALSE),Envs,0))*GETPIVOTDATA(CELL("contents",$CN37),$BD$2,"Env Label",CV$3)</f>
        <v>0</v>
      </c>
      <c r="CW37" s="368">
        <f ca="1">INDEX(Maint_Pricing_Schedule,MATCH(TRIM($CN37),Products,0),MATCH(VLOOKUP(CW$3,tEnv[],3,FALSE),Envs,0))*GETPIVOTDATA(CELL("contents",$CN37),$BD$2,"Env Label",CW$3)</f>
        <v>0</v>
      </c>
      <c r="CX37" s="368">
        <f ca="1">INDEX(Maint_Pricing_Schedule,MATCH(TRIM($CN37),Products,0),MATCH(VLOOKUP(CX$3,tEnv[],3,FALSE),Envs,0))*GETPIVOTDATA(CELL("contents",$CN37),$BD$2,"Env Label",CX$3)</f>
        <v>0</v>
      </c>
      <c r="CY37" s="368">
        <f ca="1">INDEX(Maint_Pricing_Schedule,MATCH(TRIM($CN37),Products,0),MATCH(VLOOKUP(CY$3,tEnv[],3,FALSE),Envs,0))*GETPIVOTDATA(CELL("contents",$CN37),$BD$2,"Env Label",CY$3)</f>
        <v>0</v>
      </c>
      <c r="CZ37" s="368">
        <f ca="1">INDEX(Maint_Pricing_Schedule,MATCH(TRIM($CN37),Products,0),MATCH(VLOOKUP(CZ$3,tEnv[],3,FALSE),Envs,0))*GETPIVOTDATA(CELL("contents",$CN37),$BD$2,"Env Label",CZ$3)</f>
        <v>0</v>
      </c>
      <c r="DA37" s="368">
        <f ca="1">INDEX(Maint_Pricing_Schedule,MATCH(TRIM($CN37),Products,0),MATCH(VLOOKUP(DA$3,tEnv[],3,FALSE),Envs,0))*GETPIVOTDATA(CELL("contents",$CN37),$BD$2,"Env Label",DA$3)</f>
        <v>0</v>
      </c>
      <c r="DB37" s="368">
        <f ca="1">INDEX(Maint_Pricing_Schedule,MATCH(TRIM($CN37),Products,0),MATCH(VLOOKUP(DB$3,tEnv[],3,FALSE),Envs,0))*GETPIVOTDATA(CELL("contents",$CN37),$BD$2,"Env Label",DB$3)</f>
        <v>0</v>
      </c>
      <c r="DC37" s="368">
        <f ca="1">INDEX(Maint_Pricing_Schedule,MATCH(TRIM($CN37),Products,0),MATCH(VLOOKUP(DC$3,tEnv[],3,FALSE),Envs,0))*GETPIVOTDATA(CELL("contents",$CN37),$BD$2,"Env Label",DC$3)</f>
        <v>0</v>
      </c>
      <c r="DD37" s="369">
        <f ca="1">SUM(AnnualSWMaintCostByProdByEnv[[#This Row],[PROD]:[DEV]])</f>
        <v>0</v>
      </c>
    </row>
    <row r="38" spans="23:108">
      <c r="W38"/>
      <c r="X38"/>
      <c r="Y38" s="143"/>
      <c r="Z38" s="143"/>
      <c r="BD38" s="281" t="s">
        <v>2287</v>
      </c>
      <c r="BE38" s="272">
        <v>0</v>
      </c>
      <c r="BF38" s="272">
        <v>0</v>
      </c>
      <c r="BG38" s="272">
        <v>0</v>
      </c>
      <c r="BH38" s="272">
        <v>0</v>
      </c>
      <c r="BI38" s="272">
        <v>0</v>
      </c>
      <c r="BJ38" s="272">
        <v>0</v>
      </c>
      <c r="BK38" s="272">
        <v>0</v>
      </c>
      <c r="BL38" s="272">
        <v>0</v>
      </c>
      <c r="BM38" s="272">
        <v>0</v>
      </c>
      <c r="BN38" s="272">
        <v>0</v>
      </c>
      <c r="BO38" s="272">
        <v>0</v>
      </c>
      <c r="BP38" s="272">
        <v>0</v>
      </c>
      <c r="BQ38" s="272">
        <v>0</v>
      </c>
      <c r="BR38" s="272">
        <v>0</v>
      </c>
      <c r="BS38" s="272">
        <v>0</v>
      </c>
      <c r="BT38" s="272">
        <v>0</v>
      </c>
      <c r="BV38" s="262" t="str">
        <f t="shared" si="0"/>
        <v xml:space="preserve">Oracle Partitioning x86 </v>
      </c>
      <c r="BW38" s="262">
        <f t="shared" si="0"/>
        <v>0</v>
      </c>
      <c r="BX38" s="262">
        <f t="shared" si="0"/>
        <v>0</v>
      </c>
      <c r="BY38" s="427">
        <f ca="1">INDEX(Product_Pricing_Schedule,MATCH(TRIM($BV38),Products,0),MATCH(VLOOKUP(BY$3,tEnv[],3,FALSE),Envs,0))*GETPIVOTDATA(CELL("contents",$BV38),$BD$2,"Env Label",BY$3)</f>
        <v>0</v>
      </c>
      <c r="BZ38" s="427">
        <f ca="1">INDEX(Product_Pricing_Schedule,MATCH(TRIM($BV38),Products,0),MATCH(VLOOKUP(BZ$3,tEnv[],3,FALSE),Envs,0))*GETPIVOTDATA(CELL("contents",$BV38),$BD$2,"Env Label",BZ$3)</f>
        <v>0</v>
      </c>
      <c r="CA38" s="427">
        <f ca="1">INDEX(Product_Pricing_Schedule,MATCH(TRIM($BV38),Products,0),MATCH(VLOOKUP(CA$3,tEnv[],3,FALSE),Envs,0))*GETPIVOTDATA(CELL("contents",$BV38),$BD$2,"Env Label",CA$3)</f>
        <v>0</v>
      </c>
      <c r="CB38" s="427">
        <f ca="1">INDEX(Product_Pricing_Schedule,MATCH(TRIM($BV38),Products,0),MATCH(VLOOKUP(CB$3,tEnv[],3,FALSE),Envs,0))*GETPIVOTDATA(CELL("contents",$BV38),$BD$2,"Env Label",CB$3)</f>
        <v>0</v>
      </c>
      <c r="CC38" s="427">
        <f ca="1">INDEX(Product_Pricing_Schedule,MATCH(TRIM($BV38),Products,0),MATCH(VLOOKUP(CC$3,tEnv[],3,FALSE),Envs,0))*GETPIVOTDATA(CELL("contents",$BV38),$BD$2,"Env Label",CC$3)</f>
        <v>0</v>
      </c>
      <c r="CD38" s="427">
        <f ca="1">INDEX(Product_Pricing_Schedule,MATCH(TRIM($BV38),Products,0),MATCH(VLOOKUP(CD$3,tEnv[],3,FALSE),Envs,0))*GETPIVOTDATA(CELL("contents",$BV38),$BD$2,"Env Label",CD$3)</f>
        <v>0</v>
      </c>
      <c r="CE38" s="427">
        <f ca="1">INDEX(Product_Pricing_Schedule,MATCH(TRIM($BV38),Products,0),MATCH(VLOOKUP(CE$3,tEnv[],3,FALSE),Envs,0))*GETPIVOTDATA(CELL("contents",$BV38),$BD$2,"Env Label",CE$3)</f>
        <v>0</v>
      </c>
      <c r="CF38" s="427">
        <f ca="1">INDEX(Product_Pricing_Schedule,MATCH(TRIM($BV38),Products,0),MATCH(VLOOKUP(CF$3,tEnv[],3,FALSE),Envs,0))*GETPIVOTDATA(CELL("contents",$BV38),$BD$2,"Env Label",CF$3)</f>
        <v>0</v>
      </c>
      <c r="CG38" s="427">
        <f ca="1">INDEX(Product_Pricing_Schedule,MATCH(TRIM($BV38),Products,0),MATCH(VLOOKUP(CG$3,tEnv[],3,FALSE),Envs,0))*GETPIVOTDATA(CELL("contents",$BV38),$BD$2,"Env Label",CG$3)</f>
        <v>0</v>
      </c>
      <c r="CH38" s="427">
        <f ca="1">INDEX(Product_Pricing_Schedule,MATCH(TRIM($BV38),Products,0),MATCH(VLOOKUP(CH$3,tEnv[],3,FALSE),Envs,0))*GETPIVOTDATA(CELL("contents",$BV38),$BD$2,"Env Label",CH$3)</f>
        <v>0</v>
      </c>
      <c r="CI38" s="427">
        <f ca="1">INDEX(Product_Pricing_Schedule,MATCH(TRIM($BV38),Products,0),MATCH(VLOOKUP(CI$3,tEnv[],3,FALSE),Envs,0))*GETPIVOTDATA(CELL("contents",$BV38),$BD$2,"Env Label",CI$3)</f>
        <v>0</v>
      </c>
      <c r="CJ38" s="427">
        <f ca="1">INDEX(Product_Pricing_Schedule,MATCH(TRIM($BV38),Products,0),MATCH(VLOOKUP(CJ$3,tEnv[],3,FALSE),Envs,0))*GETPIVOTDATA(CELL("contents",$BV38),$BD$2,"Env Label",CJ$3)</f>
        <v>0</v>
      </c>
      <c r="CK38" s="427">
        <f ca="1">INDEX(Product_Pricing_Schedule,MATCH(TRIM($BV38),Products,0),MATCH(VLOOKUP(CK$3,tEnv[],3,FALSE),Envs,0))*GETPIVOTDATA(CELL("contents",$BV38),$BD$2,"Env Label",CK$3)</f>
        <v>0</v>
      </c>
      <c r="CL38" s="428">
        <f ca="1">SUM(AnnualSWCostByProdByEnv[[#This Row],[PROD]:[DEV]])</f>
        <v>0</v>
      </c>
      <c r="CN38" s="262" t="str">
        <f t="shared" si="4"/>
        <v xml:space="preserve">Oracle Partitioning x86 </v>
      </c>
      <c r="CO38" s="262">
        <f t="shared" ca="1" si="3"/>
        <v>0</v>
      </c>
      <c r="CP38" s="262">
        <f t="shared" ca="1" si="3"/>
        <v>0</v>
      </c>
      <c r="CQ38" s="368">
        <f ca="1">INDEX(Maint_Pricing_Schedule,MATCH(TRIM($CN38),Products,0),MATCH(VLOOKUP(CQ$3,tEnv[],3,FALSE),Envs,0))*GETPIVOTDATA(CELL("contents",$CN38),$BD$2,"Env Label",CQ$3)</f>
        <v>0</v>
      </c>
      <c r="CR38" s="368">
        <f ca="1">INDEX(Maint_Pricing_Schedule,MATCH(TRIM($CN38),Products,0),MATCH(VLOOKUP(CR$3,tEnv[],3,FALSE),Envs,0))*GETPIVOTDATA(CELL("contents",$CN38),$BD$2,"Env Label",CR$3)</f>
        <v>0</v>
      </c>
      <c r="CS38" s="368">
        <f ca="1">INDEX(Maint_Pricing_Schedule,MATCH(TRIM($CN38),Products,0),MATCH(VLOOKUP(CS$3,tEnv[],3,FALSE),Envs,0))*GETPIVOTDATA(CELL("contents",$CN38),$BD$2,"Env Label",CS$3)</f>
        <v>0</v>
      </c>
      <c r="CT38" s="368">
        <f ca="1">INDEX(Maint_Pricing_Schedule,MATCH(TRIM($CN38),Products,0),MATCH(VLOOKUP(CT$3,tEnv[],3,FALSE),Envs,0))*GETPIVOTDATA(CELL("contents",$CN38),$BD$2,"Env Label",CT$3)</f>
        <v>0</v>
      </c>
      <c r="CU38" s="368">
        <f ca="1">INDEX(Maint_Pricing_Schedule,MATCH(TRIM($CN38),Products,0),MATCH(VLOOKUP(CU$3,tEnv[],3,FALSE),Envs,0))*GETPIVOTDATA(CELL("contents",$CN38),$BD$2,"Env Label",CU$3)</f>
        <v>0</v>
      </c>
      <c r="CV38" s="368">
        <f ca="1">INDEX(Maint_Pricing_Schedule,MATCH(TRIM($CN38),Products,0),MATCH(VLOOKUP(CV$3,tEnv[],3,FALSE),Envs,0))*GETPIVOTDATA(CELL("contents",$CN38),$BD$2,"Env Label",CV$3)</f>
        <v>0</v>
      </c>
      <c r="CW38" s="368">
        <f ca="1">INDEX(Maint_Pricing_Schedule,MATCH(TRIM($CN38),Products,0),MATCH(VLOOKUP(CW$3,tEnv[],3,FALSE),Envs,0))*GETPIVOTDATA(CELL("contents",$CN38),$BD$2,"Env Label",CW$3)</f>
        <v>0</v>
      </c>
      <c r="CX38" s="368">
        <f ca="1">INDEX(Maint_Pricing_Schedule,MATCH(TRIM($CN38),Products,0),MATCH(VLOOKUP(CX$3,tEnv[],3,FALSE),Envs,0))*GETPIVOTDATA(CELL("contents",$CN38),$BD$2,"Env Label",CX$3)</f>
        <v>0</v>
      </c>
      <c r="CY38" s="368">
        <f ca="1">INDEX(Maint_Pricing_Schedule,MATCH(TRIM($CN38),Products,0),MATCH(VLOOKUP(CY$3,tEnv[],3,FALSE),Envs,0))*GETPIVOTDATA(CELL("contents",$CN38),$BD$2,"Env Label",CY$3)</f>
        <v>0</v>
      </c>
      <c r="CZ38" s="368">
        <f ca="1">INDEX(Maint_Pricing_Schedule,MATCH(TRIM($CN38),Products,0),MATCH(VLOOKUP(CZ$3,tEnv[],3,FALSE),Envs,0))*GETPIVOTDATA(CELL("contents",$CN38),$BD$2,"Env Label",CZ$3)</f>
        <v>0</v>
      </c>
      <c r="DA38" s="368">
        <f ca="1">INDEX(Maint_Pricing_Schedule,MATCH(TRIM($CN38),Products,0),MATCH(VLOOKUP(DA$3,tEnv[],3,FALSE),Envs,0))*GETPIVOTDATA(CELL("contents",$CN38),$BD$2,"Env Label",DA$3)</f>
        <v>0</v>
      </c>
      <c r="DB38" s="368">
        <f ca="1">INDEX(Maint_Pricing_Schedule,MATCH(TRIM($CN38),Products,0),MATCH(VLOOKUP(DB$3,tEnv[],3,FALSE),Envs,0))*GETPIVOTDATA(CELL("contents",$CN38),$BD$2,"Env Label",DB$3)</f>
        <v>0</v>
      </c>
      <c r="DC38" s="368">
        <f ca="1">INDEX(Maint_Pricing_Schedule,MATCH(TRIM($CN38),Products,0),MATCH(VLOOKUP(DC$3,tEnv[],3,FALSE),Envs,0))*GETPIVOTDATA(CELL("contents",$CN38),$BD$2,"Env Label",DC$3)</f>
        <v>0</v>
      </c>
      <c r="DD38" s="369">
        <f ca="1">SUM(AnnualSWMaintCostByProdByEnv[[#This Row],[PROD]:[DEV]])</f>
        <v>0</v>
      </c>
    </row>
    <row r="39" spans="23:108">
      <c r="W39"/>
      <c r="X39"/>
      <c r="Y39" s="143"/>
      <c r="Z39" s="143"/>
      <c r="BD39" s="281" t="s">
        <v>2288</v>
      </c>
      <c r="BE39" s="272">
        <v>0</v>
      </c>
      <c r="BF39" s="272">
        <v>0</v>
      </c>
      <c r="BG39" s="272">
        <v>64</v>
      </c>
      <c r="BH39" s="272">
        <v>64</v>
      </c>
      <c r="BI39" s="272">
        <v>0</v>
      </c>
      <c r="BJ39" s="272">
        <v>0</v>
      </c>
      <c r="BK39" s="272">
        <v>0</v>
      </c>
      <c r="BL39" s="272">
        <v>0</v>
      </c>
      <c r="BM39" s="272">
        <v>0</v>
      </c>
      <c r="BN39" s="272">
        <v>128</v>
      </c>
      <c r="BO39" s="272">
        <v>0</v>
      </c>
      <c r="BP39" s="272">
        <v>0</v>
      </c>
      <c r="BQ39" s="272">
        <v>0</v>
      </c>
      <c r="BR39" s="272">
        <v>0</v>
      </c>
      <c r="BS39" s="272">
        <v>0</v>
      </c>
      <c r="BT39" s="272">
        <v>256</v>
      </c>
      <c r="BV39" s="262" t="str">
        <f t="shared" si="0"/>
        <v xml:space="preserve">Oracle RAC x86 </v>
      </c>
      <c r="BW39" s="262">
        <f t="shared" si="0"/>
        <v>0</v>
      </c>
      <c r="BX39" s="262">
        <f t="shared" si="0"/>
        <v>0</v>
      </c>
      <c r="BY39" s="427">
        <f ca="1">INDEX(Product_Pricing_Schedule,MATCH(TRIM($BV39),Products,0),MATCH(VLOOKUP(BY$3,tEnv[],3,FALSE),Envs,0))*GETPIVOTDATA(CELL("contents",$BV39),$BD$2,"Env Label",BY$3)</f>
        <v>68986.559999999998</v>
      </c>
      <c r="BZ39" s="427">
        <f ca="1">INDEX(Product_Pricing_Schedule,MATCH(TRIM($BV39),Products,0),MATCH(VLOOKUP(BZ$3,tEnv[],3,FALSE),Envs,0))*GETPIVOTDATA(CELL("contents",$BV39),$BD$2,"Env Label",BZ$3)</f>
        <v>68986.559999999998</v>
      </c>
      <c r="CA39" s="427">
        <f ca="1">INDEX(Product_Pricing_Schedule,MATCH(TRIM($BV39),Products,0),MATCH(VLOOKUP(CA$3,tEnv[],3,FALSE),Envs,0))*GETPIVOTDATA(CELL("contents",$BV39),$BD$2,"Env Label",CA$3)</f>
        <v>0</v>
      </c>
      <c r="CB39" s="427">
        <f ca="1">INDEX(Product_Pricing_Schedule,MATCH(TRIM($BV39),Products,0),MATCH(VLOOKUP(CB$3,tEnv[],3,FALSE),Envs,0))*GETPIVOTDATA(CELL("contents",$BV39),$BD$2,"Env Label",CB$3)</f>
        <v>0</v>
      </c>
      <c r="CC39" s="427">
        <f ca="1">INDEX(Product_Pricing_Schedule,MATCH(TRIM($BV39),Products,0),MATCH(VLOOKUP(CC$3,tEnv[],3,FALSE),Envs,0))*GETPIVOTDATA(CELL("contents",$BV39),$BD$2,"Env Label",CC$3)</f>
        <v>0</v>
      </c>
      <c r="CD39" s="427">
        <f ca="1">INDEX(Product_Pricing_Schedule,MATCH(TRIM($BV39),Products,0),MATCH(VLOOKUP(CD$3,tEnv[],3,FALSE),Envs,0))*GETPIVOTDATA(CELL("contents",$BV39),$BD$2,"Env Label",CD$3)</f>
        <v>0</v>
      </c>
      <c r="CE39" s="427">
        <f ca="1">INDEX(Product_Pricing_Schedule,MATCH(TRIM($BV39),Products,0),MATCH(VLOOKUP(CE$3,tEnv[],3,FALSE),Envs,0))*GETPIVOTDATA(CELL("contents",$BV39),$BD$2,"Env Label",CE$3)</f>
        <v>0</v>
      </c>
      <c r="CF39" s="427">
        <f ca="1">INDEX(Product_Pricing_Schedule,MATCH(TRIM($BV39),Products,0),MATCH(VLOOKUP(CF$3,tEnv[],3,FALSE),Envs,0))*GETPIVOTDATA(CELL("contents",$BV39),$BD$2,"Env Label",CF$3)</f>
        <v>68986.559999999998</v>
      </c>
      <c r="CG39" s="427">
        <f ca="1">INDEX(Product_Pricing_Schedule,MATCH(TRIM($BV39),Products,0),MATCH(VLOOKUP(CG$3,tEnv[],3,FALSE),Envs,0))*GETPIVOTDATA(CELL("contents",$BV39),$BD$2,"Env Label",CG$3)</f>
        <v>0</v>
      </c>
      <c r="CH39" s="427">
        <f ca="1">INDEX(Product_Pricing_Schedule,MATCH(TRIM($BV39),Products,0),MATCH(VLOOKUP(CH$3,tEnv[],3,FALSE),Envs,0))*GETPIVOTDATA(CELL("contents",$BV39),$BD$2,"Env Label",CH$3)</f>
        <v>0</v>
      </c>
      <c r="CI39" s="427">
        <f ca="1">INDEX(Product_Pricing_Schedule,MATCH(TRIM($BV39),Products,0),MATCH(VLOOKUP(CI$3,tEnv[],3,FALSE),Envs,0))*GETPIVOTDATA(CELL("contents",$BV39),$BD$2,"Env Label",CI$3)</f>
        <v>0</v>
      </c>
      <c r="CJ39" s="427">
        <f ca="1">INDEX(Product_Pricing_Schedule,MATCH(TRIM($BV39),Products,0),MATCH(VLOOKUP(CJ$3,tEnv[],3,FALSE),Envs,0))*GETPIVOTDATA(CELL("contents",$BV39),$BD$2,"Env Label",CJ$3)</f>
        <v>0</v>
      </c>
      <c r="CK39" s="427">
        <f ca="1">INDEX(Product_Pricing_Schedule,MATCH(TRIM($BV39),Products,0),MATCH(VLOOKUP(CK$3,tEnv[],3,FALSE),Envs,0))*GETPIVOTDATA(CELL("contents",$BV39),$BD$2,"Env Label",CK$3)</f>
        <v>0</v>
      </c>
      <c r="CL39" s="428">
        <f ca="1">SUM(AnnualSWCostByProdByEnv[[#This Row],[PROD]:[DEV]])</f>
        <v>206959.68</v>
      </c>
      <c r="CN39" s="262" t="str">
        <f t="shared" si="4"/>
        <v xml:space="preserve">Oracle RAC x86 </v>
      </c>
      <c r="CO39" s="262">
        <f t="shared" ca="1" si="3"/>
        <v>68986.559999999998</v>
      </c>
      <c r="CP39" s="262">
        <f t="shared" ca="1" si="3"/>
        <v>68986.559999999998</v>
      </c>
      <c r="CQ39" s="368">
        <f ca="1">INDEX(Maint_Pricing_Schedule,MATCH(TRIM($CN39),Products,0),MATCH(VLOOKUP(CQ$3,tEnv[],3,FALSE),Envs,0))*GETPIVOTDATA(CELL("contents",$CN39),$BD$2,"Env Label",CQ$3)</f>
        <v>12079.36</v>
      </c>
      <c r="CR39" s="368">
        <f ca="1">INDEX(Maint_Pricing_Schedule,MATCH(TRIM($CN39),Products,0),MATCH(VLOOKUP(CR$3,tEnv[],3,FALSE),Envs,0))*GETPIVOTDATA(CELL("contents",$CN39),$BD$2,"Env Label",CR$3)</f>
        <v>12079.36</v>
      </c>
      <c r="CS39" s="368">
        <f ca="1">INDEX(Maint_Pricing_Schedule,MATCH(TRIM($CN39),Products,0),MATCH(VLOOKUP(CS$3,tEnv[],3,FALSE),Envs,0))*GETPIVOTDATA(CELL("contents",$CN39),$BD$2,"Env Label",CS$3)</f>
        <v>0</v>
      </c>
      <c r="CT39" s="368">
        <f ca="1">INDEX(Maint_Pricing_Schedule,MATCH(TRIM($CN39),Products,0),MATCH(VLOOKUP(CT$3,tEnv[],3,FALSE),Envs,0))*GETPIVOTDATA(CELL("contents",$CN39),$BD$2,"Env Label",CT$3)</f>
        <v>0</v>
      </c>
      <c r="CU39" s="368">
        <f ca="1">INDEX(Maint_Pricing_Schedule,MATCH(TRIM($CN39),Products,0),MATCH(VLOOKUP(CU$3,tEnv[],3,FALSE),Envs,0))*GETPIVOTDATA(CELL("contents",$CN39),$BD$2,"Env Label",CU$3)</f>
        <v>0</v>
      </c>
      <c r="CV39" s="368">
        <f ca="1">INDEX(Maint_Pricing_Schedule,MATCH(TRIM($CN39),Products,0),MATCH(VLOOKUP(CV$3,tEnv[],3,FALSE),Envs,0))*GETPIVOTDATA(CELL("contents",$CN39),$BD$2,"Env Label",CV$3)</f>
        <v>0</v>
      </c>
      <c r="CW39" s="368">
        <f ca="1">INDEX(Maint_Pricing_Schedule,MATCH(TRIM($CN39),Products,0),MATCH(VLOOKUP(CW$3,tEnv[],3,FALSE),Envs,0))*GETPIVOTDATA(CELL("contents",$CN39),$BD$2,"Env Label",CW$3)</f>
        <v>0</v>
      </c>
      <c r="CX39" s="368">
        <f ca="1">INDEX(Maint_Pricing_Schedule,MATCH(TRIM($CN39),Products,0),MATCH(VLOOKUP(CX$3,tEnv[],3,FALSE),Envs,0))*GETPIVOTDATA(CELL("contents",$CN39),$BD$2,"Env Label",CX$3)</f>
        <v>12079.36</v>
      </c>
      <c r="CY39" s="368">
        <f ca="1">INDEX(Maint_Pricing_Schedule,MATCH(TRIM($CN39),Products,0),MATCH(VLOOKUP(CY$3,tEnv[],3,FALSE),Envs,0))*GETPIVOTDATA(CELL("contents",$CN39),$BD$2,"Env Label",CY$3)</f>
        <v>0</v>
      </c>
      <c r="CZ39" s="368">
        <f ca="1">INDEX(Maint_Pricing_Schedule,MATCH(TRIM($CN39),Products,0),MATCH(VLOOKUP(CZ$3,tEnv[],3,FALSE),Envs,0))*GETPIVOTDATA(CELL("contents",$CN39),$BD$2,"Env Label",CZ$3)</f>
        <v>0</v>
      </c>
      <c r="DA39" s="368">
        <f ca="1">INDEX(Maint_Pricing_Schedule,MATCH(TRIM($CN39),Products,0),MATCH(VLOOKUP(DA$3,tEnv[],3,FALSE),Envs,0))*GETPIVOTDATA(CELL("contents",$CN39),$BD$2,"Env Label",DA$3)</f>
        <v>0</v>
      </c>
      <c r="DB39" s="368">
        <f ca="1">INDEX(Maint_Pricing_Schedule,MATCH(TRIM($CN39),Products,0),MATCH(VLOOKUP(DB$3,tEnv[],3,FALSE),Envs,0))*GETPIVOTDATA(CELL("contents",$CN39),$BD$2,"Env Label",DB$3)</f>
        <v>0</v>
      </c>
      <c r="DC39" s="368">
        <f ca="1">INDEX(Maint_Pricing_Schedule,MATCH(TRIM($CN39),Products,0),MATCH(VLOOKUP(DC$3,tEnv[],3,FALSE),Envs,0))*GETPIVOTDATA(CELL("contents",$CN39),$BD$2,"Env Label",DC$3)</f>
        <v>0</v>
      </c>
      <c r="DD39" s="369">
        <f ca="1">SUM(AnnualSWMaintCostByProdByEnv[[#This Row],[PROD]:[DEV]])</f>
        <v>36238.080000000002</v>
      </c>
    </row>
    <row r="40" spans="23:108">
      <c r="W40"/>
      <c r="X40"/>
      <c r="Y40" s="143"/>
      <c r="Z40" s="143"/>
      <c r="BD40" s="281" t="s">
        <v>2289</v>
      </c>
      <c r="BE40" s="272">
        <v>4</v>
      </c>
      <c r="BF40" s="272">
        <v>0</v>
      </c>
      <c r="BG40" s="272">
        <v>0</v>
      </c>
      <c r="BH40" s="272">
        <v>0</v>
      </c>
      <c r="BI40" s="272">
        <v>0</v>
      </c>
      <c r="BJ40" s="272">
        <v>0</v>
      </c>
      <c r="BK40" s="272">
        <v>0</v>
      </c>
      <c r="BL40" s="272">
        <v>0</v>
      </c>
      <c r="BM40" s="272">
        <v>0</v>
      </c>
      <c r="BN40" s="272">
        <v>0</v>
      </c>
      <c r="BO40" s="272">
        <v>0</v>
      </c>
      <c r="BP40" s="272">
        <v>0</v>
      </c>
      <c r="BQ40" s="272">
        <v>0</v>
      </c>
      <c r="BR40" s="272">
        <v>0</v>
      </c>
      <c r="BS40" s="272">
        <v>0</v>
      </c>
      <c r="BT40" s="272">
        <v>4</v>
      </c>
      <c r="BV40" s="262" t="str">
        <f t="shared" si="0"/>
        <v xml:space="preserve">Oracle RAC pSeries </v>
      </c>
      <c r="BW40" s="262">
        <f t="shared" si="0"/>
        <v>4</v>
      </c>
      <c r="BX40" s="262">
        <f t="shared" si="0"/>
        <v>0</v>
      </c>
      <c r="BY40" s="427">
        <f ca="1">INDEX(Product_Pricing_Schedule,MATCH(TRIM($BV40),Products,0),MATCH(VLOOKUP(BY$3,tEnv[],3,FALSE),Envs,0))*GETPIVOTDATA(CELL("contents",$BV40),$BD$2,"Env Label",BY$3)</f>
        <v>0</v>
      </c>
      <c r="BZ40" s="427">
        <f ca="1">INDEX(Product_Pricing_Schedule,MATCH(TRIM($BV40),Products,0),MATCH(VLOOKUP(BZ$3,tEnv[],3,FALSE),Envs,0))*GETPIVOTDATA(CELL("contents",$BV40),$BD$2,"Env Label",BZ$3)</f>
        <v>0</v>
      </c>
      <c r="CA40" s="427">
        <f ca="1">INDEX(Product_Pricing_Schedule,MATCH(TRIM($BV40),Products,0),MATCH(VLOOKUP(CA$3,tEnv[],3,FALSE),Envs,0))*GETPIVOTDATA(CELL("contents",$BV40),$BD$2,"Env Label",CA$3)</f>
        <v>0</v>
      </c>
      <c r="CB40" s="427">
        <f ca="1">INDEX(Product_Pricing_Schedule,MATCH(TRIM($BV40),Products,0),MATCH(VLOOKUP(CB$3,tEnv[],3,FALSE),Envs,0))*GETPIVOTDATA(CELL("contents",$BV40),$BD$2,"Env Label",CB$3)</f>
        <v>0</v>
      </c>
      <c r="CC40" s="427">
        <f ca="1">INDEX(Product_Pricing_Schedule,MATCH(TRIM($BV40),Products,0),MATCH(VLOOKUP(CC$3,tEnv[],3,FALSE),Envs,0))*GETPIVOTDATA(CELL("contents",$BV40),$BD$2,"Env Label",CC$3)</f>
        <v>0</v>
      </c>
      <c r="CD40" s="427">
        <f ca="1">INDEX(Product_Pricing_Schedule,MATCH(TRIM($BV40),Products,0),MATCH(VLOOKUP(CD$3,tEnv[],3,FALSE),Envs,0))*GETPIVOTDATA(CELL("contents",$BV40),$BD$2,"Env Label",CD$3)</f>
        <v>0</v>
      </c>
      <c r="CE40" s="427">
        <f ca="1">INDEX(Product_Pricing_Schedule,MATCH(TRIM($BV40),Products,0),MATCH(VLOOKUP(CE$3,tEnv[],3,FALSE),Envs,0))*GETPIVOTDATA(CELL("contents",$BV40),$BD$2,"Env Label",CE$3)</f>
        <v>0</v>
      </c>
      <c r="CF40" s="427">
        <f ca="1">INDEX(Product_Pricing_Schedule,MATCH(TRIM($BV40),Products,0),MATCH(VLOOKUP(CF$3,tEnv[],3,FALSE),Envs,0))*GETPIVOTDATA(CELL("contents",$BV40),$BD$2,"Env Label",CF$3)</f>
        <v>0</v>
      </c>
      <c r="CG40" s="427">
        <f ca="1">INDEX(Product_Pricing_Schedule,MATCH(TRIM($BV40),Products,0),MATCH(VLOOKUP(CG$3,tEnv[],3,FALSE),Envs,0))*GETPIVOTDATA(CELL("contents",$BV40),$BD$2,"Env Label",CG$3)</f>
        <v>0</v>
      </c>
      <c r="CH40" s="427">
        <f ca="1">INDEX(Product_Pricing_Schedule,MATCH(TRIM($BV40),Products,0),MATCH(VLOOKUP(CH$3,tEnv[],3,FALSE),Envs,0))*GETPIVOTDATA(CELL("contents",$BV40),$BD$2,"Env Label",CH$3)</f>
        <v>0</v>
      </c>
      <c r="CI40" s="427">
        <f ca="1">INDEX(Product_Pricing_Schedule,MATCH(TRIM($BV40),Products,0),MATCH(VLOOKUP(CI$3,tEnv[],3,FALSE),Envs,0))*GETPIVOTDATA(CELL("contents",$BV40),$BD$2,"Env Label",CI$3)</f>
        <v>0</v>
      </c>
      <c r="CJ40" s="427">
        <f ca="1">INDEX(Product_Pricing_Schedule,MATCH(TRIM($BV40),Products,0),MATCH(VLOOKUP(CJ$3,tEnv[],3,FALSE),Envs,0))*GETPIVOTDATA(CELL("contents",$BV40),$BD$2,"Env Label",CJ$3)</f>
        <v>0</v>
      </c>
      <c r="CK40" s="427">
        <f ca="1">INDEX(Product_Pricing_Schedule,MATCH(TRIM($BV40),Products,0),MATCH(VLOOKUP(CK$3,tEnv[],3,FALSE),Envs,0))*GETPIVOTDATA(CELL("contents",$BV40),$BD$2,"Env Label",CK$3)</f>
        <v>0</v>
      </c>
      <c r="CL40" s="428">
        <f ca="1">SUM(AnnualSWCostByProdByEnv[[#This Row],[PROD]:[DEV]])</f>
        <v>0</v>
      </c>
      <c r="CN40" s="262" t="str">
        <f t="shared" si="4"/>
        <v xml:space="preserve">Oracle RAC pSeries </v>
      </c>
      <c r="CO40" s="262">
        <f t="shared" ca="1" si="3"/>
        <v>0</v>
      </c>
      <c r="CP40" s="262">
        <f t="shared" ca="1" si="3"/>
        <v>0</v>
      </c>
      <c r="CQ40" s="368">
        <f ca="1">INDEX(Maint_Pricing_Schedule,MATCH(TRIM($CN40),Products,0),MATCH(VLOOKUP(CQ$3,tEnv[],3,FALSE),Envs,0))*GETPIVOTDATA(CELL("contents",$CN40),$BD$2,"Env Label",CQ$3)</f>
        <v>0</v>
      </c>
      <c r="CR40" s="368">
        <f ca="1">INDEX(Maint_Pricing_Schedule,MATCH(TRIM($CN40),Products,0),MATCH(VLOOKUP(CR$3,tEnv[],3,FALSE),Envs,0))*GETPIVOTDATA(CELL("contents",$CN40),$BD$2,"Env Label",CR$3)</f>
        <v>0</v>
      </c>
      <c r="CS40" s="368">
        <f ca="1">INDEX(Maint_Pricing_Schedule,MATCH(TRIM($CN40),Products,0),MATCH(VLOOKUP(CS$3,tEnv[],3,FALSE),Envs,0))*GETPIVOTDATA(CELL("contents",$CN40),$BD$2,"Env Label",CS$3)</f>
        <v>0</v>
      </c>
      <c r="CT40" s="368">
        <f ca="1">INDEX(Maint_Pricing_Schedule,MATCH(TRIM($CN40),Products,0),MATCH(VLOOKUP(CT$3,tEnv[],3,FALSE),Envs,0))*GETPIVOTDATA(CELL("contents",$CN40),$BD$2,"Env Label",CT$3)</f>
        <v>0</v>
      </c>
      <c r="CU40" s="368">
        <f ca="1">INDEX(Maint_Pricing_Schedule,MATCH(TRIM($CN40),Products,0),MATCH(VLOOKUP(CU$3,tEnv[],3,FALSE),Envs,0))*GETPIVOTDATA(CELL("contents",$CN40),$BD$2,"Env Label",CU$3)</f>
        <v>0</v>
      </c>
      <c r="CV40" s="368">
        <f ca="1">INDEX(Maint_Pricing_Schedule,MATCH(TRIM($CN40),Products,0),MATCH(VLOOKUP(CV$3,tEnv[],3,FALSE),Envs,0))*GETPIVOTDATA(CELL("contents",$CN40),$BD$2,"Env Label",CV$3)</f>
        <v>0</v>
      </c>
      <c r="CW40" s="368">
        <f ca="1">INDEX(Maint_Pricing_Schedule,MATCH(TRIM($CN40),Products,0),MATCH(VLOOKUP(CW$3,tEnv[],3,FALSE),Envs,0))*GETPIVOTDATA(CELL("contents",$CN40),$BD$2,"Env Label",CW$3)</f>
        <v>0</v>
      </c>
      <c r="CX40" s="368">
        <f ca="1">INDEX(Maint_Pricing_Schedule,MATCH(TRIM($CN40),Products,0),MATCH(VLOOKUP(CX$3,tEnv[],3,FALSE),Envs,0))*GETPIVOTDATA(CELL("contents",$CN40),$BD$2,"Env Label",CX$3)</f>
        <v>0</v>
      </c>
      <c r="CY40" s="368">
        <f ca="1">INDEX(Maint_Pricing_Schedule,MATCH(TRIM($CN40),Products,0),MATCH(VLOOKUP(CY$3,tEnv[],3,FALSE),Envs,0))*GETPIVOTDATA(CELL("contents",$CN40),$BD$2,"Env Label",CY$3)</f>
        <v>0</v>
      </c>
      <c r="CZ40" s="368">
        <f ca="1">INDEX(Maint_Pricing_Schedule,MATCH(TRIM($CN40),Products,0),MATCH(VLOOKUP(CZ$3,tEnv[],3,FALSE),Envs,0))*GETPIVOTDATA(CELL("contents",$CN40),$BD$2,"Env Label",CZ$3)</f>
        <v>0</v>
      </c>
      <c r="DA40" s="368">
        <f ca="1">INDEX(Maint_Pricing_Schedule,MATCH(TRIM($CN40),Products,0),MATCH(VLOOKUP(DA$3,tEnv[],3,FALSE),Envs,0))*GETPIVOTDATA(CELL("contents",$CN40),$BD$2,"Env Label",DA$3)</f>
        <v>0</v>
      </c>
      <c r="DB40" s="368">
        <f ca="1">INDEX(Maint_Pricing_Schedule,MATCH(TRIM($CN40),Products,0),MATCH(VLOOKUP(DB$3,tEnv[],3,FALSE),Envs,0))*GETPIVOTDATA(CELL("contents",$CN40),$BD$2,"Env Label",DB$3)</f>
        <v>0</v>
      </c>
      <c r="DC40" s="368">
        <f ca="1">INDEX(Maint_Pricing_Schedule,MATCH(TRIM($CN40),Products,0),MATCH(VLOOKUP(DC$3,tEnv[],3,FALSE),Envs,0))*GETPIVOTDATA(CELL("contents",$CN40),$BD$2,"Env Label",DC$3)</f>
        <v>0</v>
      </c>
      <c r="DD40" s="369">
        <f ca="1">SUM(AnnualSWMaintCostByProdByEnv[[#This Row],[PROD]:[DEV]])</f>
        <v>0</v>
      </c>
    </row>
    <row r="41" spans="23:108">
      <c r="W41"/>
      <c r="X41"/>
      <c r="Y41" s="143"/>
      <c r="Z41" s="143"/>
      <c r="BD41" s="281" t="s">
        <v>2290</v>
      </c>
      <c r="BE41" s="272">
        <v>0</v>
      </c>
      <c r="BF41" s="272">
        <v>0</v>
      </c>
      <c r="BG41" s="272">
        <v>0</v>
      </c>
      <c r="BH41" s="272">
        <v>0</v>
      </c>
      <c r="BI41" s="272">
        <v>0</v>
      </c>
      <c r="BJ41" s="272">
        <v>0</v>
      </c>
      <c r="BK41" s="272">
        <v>0</v>
      </c>
      <c r="BL41" s="272">
        <v>0</v>
      </c>
      <c r="BM41" s="272">
        <v>0</v>
      </c>
      <c r="BN41" s="272">
        <v>0</v>
      </c>
      <c r="BO41" s="272">
        <v>0</v>
      </c>
      <c r="BP41" s="272">
        <v>0</v>
      </c>
      <c r="BQ41" s="272">
        <v>0</v>
      </c>
      <c r="BR41" s="272">
        <v>0</v>
      </c>
      <c r="BS41" s="272">
        <v>0</v>
      </c>
      <c r="BT41" s="272">
        <v>0</v>
      </c>
      <c r="BV41" s="262" t="str">
        <f t="shared" si="0"/>
        <v xml:space="preserve">Oracle Spatial x86 </v>
      </c>
      <c r="BW41" s="262">
        <f t="shared" si="0"/>
        <v>0</v>
      </c>
      <c r="BX41" s="262">
        <f t="shared" si="0"/>
        <v>0</v>
      </c>
      <c r="BY41" s="427">
        <f ca="1">INDEX(Product_Pricing_Schedule,MATCH(TRIM($BV41),Products,0),MATCH(VLOOKUP(BY$3,tEnv[],3,FALSE),Envs,0))*GETPIVOTDATA(CELL("contents",$BV41),$BD$2,"Env Label",BY$3)</f>
        <v>0</v>
      </c>
      <c r="BZ41" s="427">
        <f ca="1">INDEX(Product_Pricing_Schedule,MATCH(TRIM($BV41),Products,0),MATCH(VLOOKUP(BZ$3,tEnv[],3,FALSE),Envs,0))*GETPIVOTDATA(CELL("contents",$BV41),$BD$2,"Env Label",BZ$3)</f>
        <v>0</v>
      </c>
      <c r="CA41" s="427">
        <f ca="1">INDEX(Product_Pricing_Schedule,MATCH(TRIM($BV41),Products,0),MATCH(VLOOKUP(CA$3,tEnv[],3,FALSE),Envs,0))*GETPIVOTDATA(CELL("contents",$BV41),$BD$2,"Env Label",CA$3)</f>
        <v>0</v>
      </c>
      <c r="CB41" s="427">
        <f ca="1">INDEX(Product_Pricing_Schedule,MATCH(TRIM($BV41),Products,0),MATCH(VLOOKUP(CB$3,tEnv[],3,FALSE),Envs,0))*GETPIVOTDATA(CELL("contents",$BV41),$BD$2,"Env Label",CB$3)</f>
        <v>0</v>
      </c>
      <c r="CC41" s="427">
        <f ca="1">INDEX(Product_Pricing_Schedule,MATCH(TRIM($BV41),Products,0),MATCH(VLOOKUP(CC$3,tEnv[],3,FALSE),Envs,0))*GETPIVOTDATA(CELL("contents",$BV41),$BD$2,"Env Label",CC$3)</f>
        <v>0</v>
      </c>
      <c r="CD41" s="427">
        <f ca="1">INDEX(Product_Pricing_Schedule,MATCH(TRIM($BV41),Products,0),MATCH(VLOOKUP(CD$3,tEnv[],3,FALSE),Envs,0))*GETPIVOTDATA(CELL("contents",$BV41),$BD$2,"Env Label",CD$3)</f>
        <v>0</v>
      </c>
      <c r="CE41" s="427">
        <f ca="1">INDEX(Product_Pricing_Schedule,MATCH(TRIM($BV41),Products,0),MATCH(VLOOKUP(CE$3,tEnv[],3,FALSE),Envs,0))*GETPIVOTDATA(CELL("contents",$BV41),$BD$2,"Env Label",CE$3)</f>
        <v>0</v>
      </c>
      <c r="CF41" s="427">
        <f ca="1">INDEX(Product_Pricing_Schedule,MATCH(TRIM($BV41),Products,0),MATCH(VLOOKUP(CF$3,tEnv[],3,FALSE),Envs,0))*GETPIVOTDATA(CELL("contents",$BV41),$BD$2,"Env Label",CF$3)</f>
        <v>0</v>
      </c>
      <c r="CG41" s="427">
        <f ca="1">INDEX(Product_Pricing_Schedule,MATCH(TRIM($BV41),Products,0),MATCH(VLOOKUP(CG$3,tEnv[],3,FALSE),Envs,0))*GETPIVOTDATA(CELL("contents",$BV41),$BD$2,"Env Label",CG$3)</f>
        <v>0</v>
      </c>
      <c r="CH41" s="427">
        <f ca="1">INDEX(Product_Pricing_Schedule,MATCH(TRIM($BV41),Products,0),MATCH(VLOOKUP(CH$3,tEnv[],3,FALSE),Envs,0))*GETPIVOTDATA(CELL("contents",$BV41),$BD$2,"Env Label",CH$3)</f>
        <v>0</v>
      </c>
      <c r="CI41" s="427">
        <f ca="1">INDEX(Product_Pricing_Schedule,MATCH(TRIM($BV41),Products,0),MATCH(VLOOKUP(CI$3,tEnv[],3,FALSE),Envs,0))*GETPIVOTDATA(CELL("contents",$BV41),$BD$2,"Env Label",CI$3)</f>
        <v>0</v>
      </c>
      <c r="CJ41" s="427">
        <f ca="1">INDEX(Product_Pricing_Schedule,MATCH(TRIM($BV41),Products,0),MATCH(VLOOKUP(CJ$3,tEnv[],3,FALSE),Envs,0))*GETPIVOTDATA(CELL("contents",$BV41),$BD$2,"Env Label",CJ$3)</f>
        <v>0</v>
      </c>
      <c r="CK41" s="427">
        <f ca="1">INDEX(Product_Pricing_Schedule,MATCH(TRIM($BV41),Products,0),MATCH(VLOOKUP(CK$3,tEnv[],3,FALSE),Envs,0))*GETPIVOTDATA(CELL("contents",$BV41),$BD$2,"Env Label",CK$3)</f>
        <v>0</v>
      </c>
      <c r="CL41" s="428">
        <f ca="1">SUM(AnnualSWCostByProdByEnv[[#This Row],[PROD]:[DEV]])</f>
        <v>0</v>
      </c>
      <c r="CN41" s="262" t="str">
        <f t="shared" si="4"/>
        <v xml:space="preserve">Oracle Spatial x86 </v>
      </c>
      <c r="CO41" s="262">
        <f t="shared" ca="1" si="3"/>
        <v>0</v>
      </c>
      <c r="CP41" s="262">
        <f t="shared" ca="1" si="3"/>
        <v>0</v>
      </c>
      <c r="CQ41" s="368">
        <f ca="1">INDEX(Maint_Pricing_Schedule,MATCH(TRIM($CN41),Products,0),MATCH(VLOOKUP(CQ$3,tEnv[],3,FALSE),Envs,0))*GETPIVOTDATA(CELL("contents",$CN41),$BD$2,"Env Label",CQ$3)</f>
        <v>0</v>
      </c>
      <c r="CR41" s="368">
        <f ca="1">INDEX(Maint_Pricing_Schedule,MATCH(TRIM($CN41),Products,0),MATCH(VLOOKUP(CR$3,tEnv[],3,FALSE),Envs,0))*GETPIVOTDATA(CELL("contents",$CN41),$BD$2,"Env Label",CR$3)</f>
        <v>0</v>
      </c>
      <c r="CS41" s="368">
        <f ca="1">INDEX(Maint_Pricing_Schedule,MATCH(TRIM($CN41),Products,0),MATCH(VLOOKUP(CS$3,tEnv[],3,FALSE),Envs,0))*GETPIVOTDATA(CELL("contents",$CN41),$BD$2,"Env Label",CS$3)</f>
        <v>0</v>
      </c>
      <c r="CT41" s="368">
        <f ca="1">INDEX(Maint_Pricing_Schedule,MATCH(TRIM($CN41),Products,0),MATCH(VLOOKUP(CT$3,tEnv[],3,FALSE),Envs,0))*GETPIVOTDATA(CELL("contents",$CN41),$BD$2,"Env Label",CT$3)</f>
        <v>0</v>
      </c>
      <c r="CU41" s="368">
        <f ca="1">INDEX(Maint_Pricing_Schedule,MATCH(TRIM($CN41),Products,0),MATCH(VLOOKUP(CU$3,tEnv[],3,FALSE),Envs,0))*GETPIVOTDATA(CELL("contents",$CN41),$BD$2,"Env Label",CU$3)</f>
        <v>0</v>
      </c>
      <c r="CV41" s="368">
        <f ca="1">INDEX(Maint_Pricing_Schedule,MATCH(TRIM($CN41),Products,0),MATCH(VLOOKUP(CV$3,tEnv[],3,FALSE),Envs,0))*GETPIVOTDATA(CELL("contents",$CN41),$BD$2,"Env Label",CV$3)</f>
        <v>0</v>
      </c>
      <c r="CW41" s="368">
        <f ca="1">INDEX(Maint_Pricing_Schedule,MATCH(TRIM($CN41),Products,0),MATCH(VLOOKUP(CW$3,tEnv[],3,FALSE),Envs,0))*GETPIVOTDATA(CELL("contents",$CN41),$BD$2,"Env Label",CW$3)</f>
        <v>0</v>
      </c>
      <c r="CX41" s="368">
        <f ca="1">INDEX(Maint_Pricing_Schedule,MATCH(TRIM($CN41),Products,0),MATCH(VLOOKUP(CX$3,tEnv[],3,FALSE),Envs,0))*GETPIVOTDATA(CELL("contents",$CN41),$BD$2,"Env Label",CX$3)</f>
        <v>0</v>
      </c>
      <c r="CY41" s="368">
        <f ca="1">INDEX(Maint_Pricing_Schedule,MATCH(TRIM($CN41),Products,0),MATCH(VLOOKUP(CY$3,tEnv[],3,FALSE),Envs,0))*GETPIVOTDATA(CELL("contents",$CN41),$BD$2,"Env Label",CY$3)</f>
        <v>0</v>
      </c>
      <c r="CZ41" s="368">
        <f ca="1">INDEX(Maint_Pricing_Schedule,MATCH(TRIM($CN41),Products,0),MATCH(VLOOKUP(CZ$3,tEnv[],3,FALSE),Envs,0))*GETPIVOTDATA(CELL("contents",$CN41),$BD$2,"Env Label",CZ$3)</f>
        <v>0</v>
      </c>
      <c r="DA41" s="368">
        <f ca="1">INDEX(Maint_Pricing_Schedule,MATCH(TRIM($CN41),Products,0),MATCH(VLOOKUP(DA$3,tEnv[],3,FALSE),Envs,0))*GETPIVOTDATA(CELL("contents",$CN41),$BD$2,"Env Label",DA$3)</f>
        <v>0</v>
      </c>
      <c r="DB41" s="368">
        <f ca="1">INDEX(Maint_Pricing_Schedule,MATCH(TRIM($CN41),Products,0),MATCH(VLOOKUP(DB$3,tEnv[],3,FALSE),Envs,0))*GETPIVOTDATA(CELL("contents",$CN41),$BD$2,"Env Label",DB$3)</f>
        <v>0</v>
      </c>
      <c r="DC41" s="368">
        <f ca="1">INDEX(Maint_Pricing_Schedule,MATCH(TRIM($CN41),Products,0),MATCH(VLOOKUP(DC$3,tEnv[],3,FALSE),Envs,0))*GETPIVOTDATA(CELL("contents",$CN41),$BD$2,"Env Label",DC$3)</f>
        <v>0</v>
      </c>
      <c r="DD41" s="369">
        <f ca="1">SUM(AnnualSWMaintCostByProdByEnv[[#This Row],[PROD]:[DEV]])</f>
        <v>0</v>
      </c>
    </row>
    <row r="42" spans="23:108">
      <c r="W42"/>
      <c r="X42"/>
      <c r="Y42" s="143"/>
      <c r="Z42" s="143"/>
      <c r="BD42" s="281" t="s">
        <v>2291</v>
      </c>
      <c r="BE42" s="272">
        <v>0</v>
      </c>
      <c r="BF42" s="272">
        <v>0</v>
      </c>
      <c r="BG42" s="272">
        <v>0</v>
      </c>
      <c r="BH42" s="272">
        <v>0</v>
      </c>
      <c r="BI42" s="272">
        <v>0</v>
      </c>
      <c r="BJ42" s="272">
        <v>0</v>
      </c>
      <c r="BK42" s="272">
        <v>0</v>
      </c>
      <c r="BL42" s="272">
        <v>0</v>
      </c>
      <c r="BM42" s="272">
        <v>0</v>
      </c>
      <c r="BN42" s="272">
        <v>0</v>
      </c>
      <c r="BO42" s="272">
        <v>0</v>
      </c>
      <c r="BP42" s="272">
        <v>0</v>
      </c>
      <c r="BQ42" s="272">
        <v>0</v>
      </c>
      <c r="BR42" s="272">
        <v>0</v>
      </c>
      <c r="BS42" s="272">
        <v>0</v>
      </c>
      <c r="BT42" s="272">
        <v>0</v>
      </c>
      <c r="BV42" s="262" t="str">
        <f t="shared" si="0"/>
        <v xml:space="preserve">Oracle Spatial pSeries </v>
      </c>
      <c r="BW42" s="262">
        <f t="shared" si="0"/>
        <v>0</v>
      </c>
      <c r="BX42" s="262">
        <f t="shared" si="0"/>
        <v>0</v>
      </c>
      <c r="BY42" s="427">
        <f ca="1">INDEX(Product_Pricing_Schedule,MATCH(TRIM($BV42),Products,0),MATCH(VLOOKUP(BY$3,tEnv[],3,FALSE),Envs,0))*GETPIVOTDATA(CELL("contents",$BV42),$BD$2,"Env Label",BY$3)</f>
        <v>0</v>
      </c>
      <c r="BZ42" s="427">
        <f ca="1">INDEX(Product_Pricing_Schedule,MATCH(TRIM($BV42),Products,0),MATCH(VLOOKUP(BZ$3,tEnv[],3,FALSE),Envs,0))*GETPIVOTDATA(CELL("contents",$BV42),$BD$2,"Env Label",BZ$3)</f>
        <v>0</v>
      </c>
      <c r="CA42" s="427">
        <f ca="1">INDEX(Product_Pricing_Schedule,MATCH(TRIM($BV42),Products,0),MATCH(VLOOKUP(CA$3,tEnv[],3,FALSE),Envs,0))*GETPIVOTDATA(CELL("contents",$BV42),$BD$2,"Env Label",CA$3)</f>
        <v>0</v>
      </c>
      <c r="CB42" s="427">
        <f ca="1">INDEX(Product_Pricing_Schedule,MATCH(TRIM($BV42),Products,0),MATCH(VLOOKUP(CB$3,tEnv[],3,FALSE),Envs,0))*GETPIVOTDATA(CELL("contents",$BV42),$BD$2,"Env Label",CB$3)</f>
        <v>0</v>
      </c>
      <c r="CC42" s="427">
        <f ca="1">INDEX(Product_Pricing_Schedule,MATCH(TRIM($BV42),Products,0),MATCH(VLOOKUP(CC$3,tEnv[],3,FALSE),Envs,0))*GETPIVOTDATA(CELL("contents",$BV42),$BD$2,"Env Label",CC$3)</f>
        <v>0</v>
      </c>
      <c r="CD42" s="427">
        <f ca="1">INDEX(Product_Pricing_Schedule,MATCH(TRIM($BV42),Products,0),MATCH(VLOOKUP(CD$3,tEnv[],3,FALSE),Envs,0))*GETPIVOTDATA(CELL("contents",$BV42),$BD$2,"Env Label",CD$3)</f>
        <v>0</v>
      </c>
      <c r="CE42" s="427">
        <f ca="1">INDEX(Product_Pricing_Schedule,MATCH(TRIM($BV42),Products,0),MATCH(VLOOKUP(CE$3,tEnv[],3,FALSE),Envs,0))*GETPIVOTDATA(CELL("contents",$BV42),$BD$2,"Env Label",CE$3)</f>
        <v>0</v>
      </c>
      <c r="CF42" s="427">
        <f ca="1">INDEX(Product_Pricing_Schedule,MATCH(TRIM($BV42),Products,0),MATCH(VLOOKUP(CF$3,tEnv[],3,FALSE),Envs,0))*GETPIVOTDATA(CELL("contents",$BV42),$BD$2,"Env Label",CF$3)</f>
        <v>0</v>
      </c>
      <c r="CG42" s="427">
        <f ca="1">INDEX(Product_Pricing_Schedule,MATCH(TRIM($BV42),Products,0),MATCH(VLOOKUP(CG$3,tEnv[],3,FALSE),Envs,0))*GETPIVOTDATA(CELL("contents",$BV42),$BD$2,"Env Label",CG$3)</f>
        <v>0</v>
      </c>
      <c r="CH42" s="427">
        <f ca="1">INDEX(Product_Pricing_Schedule,MATCH(TRIM($BV42),Products,0),MATCH(VLOOKUP(CH$3,tEnv[],3,FALSE),Envs,0))*GETPIVOTDATA(CELL("contents",$BV42),$BD$2,"Env Label",CH$3)</f>
        <v>0</v>
      </c>
      <c r="CI42" s="427">
        <f ca="1">INDEX(Product_Pricing_Schedule,MATCH(TRIM($BV42),Products,0),MATCH(VLOOKUP(CI$3,tEnv[],3,FALSE),Envs,0))*GETPIVOTDATA(CELL("contents",$BV42),$BD$2,"Env Label",CI$3)</f>
        <v>0</v>
      </c>
      <c r="CJ42" s="427">
        <f ca="1">INDEX(Product_Pricing_Schedule,MATCH(TRIM($BV42),Products,0),MATCH(VLOOKUP(CJ$3,tEnv[],3,FALSE),Envs,0))*GETPIVOTDATA(CELL("contents",$BV42),$BD$2,"Env Label",CJ$3)</f>
        <v>0</v>
      </c>
      <c r="CK42" s="427">
        <f ca="1">INDEX(Product_Pricing_Schedule,MATCH(TRIM($BV42),Products,0),MATCH(VLOOKUP(CK$3,tEnv[],3,FALSE),Envs,0))*GETPIVOTDATA(CELL("contents",$BV42),$BD$2,"Env Label",CK$3)</f>
        <v>0</v>
      </c>
      <c r="CL42" s="428">
        <f ca="1">SUM(AnnualSWCostByProdByEnv[[#This Row],[PROD]:[DEV]])</f>
        <v>0</v>
      </c>
      <c r="CN42" s="262" t="str">
        <f t="shared" si="4"/>
        <v xml:space="preserve">Oracle Spatial pSeries </v>
      </c>
      <c r="CO42" s="262">
        <f t="shared" ca="1" si="3"/>
        <v>0</v>
      </c>
      <c r="CP42" s="262">
        <f t="shared" ca="1" si="3"/>
        <v>0</v>
      </c>
      <c r="CQ42" s="368">
        <f ca="1">INDEX(Maint_Pricing_Schedule,MATCH(TRIM($CN42),Products,0),MATCH(VLOOKUP(CQ$3,tEnv[],3,FALSE),Envs,0))*GETPIVOTDATA(CELL("contents",$CN42),$BD$2,"Env Label",CQ$3)</f>
        <v>0</v>
      </c>
      <c r="CR42" s="368">
        <f ca="1">INDEX(Maint_Pricing_Schedule,MATCH(TRIM($CN42),Products,0),MATCH(VLOOKUP(CR$3,tEnv[],3,FALSE),Envs,0))*GETPIVOTDATA(CELL("contents",$CN42),$BD$2,"Env Label",CR$3)</f>
        <v>0</v>
      </c>
      <c r="CS42" s="368">
        <f ca="1">INDEX(Maint_Pricing_Schedule,MATCH(TRIM($CN42),Products,0),MATCH(VLOOKUP(CS$3,tEnv[],3,FALSE),Envs,0))*GETPIVOTDATA(CELL("contents",$CN42),$BD$2,"Env Label",CS$3)</f>
        <v>0</v>
      </c>
      <c r="CT42" s="368">
        <f ca="1">INDEX(Maint_Pricing_Schedule,MATCH(TRIM($CN42),Products,0),MATCH(VLOOKUP(CT$3,tEnv[],3,FALSE),Envs,0))*GETPIVOTDATA(CELL("contents",$CN42),$BD$2,"Env Label",CT$3)</f>
        <v>0</v>
      </c>
      <c r="CU42" s="368">
        <f ca="1">INDEX(Maint_Pricing_Schedule,MATCH(TRIM($CN42),Products,0),MATCH(VLOOKUP(CU$3,tEnv[],3,FALSE),Envs,0))*GETPIVOTDATA(CELL("contents",$CN42),$BD$2,"Env Label",CU$3)</f>
        <v>0</v>
      </c>
      <c r="CV42" s="368">
        <f ca="1">INDEX(Maint_Pricing_Schedule,MATCH(TRIM($CN42),Products,0),MATCH(VLOOKUP(CV$3,tEnv[],3,FALSE),Envs,0))*GETPIVOTDATA(CELL("contents",$CN42),$BD$2,"Env Label",CV$3)</f>
        <v>0</v>
      </c>
      <c r="CW42" s="368">
        <f ca="1">INDEX(Maint_Pricing_Schedule,MATCH(TRIM($CN42),Products,0),MATCH(VLOOKUP(CW$3,tEnv[],3,FALSE),Envs,0))*GETPIVOTDATA(CELL("contents",$CN42),$BD$2,"Env Label",CW$3)</f>
        <v>0</v>
      </c>
      <c r="CX42" s="368">
        <f ca="1">INDEX(Maint_Pricing_Schedule,MATCH(TRIM($CN42),Products,0),MATCH(VLOOKUP(CX$3,tEnv[],3,FALSE),Envs,0))*GETPIVOTDATA(CELL("contents",$CN42),$BD$2,"Env Label",CX$3)</f>
        <v>0</v>
      </c>
      <c r="CY42" s="368">
        <f ca="1">INDEX(Maint_Pricing_Schedule,MATCH(TRIM($CN42),Products,0),MATCH(VLOOKUP(CY$3,tEnv[],3,FALSE),Envs,0))*GETPIVOTDATA(CELL("contents",$CN42),$BD$2,"Env Label",CY$3)</f>
        <v>0</v>
      </c>
      <c r="CZ42" s="368">
        <f ca="1">INDEX(Maint_Pricing_Schedule,MATCH(TRIM($CN42),Products,0),MATCH(VLOOKUP(CZ$3,tEnv[],3,FALSE),Envs,0))*GETPIVOTDATA(CELL("contents",$CN42),$BD$2,"Env Label",CZ$3)</f>
        <v>0</v>
      </c>
      <c r="DA42" s="368">
        <f ca="1">INDEX(Maint_Pricing_Schedule,MATCH(TRIM($CN42),Products,0),MATCH(VLOOKUP(DA$3,tEnv[],3,FALSE),Envs,0))*GETPIVOTDATA(CELL("contents",$CN42),$BD$2,"Env Label",DA$3)</f>
        <v>0</v>
      </c>
      <c r="DB42" s="368">
        <f ca="1">INDEX(Maint_Pricing_Schedule,MATCH(TRIM($CN42),Products,0),MATCH(VLOOKUP(DB$3,tEnv[],3,FALSE),Envs,0))*GETPIVOTDATA(CELL("contents",$CN42),$BD$2,"Env Label",DB$3)</f>
        <v>0</v>
      </c>
      <c r="DC42" s="368">
        <f ca="1">INDEX(Maint_Pricing_Schedule,MATCH(TRIM($CN42),Products,0),MATCH(VLOOKUP(DC$3,tEnv[],3,FALSE),Envs,0))*GETPIVOTDATA(CELL("contents",$CN42),$BD$2,"Env Label",DC$3)</f>
        <v>0</v>
      </c>
      <c r="DD42" s="369">
        <f ca="1">SUM(AnnualSWMaintCostByProdByEnv[[#This Row],[PROD]:[DEV]])</f>
        <v>0</v>
      </c>
    </row>
    <row r="43" spans="23:108">
      <c r="W43"/>
      <c r="X43"/>
      <c r="Y43" s="143"/>
      <c r="Z43" s="143"/>
      <c r="BD43" s="281" t="s">
        <v>492</v>
      </c>
      <c r="BE43" s="272">
        <v>0</v>
      </c>
      <c r="BF43" s="272">
        <v>0</v>
      </c>
      <c r="BG43" s="272">
        <v>0</v>
      </c>
      <c r="BH43" s="272">
        <v>0</v>
      </c>
      <c r="BI43" s="272">
        <v>0</v>
      </c>
      <c r="BJ43" s="272">
        <v>0</v>
      </c>
      <c r="BK43" s="272">
        <v>0</v>
      </c>
      <c r="BL43" s="272">
        <v>0</v>
      </c>
      <c r="BM43" s="272">
        <v>0</v>
      </c>
      <c r="BN43" s="272">
        <v>0</v>
      </c>
      <c r="BO43" s="272">
        <v>0</v>
      </c>
      <c r="BP43" s="272">
        <v>0</v>
      </c>
      <c r="BQ43" s="272">
        <v>0</v>
      </c>
      <c r="BR43" s="272">
        <v>0</v>
      </c>
      <c r="BS43" s="272">
        <v>0</v>
      </c>
      <c r="BT43" s="272">
        <v>0</v>
      </c>
      <c r="BV43" s="262" t="str">
        <f t="shared" si="0"/>
        <v xml:space="preserve">Oracle Standalone </v>
      </c>
      <c r="BW43" s="262">
        <f t="shared" si="0"/>
        <v>0</v>
      </c>
      <c r="BX43" s="262">
        <f t="shared" si="0"/>
        <v>0</v>
      </c>
      <c r="BY43" s="427">
        <f ca="1">INDEX(Product_Pricing_Schedule,MATCH(TRIM($BV43),Products,0),MATCH(VLOOKUP(BY$3,tEnv[],3,FALSE),Envs,0))*GETPIVOTDATA(CELL("contents",$BV43),$BD$2,"Env Label",BY$3)</f>
        <v>0</v>
      </c>
      <c r="BZ43" s="427">
        <f ca="1">INDEX(Product_Pricing_Schedule,MATCH(TRIM($BV43),Products,0),MATCH(VLOOKUP(BZ$3,tEnv[],3,FALSE),Envs,0))*GETPIVOTDATA(CELL("contents",$BV43),$BD$2,"Env Label",BZ$3)</f>
        <v>0</v>
      </c>
      <c r="CA43" s="427">
        <f ca="1">INDEX(Product_Pricing_Schedule,MATCH(TRIM($BV43),Products,0),MATCH(VLOOKUP(CA$3,tEnv[],3,FALSE),Envs,0))*GETPIVOTDATA(CELL("contents",$BV43),$BD$2,"Env Label",CA$3)</f>
        <v>0</v>
      </c>
      <c r="CB43" s="427">
        <f ca="1">INDEX(Product_Pricing_Schedule,MATCH(TRIM($BV43),Products,0),MATCH(VLOOKUP(CB$3,tEnv[],3,FALSE),Envs,0))*GETPIVOTDATA(CELL("contents",$BV43),$BD$2,"Env Label",CB$3)</f>
        <v>0</v>
      </c>
      <c r="CC43" s="427">
        <f ca="1">INDEX(Product_Pricing_Schedule,MATCH(TRIM($BV43),Products,0),MATCH(VLOOKUP(CC$3,tEnv[],3,FALSE),Envs,0))*GETPIVOTDATA(CELL("contents",$BV43),$BD$2,"Env Label",CC$3)</f>
        <v>0</v>
      </c>
      <c r="CD43" s="427">
        <f ca="1">INDEX(Product_Pricing_Schedule,MATCH(TRIM($BV43),Products,0),MATCH(VLOOKUP(CD$3,tEnv[],3,FALSE),Envs,0))*GETPIVOTDATA(CELL("contents",$BV43),$BD$2,"Env Label",CD$3)</f>
        <v>0</v>
      </c>
      <c r="CE43" s="427">
        <f ca="1">INDEX(Product_Pricing_Schedule,MATCH(TRIM($BV43),Products,0),MATCH(VLOOKUP(CE$3,tEnv[],3,FALSE),Envs,0))*GETPIVOTDATA(CELL("contents",$BV43),$BD$2,"Env Label",CE$3)</f>
        <v>0</v>
      </c>
      <c r="CF43" s="427">
        <f ca="1">INDEX(Product_Pricing_Schedule,MATCH(TRIM($BV43),Products,0),MATCH(VLOOKUP(CF$3,tEnv[],3,FALSE),Envs,0))*GETPIVOTDATA(CELL("contents",$BV43),$BD$2,"Env Label",CF$3)</f>
        <v>0</v>
      </c>
      <c r="CG43" s="427">
        <f ca="1">INDEX(Product_Pricing_Schedule,MATCH(TRIM($BV43),Products,0),MATCH(VLOOKUP(CG$3,tEnv[],3,FALSE),Envs,0))*GETPIVOTDATA(CELL("contents",$BV43),$BD$2,"Env Label",CG$3)</f>
        <v>0</v>
      </c>
      <c r="CH43" s="427">
        <f ca="1">INDEX(Product_Pricing_Schedule,MATCH(TRIM($BV43),Products,0),MATCH(VLOOKUP(CH$3,tEnv[],3,FALSE),Envs,0))*GETPIVOTDATA(CELL("contents",$BV43),$BD$2,"Env Label",CH$3)</f>
        <v>0</v>
      </c>
      <c r="CI43" s="427">
        <f ca="1">INDEX(Product_Pricing_Schedule,MATCH(TRIM($BV43),Products,0),MATCH(VLOOKUP(CI$3,tEnv[],3,FALSE),Envs,0))*GETPIVOTDATA(CELL("contents",$BV43),$BD$2,"Env Label",CI$3)</f>
        <v>0</v>
      </c>
      <c r="CJ43" s="427">
        <f ca="1">INDEX(Product_Pricing_Schedule,MATCH(TRIM($BV43),Products,0),MATCH(VLOOKUP(CJ$3,tEnv[],3,FALSE),Envs,0))*GETPIVOTDATA(CELL("contents",$BV43),$BD$2,"Env Label",CJ$3)</f>
        <v>0</v>
      </c>
      <c r="CK43" s="427">
        <f ca="1">INDEX(Product_Pricing_Schedule,MATCH(TRIM($BV43),Products,0),MATCH(VLOOKUP(CK$3,tEnv[],3,FALSE),Envs,0))*GETPIVOTDATA(CELL("contents",$BV43),$BD$2,"Env Label",CK$3)</f>
        <v>0</v>
      </c>
      <c r="CL43" s="428">
        <f ca="1">SUM(AnnualSWCostByProdByEnv[[#This Row],[PROD]:[DEV]])</f>
        <v>0</v>
      </c>
      <c r="CN43" s="262" t="str">
        <f t="shared" si="4"/>
        <v xml:space="preserve">Oracle Standalone </v>
      </c>
      <c r="CO43" s="262">
        <f t="shared" ca="1" si="3"/>
        <v>0</v>
      </c>
      <c r="CP43" s="262">
        <f t="shared" ca="1" si="3"/>
        <v>0</v>
      </c>
      <c r="CQ43" s="368">
        <f ca="1">INDEX(Maint_Pricing_Schedule,MATCH(TRIM($CN43),Products,0),MATCH(VLOOKUP(CQ$3,tEnv[],3,FALSE),Envs,0))*GETPIVOTDATA(CELL("contents",$CN43),$BD$2,"Env Label",CQ$3)</f>
        <v>0</v>
      </c>
      <c r="CR43" s="368">
        <f ca="1">INDEX(Maint_Pricing_Schedule,MATCH(TRIM($CN43),Products,0),MATCH(VLOOKUP(CR$3,tEnv[],3,FALSE),Envs,0))*GETPIVOTDATA(CELL("contents",$CN43),$BD$2,"Env Label",CR$3)</f>
        <v>0</v>
      </c>
      <c r="CS43" s="368">
        <f ca="1">INDEX(Maint_Pricing_Schedule,MATCH(TRIM($CN43),Products,0),MATCH(VLOOKUP(CS$3,tEnv[],3,FALSE),Envs,0))*GETPIVOTDATA(CELL("contents",$CN43),$BD$2,"Env Label",CS$3)</f>
        <v>0</v>
      </c>
      <c r="CT43" s="368">
        <f ca="1">INDEX(Maint_Pricing_Schedule,MATCH(TRIM($CN43),Products,0),MATCH(VLOOKUP(CT$3,tEnv[],3,FALSE),Envs,0))*GETPIVOTDATA(CELL("contents",$CN43),$BD$2,"Env Label",CT$3)</f>
        <v>0</v>
      </c>
      <c r="CU43" s="368">
        <f ca="1">INDEX(Maint_Pricing_Schedule,MATCH(TRIM($CN43),Products,0),MATCH(VLOOKUP(CU$3,tEnv[],3,FALSE),Envs,0))*GETPIVOTDATA(CELL("contents",$CN43),$BD$2,"Env Label",CU$3)</f>
        <v>0</v>
      </c>
      <c r="CV43" s="368">
        <f ca="1">INDEX(Maint_Pricing_Schedule,MATCH(TRIM($CN43),Products,0),MATCH(VLOOKUP(CV$3,tEnv[],3,FALSE),Envs,0))*GETPIVOTDATA(CELL("contents",$CN43),$BD$2,"Env Label",CV$3)</f>
        <v>0</v>
      </c>
      <c r="CW43" s="368">
        <f ca="1">INDEX(Maint_Pricing_Schedule,MATCH(TRIM($CN43),Products,0),MATCH(VLOOKUP(CW$3,tEnv[],3,FALSE),Envs,0))*GETPIVOTDATA(CELL("contents",$CN43),$BD$2,"Env Label",CW$3)</f>
        <v>0</v>
      </c>
      <c r="CX43" s="368">
        <f ca="1">INDEX(Maint_Pricing_Schedule,MATCH(TRIM($CN43),Products,0),MATCH(VLOOKUP(CX$3,tEnv[],3,FALSE),Envs,0))*GETPIVOTDATA(CELL("contents",$CN43),$BD$2,"Env Label",CX$3)</f>
        <v>0</v>
      </c>
      <c r="CY43" s="368">
        <f ca="1">INDEX(Maint_Pricing_Schedule,MATCH(TRIM($CN43),Products,0),MATCH(VLOOKUP(CY$3,tEnv[],3,FALSE),Envs,0))*GETPIVOTDATA(CELL("contents",$CN43),$BD$2,"Env Label",CY$3)</f>
        <v>0</v>
      </c>
      <c r="CZ43" s="368">
        <f ca="1">INDEX(Maint_Pricing_Schedule,MATCH(TRIM($CN43),Products,0),MATCH(VLOOKUP(CZ$3,tEnv[],3,FALSE),Envs,0))*GETPIVOTDATA(CELL("contents",$CN43),$BD$2,"Env Label",CZ$3)</f>
        <v>0</v>
      </c>
      <c r="DA43" s="368">
        <f ca="1">INDEX(Maint_Pricing_Schedule,MATCH(TRIM($CN43),Products,0),MATCH(VLOOKUP(DA$3,tEnv[],3,FALSE),Envs,0))*GETPIVOTDATA(CELL("contents",$CN43),$BD$2,"Env Label",DA$3)</f>
        <v>0</v>
      </c>
      <c r="DB43" s="368">
        <f ca="1">INDEX(Maint_Pricing_Schedule,MATCH(TRIM($CN43),Products,0),MATCH(VLOOKUP(DB$3,tEnv[],3,FALSE),Envs,0))*GETPIVOTDATA(CELL("contents",$CN43),$BD$2,"Env Label",DB$3)</f>
        <v>0</v>
      </c>
      <c r="DC43" s="368">
        <f ca="1">INDEX(Maint_Pricing_Schedule,MATCH(TRIM($CN43),Products,0),MATCH(VLOOKUP(DC$3,tEnv[],3,FALSE),Envs,0))*GETPIVOTDATA(CELL("contents",$CN43),$BD$2,"Env Label",DC$3)</f>
        <v>0</v>
      </c>
      <c r="DD43" s="369">
        <f ca="1">SUM(AnnualSWMaintCostByProdByEnv[[#This Row],[PROD]:[DEV]])</f>
        <v>0</v>
      </c>
    </row>
    <row r="44" spans="23:108">
      <c r="W44"/>
      <c r="X44"/>
      <c r="Y44" s="143"/>
      <c r="Z44" s="143"/>
      <c r="BD44" s="281" t="s">
        <v>2292</v>
      </c>
      <c r="BE44" s="272">
        <v>0</v>
      </c>
      <c r="BF44" s="272">
        <v>0</v>
      </c>
      <c r="BG44" s="272">
        <v>0</v>
      </c>
      <c r="BH44" s="272">
        <v>0</v>
      </c>
      <c r="BI44" s="272">
        <v>0</v>
      </c>
      <c r="BJ44" s="272">
        <v>0</v>
      </c>
      <c r="BK44" s="272">
        <v>0</v>
      </c>
      <c r="BL44" s="272">
        <v>0</v>
      </c>
      <c r="BM44" s="272">
        <v>0</v>
      </c>
      <c r="BN44" s="272">
        <v>0</v>
      </c>
      <c r="BO44" s="272">
        <v>0</v>
      </c>
      <c r="BP44" s="272">
        <v>0</v>
      </c>
      <c r="BQ44" s="272">
        <v>0</v>
      </c>
      <c r="BR44" s="272">
        <v>0</v>
      </c>
      <c r="BS44" s="272">
        <v>0</v>
      </c>
      <c r="BT44" s="272">
        <v>0</v>
      </c>
      <c r="BV44" s="262" t="str">
        <f t="shared" si="0"/>
        <v xml:space="preserve">Oracle WebLogic x86 </v>
      </c>
      <c r="BW44" s="262">
        <f t="shared" si="0"/>
        <v>0</v>
      </c>
      <c r="BX44" s="262">
        <f t="shared" si="0"/>
        <v>0</v>
      </c>
      <c r="BY44" s="427">
        <f ca="1">INDEX(Product_Pricing_Schedule,MATCH(TRIM($BV44),Products,0),MATCH(VLOOKUP(BY$3,tEnv[],3,FALSE),Envs,0))*GETPIVOTDATA(CELL("contents",$BV44),$BD$2,"Env Label",BY$3)</f>
        <v>0</v>
      </c>
      <c r="BZ44" s="427">
        <f ca="1">INDEX(Product_Pricing_Schedule,MATCH(TRIM($BV44),Products,0),MATCH(VLOOKUP(BZ$3,tEnv[],3,FALSE),Envs,0))*GETPIVOTDATA(CELL("contents",$BV44),$BD$2,"Env Label",BZ$3)</f>
        <v>0</v>
      </c>
      <c r="CA44" s="427">
        <f ca="1">INDEX(Product_Pricing_Schedule,MATCH(TRIM($BV44),Products,0),MATCH(VLOOKUP(CA$3,tEnv[],3,FALSE),Envs,0))*GETPIVOTDATA(CELL("contents",$BV44),$BD$2,"Env Label",CA$3)</f>
        <v>0</v>
      </c>
      <c r="CB44" s="427">
        <f ca="1">INDEX(Product_Pricing_Schedule,MATCH(TRIM($BV44),Products,0),MATCH(VLOOKUP(CB$3,tEnv[],3,FALSE),Envs,0))*GETPIVOTDATA(CELL("contents",$BV44),$BD$2,"Env Label",CB$3)</f>
        <v>0</v>
      </c>
      <c r="CC44" s="427">
        <f ca="1">INDEX(Product_Pricing_Schedule,MATCH(TRIM($BV44),Products,0),MATCH(VLOOKUP(CC$3,tEnv[],3,FALSE),Envs,0))*GETPIVOTDATA(CELL("contents",$BV44),$BD$2,"Env Label",CC$3)</f>
        <v>0</v>
      </c>
      <c r="CD44" s="427">
        <f ca="1">INDEX(Product_Pricing_Schedule,MATCH(TRIM($BV44),Products,0),MATCH(VLOOKUP(CD$3,tEnv[],3,FALSE),Envs,0))*GETPIVOTDATA(CELL("contents",$BV44),$BD$2,"Env Label",CD$3)</f>
        <v>0</v>
      </c>
      <c r="CE44" s="427">
        <f ca="1">INDEX(Product_Pricing_Schedule,MATCH(TRIM($BV44),Products,0),MATCH(VLOOKUP(CE$3,tEnv[],3,FALSE),Envs,0))*GETPIVOTDATA(CELL("contents",$BV44),$BD$2,"Env Label",CE$3)</f>
        <v>0</v>
      </c>
      <c r="CF44" s="427">
        <f ca="1">INDEX(Product_Pricing_Schedule,MATCH(TRIM($BV44),Products,0),MATCH(VLOOKUP(CF$3,tEnv[],3,FALSE),Envs,0))*GETPIVOTDATA(CELL("contents",$BV44),$BD$2,"Env Label",CF$3)</f>
        <v>0</v>
      </c>
      <c r="CG44" s="427">
        <f ca="1">INDEX(Product_Pricing_Schedule,MATCH(TRIM($BV44),Products,0),MATCH(VLOOKUP(CG$3,tEnv[],3,FALSE),Envs,0))*GETPIVOTDATA(CELL("contents",$BV44),$BD$2,"Env Label",CG$3)</f>
        <v>0</v>
      </c>
      <c r="CH44" s="427">
        <f ca="1">INDEX(Product_Pricing_Schedule,MATCH(TRIM($BV44),Products,0),MATCH(VLOOKUP(CH$3,tEnv[],3,FALSE),Envs,0))*GETPIVOTDATA(CELL("contents",$BV44),$BD$2,"Env Label",CH$3)</f>
        <v>0</v>
      </c>
      <c r="CI44" s="427">
        <f ca="1">INDEX(Product_Pricing_Schedule,MATCH(TRIM($BV44),Products,0),MATCH(VLOOKUP(CI$3,tEnv[],3,FALSE),Envs,0))*GETPIVOTDATA(CELL("contents",$BV44),$BD$2,"Env Label",CI$3)</f>
        <v>0</v>
      </c>
      <c r="CJ44" s="427">
        <f ca="1">INDEX(Product_Pricing_Schedule,MATCH(TRIM($BV44),Products,0),MATCH(VLOOKUP(CJ$3,tEnv[],3,FALSE),Envs,0))*GETPIVOTDATA(CELL("contents",$BV44),$BD$2,"Env Label",CJ$3)</f>
        <v>0</v>
      </c>
      <c r="CK44" s="427">
        <f ca="1">INDEX(Product_Pricing_Schedule,MATCH(TRIM($BV44),Products,0),MATCH(VLOOKUP(CK$3,tEnv[],3,FALSE),Envs,0))*GETPIVOTDATA(CELL("contents",$BV44),$BD$2,"Env Label",CK$3)</f>
        <v>0</v>
      </c>
      <c r="CL44" s="428">
        <f ca="1">SUM(AnnualSWCostByProdByEnv[[#This Row],[PROD]:[DEV]])</f>
        <v>0</v>
      </c>
      <c r="CN44" s="262" t="str">
        <f t="shared" si="4"/>
        <v xml:space="preserve">Oracle WebLogic x86 </v>
      </c>
      <c r="CO44" s="262">
        <f t="shared" ca="1" si="3"/>
        <v>0</v>
      </c>
      <c r="CP44" s="262">
        <f t="shared" ca="1" si="3"/>
        <v>0</v>
      </c>
      <c r="CQ44" s="368">
        <f ca="1">INDEX(Maint_Pricing_Schedule,MATCH(TRIM($CN44),Products,0),MATCH(VLOOKUP(CQ$3,tEnv[],3,FALSE),Envs,0))*GETPIVOTDATA(CELL("contents",$CN44),$BD$2,"Env Label",CQ$3)</f>
        <v>0</v>
      </c>
      <c r="CR44" s="368">
        <f ca="1">INDEX(Maint_Pricing_Schedule,MATCH(TRIM($CN44),Products,0),MATCH(VLOOKUP(CR$3,tEnv[],3,FALSE),Envs,0))*GETPIVOTDATA(CELL("contents",$CN44),$BD$2,"Env Label",CR$3)</f>
        <v>0</v>
      </c>
      <c r="CS44" s="368">
        <f ca="1">INDEX(Maint_Pricing_Schedule,MATCH(TRIM($CN44),Products,0),MATCH(VLOOKUP(CS$3,tEnv[],3,FALSE),Envs,0))*GETPIVOTDATA(CELL("contents",$CN44),$BD$2,"Env Label",CS$3)</f>
        <v>0</v>
      </c>
      <c r="CT44" s="368">
        <f ca="1">INDEX(Maint_Pricing_Schedule,MATCH(TRIM($CN44),Products,0),MATCH(VLOOKUP(CT$3,tEnv[],3,FALSE),Envs,0))*GETPIVOTDATA(CELL("contents",$CN44),$BD$2,"Env Label",CT$3)</f>
        <v>0</v>
      </c>
      <c r="CU44" s="368">
        <f ca="1">INDEX(Maint_Pricing_Schedule,MATCH(TRIM($CN44),Products,0),MATCH(VLOOKUP(CU$3,tEnv[],3,FALSE),Envs,0))*GETPIVOTDATA(CELL("contents",$CN44),$BD$2,"Env Label",CU$3)</f>
        <v>0</v>
      </c>
      <c r="CV44" s="368">
        <f ca="1">INDEX(Maint_Pricing_Schedule,MATCH(TRIM($CN44),Products,0),MATCH(VLOOKUP(CV$3,tEnv[],3,FALSE),Envs,0))*GETPIVOTDATA(CELL("contents",$CN44),$BD$2,"Env Label",CV$3)</f>
        <v>0</v>
      </c>
      <c r="CW44" s="368">
        <f ca="1">INDEX(Maint_Pricing_Schedule,MATCH(TRIM($CN44),Products,0),MATCH(VLOOKUP(CW$3,tEnv[],3,FALSE),Envs,0))*GETPIVOTDATA(CELL("contents",$CN44),$BD$2,"Env Label",CW$3)</f>
        <v>0</v>
      </c>
      <c r="CX44" s="368">
        <f ca="1">INDEX(Maint_Pricing_Schedule,MATCH(TRIM($CN44),Products,0),MATCH(VLOOKUP(CX$3,tEnv[],3,FALSE),Envs,0))*GETPIVOTDATA(CELL("contents",$CN44),$BD$2,"Env Label",CX$3)</f>
        <v>0</v>
      </c>
      <c r="CY44" s="368">
        <f ca="1">INDEX(Maint_Pricing_Schedule,MATCH(TRIM($CN44),Products,0),MATCH(VLOOKUP(CY$3,tEnv[],3,FALSE),Envs,0))*GETPIVOTDATA(CELL("contents",$CN44),$BD$2,"Env Label",CY$3)</f>
        <v>0</v>
      </c>
      <c r="CZ44" s="368">
        <f ca="1">INDEX(Maint_Pricing_Schedule,MATCH(TRIM($CN44),Products,0),MATCH(VLOOKUP(CZ$3,tEnv[],3,FALSE),Envs,0))*GETPIVOTDATA(CELL("contents",$CN44),$BD$2,"Env Label",CZ$3)</f>
        <v>0</v>
      </c>
      <c r="DA44" s="368">
        <f ca="1">INDEX(Maint_Pricing_Schedule,MATCH(TRIM($CN44),Products,0),MATCH(VLOOKUP(DA$3,tEnv[],3,FALSE),Envs,0))*GETPIVOTDATA(CELL("contents",$CN44),$BD$2,"Env Label",DA$3)</f>
        <v>0</v>
      </c>
      <c r="DB44" s="368">
        <f ca="1">INDEX(Maint_Pricing_Schedule,MATCH(TRIM($CN44),Products,0),MATCH(VLOOKUP(DB$3,tEnv[],3,FALSE),Envs,0))*GETPIVOTDATA(CELL("contents",$CN44),$BD$2,"Env Label",DB$3)</f>
        <v>0</v>
      </c>
      <c r="DC44" s="368">
        <f ca="1">INDEX(Maint_Pricing_Schedule,MATCH(TRIM($CN44),Products,0),MATCH(VLOOKUP(DC$3,tEnv[],3,FALSE),Envs,0))*GETPIVOTDATA(CELL("contents",$CN44),$BD$2,"Env Label",DC$3)</f>
        <v>0</v>
      </c>
      <c r="DD44" s="369">
        <f ca="1">SUM(AnnualSWMaintCostByProdByEnv[[#This Row],[PROD]:[DEV]])</f>
        <v>0</v>
      </c>
    </row>
    <row r="45" spans="23:108">
      <c r="W45"/>
      <c r="X45"/>
      <c r="Y45" s="143"/>
      <c r="Z45" s="143"/>
      <c r="BD45" s="281" t="s">
        <v>2293</v>
      </c>
      <c r="BE45" s="272">
        <v>0</v>
      </c>
      <c r="BF45" s="272">
        <v>0</v>
      </c>
      <c r="BG45" s="272">
        <v>0</v>
      </c>
      <c r="BH45" s="272">
        <v>0</v>
      </c>
      <c r="BI45" s="272">
        <v>0</v>
      </c>
      <c r="BJ45" s="272">
        <v>0</v>
      </c>
      <c r="BK45" s="272">
        <v>0</v>
      </c>
      <c r="BL45" s="272">
        <v>0</v>
      </c>
      <c r="BM45" s="272">
        <v>0</v>
      </c>
      <c r="BN45" s="272">
        <v>0</v>
      </c>
      <c r="BO45" s="272">
        <v>0</v>
      </c>
      <c r="BP45" s="272">
        <v>0</v>
      </c>
      <c r="BQ45" s="272">
        <v>0</v>
      </c>
      <c r="BR45" s="272">
        <v>0</v>
      </c>
      <c r="BS45" s="272">
        <v>0</v>
      </c>
      <c r="BT45" s="272">
        <v>0</v>
      </c>
      <c r="BV45" s="262" t="str">
        <f t="shared" si="0"/>
        <v xml:space="preserve">Oracle WebLogic pSeries </v>
      </c>
      <c r="BW45" s="262">
        <f t="shared" si="0"/>
        <v>0</v>
      </c>
      <c r="BX45" s="262">
        <f t="shared" si="0"/>
        <v>0</v>
      </c>
      <c r="BY45" s="427">
        <f ca="1">INDEX(Product_Pricing_Schedule,MATCH(TRIM($BV45),Products,0),MATCH(VLOOKUP(BY$3,tEnv[],3,FALSE),Envs,0))*GETPIVOTDATA(CELL("contents",$BV45),$BD$2,"Env Label",BY$3)</f>
        <v>0</v>
      </c>
      <c r="BZ45" s="427">
        <f ca="1">INDEX(Product_Pricing_Schedule,MATCH(TRIM($BV45),Products,0),MATCH(VLOOKUP(BZ$3,tEnv[],3,FALSE),Envs,0))*GETPIVOTDATA(CELL("contents",$BV45),$BD$2,"Env Label",BZ$3)</f>
        <v>0</v>
      </c>
      <c r="CA45" s="427">
        <f ca="1">INDEX(Product_Pricing_Schedule,MATCH(TRIM($BV45),Products,0),MATCH(VLOOKUP(CA$3,tEnv[],3,FALSE),Envs,0))*GETPIVOTDATA(CELL("contents",$BV45),$BD$2,"Env Label",CA$3)</f>
        <v>0</v>
      </c>
      <c r="CB45" s="427">
        <f ca="1">INDEX(Product_Pricing_Schedule,MATCH(TRIM($BV45),Products,0),MATCH(VLOOKUP(CB$3,tEnv[],3,FALSE),Envs,0))*GETPIVOTDATA(CELL("contents",$BV45),$BD$2,"Env Label",CB$3)</f>
        <v>0</v>
      </c>
      <c r="CC45" s="427">
        <f ca="1">INDEX(Product_Pricing_Schedule,MATCH(TRIM($BV45),Products,0),MATCH(VLOOKUP(CC$3,tEnv[],3,FALSE),Envs,0))*GETPIVOTDATA(CELL("contents",$BV45),$BD$2,"Env Label",CC$3)</f>
        <v>0</v>
      </c>
      <c r="CD45" s="427">
        <f ca="1">INDEX(Product_Pricing_Schedule,MATCH(TRIM($BV45),Products,0),MATCH(VLOOKUP(CD$3,tEnv[],3,FALSE),Envs,0))*GETPIVOTDATA(CELL("contents",$BV45),$BD$2,"Env Label",CD$3)</f>
        <v>0</v>
      </c>
      <c r="CE45" s="427">
        <f ca="1">INDEX(Product_Pricing_Schedule,MATCH(TRIM($BV45),Products,0),MATCH(VLOOKUP(CE$3,tEnv[],3,FALSE),Envs,0))*GETPIVOTDATA(CELL("contents",$BV45),$BD$2,"Env Label",CE$3)</f>
        <v>0</v>
      </c>
      <c r="CF45" s="427">
        <f ca="1">INDEX(Product_Pricing_Schedule,MATCH(TRIM($BV45),Products,0),MATCH(VLOOKUP(CF$3,tEnv[],3,FALSE),Envs,0))*GETPIVOTDATA(CELL("contents",$BV45),$BD$2,"Env Label",CF$3)</f>
        <v>0</v>
      </c>
      <c r="CG45" s="427">
        <f ca="1">INDEX(Product_Pricing_Schedule,MATCH(TRIM($BV45),Products,0),MATCH(VLOOKUP(CG$3,tEnv[],3,FALSE),Envs,0))*GETPIVOTDATA(CELL("contents",$BV45),$BD$2,"Env Label",CG$3)</f>
        <v>0</v>
      </c>
      <c r="CH45" s="427">
        <f ca="1">INDEX(Product_Pricing_Schedule,MATCH(TRIM($BV45),Products,0),MATCH(VLOOKUP(CH$3,tEnv[],3,FALSE),Envs,0))*GETPIVOTDATA(CELL("contents",$BV45),$BD$2,"Env Label",CH$3)</f>
        <v>0</v>
      </c>
      <c r="CI45" s="427">
        <f ca="1">INDEX(Product_Pricing_Schedule,MATCH(TRIM($BV45),Products,0),MATCH(VLOOKUP(CI$3,tEnv[],3,FALSE),Envs,0))*GETPIVOTDATA(CELL("contents",$BV45),$BD$2,"Env Label",CI$3)</f>
        <v>0</v>
      </c>
      <c r="CJ45" s="427">
        <f ca="1">INDEX(Product_Pricing_Schedule,MATCH(TRIM($BV45),Products,0),MATCH(VLOOKUP(CJ$3,tEnv[],3,FALSE),Envs,0))*GETPIVOTDATA(CELL("contents",$BV45),$BD$2,"Env Label",CJ$3)</f>
        <v>0</v>
      </c>
      <c r="CK45" s="427">
        <f ca="1">INDEX(Product_Pricing_Schedule,MATCH(TRIM($BV45),Products,0),MATCH(VLOOKUP(CK$3,tEnv[],3,FALSE),Envs,0))*GETPIVOTDATA(CELL("contents",$BV45),$BD$2,"Env Label",CK$3)</f>
        <v>0</v>
      </c>
      <c r="CL45" s="428">
        <f ca="1">SUM(AnnualSWCostByProdByEnv[[#This Row],[PROD]:[DEV]])</f>
        <v>0</v>
      </c>
      <c r="CN45" s="262" t="str">
        <f t="shared" si="4"/>
        <v xml:space="preserve">Oracle WebLogic pSeries </v>
      </c>
      <c r="CO45" s="262">
        <f t="shared" ca="1" si="3"/>
        <v>0</v>
      </c>
      <c r="CP45" s="262">
        <f t="shared" ca="1" si="3"/>
        <v>0</v>
      </c>
      <c r="CQ45" s="368">
        <f ca="1">INDEX(Maint_Pricing_Schedule,MATCH(TRIM($CN45),Products,0),MATCH(VLOOKUP(CQ$3,tEnv[],3,FALSE),Envs,0))*GETPIVOTDATA(CELL("contents",$CN45),$BD$2,"Env Label",CQ$3)</f>
        <v>0</v>
      </c>
      <c r="CR45" s="368">
        <f ca="1">INDEX(Maint_Pricing_Schedule,MATCH(TRIM($CN45),Products,0),MATCH(VLOOKUP(CR$3,tEnv[],3,FALSE),Envs,0))*GETPIVOTDATA(CELL("contents",$CN45),$BD$2,"Env Label",CR$3)</f>
        <v>0</v>
      </c>
      <c r="CS45" s="368">
        <f ca="1">INDEX(Maint_Pricing_Schedule,MATCH(TRIM($CN45),Products,0),MATCH(VLOOKUP(CS$3,tEnv[],3,FALSE),Envs,0))*GETPIVOTDATA(CELL("contents",$CN45),$BD$2,"Env Label",CS$3)</f>
        <v>0</v>
      </c>
      <c r="CT45" s="368">
        <f ca="1">INDEX(Maint_Pricing_Schedule,MATCH(TRIM($CN45),Products,0),MATCH(VLOOKUP(CT$3,tEnv[],3,FALSE),Envs,0))*GETPIVOTDATA(CELL("contents",$CN45),$BD$2,"Env Label",CT$3)</f>
        <v>0</v>
      </c>
      <c r="CU45" s="368">
        <f ca="1">INDEX(Maint_Pricing_Schedule,MATCH(TRIM($CN45),Products,0),MATCH(VLOOKUP(CU$3,tEnv[],3,FALSE),Envs,0))*GETPIVOTDATA(CELL("contents",$CN45),$BD$2,"Env Label",CU$3)</f>
        <v>0</v>
      </c>
      <c r="CV45" s="368">
        <f ca="1">INDEX(Maint_Pricing_Schedule,MATCH(TRIM($CN45),Products,0),MATCH(VLOOKUP(CV$3,tEnv[],3,FALSE),Envs,0))*GETPIVOTDATA(CELL("contents",$CN45),$BD$2,"Env Label",CV$3)</f>
        <v>0</v>
      </c>
      <c r="CW45" s="368">
        <f ca="1">INDEX(Maint_Pricing_Schedule,MATCH(TRIM($CN45),Products,0),MATCH(VLOOKUP(CW$3,tEnv[],3,FALSE),Envs,0))*GETPIVOTDATA(CELL("contents",$CN45),$BD$2,"Env Label",CW$3)</f>
        <v>0</v>
      </c>
      <c r="CX45" s="368">
        <f ca="1">INDEX(Maint_Pricing_Schedule,MATCH(TRIM($CN45),Products,0),MATCH(VLOOKUP(CX$3,tEnv[],3,FALSE),Envs,0))*GETPIVOTDATA(CELL("contents",$CN45),$BD$2,"Env Label",CX$3)</f>
        <v>0</v>
      </c>
      <c r="CY45" s="368">
        <f ca="1">INDEX(Maint_Pricing_Schedule,MATCH(TRIM($CN45),Products,0),MATCH(VLOOKUP(CY$3,tEnv[],3,FALSE),Envs,0))*GETPIVOTDATA(CELL("contents",$CN45),$BD$2,"Env Label",CY$3)</f>
        <v>0</v>
      </c>
      <c r="CZ45" s="368">
        <f ca="1">INDEX(Maint_Pricing_Schedule,MATCH(TRIM($CN45),Products,0),MATCH(VLOOKUP(CZ$3,tEnv[],3,FALSE),Envs,0))*GETPIVOTDATA(CELL("contents",$CN45),$BD$2,"Env Label",CZ$3)</f>
        <v>0</v>
      </c>
      <c r="DA45" s="368">
        <f ca="1">INDEX(Maint_Pricing_Schedule,MATCH(TRIM($CN45),Products,0),MATCH(VLOOKUP(DA$3,tEnv[],3,FALSE),Envs,0))*GETPIVOTDATA(CELL("contents",$CN45),$BD$2,"Env Label",DA$3)</f>
        <v>0</v>
      </c>
      <c r="DB45" s="368">
        <f ca="1">INDEX(Maint_Pricing_Schedule,MATCH(TRIM($CN45),Products,0),MATCH(VLOOKUP(DB$3,tEnv[],3,FALSE),Envs,0))*GETPIVOTDATA(CELL("contents",$CN45),$BD$2,"Env Label",DB$3)</f>
        <v>0</v>
      </c>
      <c r="DC45" s="368">
        <f ca="1">INDEX(Maint_Pricing_Schedule,MATCH(TRIM($CN45),Products,0),MATCH(VLOOKUP(DC$3,tEnv[],3,FALSE),Envs,0))*GETPIVOTDATA(CELL("contents",$CN45),$BD$2,"Env Label",DC$3)</f>
        <v>0</v>
      </c>
      <c r="DD45" s="369">
        <f ca="1">SUM(AnnualSWMaintCostByProdByEnv[[#This Row],[PROD]:[DEV]])</f>
        <v>0</v>
      </c>
    </row>
    <row r="46" spans="23:108">
      <c r="W46"/>
      <c r="X46"/>
      <c r="Y46" s="143"/>
      <c r="Z46" s="143"/>
      <c r="BD46" s="281" t="s">
        <v>193</v>
      </c>
      <c r="BE46" s="272">
        <v>0</v>
      </c>
      <c r="BF46" s="272">
        <v>0</v>
      </c>
      <c r="BG46" s="272">
        <v>0</v>
      </c>
      <c r="BH46" s="272">
        <v>0</v>
      </c>
      <c r="BI46" s="272">
        <v>0</v>
      </c>
      <c r="BJ46" s="272">
        <v>0</v>
      </c>
      <c r="BK46" s="272">
        <v>0</v>
      </c>
      <c r="BL46" s="272">
        <v>0</v>
      </c>
      <c r="BM46" s="272">
        <v>0</v>
      </c>
      <c r="BN46" s="272">
        <v>0</v>
      </c>
      <c r="BO46" s="272">
        <v>0</v>
      </c>
      <c r="BP46" s="272">
        <v>0</v>
      </c>
      <c r="BQ46" s="272">
        <v>0</v>
      </c>
      <c r="BR46" s="272">
        <v>0</v>
      </c>
      <c r="BS46" s="272">
        <v>0</v>
      </c>
      <c r="BT46" s="272">
        <v>0</v>
      </c>
      <c r="BV46" s="262" t="str">
        <f t="shared" si="0"/>
        <v xml:space="preserve">PB Spectrum </v>
      </c>
      <c r="BW46" s="262">
        <f t="shared" si="0"/>
        <v>0</v>
      </c>
      <c r="BX46" s="262">
        <f t="shared" si="0"/>
        <v>0</v>
      </c>
      <c r="BY46" s="427">
        <f ca="1">INDEX(Product_Pricing_Schedule,MATCH(TRIM($BV46),Products,0),MATCH(VLOOKUP(BY$3,tEnv[],3,FALSE),Envs,0))*GETPIVOTDATA(CELL("contents",$BV46),$BD$2,"Env Label",BY$3)</f>
        <v>0</v>
      </c>
      <c r="BZ46" s="427">
        <f ca="1">INDEX(Product_Pricing_Schedule,MATCH(TRIM($BV46),Products,0),MATCH(VLOOKUP(BZ$3,tEnv[],3,FALSE),Envs,0))*GETPIVOTDATA(CELL("contents",$BV46),$BD$2,"Env Label",BZ$3)</f>
        <v>0</v>
      </c>
      <c r="CA46" s="427">
        <f ca="1">INDEX(Product_Pricing_Schedule,MATCH(TRIM($BV46),Products,0),MATCH(VLOOKUP(CA$3,tEnv[],3,FALSE),Envs,0))*GETPIVOTDATA(CELL("contents",$BV46),$BD$2,"Env Label",CA$3)</f>
        <v>0</v>
      </c>
      <c r="CB46" s="427">
        <f ca="1">INDEX(Product_Pricing_Schedule,MATCH(TRIM($BV46),Products,0),MATCH(VLOOKUP(CB$3,tEnv[],3,FALSE),Envs,0))*GETPIVOTDATA(CELL("contents",$BV46),$BD$2,"Env Label",CB$3)</f>
        <v>0</v>
      </c>
      <c r="CC46" s="427">
        <f ca="1">INDEX(Product_Pricing_Schedule,MATCH(TRIM($BV46),Products,0),MATCH(VLOOKUP(CC$3,tEnv[],3,FALSE),Envs,0))*GETPIVOTDATA(CELL("contents",$BV46),$BD$2,"Env Label",CC$3)</f>
        <v>0</v>
      </c>
      <c r="CD46" s="427">
        <f ca="1">INDEX(Product_Pricing_Schedule,MATCH(TRIM($BV46),Products,0),MATCH(VLOOKUP(CD$3,tEnv[],3,FALSE),Envs,0))*GETPIVOTDATA(CELL("contents",$BV46),$BD$2,"Env Label",CD$3)</f>
        <v>0</v>
      </c>
      <c r="CE46" s="427">
        <f ca="1">INDEX(Product_Pricing_Schedule,MATCH(TRIM($BV46),Products,0),MATCH(VLOOKUP(CE$3,tEnv[],3,FALSE),Envs,0))*GETPIVOTDATA(CELL("contents",$BV46),$BD$2,"Env Label",CE$3)</f>
        <v>0</v>
      </c>
      <c r="CF46" s="427">
        <f ca="1">INDEX(Product_Pricing_Schedule,MATCH(TRIM($BV46),Products,0),MATCH(VLOOKUP(CF$3,tEnv[],3,FALSE),Envs,0))*GETPIVOTDATA(CELL("contents",$BV46),$BD$2,"Env Label",CF$3)</f>
        <v>0</v>
      </c>
      <c r="CG46" s="427">
        <f ca="1">INDEX(Product_Pricing_Schedule,MATCH(TRIM($BV46),Products,0),MATCH(VLOOKUP(CG$3,tEnv[],3,FALSE),Envs,0))*GETPIVOTDATA(CELL("contents",$BV46),$BD$2,"Env Label",CG$3)</f>
        <v>0</v>
      </c>
      <c r="CH46" s="427">
        <f ca="1">INDEX(Product_Pricing_Schedule,MATCH(TRIM($BV46),Products,0),MATCH(VLOOKUP(CH$3,tEnv[],3,FALSE),Envs,0))*GETPIVOTDATA(CELL("contents",$BV46),$BD$2,"Env Label",CH$3)</f>
        <v>0</v>
      </c>
      <c r="CI46" s="427">
        <f ca="1">INDEX(Product_Pricing_Schedule,MATCH(TRIM($BV46),Products,0),MATCH(VLOOKUP(CI$3,tEnv[],3,FALSE),Envs,0))*GETPIVOTDATA(CELL("contents",$BV46),$BD$2,"Env Label",CI$3)</f>
        <v>0</v>
      </c>
      <c r="CJ46" s="427">
        <f ca="1">INDEX(Product_Pricing_Schedule,MATCH(TRIM($BV46),Products,0),MATCH(VLOOKUP(CJ$3,tEnv[],3,FALSE),Envs,0))*GETPIVOTDATA(CELL("contents",$BV46),$BD$2,"Env Label",CJ$3)</f>
        <v>0</v>
      </c>
      <c r="CK46" s="427">
        <f ca="1">INDEX(Product_Pricing_Schedule,MATCH(TRIM($BV46),Products,0),MATCH(VLOOKUP(CK$3,tEnv[],3,FALSE),Envs,0))*GETPIVOTDATA(CELL("contents",$BV46),$BD$2,"Env Label",CK$3)</f>
        <v>0</v>
      </c>
      <c r="CL46" s="428">
        <f ca="1">SUM(AnnualSWCostByProdByEnv[[#This Row],[PROD]:[DEV]])</f>
        <v>0</v>
      </c>
      <c r="CN46" s="262" t="str">
        <f t="shared" si="4"/>
        <v xml:space="preserve">PB Spectrum </v>
      </c>
      <c r="CO46" s="262">
        <f t="shared" ca="1" si="3"/>
        <v>0</v>
      </c>
      <c r="CP46" s="262">
        <f t="shared" ca="1" si="3"/>
        <v>0</v>
      </c>
      <c r="CQ46" s="368">
        <f ca="1">INDEX(Maint_Pricing_Schedule,MATCH(TRIM($CN46),Products,0),MATCH(VLOOKUP(CQ$3,tEnv[],3,FALSE),Envs,0))*GETPIVOTDATA(CELL("contents",$CN46),$BD$2,"Env Label",CQ$3)</f>
        <v>0</v>
      </c>
      <c r="CR46" s="368">
        <f ca="1">INDEX(Maint_Pricing_Schedule,MATCH(TRIM($CN46),Products,0),MATCH(VLOOKUP(CR$3,tEnv[],3,FALSE),Envs,0))*GETPIVOTDATA(CELL("contents",$CN46),$BD$2,"Env Label",CR$3)</f>
        <v>0</v>
      </c>
      <c r="CS46" s="368">
        <f ca="1">INDEX(Maint_Pricing_Schedule,MATCH(TRIM($CN46),Products,0),MATCH(VLOOKUP(CS$3,tEnv[],3,FALSE),Envs,0))*GETPIVOTDATA(CELL("contents",$CN46),$BD$2,"Env Label",CS$3)</f>
        <v>0</v>
      </c>
      <c r="CT46" s="368">
        <f ca="1">INDEX(Maint_Pricing_Schedule,MATCH(TRIM($CN46),Products,0),MATCH(VLOOKUP(CT$3,tEnv[],3,FALSE),Envs,0))*GETPIVOTDATA(CELL("contents",$CN46),$BD$2,"Env Label",CT$3)</f>
        <v>0</v>
      </c>
      <c r="CU46" s="368">
        <f ca="1">INDEX(Maint_Pricing_Schedule,MATCH(TRIM($CN46),Products,0),MATCH(VLOOKUP(CU$3,tEnv[],3,FALSE),Envs,0))*GETPIVOTDATA(CELL("contents",$CN46),$BD$2,"Env Label",CU$3)</f>
        <v>0</v>
      </c>
      <c r="CV46" s="368">
        <f ca="1">INDEX(Maint_Pricing_Schedule,MATCH(TRIM($CN46),Products,0),MATCH(VLOOKUP(CV$3,tEnv[],3,FALSE),Envs,0))*GETPIVOTDATA(CELL("contents",$CN46),$BD$2,"Env Label",CV$3)</f>
        <v>0</v>
      </c>
      <c r="CW46" s="368">
        <f ca="1">INDEX(Maint_Pricing_Schedule,MATCH(TRIM($CN46),Products,0),MATCH(VLOOKUP(CW$3,tEnv[],3,FALSE),Envs,0))*GETPIVOTDATA(CELL("contents",$CN46),$BD$2,"Env Label",CW$3)</f>
        <v>0</v>
      </c>
      <c r="CX46" s="368">
        <f ca="1">INDEX(Maint_Pricing_Schedule,MATCH(TRIM($CN46),Products,0),MATCH(VLOOKUP(CX$3,tEnv[],3,FALSE),Envs,0))*GETPIVOTDATA(CELL("contents",$CN46),$BD$2,"Env Label",CX$3)</f>
        <v>0</v>
      </c>
      <c r="CY46" s="368">
        <f ca="1">INDEX(Maint_Pricing_Schedule,MATCH(TRIM($CN46),Products,0),MATCH(VLOOKUP(CY$3,tEnv[],3,FALSE),Envs,0))*GETPIVOTDATA(CELL("contents",$CN46),$BD$2,"Env Label",CY$3)</f>
        <v>0</v>
      </c>
      <c r="CZ46" s="368">
        <f ca="1">INDEX(Maint_Pricing_Schedule,MATCH(TRIM($CN46),Products,0),MATCH(VLOOKUP(CZ$3,tEnv[],3,FALSE),Envs,0))*GETPIVOTDATA(CELL("contents",$CN46),$BD$2,"Env Label",CZ$3)</f>
        <v>0</v>
      </c>
      <c r="DA46" s="368">
        <f ca="1">INDEX(Maint_Pricing_Schedule,MATCH(TRIM($CN46),Products,0),MATCH(VLOOKUP(DA$3,tEnv[],3,FALSE),Envs,0))*GETPIVOTDATA(CELL("contents",$CN46),$BD$2,"Env Label",DA$3)</f>
        <v>0</v>
      </c>
      <c r="DB46" s="368">
        <f ca="1">INDEX(Maint_Pricing_Schedule,MATCH(TRIM($CN46),Products,0),MATCH(VLOOKUP(DB$3,tEnv[],3,FALSE),Envs,0))*GETPIVOTDATA(CELL("contents",$CN46),$BD$2,"Env Label",DB$3)</f>
        <v>0</v>
      </c>
      <c r="DC46" s="368">
        <f ca="1">INDEX(Maint_Pricing_Schedule,MATCH(TRIM($CN46),Products,0),MATCH(VLOOKUP(DC$3,tEnv[],3,FALSE),Envs,0))*GETPIVOTDATA(CELL("contents",$CN46),$BD$2,"Env Label",DC$3)</f>
        <v>0</v>
      </c>
      <c r="DD46" s="369">
        <f ca="1">SUM(AnnualSWMaintCostByProdByEnv[[#This Row],[PROD]:[DEV]])</f>
        <v>0</v>
      </c>
    </row>
    <row r="47" spans="23:108">
      <c r="W47"/>
      <c r="X47"/>
      <c r="Y47" s="143"/>
      <c r="Z47" s="143"/>
      <c r="BD47" s="281" t="s">
        <v>190</v>
      </c>
      <c r="BE47" s="272">
        <v>0</v>
      </c>
      <c r="BF47" s="272">
        <v>0</v>
      </c>
      <c r="BG47" s="272">
        <v>0</v>
      </c>
      <c r="BH47" s="272">
        <v>0</v>
      </c>
      <c r="BI47" s="272">
        <v>0</v>
      </c>
      <c r="BJ47" s="272">
        <v>0</v>
      </c>
      <c r="BK47" s="272">
        <v>0</v>
      </c>
      <c r="BL47" s="272">
        <v>0</v>
      </c>
      <c r="BM47" s="272">
        <v>0</v>
      </c>
      <c r="BN47" s="272">
        <v>0</v>
      </c>
      <c r="BO47" s="272">
        <v>0</v>
      </c>
      <c r="BP47" s="272">
        <v>0</v>
      </c>
      <c r="BQ47" s="272">
        <v>0</v>
      </c>
      <c r="BR47" s="272">
        <v>0</v>
      </c>
      <c r="BS47" s="272">
        <v>0</v>
      </c>
      <c r="BT47" s="272">
        <v>0</v>
      </c>
      <c r="BV47" s="262" t="str">
        <f t="shared" si="0"/>
        <v xml:space="preserve">SAP BO </v>
      </c>
      <c r="BW47" s="262">
        <f t="shared" si="0"/>
        <v>0</v>
      </c>
      <c r="BX47" s="262">
        <f t="shared" si="0"/>
        <v>0</v>
      </c>
      <c r="BY47" s="427">
        <f ca="1">INDEX(Product_Pricing_Schedule,MATCH(TRIM($BV47),Products,0),MATCH(VLOOKUP(BY$3,tEnv[],3,FALSE),Envs,0))*GETPIVOTDATA(CELL("contents",$BV47),$BD$2,"Env Label",BY$3)</f>
        <v>0</v>
      </c>
      <c r="BZ47" s="427">
        <f ca="1">INDEX(Product_Pricing_Schedule,MATCH(TRIM($BV47),Products,0),MATCH(VLOOKUP(BZ$3,tEnv[],3,FALSE),Envs,0))*GETPIVOTDATA(CELL("contents",$BV47),$BD$2,"Env Label",BZ$3)</f>
        <v>0</v>
      </c>
      <c r="CA47" s="427">
        <f ca="1">INDEX(Product_Pricing_Schedule,MATCH(TRIM($BV47),Products,0),MATCH(VLOOKUP(CA$3,tEnv[],3,FALSE),Envs,0))*GETPIVOTDATA(CELL("contents",$BV47),$BD$2,"Env Label",CA$3)</f>
        <v>0</v>
      </c>
      <c r="CB47" s="427">
        <f ca="1">INDEX(Product_Pricing_Schedule,MATCH(TRIM($BV47),Products,0),MATCH(VLOOKUP(CB$3,tEnv[],3,FALSE),Envs,0))*GETPIVOTDATA(CELL("contents",$BV47),$BD$2,"Env Label",CB$3)</f>
        <v>0</v>
      </c>
      <c r="CC47" s="427">
        <f ca="1">INDEX(Product_Pricing_Schedule,MATCH(TRIM($BV47),Products,0),MATCH(VLOOKUP(CC$3,tEnv[],3,FALSE),Envs,0))*GETPIVOTDATA(CELL("contents",$BV47),$BD$2,"Env Label",CC$3)</f>
        <v>0</v>
      </c>
      <c r="CD47" s="427">
        <f ca="1">INDEX(Product_Pricing_Schedule,MATCH(TRIM($BV47),Products,0),MATCH(VLOOKUP(CD$3,tEnv[],3,FALSE),Envs,0))*GETPIVOTDATA(CELL("contents",$BV47),$BD$2,"Env Label",CD$3)</f>
        <v>0</v>
      </c>
      <c r="CE47" s="427">
        <f ca="1">INDEX(Product_Pricing_Schedule,MATCH(TRIM($BV47),Products,0),MATCH(VLOOKUP(CE$3,tEnv[],3,FALSE),Envs,0))*GETPIVOTDATA(CELL("contents",$BV47),$BD$2,"Env Label",CE$3)</f>
        <v>0</v>
      </c>
      <c r="CF47" s="427">
        <f ca="1">INDEX(Product_Pricing_Schedule,MATCH(TRIM($BV47),Products,0),MATCH(VLOOKUP(CF$3,tEnv[],3,FALSE),Envs,0))*GETPIVOTDATA(CELL("contents",$BV47),$BD$2,"Env Label",CF$3)</f>
        <v>0</v>
      </c>
      <c r="CG47" s="427">
        <f ca="1">INDEX(Product_Pricing_Schedule,MATCH(TRIM($BV47),Products,0),MATCH(VLOOKUP(CG$3,tEnv[],3,FALSE),Envs,0))*GETPIVOTDATA(CELL("contents",$BV47),$BD$2,"Env Label",CG$3)</f>
        <v>0</v>
      </c>
      <c r="CH47" s="427">
        <f ca="1">INDEX(Product_Pricing_Schedule,MATCH(TRIM($BV47),Products,0),MATCH(VLOOKUP(CH$3,tEnv[],3,FALSE),Envs,0))*GETPIVOTDATA(CELL("contents",$BV47),$BD$2,"Env Label",CH$3)</f>
        <v>0</v>
      </c>
      <c r="CI47" s="427">
        <f ca="1">INDEX(Product_Pricing_Schedule,MATCH(TRIM($BV47),Products,0),MATCH(VLOOKUP(CI$3,tEnv[],3,FALSE),Envs,0))*GETPIVOTDATA(CELL("contents",$BV47),$BD$2,"Env Label",CI$3)</f>
        <v>0</v>
      </c>
      <c r="CJ47" s="427">
        <f ca="1">INDEX(Product_Pricing_Schedule,MATCH(TRIM($BV47),Products,0),MATCH(VLOOKUP(CJ$3,tEnv[],3,FALSE),Envs,0))*GETPIVOTDATA(CELL("contents",$BV47),$BD$2,"Env Label",CJ$3)</f>
        <v>0</v>
      </c>
      <c r="CK47" s="427">
        <f ca="1">INDEX(Product_Pricing_Schedule,MATCH(TRIM($BV47),Products,0),MATCH(VLOOKUP(CK$3,tEnv[],3,FALSE),Envs,0))*GETPIVOTDATA(CELL("contents",$BV47),$BD$2,"Env Label",CK$3)</f>
        <v>0</v>
      </c>
      <c r="CL47" s="428">
        <f ca="1">SUM(AnnualSWCostByProdByEnv[[#This Row],[PROD]:[DEV]])</f>
        <v>0</v>
      </c>
      <c r="CN47" s="262" t="str">
        <f t="shared" si="4"/>
        <v xml:space="preserve">SAP BO </v>
      </c>
      <c r="CO47" s="262">
        <f t="shared" ca="1" si="3"/>
        <v>0</v>
      </c>
      <c r="CP47" s="262">
        <f t="shared" ca="1" si="3"/>
        <v>0</v>
      </c>
      <c r="CQ47" s="368">
        <f ca="1">INDEX(Maint_Pricing_Schedule,MATCH(TRIM($CN47),Products,0),MATCH(VLOOKUP(CQ$3,tEnv[],3,FALSE),Envs,0))*GETPIVOTDATA(CELL("contents",$CN47),$BD$2,"Env Label",CQ$3)</f>
        <v>0</v>
      </c>
      <c r="CR47" s="368">
        <f ca="1">INDEX(Maint_Pricing_Schedule,MATCH(TRIM($CN47),Products,0),MATCH(VLOOKUP(CR$3,tEnv[],3,FALSE),Envs,0))*GETPIVOTDATA(CELL("contents",$CN47),$BD$2,"Env Label",CR$3)</f>
        <v>0</v>
      </c>
      <c r="CS47" s="368">
        <f ca="1">INDEX(Maint_Pricing_Schedule,MATCH(TRIM($CN47),Products,0),MATCH(VLOOKUP(CS$3,tEnv[],3,FALSE),Envs,0))*GETPIVOTDATA(CELL("contents",$CN47),$BD$2,"Env Label",CS$3)</f>
        <v>0</v>
      </c>
      <c r="CT47" s="368">
        <f ca="1">INDEX(Maint_Pricing_Schedule,MATCH(TRIM($CN47),Products,0),MATCH(VLOOKUP(CT$3,tEnv[],3,FALSE),Envs,0))*GETPIVOTDATA(CELL("contents",$CN47),$BD$2,"Env Label",CT$3)</f>
        <v>0</v>
      </c>
      <c r="CU47" s="368">
        <f ca="1">INDEX(Maint_Pricing_Schedule,MATCH(TRIM($CN47),Products,0),MATCH(VLOOKUP(CU$3,tEnv[],3,FALSE),Envs,0))*GETPIVOTDATA(CELL("contents",$CN47),$BD$2,"Env Label",CU$3)</f>
        <v>0</v>
      </c>
      <c r="CV47" s="368">
        <f ca="1">INDEX(Maint_Pricing_Schedule,MATCH(TRIM($CN47),Products,0),MATCH(VLOOKUP(CV$3,tEnv[],3,FALSE),Envs,0))*GETPIVOTDATA(CELL("contents",$CN47),$BD$2,"Env Label",CV$3)</f>
        <v>0</v>
      </c>
      <c r="CW47" s="368">
        <f ca="1">INDEX(Maint_Pricing_Schedule,MATCH(TRIM($CN47),Products,0),MATCH(VLOOKUP(CW$3,tEnv[],3,FALSE),Envs,0))*GETPIVOTDATA(CELL("contents",$CN47),$BD$2,"Env Label",CW$3)</f>
        <v>0</v>
      </c>
      <c r="CX47" s="368">
        <f ca="1">INDEX(Maint_Pricing_Schedule,MATCH(TRIM($CN47),Products,0),MATCH(VLOOKUP(CX$3,tEnv[],3,FALSE),Envs,0))*GETPIVOTDATA(CELL("contents",$CN47),$BD$2,"Env Label",CX$3)</f>
        <v>0</v>
      </c>
      <c r="CY47" s="368">
        <f ca="1">INDEX(Maint_Pricing_Schedule,MATCH(TRIM($CN47),Products,0),MATCH(VLOOKUP(CY$3,tEnv[],3,FALSE),Envs,0))*GETPIVOTDATA(CELL("contents",$CN47),$BD$2,"Env Label",CY$3)</f>
        <v>0</v>
      </c>
      <c r="CZ47" s="368">
        <f ca="1">INDEX(Maint_Pricing_Schedule,MATCH(TRIM($CN47),Products,0),MATCH(VLOOKUP(CZ$3,tEnv[],3,FALSE),Envs,0))*GETPIVOTDATA(CELL("contents",$CN47),$BD$2,"Env Label",CZ$3)</f>
        <v>0</v>
      </c>
      <c r="DA47" s="368">
        <f ca="1">INDEX(Maint_Pricing_Schedule,MATCH(TRIM($CN47),Products,0),MATCH(VLOOKUP(DA$3,tEnv[],3,FALSE),Envs,0))*GETPIVOTDATA(CELL("contents",$CN47),$BD$2,"Env Label",DA$3)</f>
        <v>0</v>
      </c>
      <c r="DB47" s="368">
        <f ca="1">INDEX(Maint_Pricing_Schedule,MATCH(TRIM($CN47),Products,0),MATCH(VLOOKUP(DB$3,tEnv[],3,FALSE),Envs,0))*GETPIVOTDATA(CELL("contents",$CN47),$BD$2,"Env Label",DB$3)</f>
        <v>0</v>
      </c>
      <c r="DC47" s="368">
        <f ca="1">INDEX(Maint_Pricing_Schedule,MATCH(TRIM($CN47),Products,0),MATCH(VLOOKUP(DC$3,tEnv[],3,FALSE),Envs,0))*GETPIVOTDATA(CELL("contents",$CN47),$BD$2,"Env Label",DC$3)</f>
        <v>0</v>
      </c>
      <c r="DD47" s="369">
        <f ca="1">SUM(AnnualSWMaintCostByProdByEnv[[#This Row],[PROD]:[DEV]])</f>
        <v>0</v>
      </c>
    </row>
    <row r="48" spans="23:108">
      <c r="W48"/>
      <c r="X48"/>
      <c r="Y48" s="143"/>
      <c r="Z48" s="143"/>
      <c r="BD48" s="281" t="s">
        <v>184</v>
      </c>
      <c r="BE48" s="272">
        <v>0</v>
      </c>
      <c r="BF48" s="272">
        <v>0</v>
      </c>
      <c r="BG48" s="272">
        <v>0</v>
      </c>
      <c r="BH48" s="272">
        <v>0</v>
      </c>
      <c r="BI48" s="272">
        <v>0</v>
      </c>
      <c r="BJ48" s="272">
        <v>0</v>
      </c>
      <c r="BK48" s="272">
        <v>0</v>
      </c>
      <c r="BL48" s="272">
        <v>0</v>
      </c>
      <c r="BM48" s="272">
        <v>0</v>
      </c>
      <c r="BN48" s="272">
        <v>0</v>
      </c>
      <c r="BO48" s="272">
        <v>0</v>
      </c>
      <c r="BP48" s="272">
        <v>0</v>
      </c>
      <c r="BQ48" s="272">
        <v>0</v>
      </c>
      <c r="BR48" s="272">
        <v>0</v>
      </c>
      <c r="BS48" s="272">
        <v>0</v>
      </c>
      <c r="BT48" s="272">
        <v>0</v>
      </c>
      <c r="BV48" s="262" t="str">
        <f t="shared" si="0"/>
        <v xml:space="preserve">Sterling NDM </v>
      </c>
      <c r="BW48" s="262">
        <f t="shared" si="0"/>
        <v>0</v>
      </c>
      <c r="BX48" s="262">
        <f t="shared" si="0"/>
        <v>0</v>
      </c>
      <c r="BY48" s="427">
        <f ca="1">INDEX(Product_Pricing_Schedule,MATCH(TRIM($BV48),Products,0),MATCH(VLOOKUP(BY$3,tEnv[],3,FALSE),Envs,0))*GETPIVOTDATA(CELL("contents",$BV48),$BD$2,"Env Label",BY$3)</f>
        <v>0</v>
      </c>
      <c r="BZ48" s="427">
        <f ca="1">INDEX(Product_Pricing_Schedule,MATCH(TRIM($BV48),Products,0),MATCH(VLOOKUP(BZ$3,tEnv[],3,FALSE),Envs,0))*GETPIVOTDATA(CELL("contents",$BV48),$BD$2,"Env Label",BZ$3)</f>
        <v>0</v>
      </c>
      <c r="CA48" s="427">
        <f ca="1">INDEX(Product_Pricing_Schedule,MATCH(TRIM($BV48),Products,0),MATCH(VLOOKUP(CA$3,tEnv[],3,FALSE),Envs,0))*GETPIVOTDATA(CELL("contents",$BV48),$BD$2,"Env Label",CA$3)</f>
        <v>0</v>
      </c>
      <c r="CB48" s="427">
        <f ca="1">INDEX(Product_Pricing_Schedule,MATCH(TRIM($BV48),Products,0),MATCH(VLOOKUP(CB$3,tEnv[],3,FALSE),Envs,0))*GETPIVOTDATA(CELL("contents",$BV48),$BD$2,"Env Label",CB$3)</f>
        <v>0</v>
      </c>
      <c r="CC48" s="427">
        <f ca="1">INDEX(Product_Pricing_Schedule,MATCH(TRIM($BV48),Products,0),MATCH(VLOOKUP(CC$3,tEnv[],3,FALSE),Envs,0))*GETPIVOTDATA(CELL("contents",$BV48),$BD$2,"Env Label",CC$3)</f>
        <v>0</v>
      </c>
      <c r="CD48" s="427">
        <f ca="1">INDEX(Product_Pricing_Schedule,MATCH(TRIM($BV48),Products,0),MATCH(VLOOKUP(CD$3,tEnv[],3,FALSE),Envs,0))*GETPIVOTDATA(CELL("contents",$BV48),$BD$2,"Env Label",CD$3)</f>
        <v>0</v>
      </c>
      <c r="CE48" s="427">
        <f ca="1">INDEX(Product_Pricing_Schedule,MATCH(TRIM($BV48),Products,0),MATCH(VLOOKUP(CE$3,tEnv[],3,FALSE),Envs,0))*GETPIVOTDATA(CELL("contents",$BV48),$BD$2,"Env Label",CE$3)</f>
        <v>0</v>
      </c>
      <c r="CF48" s="427">
        <f ca="1">INDEX(Product_Pricing_Schedule,MATCH(TRIM($BV48),Products,0),MATCH(VLOOKUP(CF$3,tEnv[],3,FALSE),Envs,0))*GETPIVOTDATA(CELL("contents",$BV48),$BD$2,"Env Label",CF$3)</f>
        <v>0</v>
      </c>
      <c r="CG48" s="427">
        <f ca="1">INDEX(Product_Pricing_Schedule,MATCH(TRIM($BV48),Products,0),MATCH(VLOOKUP(CG$3,tEnv[],3,FALSE),Envs,0))*GETPIVOTDATA(CELL("contents",$BV48),$BD$2,"Env Label",CG$3)</f>
        <v>0</v>
      </c>
      <c r="CH48" s="427">
        <f ca="1">INDEX(Product_Pricing_Schedule,MATCH(TRIM($BV48),Products,0),MATCH(VLOOKUP(CH$3,tEnv[],3,FALSE),Envs,0))*GETPIVOTDATA(CELL("contents",$BV48),$BD$2,"Env Label",CH$3)</f>
        <v>0</v>
      </c>
      <c r="CI48" s="427">
        <f ca="1">INDEX(Product_Pricing_Schedule,MATCH(TRIM($BV48),Products,0),MATCH(VLOOKUP(CI$3,tEnv[],3,FALSE),Envs,0))*GETPIVOTDATA(CELL("contents",$BV48),$BD$2,"Env Label",CI$3)</f>
        <v>0</v>
      </c>
      <c r="CJ48" s="427">
        <f ca="1">INDEX(Product_Pricing_Schedule,MATCH(TRIM($BV48),Products,0),MATCH(VLOOKUP(CJ$3,tEnv[],3,FALSE),Envs,0))*GETPIVOTDATA(CELL("contents",$BV48),$BD$2,"Env Label",CJ$3)</f>
        <v>0</v>
      </c>
      <c r="CK48" s="427">
        <f ca="1">INDEX(Product_Pricing_Schedule,MATCH(TRIM($BV48),Products,0),MATCH(VLOOKUP(CK$3,tEnv[],3,FALSE),Envs,0))*GETPIVOTDATA(CELL("contents",$BV48),$BD$2,"Env Label",CK$3)</f>
        <v>0</v>
      </c>
      <c r="CL48" s="428">
        <f ca="1">SUM(AnnualSWCostByProdByEnv[[#This Row],[PROD]:[DEV]])</f>
        <v>0</v>
      </c>
      <c r="CN48" s="262" t="str">
        <f t="shared" si="4"/>
        <v xml:space="preserve">Sterling NDM </v>
      </c>
      <c r="CO48" s="262">
        <f t="shared" ca="1" si="3"/>
        <v>0</v>
      </c>
      <c r="CP48" s="262">
        <f t="shared" ca="1" si="3"/>
        <v>0</v>
      </c>
      <c r="CQ48" s="368">
        <f ca="1">INDEX(Maint_Pricing_Schedule,MATCH(TRIM($CN48),Products,0),MATCH(VLOOKUP(CQ$3,tEnv[],3,FALSE),Envs,0))*GETPIVOTDATA(CELL("contents",$CN48),$BD$2,"Env Label",CQ$3)</f>
        <v>0</v>
      </c>
      <c r="CR48" s="368">
        <f ca="1">INDEX(Maint_Pricing_Schedule,MATCH(TRIM($CN48),Products,0),MATCH(VLOOKUP(CR$3,tEnv[],3,FALSE),Envs,0))*GETPIVOTDATA(CELL("contents",$CN48),$BD$2,"Env Label",CR$3)</f>
        <v>0</v>
      </c>
      <c r="CS48" s="368">
        <f ca="1">INDEX(Maint_Pricing_Schedule,MATCH(TRIM($CN48),Products,0),MATCH(VLOOKUP(CS$3,tEnv[],3,FALSE),Envs,0))*GETPIVOTDATA(CELL("contents",$CN48),$BD$2,"Env Label",CS$3)</f>
        <v>0</v>
      </c>
      <c r="CT48" s="368">
        <f ca="1">INDEX(Maint_Pricing_Schedule,MATCH(TRIM($CN48),Products,0),MATCH(VLOOKUP(CT$3,tEnv[],3,FALSE),Envs,0))*GETPIVOTDATA(CELL("contents",$CN48),$BD$2,"Env Label",CT$3)</f>
        <v>0</v>
      </c>
      <c r="CU48" s="368">
        <f ca="1">INDEX(Maint_Pricing_Schedule,MATCH(TRIM($CN48),Products,0),MATCH(VLOOKUP(CU$3,tEnv[],3,FALSE),Envs,0))*GETPIVOTDATA(CELL("contents",$CN48),$BD$2,"Env Label",CU$3)</f>
        <v>0</v>
      </c>
      <c r="CV48" s="368">
        <f ca="1">INDEX(Maint_Pricing_Schedule,MATCH(TRIM($CN48),Products,0),MATCH(VLOOKUP(CV$3,tEnv[],3,FALSE),Envs,0))*GETPIVOTDATA(CELL("contents",$CN48),$BD$2,"Env Label",CV$3)</f>
        <v>0</v>
      </c>
      <c r="CW48" s="368">
        <f ca="1">INDEX(Maint_Pricing_Schedule,MATCH(TRIM($CN48),Products,0),MATCH(VLOOKUP(CW$3,tEnv[],3,FALSE),Envs,0))*GETPIVOTDATA(CELL("contents",$CN48),$BD$2,"Env Label",CW$3)</f>
        <v>0</v>
      </c>
      <c r="CX48" s="368">
        <f ca="1">INDEX(Maint_Pricing_Schedule,MATCH(TRIM($CN48),Products,0),MATCH(VLOOKUP(CX$3,tEnv[],3,FALSE),Envs,0))*GETPIVOTDATA(CELL("contents",$CN48),$BD$2,"Env Label",CX$3)</f>
        <v>0</v>
      </c>
      <c r="CY48" s="368">
        <f ca="1">INDEX(Maint_Pricing_Schedule,MATCH(TRIM($CN48),Products,0),MATCH(VLOOKUP(CY$3,tEnv[],3,FALSE),Envs,0))*GETPIVOTDATA(CELL("contents",$CN48),$BD$2,"Env Label",CY$3)</f>
        <v>0</v>
      </c>
      <c r="CZ48" s="368">
        <f ca="1">INDEX(Maint_Pricing_Schedule,MATCH(TRIM($CN48),Products,0),MATCH(VLOOKUP(CZ$3,tEnv[],3,FALSE),Envs,0))*GETPIVOTDATA(CELL("contents",$CN48),$BD$2,"Env Label",CZ$3)</f>
        <v>0</v>
      </c>
      <c r="DA48" s="368">
        <f ca="1">INDEX(Maint_Pricing_Schedule,MATCH(TRIM($CN48),Products,0),MATCH(VLOOKUP(DA$3,tEnv[],3,FALSE),Envs,0))*GETPIVOTDATA(CELL("contents",$CN48),$BD$2,"Env Label",DA$3)</f>
        <v>0</v>
      </c>
      <c r="DB48" s="368">
        <f ca="1">INDEX(Maint_Pricing_Schedule,MATCH(TRIM($CN48),Products,0),MATCH(VLOOKUP(DB$3,tEnv[],3,FALSE),Envs,0))*GETPIVOTDATA(CELL("contents",$CN48),$BD$2,"Env Label",DB$3)</f>
        <v>0</v>
      </c>
      <c r="DC48" s="368">
        <f ca="1">INDEX(Maint_Pricing_Schedule,MATCH(TRIM($CN48),Products,0),MATCH(VLOOKUP(DC$3,tEnv[],3,FALSE),Envs,0))*GETPIVOTDATA(CELL("contents",$CN48),$BD$2,"Env Label",DC$3)</f>
        <v>0</v>
      </c>
      <c r="DD48" s="369">
        <f ca="1">SUM(AnnualSWMaintCostByProdByEnv[[#This Row],[PROD]:[DEV]])</f>
        <v>0</v>
      </c>
    </row>
    <row r="49" spans="23:108">
      <c r="W49"/>
      <c r="X49"/>
      <c r="Y49" s="143"/>
      <c r="Z49" s="143"/>
      <c r="BD49" s="281" t="s">
        <v>493</v>
      </c>
      <c r="BE49" s="272">
        <v>0</v>
      </c>
      <c r="BF49" s="272">
        <v>0</v>
      </c>
      <c r="BG49" s="272">
        <v>0</v>
      </c>
      <c r="BH49" s="272">
        <v>0</v>
      </c>
      <c r="BI49" s="272">
        <v>0</v>
      </c>
      <c r="BJ49" s="272">
        <v>0</v>
      </c>
      <c r="BK49" s="272">
        <v>0</v>
      </c>
      <c r="BL49" s="272">
        <v>0</v>
      </c>
      <c r="BM49" s="272">
        <v>0</v>
      </c>
      <c r="BN49" s="272">
        <v>0</v>
      </c>
      <c r="BO49" s="272">
        <v>0</v>
      </c>
      <c r="BP49" s="272">
        <v>0</v>
      </c>
      <c r="BQ49" s="272">
        <v>0</v>
      </c>
      <c r="BR49" s="272">
        <v>0</v>
      </c>
      <c r="BS49" s="272">
        <v>0</v>
      </c>
      <c r="BT49" s="272">
        <v>0</v>
      </c>
      <c r="BV49" s="262" t="str">
        <f t="shared" si="0"/>
        <v xml:space="preserve">TIBCO Adapter SDK </v>
      </c>
      <c r="BW49" s="262">
        <f t="shared" si="0"/>
        <v>0</v>
      </c>
      <c r="BX49" s="262">
        <f t="shared" si="0"/>
        <v>0</v>
      </c>
      <c r="BY49" s="427">
        <f ca="1">INDEX(Product_Pricing_Schedule,MATCH(TRIM($BV49),Products,0),MATCH(VLOOKUP(BY$3,tEnv[],3,FALSE),Envs,0))*GETPIVOTDATA(CELL("contents",$BV49),$BD$2,"Env Label",BY$3)</f>
        <v>0</v>
      </c>
      <c r="BZ49" s="427">
        <f ca="1">INDEX(Product_Pricing_Schedule,MATCH(TRIM($BV49),Products,0),MATCH(VLOOKUP(BZ$3,tEnv[],3,FALSE),Envs,0))*GETPIVOTDATA(CELL("contents",$BV49),$BD$2,"Env Label",BZ$3)</f>
        <v>0</v>
      </c>
      <c r="CA49" s="427">
        <f ca="1">INDEX(Product_Pricing_Schedule,MATCH(TRIM($BV49),Products,0),MATCH(VLOOKUP(CA$3,tEnv[],3,FALSE),Envs,0))*GETPIVOTDATA(CELL("contents",$BV49),$BD$2,"Env Label",CA$3)</f>
        <v>0</v>
      </c>
      <c r="CB49" s="427">
        <f ca="1">INDEX(Product_Pricing_Schedule,MATCH(TRIM($BV49),Products,0),MATCH(VLOOKUP(CB$3,tEnv[],3,FALSE),Envs,0))*GETPIVOTDATA(CELL("contents",$BV49),$BD$2,"Env Label",CB$3)</f>
        <v>0</v>
      </c>
      <c r="CC49" s="427">
        <f ca="1">INDEX(Product_Pricing_Schedule,MATCH(TRIM($BV49),Products,0),MATCH(VLOOKUP(CC$3,tEnv[],3,FALSE),Envs,0))*GETPIVOTDATA(CELL("contents",$BV49),$BD$2,"Env Label",CC$3)</f>
        <v>0</v>
      </c>
      <c r="CD49" s="427">
        <f ca="1">INDEX(Product_Pricing_Schedule,MATCH(TRIM($BV49),Products,0),MATCH(VLOOKUP(CD$3,tEnv[],3,FALSE),Envs,0))*GETPIVOTDATA(CELL("contents",$BV49),$BD$2,"Env Label",CD$3)</f>
        <v>0</v>
      </c>
      <c r="CE49" s="427">
        <f ca="1">INDEX(Product_Pricing_Schedule,MATCH(TRIM($BV49),Products,0),MATCH(VLOOKUP(CE$3,tEnv[],3,FALSE),Envs,0))*GETPIVOTDATA(CELL("contents",$BV49),$BD$2,"Env Label",CE$3)</f>
        <v>0</v>
      </c>
      <c r="CF49" s="427">
        <f ca="1">INDEX(Product_Pricing_Schedule,MATCH(TRIM($BV49),Products,0),MATCH(VLOOKUP(CF$3,tEnv[],3,FALSE),Envs,0))*GETPIVOTDATA(CELL("contents",$BV49),$BD$2,"Env Label",CF$3)</f>
        <v>0</v>
      </c>
      <c r="CG49" s="427">
        <f ca="1">INDEX(Product_Pricing_Schedule,MATCH(TRIM($BV49),Products,0),MATCH(VLOOKUP(CG$3,tEnv[],3,FALSE),Envs,0))*GETPIVOTDATA(CELL("contents",$BV49),$BD$2,"Env Label",CG$3)</f>
        <v>0</v>
      </c>
      <c r="CH49" s="427">
        <f ca="1">INDEX(Product_Pricing_Schedule,MATCH(TRIM($BV49),Products,0),MATCH(VLOOKUP(CH$3,tEnv[],3,FALSE),Envs,0))*GETPIVOTDATA(CELL("contents",$BV49),$BD$2,"Env Label",CH$3)</f>
        <v>0</v>
      </c>
      <c r="CI49" s="427">
        <f ca="1">INDEX(Product_Pricing_Schedule,MATCH(TRIM($BV49),Products,0),MATCH(VLOOKUP(CI$3,tEnv[],3,FALSE),Envs,0))*GETPIVOTDATA(CELL("contents",$BV49),$BD$2,"Env Label",CI$3)</f>
        <v>0</v>
      </c>
      <c r="CJ49" s="427">
        <f ca="1">INDEX(Product_Pricing_Schedule,MATCH(TRIM($BV49),Products,0),MATCH(VLOOKUP(CJ$3,tEnv[],3,FALSE),Envs,0))*GETPIVOTDATA(CELL("contents",$BV49),$BD$2,"Env Label",CJ$3)</f>
        <v>0</v>
      </c>
      <c r="CK49" s="427">
        <f ca="1">INDEX(Product_Pricing_Schedule,MATCH(TRIM($BV49),Products,0),MATCH(VLOOKUP(CK$3,tEnv[],3,FALSE),Envs,0))*GETPIVOTDATA(CELL("contents",$BV49),$BD$2,"Env Label",CK$3)</f>
        <v>0</v>
      </c>
      <c r="CL49" s="428">
        <f ca="1">SUM(AnnualSWCostByProdByEnv[[#This Row],[PROD]:[DEV]])</f>
        <v>0</v>
      </c>
      <c r="CN49" s="262" t="str">
        <f t="shared" si="4"/>
        <v xml:space="preserve">TIBCO Adapter SDK </v>
      </c>
      <c r="CO49" s="262">
        <f t="shared" ca="1" si="3"/>
        <v>0</v>
      </c>
      <c r="CP49" s="262">
        <f t="shared" ca="1" si="3"/>
        <v>0</v>
      </c>
      <c r="CQ49" s="368">
        <f ca="1">INDEX(Maint_Pricing_Schedule,MATCH(TRIM($CN49),Products,0),MATCH(VLOOKUP(CQ$3,tEnv[],3,FALSE),Envs,0))*GETPIVOTDATA(CELL("contents",$CN49),$BD$2,"Env Label",CQ$3)</f>
        <v>0</v>
      </c>
      <c r="CR49" s="368">
        <f ca="1">INDEX(Maint_Pricing_Schedule,MATCH(TRIM($CN49),Products,0),MATCH(VLOOKUP(CR$3,tEnv[],3,FALSE),Envs,0))*GETPIVOTDATA(CELL("contents",$CN49),$BD$2,"Env Label",CR$3)</f>
        <v>0</v>
      </c>
      <c r="CS49" s="368">
        <f ca="1">INDEX(Maint_Pricing_Schedule,MATCH(TRIM($CN49),Products,0),MATCH(VLOOKUP(CS$3,tEnv[],3,FALSE),Envs,0))*GETPIVOTDATA(CELL("contents",$CN49),$BD$2,"Env Label",CS$3)</f>
        <v>0</v>
      </c>
      <c r="CT49" s="368">
        <f ca="1">INDEX(Maint_Pricing_Schedule,MATCH(TRIM($CN49),Products,0),MATCH(VLOOKUP(CT$3,tEnv[],3,FALSE),Envs,0))*GETPIVOTDATA(CELL("contents",$CN49),$BD$2,"Env Label",CT$3)</f>
        <v>0</v>
      </c>
      <c r="CU49" s="368">
        <f ca="1">INDEX(Maint_Pricing_Schedule,MATCH(TRIM($CN49),Products,0),MATCH(VLOOKUP(CU$3,tEnv[],3,FALSE),Envs,0))*GETPIVOTDATA(CELL("contents",$CN49),$BD$2,"Env Label",CU$3)</f>
        <v>0</v>
      </c>
      <c r="CV49" s="368">
        <f ca="1">INDEX(Maint_Pricing_Schedule,MATCH(TRIM($CN49),Products,0),MATCH(VLOOKUP(CV$3,tEnv[],3,FALSE),Envs,0))*GETPIVOTDATA(CELL("contents",$CN49),$BD$2,"Env Label",CV$3)</f>
        <v>0</v>
      </c>
      <c r="CW49" s="368">
        <f ca="1">INDEX(Maint_Pricing_Schedule,MATCH(TRIM($CN49),Products,0),MATCH(VLOOKUP(CW$3,tEnv[],3,FALSE),Envs,0))*GETPIVOTDATA(CELL("contents",$CN49),$BD$2,"Env Label",CW$3)</f>
        <v>0</v>
      </c>
      <c r="CX49" s="368">
        <f ca="1">INDEX(Maint_Pricing_Schedule,MATCH(TRIM($CN49),Products,0),MATCH(VLOOKUP(CX$3,tEnv[],3,FALSE),Envs,0))*GETPIVOTDATA(CELL("contents",$CN49),$BD$2,"Env Label",CX$3)</f>
        <v>0</v>
      </c>
      <c r="CY49" s="368">
        <f ca="1">INDEX(Maint_Pricing_Schedule,MATCH(TRIM($CN49),Products,0),MATCH(VLOOKUP(CY$3,tEnv[],3,FALSE),Envs,0))*GETPIVOTDATA(CELL("contents",$CN49),$BD$2,"Env Label",CY$3)</f>
        <v>0</v>
      </c>
      <c r="CZ49" s="368">
        <f ca="1">INDEX(Maint_Pricing_Schedule,MATCH(TRIM($CN49),Products,0),MATCH(VLOOKUP(CZ$3,tEnv[],3,FALSE),Envs,0))*GETPIVOTDATA(CELL("contents",$CN49),$BD$2,"Env Label",CZ$3)</f>
        <v>0</v>
      </c>
      <c r="DA49" s="368">
        <f ca="1">INDEX(Maint_Pricing_Schedule,MATCH(TRIM($CN49),Products,0),MATCH(VLOOKUP(DA$3,tEnv[],3,FALSE),Envs,0))*GETPIVOTDATA(CELL("contents",$CN49),$BD$2,"Env Label",DA$3)</f>
        <v>0</v>
      </c>
      <c r="DB49" s="368">
        <f ca="1">INDEX(Maint_Pricing_Schedule,MATCH(TRIM($CN49),Products,0),MATCH(VLOOKUP(DB$3,tEnv[],3,FALSE),Envs,0))*GETPIVOTDATA(CELL("contents",$CN49),$BD$2,"Env Label",DB$3)</f>
        <v>0</v>
      </c>
      <c r="DC49" s="368">
        <f ca="1">INDEX(Maint_Pricing_Schedule,MATCH(TRIM($CN49),Products,0),MATCH(VLOOKUP(DC$3,tEnv[],3,FALSE),Envs,0))*GETPIVOTDATA(CELL("contents",$CN49),$BD$2,"Env Label",DC$3)</f>
        <v>0</v>
      </c>
      <c r="DD49" s="369">
        <f ca="1">SUM(AnnualSWMaintCostByProdByEnv[[#This Row],[PROD]:[DEV]])</f>
        <v>0</v>
      </c>
    </row>
    <row r="50" spans="23:108">
      <c r="W50"/>
      <c r="X50"/>
      <c r="Y50" s="143"/>
      <c r="Z50" s="143"/>
      <c r="BD50" s="281" t="s">
        <v>189</v>
      </c>
      <c r="BE50" s="272">
        <v>0</v>
      </c>
      <c r="BF50" s="272">
        <v>0</v>
      </c>
      <c r="BG50" s="272">
        <v>0</v>
      </c>
      <c r="BH50" s="272">
        <v>0</v>
      </c>
      <c r="BI50" s="272">
        <v>0</v>
      </c>
      <c r="BJ50" s="272">
        <v>0</v>
      </c>
      <c r="BK50" s="272">
        <v>0</v>
      </c>
      <c r="BL50" s="272">
        <v>0</v>
      </c>
      <c r="BM50" s="272">
        <v>0</v>
      </c>
      <c r="BN50" s="272">
        <v>0</v>
      </c>
      <c r="BO50" s="272">
        <v>0</v>
      </c>
      <c r="BP50" s="272">
        <v>0</v>
      </c>
      <c r="BQ50" s="272">
        <v>0</v>
      </c>
      <c r="BR50" s="272">
        <v>0</v>
      </c>
      <c r="BS50" s="272">
        <v>0</v>
      </c>
      <c r="BT50" s="272">
        <v>0</v>
      </c>
      <c r="BV50" s="262" t="str">
        <f t="shared" si="0"/>
        <v xml:space="preserve">TIBCO AMX BPM </v>
      </c>
      <c r="BW50" s="262">
        <f t="shared" si="0"/>
        <v>0</v>
      </c>
      <c r="BX50" s="262">
        <f t="shared" si="0"/>
        <v>0</v>
      </c>
      <c r="BY50" s="427">
        <f ca="1">INDEX(Product_Pricing_Schedule,MATCH(TRIM($BV50),Products,0),MATCH(VLOOKUP(BY$3,tEnv[],3,FALSE),Envs,0))*GETPIVOTDATA(CELL("contents",$BV50),$BD$2,"Env Label",BY$3)</f>
        <v>0</v>
      </c>
      <c r="BZ50" s="427">
        <f ca="1">INDEX(Product_Pricing_Schedule,MATCH(TRIM($BV50),Products,0),MATCH(VLOOKUP(BZ$3,tEnv[],3,FALSE),Envs,0))*GETPIVOTDATA(CELL("contents",$BV50),$BD$2,"Env Label",BZ$3)</f>
        <v>0</v>
      </c>
      <c r="CA50" s="427">
        <f ca="1">INDEX(Product_Pricing_Schedule,MATCH(TRIM($BV50),Products,0),MATCH(VLOOKUP(CA$3,tEnv[],3,FALSE),Envs,0))*GETPIVOTDATA(CELL("contents",$BV50),$BD$2,"Env Label",CA$3)</f>
        <v>0</v>
      </c>
      <c r="CB50" s="427">
        <f ca="1">INDEX(Product_Pricing_Schedule,MATCH(TRIM($BV50),Products,0),MATCH(VLOOKUP(CB$3,tEnv[],3,FALSE),Envs,0))*GETPIVOTDATA(CELL("contents",$BV50),$BD$2,"Env Label",CB$3)</f>
        <v>0</v>
      </c>
      <c r="CC50" s="427">
        <f ca="1">INDEX(Product_Pricing_Schedule,MATCH(TRIM($BV50),Products,0),MATCH(VLOOKUP(CC$3,tEnv[],3,FALSE),Envs,0))*GETPIVOTDATA(CELL("contents",$BV50),$BD$2,"Env Label",CC$3)</f>
        <v>0</v>
      </c>
      <c r="CD50" s="427">
        <f ca="1">INDEX(Product_Pricing_Schedule,MATCH(TRIM($BV50),Products,0),MATCH(VLOOKUP(CD$3,tEnv[],3,FALSE),Envs,0))*GETPIVOTDATA(CELL("contents",$BV50),$BD$2,"Env Label",CD$3)</f>
        <v>0</v>
      </c>
      <c r="CE50" s="427">
        <f ca="1">INDEX(Product_Pricing_Schedule,MATCH(TRIM($BV50),Products,0),MATCH(VLOOKUP(CE$3,tEnv[],3,FALSE),Envs,0))*GETPIVOTDATA(CELL("contents",$BV50),$BD$2,"Env Label",CE$3)</f>
        <v>0</v>
      </c>
      <c r="CF50" s="427">
        <f ca="1">INDEX(Product_Pricing_Schedule,MATCH(TRIM($BV50),Products,0),MATCH(VLOOKUP(CF$3,tEnv[],3,FALSE),Envs,0))*GETPIVOTDATA(CELL("contents",$BV50),$BD$2,"Env Label",CF$3)</f>
        <v>0</v>
      </c>
      <c r="CG50" s="427">
        <f ca="1">INDEX(Product_Pricing_Schedule,MATCH(TRIM($BV50),Products,0),MATCH(VLOOKUP(CG$3,tEnv[],3,FALSE),Envs,0))*GETPIVOTDATA(CELL("contents",$BV50),$BD$2,"Env Label",CG$3)</f>
        <v>0</v>
      </c>
      <c r="CH50" s="427">
        <f ca="1">INDEX(Product_Pricing_Schedule,MATCH(TRIM($BV50),Products,0),MATCH(VLOOKUP(CH$3,tEnv[],3,FALSE),Envs,0))*GETPIVOTDATA(CELL("contents",$BV50),$BD$2,"Env Label",CH$3)</f>
        <v>0</v>
      </c>
      <c r="CI50" s="427">
        <f ca="1">INDEX(Product_Pricing_Schedule,MATCH(TRIM($BV50),Products,0),MATCH(VLOOKUP(CI$3,tEnv[],3,FALSE),Envs,0))*GETPIVOTDATA(CELL("contents",$BV50),$BD$2,"Env Label",CI$3)</f>
        <v>0</v>
      </c>
      <c r="CJ50" s="427">
        <f ca="1">INDEX(Product_Pricing_Schedule,MATCH(TRIM($BV50),Products,0),MATCH(VLOOKUP(CJ$3,tEnv[],3,FALSE),Envs,0))*GETPIVOTDATA(CELL("contents",$BV50),$BD$2,"Env Label",CJ$3)</f>
        <v>0</v>
      </c>
      <c r="CK50" s="427">
        <f ca="1">INDEX(Product_Pricing_Schedule,MATCH(TRIM($BV50),Products,0),MATCH(VLOOKUP(CK$3,tEnv[],3,FALSE),Envs,0))*GETPIVOTDATA(CELL("contents",$BV50),$BD$2,"Env Label",CK$3)</f>
        <v>0</v>
      </c>
      <c r="CL50" s="428">
        <f ca="1">SUM(AnnualSWCostByProdByEnv[[#This Row],[PROD]:[DEV]])</f>
        <v>0</v>
      </c>
      <c r="CN50" s="262" t="str">
        <f t="shared" si="4"/>
        <v xml:space="preserve">TIBCO AMX BPM </v>
      </c>
      <c r="CO50" s="262">
        <f t="shared" ca="1" si="3"/>
        <v>0</v>
      </c>
      <c r="CP50" s="262">
        <f t="shared" ca="1" si="3"/>
        <v>0</v>
      </c>
      <c r="CQ50" s="368">
        <f ca="1">INDEX(Maint_Pricing_Schedule,MATCH(TRIM($CN50),Products,0),MATCH(VLOOKUP(CQ$3,tEnv[],3,FALSE),Envs,0))*GETPIVOTDATA(CELL("contents",$CN50),$BD$2,"Env Label",CQ$3)</f>
        <v>0</v>
      </c>
      <c r="CR50" s="368">
        <f ca="1">INDEX(Maint_Pricing_Schedule,MATCH(TRIM($CN50),Products,0),MATCH(VLOOKUP(CR$3,tEnv[],3,FALSE),Envs,0))*GETPIVOTDATA(CELL("contents",$CN50),$BD$2,"Env Label",CR$3)</f>
        <v>0</v>
      </c>
      <c r="CS50" s="368">
        <f ca="1">INDEX(Maint_Pricing_Schedule,MATCH(TRIM($CN50),Products,0),MATCH(VLOOKUP(CS$3,tEnv[],3,FALSE),Envs,0))*GETPIVOTDATA(CELL("contents",$CN50),$BD$2,"Env Label",CS$3)</f>
        <v>0</v>
      </c>
      <c r="CT50" s="368">
        <f ca="1">INDEX(Maint_Pricing_Schedule,MATCH(TRIM($CN50),Products,0),MATCH(VLOOKUP(CT$3,tEnv[],3,FALSE),Envs,0))*GETPIVOTDATA(CELL("contents",$CN50),$BD$2,"Env Label",CT$3)</f>
        <v>0</v>
      </c>
      <c r="CU50" s="368">
        <f ca="1">INDEX(Maint_Pricing_Schedule,MATCH(TRIM($CN50),Products,0),MATCH(VLOOKUP(CU$3,tEnv[],3,FALSE),Envs,0))*GETPIVOTDATA(CELL("contents",$CN50),$BD$2,"Env Label",CU$3)</f>
        <v>0</v>
      </c>
      <c r="CV50" s="368">
        <f ca="1">INDEX(Maint_Pricing_Schedule,MATCH(TRIM($CN50),Products,0),MATCH(VLOOKUP(CV$3,tEnv[],3,FALSE),Envs,0))*GETPIVOTDATA(CELL("contents",$CN50),$BD$2,"Env Label",CV$3)</f>
        <v>0</v>
      </c>
      <c r="CW50" s="368">
        <f ca="1">INDEX(Maint_Pricing_Schedule,MATCH(TRIM($CN50),Products,0),MATCH(VLOOKUP(CW$3,tEnv[],3,FALSE),Envs,0))*GETPIVOTDATA(CELL("contents",$CN50),$BD$2,"Env Label",CW$3)</f>
        <v>0</v>
      </c>
      <c r="CX50" s="368">
        <f ca="1">INDEX(Maint_Pricing_Schedule,MATCH(TRIM($CN50),Products,0),MATCH(VLOOKUP(CX$3,tEnv[],3,FALSE),Envs,0))*GETPIVOTDATA(CELL("contents",$CN50),$BD$2,"Env Label",CX$3)</f>
        <v>0</v>
      </c>
      <c r="CY50" s="368">
        <f ca="1">INDEX(Maint_Pricing_Schedule,MATCH(TRIM($CN50),Products,0),MATCH(VLOOKUP(CY$3,tEnv[],3,FALSE),Envs,0))*GETPIVOTDATA(CELL("contents",$CN50),$BD$2,"Env Label",CY$3)</f>
        <v>0</v>
      </c>
      <c r="CZ50" s="368">
        <f ca="1">INDEX(Maint_Pricing_Schedule,MATCH(TRIM($CN50),Products,0),MATCH(VLOOKUP(CZ$3,tEnv[],3,FALSE),Envs,0))*GETPIVOTDATA(CELL("contents",$CN50),$BD$2,"Env Label",CZ$3)</f>
        <v>0</v>
      </c>
      <c r="DA50" s="368">
        <f ca="1">INDEX(Maint_Pricing_Schedule,MATCH(TRIM($CN50),Products,0),MATCH(VLOOKUP(DA$3,tEnv[],3,FALSE),Envs,0))*GETPIVOTDATA(CELL("contents",$CN50),$BD$2,"Env Label",DA$3)</f>
        <v>0</v>
      </c>
      <c r="DB50" s="368">
        <f ca="1">INDEX(Maint_Pricing_Schedule,MATCH(TRIM($CN50),Products,0),MATCH(VLOOKUP(DB$3,tEnv[],3,FALSE),Envs,0))*GETPIVOTDATA(CELL("contents",$CN50),$BD$2,"Env Label",DB$3)</f>
        <v>0</v>
      </c>
      <c r="DC50" s="368">
        <f ca="1">INDEX(Maint_Pricing_Schedule,MATCH(TRIM($CN50),Products,0),MATCH(VLOOKUP(DC$3,tEnv[],3,FALSE),Envs,0))*GETPIVOTDATA(CELL("contents",$CN50),$BD$2,"Env Label",DC$3)</f>
        <v>0</v>
      </c>
      <c r="DD50" s="369">
        <f ca="1">SUM(AnnualSWMaintCostByProdByEnv[[#This Row],[PROD]:[DEV]])</f>
        <v>0</v>
      </c>
    </row>
    <row r="51" spans="23:108">
      <c r="W51"/>
      <c r="X51"/>
      <c r="Y51" s="143"/>
      <c r="Z51" s="143"/>
      <c r="BD51" s="281" t="s">
        <v>187</v>
      </c>
      <c r="BE51" s="272">
        <v>0</v>
      </c>
      <c r="BF51" s="272">
        <v>0</v>
      </c>
      <c r="BG51" s="272">
        <v>0</v>
      </c>
      <c r="BH51" s="272">
        <v>0</v>
      </c>
      <c r="BI51" s="272">
        <v>0</v>
      </c>
      <c r="BJ51" s="272">
        <v>0</v>
      </c>
      <c r="BK51" s="272">
        <v>0</v>
      </c>
      <c r="BL51" s="272">
        <v>0</v>
      </c>
      <c r="BM51" s="272">
        <v>0</v>
      </c>
      <c r="BN51" s="272">
        <v>0</v>
      </c>
      <c r="BO51" s="272">
        <v>0</v>
      </c>
      <c r="BP51" s="272">
        <v>0</v>
      </c>
      <c r="BQ51" s="272">
        <v>0</v>
      </c>
      <c r="BR51" s="272">
        <v>0</v>
      </c>
      <c r="BS51" s="272">
        <v>0</v>
      </c>
      <c r="BT51" s="272">
        <v>0</v>
      </c>
      <c r="BV51" s="262" t="str">
        <f t="shared" si="0"/>
        <v xml:space="preserve">TIBCO BE </v>
      </c>
      <c r="BW51" s="262">
        <f t="shared" si="0"/>
        <v>0</v>
      </c>
      <c r="BX51" s="262">
        <f t="shared" si="0"/>
        <v>0</v>
      </c>
      <c r="BY51" s="427">
        <f ca="1">INDEX(Product_Pricing_Schedule,MATCH(TRIM($BV51),Products,0),MATCH(VLOOKUP(BY$3,tEnv[],3,FALSE),Envs,0))*GETPIVOTDATA(CELL("contents",$BV51),$BD$2,"Env Label",BY$3)</f>
        <v>0</v>
      </c>
      <c r="BZ51" s="427">
        <f ca="1">INDEX(Product_Pricing_Schedule,MATCH(TRIM($BV51),Products,0),MATCH(VLOOKUP(BZ$3,tEnv[],3,FALSE),Envs,0))*GETPIVOTDATA(CELL("contents",$BV51),$BD$2,"Env Label",BZ$3)</f>
        <v>0</v>
      </c>
      <c r="CA51" s="427">
        <f ca="1">INDEX(Product_Pricing_Schedule,MATCH(TRIM($BV51),Products,0),MATCH(VLOOKUP(CA$3,tEnv[],3,FALSE),Envs,0))*GETPIVOTDATA(CELL("contents",$BV51),$BD$2,"Env Label",CA$3)</f>
        <v>0</v>
      </c>
      <c r="CB51" s="427">
        <f ca="1">INDEX(Product_Pricing_Schedule,MATCH(TRIM($BV51),Products,0),MATCH(VLOOKUP(CB$3,tEnv[],3,FALSE),Envs,0))*GETPIVOTDATA(CELL("contents",$BV51),$BD$2,"Env Label",CB$3)</f>
        <v>0</v>
      </c>
      <c r="CC51" s="427">
        <f ca="1">INDEX(Product_Pricing_Schedule,MATCH(TRIM($BV51),Products,0),MATCH(VLOOKUP(CC$3,tEnv[],3,FALSE),Envs,0))*GETPIVOTDATA(CELL("contents",$BV51),$BD$2,"Env Label",CC$3)</f>
        <v>0</v>
      </c>
      <c r="CD51" s="427">
        <f ca="1">INDEX(Product_Pricing_Schedule,MATCH(TRIM($BV51),Products,0),MATCH(VLOOKUP(CD$3,tEnv[],3,FALSE),Envs,0))*GETPIVOTDATA(CELL("contents",$BV51),$BD$2,"Env Label",CD$3)</f>
        <v>0</v>
      </c>
      <c r="CE51" s="427">
        <f ca="1">INDEX(Product_Pricing_Schedule,MATCH(TRIM($BV51),Products,0),MATCH(VLOOKUP(CE$3,tEnv[],3,FALSE),Envs,0))*GETPIVOTDATA(CELL("contents",$BV51),$BD$2,"Env Label",CE$3)</f>
        <v>0</v>
      </c>
      <c r="CF51" s="427">
        <f ca="1">INDEX(Product_Pricing_Schedule,MATCH(TRIM($BV51),Products,0),MATCH(VLOOKUP(CF$3,tEnv[],3,FALSE),Envs,0))*GETPIVOTDATA(CELL("contents",$BV51),$BD$2,"Env Label",CF$3)</f>
        <v>0</v>
      </c>
      <c r="CG51" s="427">
        <f ca="1">INDEX(Product_Pricing_Schedule,MATCH(TRIM($BV51),Products,0),MATCH(VLOOKUP(CG$3,tEnv[],3,FALSE),Envs,0))*GETPIVOTDATA(CELL("contents",$BV51),$BD$2,"Env Label",CG$3)</f>
        <v>0</v>
      </c>
      <c r="CH51" s="427">
        <f ca="1">INDEX(Product_Pricing_Schedule,MATCH(TRIM($BV51),Products,0),MATCH(VLOOKUP(CH$3,tEnv[],3,FALSE),Envs,0))*GETPIVOTDATA(CELL("contents",$BV51),$BD$2,"Env Label",CH$3)</f>
        <v>0</v>
      </c>
      <c r="CI51" s="427">
        <f ca="1">INDEX(Product_Pricing_Schedule,MATCH(TRIM($BV51),Products,0),MATCH(VLOOKUP(CI$3,tEnv[],3,FALSE),Envs,0))*GETPIVOTDATA(CELL("contents",$BV51),$BD$2,"Env Label",CI$3)</f>
        <v>0</v>
      </c>
      <c r="CJ51" s="427">
        <f ca="1">INDEX(Product_Pricing_Schedule,MATCH(TRIM($BV51),Products,0),MATCH(VLOOKUP(CJ$3,tEnv[],3,FALSE),Envs,0))*GETPIVOTDATA(CELL("contents",$BV51),$BD$2,"Env Label",CJ$3)</f>
        <v>0</v>
      </c>
      <c r="CK51" s="427">
        <f ca="1">INDEX(Product_Pricing_Schedule,MATCH(TRIM($BV51),Products,0),MATCH(VLOOKUP(CK$3,tEnv[],3,FALSE),Envs,0))*GETPIVOTDATA(CELL("contents",$BV51),$BD$2,"Env Label",CK$3)</f>
        <v>0</v>
      </c>
      <c r="CL51" s="428">
        <f ca="1">SUM(AnnualSWCostByProdByEnv[[#This Row],[PROD]:[DEV]])</f>
        <v>0</v>
      </c>
      <c r="CN51" s="262" t="str">
        <f t="shared" si="4"/>
        <v xml:space="preserve">TIBCO BE </v>
      </c>
      <c r="CO51" s="262">
        <f t="shared" ca="1" si="3"/>
        <v>0</v>
      </c>
      <c r="CP51" s="262">
        <f t="shared" ca="1" si="3"/>
        <v>0</v>
      </c>
      <c r="CQ51" s="368">
        <f ca="1">INDEX(Maint_Pricing_Schedule,MATCH(TRIM($CN51),Products,0),MATCH(VLOOKUP(CQ$3,tEnv[],3,FALSE),Envs,0))*GETPIVOTDATA(CELL("contents",$CN51),$BD$2,"Env Label",CQ$3)</f>
        <v>0</v>
      </c>
      <c r="CR51" s="368">
        <f ca="1">INDEX(Maint_Pricing_Schedule,MATCH(TRIM($CN51),Products,0),MATCH(VLOOKUP(CR$3,tEnv[],3,FALSE),Envs,0))*GETPIVOTDATA(CELL("contents",$CN51),$BD$2,"Env Label",CR$3)</f>
        <v>0</v>
      </c>
      <c r="CS51" s="368">
        <f ca="1">INDEX(Maint_Pricing_Schedule,MATCH(TRIM($CN51),Products,0),MATCH(VLOOKUP(CS$3,tEnv[],3,FALSE),Envs,0))*GETPIVOTDATA(CELL("contents",$CN51),$BD$2,"Env Label",CS$3)</f>
        <v>0</v>
      </c>
      <c r="CT51" s="368">
        <f ca="1">INDEX(Maint_Pricing_Schedule,MATCH(TRIM($CN51),Products,0),MATCH(VLOOKUP(CT$3,tEnv[],3,FALSE),Envs,0))*GETPIVOTDATA(CELL("contents",$CN51),$BD$2,"Env Label",CT$3)</f>
        <v>0</v>
      </c>
      <c r="CU51" s="368">
        <f ca="1">INDEX(Maint_Pricing_Schedule,MATCH(TRIM($CN51),Products,0),MATCH(VLOOKUP(CU$3,tEnv[],3,FALSE),Envs,0))*GETPIVOTDATA(CELL("contents",$CN51),$BD$2,"Env Label",CU$3)</f>
        <v>0</v>
      </c>
      <c r="CV51" s="368">
        <f ca="1">INDEX(Maint_Pricing_Schedule,MATCH(TRIM($CN51),Products,0),MATCH(VLOOKUP(CV$3,tEnv[],3,FALSE),Envs,0))*GETPIVOTDATA(CELL("contents",$CN51),$BD$2,"Env Label",CV$3)</f>
        <v>0</v>
      </c>
      <c r="CW51" s="368">
        <f ca="1">INDEX(Maint_Pricing_Schedule,MATCH(TRIM($CN51),Products,0),MATCH(VLOOKUP(CW$3,tEnv[],3,FALSE),Envs,0))*GETPIVOTDATA(CELL("contents",$CN51),$BD$2,"Env Label",CW$3)</f>
        <v>0</v>
      </c>
      <c r="CX51" s="368">
        <f ca="1">INDEX(Maint_Pricing_Schedule,MATCH(TRIM($CN51),Products,0),MATCH(VLOOKUP(CX$3,tEnv[],3,FALSE),Envs,0))*GETPIVOTDATA(CELL("contents",$CN51),$BD$2,"Env Label",CX$3)</f>
        <v>0</v>
      </c>
      <c r="CY51" s="368">
        <f ca="1">INDEX(Maint_Pricing_Schedule,MATCH(TRIM($CN51),Products,0),MATCH(VLOOKUP(CY$3,tEnv[],3,FALSE),Envs,0))*GETPIVOTDATA(CELL("contents",$CN51),$BD$2,"Env Label",CY$3)</f>
        <v>0</v>
      </c>
      <c r="CZ51" s="368">
        <f ca="1">INDEX(Maint_Pricing_Schedule,MATCH(TRIM($CN51),Products,0),MATCH(VLOOKUP(CZ$3,tEnv[],3,FALSE),Envs,0))*GETPIVOTDATA(CELL("contents",$CN51),$BD$2,"Env Label",CZ$3)</f>
        <v>0</v>
      </c>
      <c r="DA51" s="368">
        <f ca="1">INDEX(Maint_Pricing_Schedule,MATCH(TRIM($CN51),Products,0),MATCH(VLOOKUP(DA$3,tEnv[],3,FALSE),Envs,0))*GETPIVOTDATA(CELL("contents",$CN51),$BD$2,"Env Label",DA$3)</f>
        <v>0</v>
      </c>
      <c r="DB51" s="368">
        <f ca="1">INDEX(Maint_Pricing_Schedule,MATCH(TRIM($CN51),Products,0),MATCH(VLOOKUP(DB$3,tEnv[],3,FALSE),Envs,0))*GETPIVOTDATA(CELL("contents",$CN51),$BD$2,"Env Label",DB$3)</f>
        <v>0</v>
      </c>
      <c r="DC51" s="368">
        <f ca="1">INDEX(Maint_Pricing_Schedule,MATCH(TRIM($CN51),Products,0),MATCH(VLOOKUP(DC$3,tEnv[],3,FALSE),Envs,0))*GETPIVOTDATA(CELL("contents",$CN51),$BD$2,"Env Label",DC$3)</f>
        <v>0</v>
      </c>
      <c r="DD51" s="369">
        <f ca="1">SUM(AnnualSWMaintCostByProdByEnv[[#This Row],[PROD]:[DEV]])</f>
        <v>0</v>
      </c>
    </row>
    <row r="52" spans="23:108">
      <c r="W52"/>
      <c r="X52"/>
      <c r="Y52" s="143"/>
      <c r="Z52" s="143"/>
      <c r="BD52" s="281" t="s">
        <v>185</v>
      </c>
      <c r="BE52" s="272">
        <v>0</v>
      </c>
      <c r="BF52" s="272">
        <v>0</v>
      </c>
      <c r="BG52" s="272">
        <v>192</v>
      </c>
      <c r="BH52" s="272">
        <v>0</v>
      </c>
      <c r="BI52" s="272">
        <v>0</v>
      </c>
      <c r="BJ52" s="272">
        <v>0</v>
      </c>
      <c r="BK52" s="272">
        <v>0</v>
      </c>
      <c r="BL52" s="272">
        <v>0</v>
      </c>
      <c r="BM52" s="272">
        <v>192</v>
      </c>
      <c r="BN52" s="272">
        <v>0</v>
      </c>
      <c r="BO52" s="272">
        <v>0</v>
      </c>
      <c r="BP52" s="272">
        <v>0</v>
      </c>
      <c r="BQ52" s="272">
        <v>0</v>
      </c>
      <c r="BR52" s="272">
        <v>0</v>
      </c>
      <c r="BS52" s="272">
        <v>0</v>
      </c>
      <c r="BT52" s="272">
        <v>384</v>
      </c>
      <c r="BV52" s="262" t="str">
        <f t="shared" si="0"/>
        <v xml:space="preserve">TIBCO BW </v>
      </c>
      <c r="BW52" s="262">
        <f t="shared" si="0"/>
        <v>0</v>
      </c>
      <c r="BX52" s="262">
        <f t="shared" si="0"/>
        <v>0</v>
      </c>
      <c r="BY52" s="427">
        <f ca="1">INDEX(Product_Pricing_Schedule,MATCH(TRIM($BV52),Products,0),MATCH(VLOOKUP(BY$3,tEnv[],3,FALSE),Envs,0))*GETPIVOTDATA(CELL("contents",$BV52),$BD$2,"Env Label",BY$3)</f>
        <v>1080000</v>
      </c>
      <c r="BZ52" s="427">
        <f ca="1">INDEX(Product_Pricing_Schedule,MATCH(TRIM($BV52),Products,0),MATCH(VLOOKUP(BZ$3,tEnv[],3,FALSE),Envs,0))*GETPIVOTDATA(CELL("contents",$BV52),$BD$2,"Env Label",BZ$3)</f>
        <v>0</v>
      </c>
      <c r="CA52" s="427">
        <f ca="1">INDEX(Product_Pricing_Schedule,MATCH(TRIM($BV52),Products,0),MATCH(VLOOKUP(CA$3,tEnv[],3,FALSE),Envs,0))*GETPIVOTDATA(CELL("contents",$BV52),$BD$2,"Env Label",CA$3)</f>
        <v>0</v>
      </c>
      <c r="CB52" s="427">
        <f ca="1">INDEX(Product_Pricing_Schedule,MATCH(TRIM($BV52),Products,0),MATCH(VLOOKUP(CB$3,tEnv[],3,FALSE),Envs,0))*GETPIVOTDATA(CELL("contents",$BV52),$BD$2,"Env Label",CB$3)</f>
        <v>0</v>
      </c>
      <c r="CC52" s="427">
        <f ca="1">INDEX(Product_Pricing_Schedule,MATCH(TRIM($BV52),Products,0),MATCH(VLOOKUP(CC$3,tEnv[],3,FALSE),Envs,0))*GETPIVOTDATA(CELL("contents",$BV52),$BD$2,"Env Label",CC$3)</f>
        <v>0</v>
      </c>
      <c r="CD52" s="427">
        <f ca="1">INDEX(Product_Pricing_Schedule,MATCH(TRIM($BV52),Products,0),MATCH(VLOOKUP(CD$3,tEnv[],3,FALSE),Envs,0))*GETPIVOTDATA(CELL("contents",$BV52),$BD$2,"Env Label",CD$3)</f>
        <v>0</v>
      </c>
      <c r="CE52" s="427">
        <f ca="1">INDEX(Product_Pricing_Schedule,MATCH(TRIM($BV52),Products,0),MATCH(VLOOKUP(CE$3,tEnv[],3,FALSE),Envs,0))*GETPIVOTDATA(CELL("contents",$BV52),$BD$2,"Env Label",CE$3)</f>
        <v>540000</v>
      </c>
      <c r="CF52" s="427">
        <f ca="1">INDEX(Product_Pricing_Schedule,MATCH(TRIM($BV52),Products,0),MATCH(VLOOKUP(CF$3,tEnv[],3,FALSE),Envs,0))*GETPIVOTDATA(CELL("contents",$BV52),$BD$2,"Env Label",CF$3)</f>
        <v>0</v>
      </c>
      <c r="CG52" s="427">
        <f ca="1">INDEX(Product_Pricing_Schedule,MATCH(TRIM($BV52),Products,0),MATCH(VLOOKUP(CG$3,tEnv[],3,FALSE),Envs,0))*GETPIVOTDATA(CELL("contents",$BV52),$BD$2,"Env Label",CG$3)</f>
        <v>0</v>
      </c>
      <c r="CH52" s="427">
        <f ca="1">INDEX(Product_Pricing_Schedule,MATCH(TRIM($BV52),Products,0),MATCH(VLOOKUP(CH$3,tEnv[],3,FALSE),Envs,0))*GETPIVOTDATA(CELL("contents",$BV52),$BD$2,"Env Label",CH$3)</f>
        <v>0</v>
      </c>
      <c r="CI52" s="427">
        <f ca="1">INDEX(Product_Pricing_Schedule,MATCH(TRIM($BV52),Products,0),MATCH(VLOOKUP(CI$3,tEnv[],3,FALSE),Envs,0))*GETPIVOTDATA(CELL("contents",$BV52),$BD$2,"Env Label",CI$3)</f>
        <v>0</v>
      </c>
      <c r="CJ52" s="427">
        <f ca="1">INDEX(Product_Pricing_Schedule,MATCH(TRIM($BV52),Products,0),MATCH(VLOOKUP(CJ$3,tEnv[],3,FALSE),Envs,0))*GETPIVOTDATA(CELL("contents",$BV52),$BD$2,"Env Label",CJ$3)</f>
        <v>0</v>
      </c>
      <c r="CK52" s="427">
        <f ca="1">INDEX(Product_Pricing_Schedule,MATCH(TRIM($BV52),Products,0),MATCH(VLOOKUP(CK$3,tEnv[],3,FALSE),Envs,0))*GETPIVOTDATA(CELL("contents",$BV52),$BD$2,"Env Label",CK$3)</f>
        <v>0</v>
      </c>
      <c r="CL52" s="428">
        <f ca="1">SUM(AnnualSWCostByProdByEnv[[#This Row],[PROD]:[DEV]])</f>
        <v>1620000</v>
      </c>
      <c r="CN52" s="262" t="str">
        <f t="shared" si="4"/>
        <v xml:space="preserve">TIBCO BW </v>
      </c>
      <c r="CO52" s="262">
        <f t="shared" ca="1" si="3"/>
        <v>1080000</v>
      </c>
      <c r="CP52" s="262">
        <f t="shared" ca="1" si="3"/>
        <v>0</v>
      </c>
      <c r="CQ52" s="368">
        <f ca="1">INDEX(Maint_Pricing_Schedule,MATCH(TRIM($CN52),Products,0),MATCH(VLOOKUP(CQ$3,tEnv[],3,FALSE),Envs,0))*GETPIVOTDATA(CELL("contents",$CN52),$BD$2,"Env Label",CQ$3)</f>
        <v>151200</v>
      </c>
      <c r="CR52" s="368">
        <f ca="1">INDEX(Maint_Pricing_Schedule,MATCH(TRIM($CN52),Products,0),MATCH(VLOOKUP(CR$3,tEnv[],3,FALSE),Envs,0))*GETPIVOTDATA(CELL("contents",$CN52),$BD$2,"Env Label",CR$3)</f>
        <v>0</v>
      </c>
      <c r="CS52" s="368">
        <f ca="1">INDEX(Maint_Pricing_Schedule,MATCH(TRIM($CN52),Products,0),MATCH(VLOOKUP(CS$3,tEnv[],3,FALSE),Envs,0))*GETPIVOTDATA(CELL("contents",$CN52),$BD$2,"Env Label",CS$3)</f>
        <v>0</v>
      </c>
      <c r="CT52" s="368">
        <f ca="1">INDEX(Maint_Pricing_Schedule,MATCH(TRIM($CN52),Products,0),MATCH(VLOOKUP(CT$3,tEnv[],3,FALSE),Envs,0))*GETPIVOTDATA(CELL("contents",$CN52),$BD$2,"Env Label",CT$3)</f>
        <v>0</v>
      </c>
      <c r="CU52" s="368">
        <f ca="1">INDEX(Maint_Pricing_Schedule,MATCH(TRIM($CN52),Products,0),MATCH(VLOOKUP(CU$3,tEnv[],3,FALSE),Envs,0))*GETPIVOTDATA(CELL("contents",$CN52),$BD$2,"Env Label",CU$3)</f>
        <v>0</v>
      </c>
      <c r="CV52" s="368">
        <f ca="1">INDEX(Maint_Pricing_Schedule,MATCH(TRIM($CN52),Products,0),MATCH(VLOOKUP(CV$3,tEnv[],3,FALSE),Envs,0))*GETPIVOTDATA(CELL("contents",$CN52),$BD$2,"Env Label",CV$3)</f>
        <v>0</v>
      </c>
      <c r="CW52" s="368">
        <f ca="1">INDEX(Maint_Pricing_Schedule,MATCH(TRIM($CN52),Products,0),MATCH(VLOOKUP(CW$3,tEnv[],3,FALSE),Envs,0))*GETPIVOTDATA(CELL("contents",$CN52),$BD$2,"Env Label",CW$3)</f>
        <v>75600</v>
      </c>
      <c r="CX52" s="368">
        <f ca="1">INDEX(Maint_Pricing_Schedule,MATCH(TRIM($CN52),Products,0),MATCH(VLOOKUP(CX$3,tEnv[],3,FALSE),Envs,0))*GETPIVOTDATA(CELL("contents",$CN52),$BD$2,"Env Label",CX$3)</f>
        <v>0</v>
      </c>
      <c r="CY52" s="368">
        <f ca="1">INDEX(Maint_Pricing_Schedule,MATCH(TRIM($CN52),Products,0),MATCH(VLOOKUP(CY$3,tEnv[],3,FALSE),Envs,0))*GETPIVOTDATA(CELL("contents",$CN52),$BD$2,"Env Label",CY$3)</f>
        <v>0</v>
      </c>
      <c r="CZ52" s="368">
        <f ca="1">INDEX(Maint_Pricing_Schedule,MATCH(TRIM($CN52),Products,0),MATCH(VLOOKUP(CZ$3,tEnv[],3,FALSE),Envs,0))*GETPIVOTDATA(CELL("contents",$CN52),$BD$2,"Env Label",CZ$3)</f>
        <v>0</v>
      </c>
      <c r="DA52" s="368">
        <f ca="1">INDEX(Maint_Pricing_Schedule,MATCH(TRIM($CN52),Products,0),MATCH(VLOOKUP(DA$3,tEnv[],3,FALSE),Envs,0))*GETPIVOTDATA(CELL("contents",$CN52),$BD$2,"Env Label",DA$3)</f>
        <v>0</v>
      </c>
      <c r="DB52" s="368">
        <f ca="1">INDEX(Maint_Pricing_Schedule,MATCH(TRIM($CN52),Products,0),MATCH(VLOOKUP(DB$3,tEnv[],3,FALSE),Envs,0))*GETPIVOTDATA(CELL("contents",$CN52),$BD$2,"Env Label",DB$3)</f>
        <v>0</v>
      </c>
      <c r="DC52" s="368">
        <f ca="1">INDEX(Maint_Pricing_Schedule,MATCH(TRIM($CN52),Products,0),MATCH(VLOOKUP(DC$3,tEnv[],3,FALSE),Envs,0))*GETPIVOTDATA(CELL("contents",$CN52),$BD$2,"Env Label",DC$3)</f>
        <v>0</v>
      </c>
      <c r="DD52" s="369">
        <f ca="1">SUM(AnnualSWMaintCostByProdByEnv[[#This Row],[PROD]:[DEV]])</f>
        <v>226800</v>
      </c>
    </row>
    <row r="53" spans="23:108">
      <c r="W53"/>
      <c r="X53"/>
      <c r="Y53" s="143"/>
      <c r="Z53" s="143"/>
      <c r="BD53" s="281" t="s">
        <v>186</v>
      </c>
      <c r="BE53" s="272">
        <v>0</v>
      </c>
      <c r="BF53" s="272">
        <v>0</v>
      </c>
      <c r="BG53" s="272">
        <v>64</v>
      </c>
      <c r="BH53" s="272">
        <v>0</v>
      </c>
      <c r="BI53" s="272">
        <v>0</v>
      </c>
      <c r="BJ53" s="272">
        <v>0</v>
      </c>
      <c r="BK53" s="272">
        <v>0</v>
      </c>
      <c r="BL53" s="272">
        <v>0</v>
      </c>
      <c r="BM53" s="272">
        <v>64</v>
      </c>
      <c r="BN53" s="272">
        <v>0</v>
      </c>
      <c r="BO53" s="272">
        <v>0</v>
      </c>
      <c r="BP53" s="272">
        <v>0</v>
      </c>
      <c r="BQ53" s="272">
        <v>0</v>
      </c>
      <c r="BR53" s="272">
        <v>0</v>
      </c>
      <c r="BS53" s="272">
        <v>0</v>
      </c>
      <c r="BT53" s="272">
        <v>128</v>
      </c>
      <c r="BV53" s="262" t="str">
        <f t="shared" si="0"/>
        <v xml:space="preserve">TIBCO EMS </v>
      </c>
      <c r="BW53" s="262">
        <f t="shared" si="0"/>
        <v>0</v>
      </c>
      <c r="BX53" s="262">
        <f t="shared" si="0"/>
        <v>0</v>
      </c>
      <c r="BY53" s="427">
        <f ca="1">INDEX(Product_Pricing_Schedule,MATCH(TRIM($BV53),Products,0),MATCH(VLOOKUP(BY$3,tEnv[],3,FALSE),Envs,0))*GETPIVOTDATA(CELL("contents",$BV53),$BD$2,"Env Label",BY$3)</f>
        <v>294000</v>
      </c>
      <c r="BZ53" s="427">
        <f ca="1">INDEX(Product_Pricing_Schedule,MATCH(TRIM($BV53),Products,0),MATCH(VLOOKUP(BZ$3,tEnv[],3,FALSE),Envs,0))*GETPIVOTDATA(CELL("contents",$BV53),$BD$2,"Env Label",BZ$3)</f>
        <v>0</v>
      </c>
      <c r="CA53" s="427">
        <f ca="1">INDEX(Product_Pricing_Schedule,MATCH(TRIM($BV53),Products,0),MATCH(VLOOKUP(CA$3,tEnv[],3,FALSE),Envs,0))*GETPIVOTDATA(CELL("contents",$BV53),$BD$2,"Env Label",CA$3)</f>
        <v>0</v>
      </c>
      <c r="CB53" s="427">
        <f ca="1">INDEX(Product_Pricing_Schedule,MATCH(TRIM($BV53),Products,0),MATCH(VLOOKUP(CB$3,tEnv[],3,FALSE),Envs,0))*GETPIVOTDATA(CELL("contents",$BV53),$BD$2,"Env Label",CB$3)</f>
        <v>0</v>
      </c>
      <c r="CC53" s="427">
        <f ca="1">INDEX(Product_Pricing_Schedule,MATCH(TRIM($BV53),Products,0),MATCH(VLOOKUP(CC$3,tEnv[],3,FALSE),Envs,0))*GETPIVOTDATA(CELL("contents",$BV53),$BD$2,"Env Label",CC$3)</f>
        <v>0</v>
      </c>
      <c r="CD53" s="427">
        <f ca="1">INDEX(Product_Pricing_Schedule,MATCH(TRIM($BV53),Products,0),MATCH(VLOOKUP(CD$3,tEnv[],3,FALSE),Envs,0))*GETPIVOTDATA(CELL("contents",$BV53),$BD$2,"Env Label",CD$3)</f>
        <v>0</v>
      </c>
      <c r="CE53" s="427">
        <f ca="1">INDEX(Product_Pricing_Schedule,MATCH(TRIM($BV53),Products,0),MATCH(VLOOKUP(CE$3,tEnv[],3,FALSE),Envs,0))*GETPIVOTDATA(CELL("contents",$BV53),$BD$2,"Env Label",CE$3)</f>
        <v>144000</v>
      </c>
      <c r="CF53" s="427">
        <f ca="1">INDEX(Product_Pricing_Schedule,MATCH(TRIM($BV53),Products,0),MATCH(VLOOKUP(CF$3,tEnv[],3,FALSE),Envs,0))*GETPIVOTDATA(CELL("contents",$BV53),$BD$2,"Env Label",CF$3)</f>
        <v>0</v>
      </c>
      <c r="CG53" s="427">
        <f ca="1">INDEX(Product_Pricing_Schedule,MATCH(TRIM($BV53),Products,0),MATCH(VLOOKUP(CG$3,tEnv[],3,FALSE),Envs,0))*GETPIVOTDATA(CELL("contents",$BV53),$BD$2,"Env Label",CG$3)</f>
        <v>0</v>
      </c>
      <c r="CH53" s="427">
        <f ca="1">INDEX(Product_Pricing_Schedule,MATCH(TRIM($BV53),Products,0),MATCH(VLOOKUP(CH$3,tEnv[],3,FALSE),Envs,0))*GETPIVOTDATA(CELL("contents",$BV53),$BD$2,"Env Label",CH$3)</f>
        <v>0</v>
      </c>
      <c r="CI53" s="427">
        <f ca="1">INDEX(Product_Pricing_Schedule,MATCH(TRIM($BV53),Products,0),MATCH(VLOOKUP(CI$3,tEnv[],3,FALSE),Envs,0))*GETPIVOTDATA(CELL("contents",$BV53),$BD$2,"Env Label",CI$3)</f>
        <v>0</v>
      </c>
      <c r="CJ53" s="427">
        <f ca="1">INDEX(Product_Pricing_Schedule,MATCH(TRIM($BV53),Products,0),MATCH(VLOOKUP(CJ$3,tEnv[],3,FALSE),Envs,0))*GETPIVOTDATA(CELL("contents",$BV53),$BD$2,"Env Label",CJ$3)</f>
        <v>0</v>
      </c>
      <c r="CK53" s="427">
        <f ca="1">INDEX(Product_Pricing_Schedule,MATCH(TRIM($BV53),Products,0),MATCH(VLOOKUP(CK$3,tEnv[],3,FALSE),Envs,0))*GETPIVOTDATA(CELL("contents",$BV53),$BD$2,"Env Label",CK$3)</f>
        <v>0</v>
      </c>
      <c r="CL53" s="428">
        <f ca="1">SUM(AnnualSWCostByProdByEnv[[#This Row],[PROD]:[DEV]])</f>
        <v>438000</v>
      </c>
      <c r="CN53" s="262" t="str">
        <f t="shared" si="4"/>
        <v xml:space="preserve">TIBCO EMS </v>
      </c>
      <c r="CO53" s="262">
        <f t="shared" ca="1" si="3"/>
        <v>294000</v>
      </c>
      <c r="CP53" s="262">
        <f t="shared" ca="1" si="3"/>
        <v>0</v>
      </c>
      <c r="CQ53" s="368">
        <f ca="1">INDEX(Maint_Pricing_Schedule,MATCH(TRIM($CN53),Products,0),MATCH(VLOOKUP(CQ$3,tEnv[],3,FALSE),Envs,0))*GETPIVOTDATA(CELL("contents",$CN53),$BD$2,"Env Label",CQ$3)</f>
        <v>41160</v>
      </c>
      <c r="CR53" s="368">
        <f ca="1">INDEX(Maint_Pricing_Schedule,MATCH(TRIM($CN53),Products,0),MATCH(VLOOKUP(CR$3,tEnv[],3,FALSE),Envs,0))*GETPIVOTDATA(CELL("contents",$CN53),$BD$2,"Env Label",CR$3)</f>
        <v>0</v>
      </c>
      <c r="CS53" s="368">
        <f ca="1">INDEX(Maint_Pricing_Schedule,MATCH(TRIM($CN53),Products,0),MATCH(VLOOKUP(CS$3,tEnv[],3,FALSE),Envs,0))*GETPIVOTDATA(CELL("contents",$CN53),$BD$2,"Env Label",CS$3)</f>
        <v>0</v>
      </c>
      <c r="CT53" s="368">
        <f ca="1">INDEX(Maint_Pricing_Schedule,MATCH(TRIM($CN53),Products,0),MATCH(VLOOKUP(CT$3,tEnv[],3,FALSE),Envs,0))*GETPIVOTDATA(CELL("contents",$CN53),$BD$2,"Env Label",CT$3)</f>
        <v>0</v>
      </c>
      <c r="CU53" s="368">
        <f ca="1">INDEX(Maint_Pricing_Schedule,MATCH(TRIM($CN53),Products,0),MATCH(VLOOKUP(CU$3,tEnv[],3,FALSE),Envs,0))*GETPIVOTDATA(CELL("contents",$CN53),$BD$2,"Env Label",CU$3)</f>
        <v>0</v>
      </c>
      <c r="CV53" s="368">
        <f ca="1">INDEX(Maint_Pricing_Schedule,MATCH(TRIM($CN53),Products,0),MATCH(VLOOKUP(CV$3,tEnv[],3,FALSE),Envs,0))*GETPIVOTDATA(CELL("contents",$CN53),$BD$2,"Env Label",CV$3)</f>
        <v>0</v>
      </c>
      <c r="CW53" s="368">
        <f ca="1">INDEX(Maint_Pricing_Schedule,MATCH(TRIM($CN53),Products,0),MATCH(VLOOKUP(CW$3,tEnv[],3,FALSE),Envs,0))*GETPIVOTDATA(CELL("contents",$CN53),$BD$2,"Env Label",CW$3)</f>
        <v>20160</v>
      </c>
      <c r="CX53" s="368">
        <f ca="1">INDEX(Maint_Pricing_Schedule,MATCH(TRIM($CN53),Products,0),MATCH(VLOOKUP(CX$3,tEnv[],3,FALSE),Envs,0))*GETPIVOTDATA(CELL("contents",$CN53),$BD$2,"Env Label",CX$3)</f>
        <v>0</v>
      </c>
      <c r="CY53" s="368">
        <f ca="1">INDEX(Maint_Pricing_Schedule,MATCH(TRIM($CN53),Products,0),MATCH(VLOOKUP(CY$3,tEnv[],3,FALSE),Envs,0))*GETPIVOTDATA(CELL("contents",$CN53),$BD$2,"Env Label",CY$3)</f>
        <v>0</v>
      </c>
      <c r="CZ53" s="368">
        <f ca="1">INDEX(Maint_Pricing_Schedule,MATCH(TRIM($CN53),Products,0),MATCH(VLOOKUP(CZ$3,tEnv[],3,FALSE),Envs,0))*GETPIVOTDATA(CELL("contents",$CN53),$BD$2,"Env Label",CZ$3)</f>
        <v>0</v>
      </c>
      <c r="DA53" s="368">
        <f ca="1">INDEX(Maint_Pricing_Schedule,MATCH(TRIM($CN53),Products,0),MATCH(VLOOKUP(DA$3,tEnv[],3,FALSE),Envs,0))*GETPIVOTDATA(CELL("contents",$CN53),$BD$2,"Env Label",DA$3)</f>
        <v>0</v>
      </c>
      <c r="DB53" s="368">
        <f ca="1">INDEX(Maint_Pricing_Schedule,MATCH(TRIM($CN53),Products,0),MATCH(VLOOKUP(DB$3,tEnv[],3,FALSE),Envs,0))*GETPIVOTDATA(CELL("contents",$CN53),$BD$2,"Env Label",DB$3)</f>
        <v>0</v>
      </c>
      <c r="DC53" s="368">
        <f ca="1">INDEX(Maint_Pricing_Schedule,MATCH(TRIM($CN53),Products,0),MATCH(VLOOKUP(DC$3,tEnv[],3,FALSE),Envs,0))*GETPIVOTDATA(CELL("contents",$CN53),$BD$2,"Env Label",DC$3)</f>
        <v>0</v>
      </c>
      <c r="DD53" s="369">
        <f ca="1">SUM(AnnualSWMaintCostByProdByEnv[[#This Row],[PROD]:[DEV]])</f>
        <v>61320</v>
      </c>
    </row>
    <row r="54" spans="23:108">
      <c r="W54"/>
      <c r="X54"/>
      <c r="Y54" s="143"/>
      <c r="Z54" s="143"/>
      <c r="BD54" s="281" t="s">
        <v>188</v>
      </c>
      <c r="BE54" s="272">
        <v>0</v>
      </c>
      <c r="BF54" s="272">
        <v>0</v>
      </c>
      <c r="BG54" s="272">
        <v>0</v>
      </c>
      <c r="BH54" s="272">
        <v>0</v>
      </c>
      <c r="BI54" s="272">
        <v>0</v>
      </c>
      <c r="BJ54" s="272">
        <v>0</v>
      </c>
      <c r="BK54" s="272">
        <v>0</v>
      </c>
      <c r="BL54" s="272">
        <v>0</v>
      </c>
      <c r="BM54" s="272">
        <v>0</v>
      </c>
      <c r="BN54" s="272">
        <v>0</v>
      </c>
      <c r="BO54" s="272">
        <v>0</v>
      </c>
      <c r="BP54" s="272">
        <v>0</v>
      </c>
      <c r="BQ54" s="272">
        <v>0</v>
      </c>
      <c r="BR54" s="272">
        <v>0</v>
      </c>
      <c r="BS54" s="272">
        <v>0</v>
      </c>
      <c r="BT54" s="272">
        <v>0</v>
      </c>
      <c r="BV54" s="262" t="str">
        <f t="shared" si="0"/>
        <v xml:space="preserve">TIBCO iProcess </v>
      </c>
      <c r="BW54" s="262">
        <f t="shared" si="0"/>
        <v>0</v>
      </c>
      <c r="BX54" s="262">
        <f t="shared" si="0"/>
        <v>0</v>
      </c>
      <c r="BY54" s="427">
        <f ca="1">INDEX(Product_Pricing_Schedule,MATCH(TRIM($BV54),Products,0),MATCH(VLOOKUP(BY$3,tEnv[],3,FALSE),Envs,0))*GETPIVOTDATA(CELL("contents",$BV54),$BD$2,"Env Label",BY$3)</f>
        <v>0</v>
      </c>
      <c r="BZ54" s="427">
        <f ca="1">INDEX(Product_Pricing_Schedule,MATCH(TRIM($BV54),Products,0),MATCH(VLOOKUP(BZ$3,tEnv[],3,FALSE),Envs,0))*GETPIVOTDATA(CELL("contents",$BV54),$BD$2,"Env Label",BZ$3)</f>
        <v>0</v>
      </c>
      <c r="CA54" s="427">
        <f ca="1">INDEX(Product_Pricing_Schedule,MATCH(TRIM($BV54),Products,0),MATCH(VLOOKUP(CA$3,tEnv[],3,FALSE),Envs,0))*GETPIVOTDATA(CELL("contents",$BV54),$BD$2,"Env Label",CA$3)</f>
        <v>0</v>
      </c>
      <c r="CB54" s="427">
        <f ca="1">INDEX(Product_Pricing_Schedule,MATCH(TRIM($BV54),Products,0),MATCH(VLOOKUP(CB$3,tEnv[],3,FALSE),Envs,0))*GETPIVOTDATA(CELL("contents",$BV54),$BD$2,"Env Label",CB$3)</f>
        <v>0</v>
      </c>
      <c r="CC54" s="427">
        <f ca="1">INDEX(Product_Pricing_Schedule,MATCH(TRIM($BV54),Products,0),MATCH(VLOOKUP(CC$3,tEnv[],3,FALSE),Envs,0))*GETPIVOTDATA(CELL("contents",$BV54),$BD$2,"Env Label",CC$3)</f>
        <v>0</v>
      </c>
      <c r="CD54" s="427">
        <f ca="1">INDEX(Product_Pricing_Schedule,MATCH(TRIM($BV54),Products,0),MATCH(VLOOKUP(CD$3,tEnv[],3,FALSE),Envs,0))*GETPIVOTDATA(CELL("contents",$BV54),$BD$2,"Env Label",CD$3)</f>
        <v>0</v>
      </c>
      <c r="CE54" s="427">
        <f ca="1">INDEX(Product_Pricing_Schedule,MATCH(TRIM($BV54),Products,0),MATCH(VLOOKUP(CE$3,tEnv[],3,FALSE),Envs,0))*GETPIVOTDATA(CELL("contents",$BV54),$BD$2,"Env Label",CE$3)</f>
        <v>0</v>
      </c>
      <c r="CF54" s="427">
        <f ca="1">INDEX(Product_Pricing_Schedule,MATCH(TRIM($BV54),Products,0),MATCH(VLOOKUP(CF$3,tEnv[],3,FALSE),Envs,0))*GETPIVOTDATA(CELL("contents",$BV54),$BD$2,"Env Label",CF$3)</f>
        <v>0</v>
      </c>
      <c r="CG54" s="427">
        <f ca="1">INDEX(Product_Pricing_Schedule,MATCH(TRIM($BV54),Products,0),MATCH(VLOOKUP(CG$3,tEnv[],3,FALSE),Envs,0))*GETPIVOTDATA(CELL("contents",$BV54),$BD$2,"Env Label",CG$3)</f>
        <v>0</v>
      </c>
      <c r="CH54" s="427">
        <f ca="1">INDEX(Product_Pricing_Schedule,MATCH(TRIM($BV54),Products,0),MATCH(VLOOKUP(CH$3,tEnv[],3,FALSE),Envs,0))*GETPIVOTDATA(CELL("contents",$BV54),$BD$2,"Env Label",CH$3)</f>
        <v>0</v>
      </c>
      <c r="CI54" s="427">
        <f ca="1">INDEX(Product_Pricing_Schedule,MATCH(TRIM($BV54),Products,0),MATCH(VLOOKUP(CI$3,tEnv[],3,FALSE),Envs,0))*GETPIVOTDATA(CELL("contents",$BV54),$BD$2,"Env Label",CI$3)</f>
        <v>0</v>
      </c>
      <c r="CJ54" s="427">
        <f ca="1">INDEX(Product_Pricing_Schedule,MATCH(TRIM($BV54),Products,0),MATCH(VLOOKUP(CJ$3,tEnv[],3,FALSE),Envs,0))*GETPIVOTDATA(CELL("contents",$BV54),$BD$2,"Env Label",CJ$3)</f>
        <v>0</v>
      </c>
      <c r="CK54" s="427">
        <f ca="1">INDEX(Product_Pricing_Schedule,MATCH(TRIM($BV54),Products,0),MATCH(VLOOKUP(CK$3,tEnv[],3,FALSE),Envs,0))*GETPIVOTDATA(CELL("contents",$BV54),$BD$2,"Env Label",CK$3)</f>
        <v>0</v>
      </c>
      <c r="CL54" s="428">
        <f ca="1">SUM(AnnualSWCostByProdByEnv[[#This Row],[PROD]:[DEV]])</f>
        <v>0</v>
      </c>
      <c r="CN54" t="str">
        <f t="shared" si="4"/>
        <v xml:space="preserve">TIBCO iProcess </v>
      </c>
      <c r="CO54" s="262">
        <f t="shared" ref="CO54:CP55" ca="1" si="5">BY54</f>
        <v>0</v>
      </c>
      <c r="CP54" s="262">
        <f t="shared" ca="1" si="5"/>
        <v>0</v>
      </c>
      <c r="CQ54" s="368">
        <f ca="1">INDEX(Maint_Pricing_Schedule,MATCH(TRIM($CN54),Products,0),MATCH(VLOOKUP(CQ$3,tEnv[],3,FALSE),Envs,0))*GETPIVOTDATA(CELL("contents",$CN54),$BD$2,"Env Label",CQ$3)</f>
        <v>0</v>
      </c>
      <c r="CR54" s="368">
        <f ca="1">INDEX(Maint_Pricing_Schedule,MATCH(TRIM($CN54),Products,0),MATCH(VLOOKUP(CR$3,tEnv[],3,FALSE),Envs,0))*GETPIVOTDATA(CELL("contents",$CN54),$BD$2,"Env Label",CR$3)</f>
        <v>0</v>
      </c>
      <c r="CS54" s="368">
        <f ca="1">INDEX(Maint_Pricing_Schedule,MATCH(TRIM($CN54),Products,0),MATCH(VLOOKUP(CS$3,tEnv[],3,FALSE),Envs,0))*GETPIVOTDATA(CELL("contents",$CN54),$BD$2,"Env Label",CS$3)</f>
        <v>0</v>
      </c>
      <c r="CT54" s="368">
        <f ca="1">INDEX(Maint_Pricing_Schedule,MATCH(TRIM($CN54),Products,0),MATCH(VLOOKUP(CT$3,tEnv[],3,FALSE),Envs,0))*GETPIVOTDATA(CELL("contents",$CN54),$BD$2,"Env Label",CT$3)</f>
        <v>0</v>
      </c>
      <c r="CU54" s="368">
        <f ca="1">INDEX(Maint_Pricing_Schedule,MATCH(TRIM($CN54),Products,0),MATCH(VLOOKUP(CU$3,tEnv[],3,FALSE),Envs,0))*GETPIVOTDATA(CELL("contents",$CN54),$BD$2,"Env Label",CU$3)</f>
        <v>0</v>
      </c>
      <c r="CV54" s="368">
        <f ca="1">INDEX(Maint_Pricing_Schedule,MATCH(TRIM($CN54),Products,0),MATCH(VLOOKUP(CV$3,tEnv[],3,FALSE),Envs,0))*GETPIVOTDATA(CELL("contents",$CN54),$BD$2,"Env Label",CV$3)</f>
        <v>0</v>
      </c>
      <c r="CW54" s="368">
        <f ca="1">INDEX(Maint_Pricing_Schedule,MATCH(TRIM($CN54),Products,0),MATCH(VLOOKUP(CW$3,tEnv[],3,FALSE),Envs,0))*GETPIVOTDATA(CELL("contents",$CN54),$BD$2,"Env Label",CW$3)</f>
        <v>0</v>
      </c>
      <c r="CX54" s="368">
        <f ca="1">INDEX(Maint_Pricing_Schedule,MATCH(TRIM($CN54),Products,0),MATCH(VLOOKUP(CX$3,tEnv[],3,FALSE),Envs,0))*GETPIVOTDATA(CELL("contents",$CN54),$BD$2,"Env Label",CX$3)</f>
        <v>0</v>
      </c>
      <c r="CY54" s="368">
        <f ca="1">INDEX(Maint_Pricing_Schedule,MATCH(TRIM($CN54),Products,0),MATCH(VLOOKUP(CY$3,tEnv[],3,FALSE),Envs,0))*GETPIVOTDATA(CELL("contents",$CN54),$BD$2,"Env Label",CY$3)</f>
        <v>0</v>
      </c>
      <c r="CZ54" s="368">
        <f ca="1">INDEX(Maint_Pricing_Schedule,MATCH(TRIM($CN54),Products,0),MATCH(VLOOKUP(CZ$3,tEnv[],3,FALSE),Envs,0))*GETPIVOTDATA(CELL("contents",$CN54),$BD$2,"Env Label",CZ$3)</f>
        <v>0</v>
      </c>
      <c r="DA54" s="368">
        <f ca="1">INDEX(Maint_Pricing_Schedule,MATCH(TRIM($CN54),Products,0),MATCH(VLOOKUP(DA$3,tEnv[],3,FALSE),Envs,0))*GETPIVOTDATA(CELL("contents",$CN54),$BD$2,"Env Label",DA$3)</f>
        <v>0</v>
      </c>
      <c r="DB54" s="368">
        <f ca="1">INDEX(Maint_Pricing_Schedule,MATCH(TRIM($CN54),Products,0),MATCH(VLOOKUP(DB$3,tEnv[],3,FALSE),Envs,0))*GETPIVOTDATA(CELL("contents",$CN54),$BD$2,"Env Label",DB$3)</f>
        <v>0</v>
      </c>
      <c r="DC54" s="368">
        <f ca="1">INDEX(Maint_Pricing_Schedule,MATCH(TRIM($CN54),Products,0),MATCH(VLOOKUP(DC$3,tEnv[],3,FALSE),Envs,0))*GETPIVOTDATA(CELL("contents",$CN54),$BD$2,"Env Label",DC$3)</f>
        <v>0</v>
      </c>
      <c r="DD54" s="369">
        <f ca="1">SUM(AnnualSWMaintCostByProdByEnv[[#This Row],[PROD]:[DEV]])</f>
        <v>0</v>
      </c>
    </row>
    <row r="55" spans="23:108">
      <c r="W55"/>
      <c r="X55"/>
      <c r="Y55" s="143"/>
      <c r="Z55" s="143"/>
      <c r="BD55" s="281" t="s">
        <v>236</v>
      </c>
      <c r="BE55" s="272">
        <v>0</v>
      </c>
      <c r="BF55" s="272">
        <v>0</v>
      </c>
      <c r="BG55" s="272">
        <v>8</v>
      </c>
      <c r="BH55" s="272">
        <v>0</v>
      </c>
      <c r="BI55" s="272">
        <v>8</v>
      </c>
      <c r="BJ55" s="272">
        <v>0</v>
      </c>
      <c r="BK55" s="272">
        <v>0</v>
      </c>
      <c r="BL55" s="272">
        <v>0</v>
      </c>
      <c r="BM55" s="272">
        <v>0</v>
      </c>
      <c r="BN55" s="272">
        <v>0</v>
      </c>
      <c r="BO55" s="272">
        <v>0</v>
      </c>
      <c r="BP55" s="272">
        <v>0</v>
      </c>
      <c r="BQ55" s="272">
        <v>0</v>
      </c>
      <c r="BR55" s="272">
        <v>0</v>
      </c>
      <c r="BS55" s="272">
        <v>0</v>
      </c>
      <c r="BT55" s="272">
        <v>16</v>
      </c>
      <c r="BV55" s="262" t="str">
        <f t="shared" si="0"/>
        <v xml:space="preserve">Veritas Cluster/CFS </v>
      </c>
      <c r="BW55" s="262">
        <f t="shared" si="0"/>
        <v>0</v>
      </c>
      <c r="BX55" s="262">
        <f t="shared" si="0"/>
        <v>0</v>
      </c>
      <c r="BY55" s="427">
        <f ca="1">INDEX(Product_Pricing_Schedule,MATCH(TRIM($BV55),Products,0),MATCH(VLOOKUP(BY$3,tEnv[],3,FALSE),Envs,0))*GETPIVOTDATA(CELL("contents",$BV55),$BD$2,"Env Label",BY$3)</f>
        <v>11268</v>
      </c>
      <c r="BZ55" s="427">
        <f ca="1">INDEX(Product_Pricing_Schedule,MATCH(TRIM($BV55),Products,0),MATCH(VLOOKUP(BZ$3,tEnv[],3,FALSE),Envs,0))*GETPIVOTDATA(CELL("contents",$BV55),$BD$2,"Env Label",BZ$3)</f>
        <v>0</v>
      </c>
      <c r="CA55" s="427">
        <f ca="1">INDEX(Product_Pricing_Schedule,MATCH(TRIM($BV55),Products,0),MATCH(VLOOKUP(CA$3,tEnv[],3,FALSE),Envs,0))*GETPIVOTDATA(CELL("contents",$BV55),$BD$2,"Env Label",CA$3)</f>
        <v>11268</v>
      </c>
      <c r="CB55" s="427">
        <f ca="1">INDEX(Product_Pricing_Schedule,MATCH(TRIM($BV55),Products,0),MATCH(VLOOKUP(CB$3,tEnv[],3,FALSE),Envs,0))*GETPIVOTDATA(CELL("contents",$BV55),$BD$2,"Env Label",CB$3)</f>
        <v>0</v>
      </c>
      <c r="CC55" s="427">
        <f ca="1">INDEX(Product_Pricing_Schedule,MATCH(TRIM($BV55),Products,0),MATCH(VLOOKUP(CC$3,tEnv[],3,FALSE),Envs,0))*GETPIVOTDATA(CELL("contents",$BV55),$BD$2,"Env Label",CC$3)</f>
        <v>0</v>
      </c>
      <c r="CD55" s="427">
        <f ca="1">INDEX(Product_Pricing_Schedule,MATCH(TRIM($BV55),Products,0),MATCH(VLOOKUP(CD$3,tEnv[],3,FALSE),Envs,0))*GETPIVOTDATA(CELL("contents",$BV55),$BD$2,"Env Label",CD$3)</f>
        <v>0</v>
      </c>
      <c r="CE55" s="427">
        <f ca="1">INDEX(Product_Pricing_Schedule,MATCH(TRIM($BV55),Products,0),MATCH(VLOOKUP(CE$3,tEnv[],3,FALSE),Envs,0))*GETPIVOTDATA(CELL("contents",$BV55),$BD$2,"Env Label",CE$3)</f>
        <v>0</v>
      </c>
      <c r="CF55" s="427">
        <f ca="1">INDEX(Product_Pricing_Schedule,MATCH(TRIM($BV55),Products,0),MATCH(VLOOKUP(CF$3,tEnv[],3,FALSE),Envs,0))*GETPIVOTDATA(CELL("contents",$BV55),$BD$2,"Env Label",CF$3)</f>
        <v>0</v>
      </c>
      <c r="CG55" s="427">
        <f ca="1">INDEX(Product_Pricing_Schedule,MATCH(TRIM($BV55),Products,0),MATCH(VLOOKUP(CG$3,tEnv[],3,FALSE),Envs,0))*GETPIVOTDATA(CELL("contents",$BV55),$BD$2,"Env Label",CG$3)</f>
        <v>0</v>
      </c>
      <c r="CH55" s="427">
        <f ca="1">INDEX(Product_Pricing_Schedule,MATCH(TRIM($BV55),Products,0),MATCH(VLOOKUP(CH$3,tEnv[],3,FALSE),Envs,0))*GETPIVOTDATA(CELL("contents",$BV55),$BD$2,"Env Label",CH$3)</f>
        <v>0</v>
      </c>
      <c r="CI55" s="427">
        <f ca="1">INDEX(Product_Pricing_Schedule,MATCH(TRIM($BV55),Products,0),MATCH(VLOOKUP(CI$3,tEnv[],3,FALSE),Envs,0))*GETPIVOTDATA(CELL("contents",$BV55),$BD$2,"Env Label",CI$3)</f>
        <v>0</v>
      </c>
      <c r="CJ55" s="427">
        <f ca="1">INDEX(Product_Pricing_Schedule,MATCH(TRIM($BV55),Products,0),MATCH(VLOOKUP(CJ$3,tEnv[],3,FALSE),Envs,0))*GETPIVOTDATA(CELL("contents",$BV55),$BD$2,"Env Label",CJ$3)</f>
        <v>0</v>
      </c>
      <c r="CK55" s="427">
        <f ca="1">INDEX(Product_Pricing_Schedule,MATCH(TRIM($BV55),Products,0),MATCH(VLOOKUP(CK$3,tEnv[],3,FALSE),Envs,0))*GETPIVOTDATA(CELL("contents",$BV55),$BD$2,"Env Label",CK$3)</f>
        <v>0</v>
      </c>
      <c r="CL55" s="428">
        <f ca="1">SUM(AnnualSWCostByProdByEnv[[#This Row],[PROD]:[DEV]])</f>
        <v>22536</v>
      </c>
      <c r="CN55" t="str">
        <f t="shared" si="4"/>
        <v xml:space="preserve">Veritas Cluster/CFS </v>
      </c>
      <c r="CO55" s="262">
        <f t="shared" ca="1" si="5"/>
        <v>11268</v>
      </c>
      <c r="CP55" s="262">
        <f t="shared" ca="1" si="5"/>
        <v>0</v>
      </c>
      <c r="CQ55" s="368">
        <f ca="1">INDEX(Maint_Pricing_Schedule,MATCH(TRIM($CN55),Products,0),MATCH(VLOOKUP(CQ$3,tEnv[],3,FALSE),Envs,0))*GETPIVOTDATA(CELL("contents",$CN55),$BD$2,"Env Label",CQ$3)</f>
        <v>2028.24</v>
      </c>
      <c r="CR55" s="368">
        <f ca="1">INDEX(Maint_Pricing_Schedule,MATCH(TRIM($CN55),Products,0),MATCH(VLOOKUP(CR$3,tEnv[],3,FALSE),Envs,0))*GETPIVOTDATA(CELL("contents",$CN55),$BD$2,"Env Label",CR$3)</f>
        <v>0</v>
      </c>
      <c r="CS55" s="368">
        <f ca="1">INDEX(Maint_Pricing_Schedule,MATCH(TRIM($CN55),Products,0),MATCH(VLOOKUP(CS$3,tEnv[],3,FALSE),Envs,0))*GETPIVOTDATA(CELL("contents",$CN55),$BD$2,"Env Label",CS$3)</f>
        <v>2028.24</v>
      </c>
      <c r="CT55" s="368">
        <f ca="1">INDEX(Maint_Pricing_Schedule,MATCH(TRIM($CN55),Products,0),MATCH(VLOOKUP(CT$3,tEnv[],3,FALSE),Envs,0))*GETPIVOTDATA(CELL("contents",$CN55),$BD$2,"Env Label",CT$3)</f>
        <v>0</v>
      </c>
      <c r="CU55" s="368">
        <f ca="1">INDEX(Maint_Pricing_Schedule,MATCH(TRIM($CN55),Products,0),MATCH(VLOOKUP(CU$3,tEnv[],3,FALSE),Envs,0))*GETPIVOTDATA(CELL("contents",$CN55),$BD$2,"Env Label",CU$3)</f>
        <v>0</v>
      </c>
      <c r="CV55" s="368">
        <f ca="1">INDEX(Maint_Pricing_Schedule,MATCH(TRIM($CN55),Products,0),MATCH(VLOOKUP(CV$3,tEnv[],3,FALSE),Envs,0))*GETPIVOTDATA(CELL("contents",$CN55),$BD$2,"Env Label",CV$3)</f>
        <v>0</v>
      </c>
      <c r="CW55" s="368">
        <f ca="1">INDEX(Maint_Pricing_Schedule,MATCH(TRIM($CN55),Products,0),MATCH(VLOOKUP(CW$3,tEnv[],3,FALSE),Envs,0))*GETPIVOTDATA(CELL("contents",$CN55),$BD$2,"Env Label",CW$3)</f>
        <v>0</v>
      </c>
      <c r="CX55" s="368">
        <f ca="1">INDEX(Maint_Pricing_Schedule,MATCH(TRIM($CN55),Products,0),MATCH(VLOOKUP(CX$3,tEnv[],3,FALSE),Envs,0))*GETPIVOTDATA(CELL("contents",$CN55),$BD$2,"Env Label",CX$3)</f>
        <v>0</v>
      </c>
      <c r="CY55" s="368">
        <f ca="1">INDEX(Maint_Pricing_Schedule,MATCH(TRIM($CN55),Products,0),MATCH(VLOOKUP(CY$3,tEnv[],3,FALSE),Envs,0))*GETPIVOTDATA(CELL("contents",$CN55),$BD$2,"Env Label",CY$3)</f>
        <v>0</v>
      </c>
      <c r="CZ55" s="368">
        <f ca="1">INDEX(Maint_Pricing_Schedule,MATCH(TRIM($CN55),Products,0),MATCH(VLOOKUP(CZ$3,tEnv[],3,FALSE),Envs,0))*GETPIVOTDATA(CELL("contents",$CN55),$BD$2,"Env Label",CZ$3)</f>
        <v>0</v>
      </c>
      <c r="DA55" s="368">
        <f ca="1">INDEX(Maint_Pricing_Schedule,MATCH(TRIM($CN55),Products,0),MATCH(VLOOKUP(DA$3,tEnv[],3,FALSE),Envs,0))*GETPIVOTDATA(CELL("contents",$CN55),$BD$2,"Env Label",DA$3)</f>
        <v>0</v>
      </c>
      <c r="DB55" s="368">
        <f ca="1">INDEX(Maint_Pricing_Schedule,MATCH(TRIM($CN55),Products,0),MATCH(VLOOKUP(DB$3,tEnv[],3,FALSE),Envs,0))*GETPIVOTDATA(CELL("contents",$CN55),$BD$2,"Env Label",DB$3)</f>
        <v>0</v>
      </c>
      <c r="DC55" s="368">
        <f ca="1">INDEX(Maint_Pricing_Schedule,MATCH(TRIM($CN55),Products,0),MATCH(VLOOKUP(DC$3,tEnv[],3,FALSE),Envs,0))*GETPIVOTDATA(CELL("contents",$CN55),$BD$2,"Env Label",DC$3)</f>
        <v>0</v>
      </c>
      <c r="DD55" s="369">
        <f ca="1">SUM(AnnualSWMaintCostByProdByEnv[[#This Row],[PROD]:[DEV]])</f>
        <v>4056.48</v>
      </c>
    </row>
    <row r="56" spans="23:108">
      <c r="W56"/>
      <c r="X56"/>
      <c r="Y56" s="143"/>
      <c r="Z56" s="143"/>
      <c r="BL56"/>
      <c r="BV56" s="31" t="s">
        <v>27</v>
      </c>
      <c r="BW56" s="262"/>
      <c r="BX56" s="262"/>
      <c r="BY56" s="427">
        <f ca="1">SUBTOTAL(109,AnnualSWCostByProdByEnv[PROD])</f>
        <v>1700374.56</v>
      </c>
      <c r="BZ56" s="427"/>
      <c r="CA56" s="427">
        <f ca="1">SUBTOTAL(109,AnnualSWCostByProdByEnv[COB])</f>
        <v>11268</v>
      </c>
      <c r="CB56" s="427">
        <f ca="1">SUBTOTAL(109,AnnualSWCostByProdByEnv[CERT])</f>
        <v>0</v>
      </c>
      <c r="CC56" s="427">
        <f ca="1">SUBTOTAL(109,AnnualSWCostByProdByEnv[PERF])</f>
        <v>0</v>
      </c>
      <c r="CD56" s="427">
        <f ca="1">SUBTOTAL(109,AnnualSWCostByProdByEnv[TRAINING])</f>
        <v>0</v>
      </c>
      <c r="CE56" s="427">
        <f ca="1">SUBTOTAL(109,AnnualSWCostByProdByEnv[UAT])</f>
        <v>831672</v>
      </c>
      <c r="CF56" s="427"/>
      <c r="CG56" s="427">
        <f ca="1">SUBTOTAL(109,AnnualSWCostByProdByEnv[SIT])</f>
        <v>98448</v>
      </c>
      <c r="CH56" s="427"/>
      <c r="CI56" s="427">
        <f ca="1">SUBTOTAL(109,AnnualSWCostByProdByEnv[DIT])</f>
        <v>98448</v>
      </c>
      <c r="CJ56" s="427">
        <f ca="1">SUBTOTAL(109,AnnualSWCostByProdByEnv[RND])</f>
        <v>0</v>
      </c>
      <c r="CK56" s="427">
        <f ca="1">SUBTOTAL(109,AnnualSWCostByProdByEnv[DEV])</f>
        <v>0</v>
      </c>
      <c r="CL56" s="428">
        <f ca="1">SUBTOTAL(109,AnnualSWCostByProdByEnv[Totals])</f>
        <v>3271975.6799999997</v>
      </c>
      <c r="CN56" s="228" t="s">
        <v>27</v>
      </c>
      <c r="CP56" s="262"/>
      <c r="CQ56" s="610">
        <f ca="1">SUBTOTAL(109,AnnualSWMaintCostByProdByEnv[PROD])</f>
        <v>304747.59999999998</v>
      </c>
      <c r="CR56" s="610"/>
      <c r="CS56" s="610">
        <f ca="1">SUBTOTAL(109,AnnualSWMaintCostByProdByEnv[COB])</f>
        <v>2028.24</v>
      </c>
      <c r="CT56" s="610">
        <f ca="1">SUBTOTAL(109,AnnualSWMaintCostByProdByEnv[CERT])</f>
        <v>0</v>
      </c>
      <c r="CU56" s="610">
        <f ca="1">SUBTOTAL(109,AnnualSWMaintCostByProdByEnv[PERF])</f>
        <v>0</v>
      </c>
      <c r="CV56" s="367">
        <f ca="1">SUBTOTAL(109,AnnualSWMaintCostByProdByEnv[TRAINING])</f>
        <v>0</v>
      </c>
      <c r="CW56" s="610">
        <f ca="1">SUBTOTAL(109,AnnualSWMaintCostByProdByEnv[UAT])</f>
        <v>154728</v>
      </c>
      <c r="CX56" s="610"/>
      <c r="CY56" s="610">
        <f ca="1">SUBTOTAL(109,AnnualSWMaintCostByProdByEnv[SIT])</f>
        <v>39312</v>
      </c>
      <c r="CZ56" s="610"/>
      <c r="DA56" s="610">
        <f ca="1">SUBTOTAL(109,AnnualSWMaintCostByProdByEnv[DIT])</f>
        <v>39312</v>
      </c>
      <c r="DB56" s="610">
        <f ca="1">SUBTOTAL(109,AnnualSWMaintCostByProdByEnv[RND])</f>
        <v>0</v>
      </c>
      <c r="DC56" s="610">
        <f ca="1">SUBTOTAL(109,AnnualSWMaintCostByProdByEnv[DEV])</f>
        <v>0</v>
      </c>
      <c r="DD56" s="611">
        <f ca="1">SUBTOTAL(109,AnnualSWMaintCostByProdByEnv[Totals])</f>
        <v>721534.56</v>
      </c>
    </row>
    <row r="57" spans="23:108">
      <c r="W57"/>
      <c r="X57"/>
      <c r="Y57" s="143"/>
      <c r="Z57" s="143"/>
      <c r="BL57"/>
    </row>
    <row r="58" spans="23:108">
      <c r="W58"/>
      <c r="X58"/>
      <c r="Y58" s="143"/>
      <c r="Z58" s="143"/>
      <c r="BL58"/>
    </row>
    <row r="59" spans="23:108">
      <c r="W59"/>
      <c r="X59"/>
      <c r="Y59" s="143"/>
      <c r="Z59" s="143"/>
      <c r="BL59"/>
    </row>
    <row r="60" spans="23:108">
      <c r="W60"/>
      <c r="X60"/>
      <c r="Y60" s="143"/>
      <c r="Z60" s="143"/>
      <c r="BL60"/>
    </row>
    <row r="61" spans="23:108">
      <c r="W61"/>
      <c r="X61"/>
      <c r="Y61" s="143"/>
      <c r="Z61" s="143"/>
      <c r="BL61"/>
    </row>
    <row r="62" spans="23:108">
      <c r="W62"/>
      <c r="X62"/>
      <c r="Y62" s="143"/>
      <c r="Z62" s="143"/>
      <c r="BL62"/>
    </row>
    <row r="63" spans="23:108">
      <c r="W63"/>
      <c r="X63"/>
      <c r="Y63" s="143"/>
      <c r="Z63" s="143"/>
      <c r="BL63"/>
    </row>
    <row r="64" spans="23:108">
      <c r="W64"/>
      <c r="X64"/>
      <c r="Y64" s="143"/>
      <c r="Z64" s="143"/>
      <c r="BL64"/>
    </row>
    <row r="65" spans="23:64">
      <c r="W65"/>
      <c r="X65"/>
      <c r="Y65" s="143"/>
      <c r="Z65" s="143"/>
      <c r="BL65"/>
    </row>
    <row r="66" spans="23:64">
      <c r="W66"/>
      <c r="X66"/>
      <c r="Y66" s="143"/>
      <c r="Z66" s="143"/>
      <c r="BL66"/>
    </row>
    <row r="67" spans="23:64">
      <c r="W67"/>
      <c r="X67"/>
      <c r="Y67" s="143"/>
      <c r="Z67" s="143"/>
      <c r="BL67"/>
    </row>
    <row r="68" spans="23:64">
      <c r="W68"/>
      <c r="X68"/>
      <c r="Y68" s="143"/>
      <c r="Z68" s="143"/>
      <c r="BL68"/>
    </row>
    <row r="69" spans="23:64">
      <c r="W69"/>
      <c r="X69"/>
      <c r="Y69" s="143"/>
      <c r="Z69" s="143"/>
      <c r="BL69"/>
    </row>
    <row r="70" spans="23:64">
      <c r="W70"/>
      <c r="X70"/>
      <c r="Y70" s="143"/>
      <c r="Z70" s="143"/>
      <c r="BL70"/>
    </row>
    <row r="71" spans="23:64">
      <c r="W71"/>
      <c r="X71"/>
      <c r="Y71" s="143"/>
      <c r="Z71" s="143"/>
      <c r="BL71"/>
    </row>
    <row r="72" spans="23:64">
      <c r="W72"/>
      <c r="X72"/>
      <c r="Y72" s="143"/>
      <c r="Z72" s="143"/>
      <c r="BL72"/>
    </row>
    <row r="73" spans="23:64">
      <c r="W73"/>
      <c r="X73"/>
      <c r="Y73" s="143"/>
      <c r="Z73" s="143"/>
      <c r="BL73"/>
    </row>
    <row r="74" spans="23:64">
      <c r="W74"/>
      <c r="X74"/>
      <c r="Y74" s="143"/>
      <c r="Z74" s="143"/>
      <c r="BL74"/>
    </row>
    <row r="75" spans="23:64">
      <c r="W75"/>
      <c r="X75"/>
      <c r="Y75" s="143"/>
      <c r="Z75" s="143"/>
      <c r="BL75"/>
    </row>
    <row r="76" spans="23:64">
      <c r="W76"/>
      <c r="X76"/>
      <c r="Y76" s="143"/>
      <c r="Z76" s="143"/>
      <c r="BL76"/>
    </row>
    <row r="77" spans="23:64">
      <c r="W77"/>
      <c r="X77"/>
      <c r="Y77" s="143"/>
      <c r="Z77" s="143"/>
      <c r="BL77"/>
    </row>
    <row r="78" spans="23:64">
      <c r="W78"/>
      <c r="X78"/>
      <c r="Y78" s="143"/>
      <c r="Z78" s="143"/>
      <c r="BL78"/>
    </row>
    <row r="79" spans="23:64">
      <c r="W79"/>
      <c r="X79"/>
      <c r="Y79" s="143"/>
      <c r="Z79" s="143"/>
      <c r="BL79"/>
    </row>
    <row r="80" spans="23:64">
      <c r="W80"/>
      <c r="X80"/>
      <c r="Y80" s="143"/>
      <c r="Z80" s="143"/>
      <c r="BL80"/>
    </row>
    <row r="81" spans="23:64">
      <c r="W81"/>
      <c r="X81"/>
      <c r="Y81" s="143"/>
      <c r="Z81" s="143"/>
      <c r="BL81"/>
    </row>
    <row r="82" spans="23:64">
      <c r="W82"/>
      <c r="X82"/>
      <c r="Y82" s="143"/>
      <c r="Z82" s="143"/>
      <c r="BL82"/>
    </row>
    <row r="83" spans="23:64">
      <c r="W83"/>
      <c r="X83"/>
      <c r="Y83" s="143"/>
      <c r="Z83" s="143"/>
      <c r="BL83"/>
    </row>
    <row r="84" spans="23:64">
      <c r="W84"/>
      <c r="X84"/>
      <c r="Y84" s="143"/>
      <c r="Z84" s="143"/>
      <c r="BL84"/>
    </row>
    <row r="85" spans="23:64">
      <c r="W85"/>
      <c r="X85"/>
      <c r="Y85" s="143"/>
      <c r="Z85" s="143"/>
      <c r="BL85"/>
    </row>
    <row r="86" spans="23:64">
      <c r="W86"/>
      <c r="X86"/>
      <c r="Y86" s="143"/>
      <c r="Z86" s="143"/>
      <c r="BL86"/>
    </row>
    <row r="87" spans="23:64">
      <c r="W87"/>
      <c r="X87"/>
      <c r="Y87" s="143"/>
      <c r="Z87" s="143"/>
      <c r="BL87"/>
    </row>
    <row r="88" spans="23:64">
      <c r="W88"/>
      <c r="X88"/>
      <c r="Y88" s="143"/>
      <c r="Z88" s="143"/>
      <c r="BL88"/>
    </row>
    <row r="89" spans="23:64">
      <c r="W89"/>
      <c r="X89"/>
      <c r="Y89" s="143"/>
      <c r="Z89" s="143"/>
      <c r="BL89"/>
    </row>
    <row r="90" spans="23:64">
      <c r="W90"/>
      <c r="X90"/>
      <c r="Y90" s="143"/>
      <c r="Z90" s="143"/>
      <c r="BL90"/>
    </row>
    <row r="91" spans="23:64">
      <c r="W91"/>
      <c r="X91"/>
      <c r="Y91" s="143"/>
      <c r="Z91" s="143"/>
      <c r="BL91"/>
    </row>
    <row r="92" spans="23:64">
      <c r="W92"/>
      <c r="X92"/>
      <c r="Y92" s="143"/>
      <c r="Z92" s="143"/>
      <c r="BL92"/>
    </row>
    <row r="93" spans="23:64">
      <c r="W93"/>
      <c r="X93"/>
      <c r="Y93" s="143"/>
      <c r="Z93" s="143"/>
      <c r="BL93"/>
    </row>
    <row r="94" spans="23:64">
      <c r="W94"/>
      <c r="X94"/>
      <c r="Y94" s="143"/>
      <c r="Z94" s="143"/>
      <c r="BL94"/>
    </row>
    <row r="95" spans="23:64">
      <c r="W95"/>
      <c r="X95"/>
      <c r="Y95" s="143"/>
      <c r="Z95" s="143"/>
    </row>
    <row r="96" spans="23:64">
      <c r="W96"/>
      <c r="X96"/>
      <c r="Y96" s="143"/>
      <c r="Z96" s="143"/>
    </row>
    <row r="97" spans="23:26">
      <c r="W97"/>
      <c r="X97"/>
      <c r="Y97" s="143"/>
      <c r="Z97" s="143"/>
    </row>
    <row r="98" spans="23:26">
      <c r="W98"/>
      <c r="X98"/>
      <c r="Y98" s="143"/>
      <c r="Z98" s="143"/>
    </row>
    <row r="99" spans="23:26">
      <c r="W99"/>
      <c r="X99"/>
      <c r="Y99" s="143"/>
      <c r="Z99" s="143"/>
    </row>
    <row r="100" spans="23:26">
      <c r="W100"/>
      <c r="X100"/>
      <c r="Y100" s="143"/>
      <c r="Z100" s="143"/>
    </row>
    <row r="101" spans="23:26">
      <c r="W101"/>
      <c r="X101"/>
      <c r="Y101" s="143"/>
      <c r="Z101" s="143"/>
    </row>
    <row r="102" spans="23:26">
      <c r="W102"/>
      <c r="X102"/>
      <c r="Y102" s="143"/>
      <c r="Z102" s="143"/>
    </row>
    <row r="103" spans="23:26">
      <c r="W103"/>
      <c r="X103"/>
      <c r="Y103" s="143"/>
      <c r="Z103" s="143"/>
    </row>
    <row r="104" spans="23:26">
      <c r="W104"/>
      <c r="X104"/>
      <c r="Y104" s="143"/>
      <c r="Z104" s="143"/>
    </row>
    <row r="105" spans="23:26">
      <c r="W105"/>
      <c r="X105"/>
      <c r="Y105" s="143"/>
      <c r="Z105" s="143"/>
    </row>
    <row r="106" spans="23:26">
      <c r="W106"/>
      <c r="X106"/>
      <c r="Y106" s="143"/>
      <c r="Z106" s="143"/>
    </row>
    <row r="107" spans="23:26">
      <c r="W107"/>
      <c r="X107"/>
      <c r="Y107" s="143"/>
      <c r="Z107" s="143"/>
    </row>
    <row r="108" spans="23:26">
      <c r="W108"/>
      <c r="X108"/>
      <c r="Y108" s="143"/>
      <c r="Z108" s="143"/>
    </row>
    <row r="109" spans="23:26">
      <c r="W109"/>
      <c r="X109"/>
      <c r="Y109" s="143"/>
      <c r="Z109" s="143"/>
    </row>
    <row r="110" spans="23:26">
      <c r="W110"/>
      <c r="X110"/>
      <c r="Y110" s="143"/>
      <c r="Z110" s="143"/>
    </row>
    <row r="111" spans="23:26">
      <c r="W111"/>
      <c r="X111"/>
      <c r="Y111" s="143"/>
      <c r="Z111" s="143"/>
    </row>
    <row r="112" spans="23:26">
      <c r="W112"/>
      <c r="X112"/>
      <c r="Y112" s="143"/>
      <c r="Z112" s="143"/>
    </row>
    <row r="113" spans="23:26">
      <c r="W113"/>
      <c r="X113"/>
      <c r="Y113" s="143"/>
      <c r="Z113" s="143"/>
    </row>
    <row r="114" spans="23:26">
      <c r="W114"/>
      <c r="X114"/>
      <c r="Y114" s="143"/>
      <c r="Z114" s="143"/>
    </row>
    <row r="115" spans="23:26">
      <c r="W115"/>
      <c r="X115"/>
      <c r="Y115" s="143"/>
      <c r="Z115" s="143"/>
    </row>
    <row r="116" spans="23:26">
      <c r="W116"/>
      <c r="X116"/>
      <c r="Y116" s="143"/>
      <c r="Z116" s="143"/>
    </row>
    <row r="117" spans="23:26">
      <c r="W117"/>
      <c r="X117"/>
      <c r="Y117" s="143"/>
      <c r="Z117" s="143"/>
    </row>
    <row r="118" spans="23:26">
      <c r="W118"/>
      <c r="X118"/>
      <c r="Y118" s="143"/>
      <c r="Z118" s="143"/>
    </row>
    <row r="119" spans="23:26">
      <c r="W119"/>
      <c r="X119"/>
      <c r="Y119" s="143"/>
      <c r="Z119" s="143"/>
    </row>
    <row r="120" spans="23:26">
      <c r="W120"/>
      <c r="X120"/>
      <c r="Y120" s="143"/>
      <c r="Z120" s="143"/>
    </row>
    <row r="121" spans="23:26">
      <c r="W121"/>
      <c r="X121"/>
      <c r="Y121" s="143"/>
      <c r="Z121" s="143"/>
    </row>
    <row r="122" spans="23:26">
      <c r="W122"/>
      <c r="X122"/>
      <c r="Y122" s="143"/>
      <c r="Z122" s="143"/>
    </row>
    <row r="123" spans="23:26">
      <c r="W123"/>
      <c r="X123"/>
      <c r="Y123" s="143"/>
      <c r="Z123" s="143"/>
    </row>
    <row r="124" spans="23:26">
      <c r="W124"/>
      <c r="X124"/>
      <c r="Y124" s="143"/>
      <c r="Z124" s="143"/>
    </row>
    <row r="125" spans="23:26">
      <c r="W125"/>
      <c r="X125"/>
      <c r="Y125" s="143"/>
      <c r="Z125" s="143"/>
    </row>
    <row r="126" spans="23:26">
      <c r="W126"/>
      <c r="X126"/>
      <c r="Y126" s="143"/>
      <c r="Z126" s="143"/>
    </row>
    <row r="127" spans="23:26">
      <c r="W127"/>
      <c r="X127"/>
      <c r="Y127" s="143"/>
      <c r="Z127" s="143"/>
    </row>
    <row r="128" spans="23:26">
      <c r="W128"/>
      <c r="X128"/>
      <c r="Y128" s="143"/>
      <c r="Z128" s="143"/>
    </row>
    <row r="129" spans="23:26">
      <c r="W129"/>
      <c r="X129"/>
      <c r="Y129" s="143"/>
      <c r="Z129" s="143"/>
    </row>
    <row r="130" spans="23:26">
      <c r="W130"/>
      <c r="X130"/>
      <c r="Y130" s="143"/>
      <c r="Z130" s="143"/>
    </row>
    <row r="131" spans="23:26">
      <c r="W131"/>
      <c r="X131"/>
      <c r="Y131" s="143"/>
      <c r="Z131" s="143"/>
    </row>
    <row r="132" spans="23:26">
      <c r="W132"/>
      <c r="X132"/>
      <c r="Y132" s="143"/>
      <c r="Z132" s="143"/>
    </row>
    <row r="133" spans="23:26">
      <c r="W133"/>
      <c r="X133"/>
      <c r="Y133" s="143"/>
      <c r="Z133" s="143"/>
    </row>
    <row r="134" spans="23:26">
      <c r="W134"/>
      <c r="X134"/>
      <c r="Y134" s="143"/>
      <c r="Z134" s="143"/>
    </row>
    <row r="135" spans="23:26">
      <c r="W135"/>
      <c r="X135"/>
      <c r="Y135" s="143"/>
      <c r="Z135" s="143"/>
    </row>
    <row r="136" spans="23:26">
      <c r="W136"/>
      <c r="X136"/>
      <c r="Y136" s="143"/>
      <c r="Z136" s="143"/>
    </row>
    <row r="137" spans="23:26">
      <c r="W137"/>
      <c r="X137"/>
      <c r="Y137" s="143"/>
      <c r="Z137" s="143"/>
    </row>
    <row r="138" spans="23:26">
      <c r="W138"/>
      <c r="X138"/>
      <c r="Y138" s="143"/>
      <c r="Z138" s="143"/>
    </row>
    <row r="139" spans="23:26">
      <c r="W139"/>
      <c r="X139"/>
      <c r="Y139" s="143"/>
      <c r="Z139" s="143"/>
    </row>
    <row r="140" spans="23:26">
      <c r="W140"/>
      <c r="X140"/>
      <c r="Y140" s="143"/>
      <c r="Z140" s="143"/>
    </row>
    <row r="141" spans="23:26">
      <c r="W141"/>
      <c r="X141"/>
      <c r="Y141" s="143"/>
      <c r="Z141" s="143"/>
    </row>
    <row r="142" spans="23:26">
      <c r="W142"/>
      <c r="X142"/>
      <c r="Y142" s="143"/>
      <c r="Z142" s="143"/>
    </row>
    <row r="143" spans="23:26">
      <c r="W143"/>
      <c r="X143"/>
      <c r="Y143" s="143"/>
      <c r="Z143" s="143"/>
    </row>
    <row r="144" spans="23:26">
      <c r="W144"/>
      <c r="X144"/>
      <c r="Y144" s="143"/>
      <c r="Z144" s="143"/>
    </row>
    <row r="145" spans="23:26">
      <c r="W145"/>
      <c r="X145"/>
      <c r="Y145" s="143"/>
      <c r="Z145" s="143"/>
    </row>
    <row r="146" spans="23:26">
      <c r="W146"/>
      <c r="X146"/>
      <c r="Y146" s="143"/>
      <c r="Z146" s="143"/>
    </row>
    <row r="147" spans="23:26">
      <c r="W147"/>
      <c r="X147"/>
      <c r="Y147" s="143"/>
      <c r="Z147" s="143"/>
    </row>
    <row r="148" spans="23:26">
      <c r="W148"/>
      <c r="X148"/>
      <c r="Y148" s="143"/>
      <c r="Z148" s="143"/>
    </row>
    <row r="149" spans="23:26">
      <c r="W149"/>
      <c r="X149"/>
      <c r="Y149" s="143"/>
      <c r="Z149" s="143"/>
    </row>
    <row r="150" spans="23:26">
      <c r="W150"/>
      <c r="X150"/>
      <c r="Y150" s="143"/>
      <c r="Z150" s="143"/>
    </row>
    <row r="151" spans="23:26">
      <c r="W151"/>
      <c r="X151"/>
      <c r="Y151" s="143"/>
      <c r="Z151" s="143"/>
    </row>
    <row r="152" spans="23:26">
      <c r="W152"/>
      <c r="X152"/>
      <c r="Y152" s="143"/>
      <c r="Z152" s="143"/>
    </row>
    <row r="153" spans="23:26">
      <c r="W153"/>
      <c r="X153"/>
      <c r="Y153" s="143"/>
      <c r="Z153" s="143"/>
    </row>
    <row r="154" spans="23:26">
      <c r="W154"/>
      <c r="X154"/>
      <c r="Y154" s="143"/>
      <c r="Z154" s="143"/>
    </row>
    <row r="155" spans="23:26">
      <c r="W155"/>
      <c r="X155"/>
      <c r="Y155" s="143"/>
      <c r="Z155" s="143"/>
    </row>
    <row r="156" spans="23:26">
      <c r="W156"/>
      <c r="X156"/>
      <c r="Y156" s="143"/>
      <c r="Z156" s="143"/>
    </row>
    <row r="157" spans="23:26">
      <c r="W157"/>
      <c r="X157"/>
      <c r="Y157" s="143"/>
      <c r="Z157" s="143"/>
    </row>
    <row r="158" spans="23:26">
      <c r="W158"/>
      <c r="X158"/>
      <c r="Y158" s="143"/>
      <c r="Z158" s="143"/>
    </row>
    <row r="159" spans="23:26">
      <c r="W159"/>
      <c r="X159"/>
      <c r="Y159" s="143"/>
      <c r="Z159" s="143"/>
    </row>
    <row r="160" spans="23:26">
      <c r="W160"/>
      <c r="X160"/>
      <c r="Y160" s="143"/>
      <c r="Z160" s="143"/>
    </row>
    <row r="161" spans="23:26">
      <c r="W161"/>
      <c r="X161"/>
      <c r="Y161" s="143"/>
      <c r="Z161" s="143"/>
    </row>
    <row r="162" spans="23:26">
      <c r="W162"/>
      <c r="X162"/>
      <c r="Y162" s="143"/>
      <c r="Z162" s="143"/>
    </row>
    <row r="163" spans="23:26">
      <c r="W163"/>
      <c r="X163"/>
      <c r="Y163" s="143"/>
      <c r="Z163" s="143"/>
    </row>
    <row r="164" spans="23:26">
      <c r="W164"/>
      <c r="X164"/>
      <c r="Y164" s="143"/>
      <c r="Z164" s="143"/>
    </row>
    <row r="165" spans="23:26">
      <c r="W165"/>
      <c r="X165"/>
      <c r="Y165" s="143"/>
      <c r="Z165" s="143"/>
    </row>
    <row r="166" spans="23:26">
      <c r="W166"/>
      <c r="X166"/>
      <c r="Y166" s="143"/>
      <c r="Z166" s="143"/>
    </row>
    <row r="167" spans="23:26">
      <c r="W167"/>
      <c r="X167"/>
      <c r="Y167" s="143"/>
      <c r="Z167" s="143"/>
    </row>
    <row r="168" spans="23:26">
      <c r="W168"/>
      <c r="X168"/>
      <c r="Y168" s="143"/>
      <c r="Z168" s="143"/>
    </row>
    <row r="169" spans="23:26">
      <c r="W169"/>
      <c r="X169"/>
      <c r="Y169" s="143"/>
      <c r="Z169" s="143"/>
    </row>
    <row r="170" spans="23:26">
      <c r="W170"/>
      <c r="X170"/>
      <c r="Y170" s="143"/>
      <c r="Z170" s="143"/>
    </row>
    <row r="171" spans="23:26">
      <c r="W171"/>
      <c r="X171"/>
      <c r="Y171" s="143"/>
      <c r="Z171" s="143"/>
    </row>
    <row r="172" spans="23:26">
      <c r="W172"/>
      <c r="X172"/>
      <c r="Y172" s="143"/>
      <c r="Z172" s="143"/>
    </row>
    <row r="173" spans="23:26">
      <c r="W173"/>
      <c r="X173"/>
      <c r="Y173" s="143"/>
      <c r="Z173" s="143"/>
    </row>
    <row r="174" spans="23:26">
      <c r="W174"/>
      <c r="X174"/>
      <c r="Y174" s="143"/>
      <c r="Z174" s="143"/>
    </row>
    <row r="175" spans="23:26">
      <c r="W175"/>
      <c r="X175"/>
      <c r="Y175" s="143"/>
      <c r="Z175" s="143"/>
    </row>
    <row r="176" spans="23:26">
      <c r="W176"/>
      <c r="X176"/>
      <c r="Y176" s="143"/>
      <c r="Z176" s="143"/>
    </row>
    <row r="177" spans="23:26">
      <c r="W177"/>
      <c r="X177"/>
      <c r="Y177" s="143"/>
      <c r="Z177" s="143"/>
    </row>
    <row r="178" spans="23:26">
      <c r="W178"/>
      <c r="X178"/>
      <c r="Y178" s="143"/>
      <c r="Z178" s="143"/>
    </row>
    <row r="179" spans="23:26">
      <c r="W179"/>
      <c r="X179"/>
      <c r="Y179" s="143"/>
      <c r="Z179" s="143"/>
    </row>
    <row r="180" spans="23:26">
      <c r="W180"/>
      <c r="X180"/>
      <c r="Y180" s="143"/>
      <c r="Z180" s="143"/>
    </row>
    <row r="181" spans="23:26">
      <c r="W181"/>
      <c r="X181"/>
      <c r="Y181" s="143"/>
      <c r="Z181" s="143"/>
    </row>
    <row r="182" spans="23:26">
      <c r="W182"/>
      <c r="X182"/>
      <c r="Y182" s="143"/>
      <c r="Z182" s="143"/>
    </row>
    <row r="183" spans="23:26">
      <c r="W183"/>
      <c r="X183"/>
      <c r="Y183" s="143"/>
      <c r="Z183" s="143"/>
    </row>
    <row r="184" spans="23:26">
      <c r="W184"/>
      <c r="X184"/>
      <c r="Y184" s="143"/>
      <c r="Z184" s="143"/>
    </row>
    <row r="185" spans="23:26">
      <c r="W185"/>
      <c r="X185"/>
      <c r="Y185" s="143"/>
      <c r="Z185" s="143"/>
    </row>
    <row r="186" spans="23:26">
      <c r="W186"/>
      <c r="X186"/>
      <c r="Y186" s="143"/>
      <c r="Z186" s="143"/>
    </row>
    <row r="187" spans="23:26">
      <c r="W187"/>
      <c r="X187"/>
      <c r="Y187" s="143"/>
      <c r="Z187" s="143"/>
    </row>
    <row r="188" spans="23:26">
      <c r="W188"/>
      <c r="X188"/>
      <c r="Y188" s="143"/>
      <c r="Z188" s="143"/>
    </row>
    <row r="189" spans="23:26">
      <c r="W189"/>
      <c r="X189"/>
      <c r="Y189" s="143"/>
      <c r="Z189" s="143"/>
    </row>
    <row r="190" spans="23:26">
      <c r="W190"/>
      <c r="X190"/>
      <c r="Y190" s="143"/>
      <c r="Z190" s="143"/>
    </row>
    <row r="191" spans="23:26">
      <c r="W191"/>
      <c r="X191"/>
      <c r="Y191" s="143"/>
      <c r="Z191" s="143"/>
    </row>
    <row r="192" spans="23:26">
      <c r="W192"/>
      <c r="X192"/>
      <c r="Y192" s="143"/>
      <c r="Z192" s="143"/>
    </row>
    <row r="193" spans="23:26">
      <c r="W193"/>
      <c r="X193"/>
      <c r="Y193" s="143"/>
      <c r="Z193" s="143"/>
    </row>
    <row r="194" spans="23:26">
      <c r="W194"/>
      <c r="X194"/>
      <c r="Y194" s="143"/>
      <c r="Z194" s="143"/>
    </row>
    <row r="195" spans="23:26">
      <c r="W195"/>
      <c r="X195"/>
      <c r="Y195" s="143"/>
      <c r="Z195" s="143"/>
    </row>
    <row r="196" spans="23:26">
      <c r="W196"/>
      <c r="X196"/>
      <c r="Y196" s="143"/>
      <c r="Z196" s="143"/>
    </row>
    <row r="197" spans="23:26">
      <c r="W197"/>
      <c r="X197"/>
      <c r="Y197" s="143"/>
      <c r="Z197" s="143"/>
    </row>
    <row r="198" spans="23:26">
      <c r="W198"/>
      <c r="X198"/>
      <c r="Y198" s="143"/>
      <c r="Z198" s="143"/>
    </row>
    <row r="199" spans="23:26">
      <c r="W199"/>
      <c r="X199"/>
      <c r="Y199" s="143"/>
      <c r="Z199" s="143"/>
    </row>
    <row r="200" spans="23:26">
      <c r="W200"/>
      <c r="X200"/>
      <c r="Y200" s="143"/>
      <c r="Z200" s="143"/>
    </row>
    <row r="201" spans="23:26">
      <c r="W201"/>
      <c r="X201"/>
      <c r="Y201" s="143"/>
      <c r="Z201" s="143"/>
    </row>
    <row r="202" spans="23:26">
      <c r="W202"/>
      <c r="X202"/>
      <c r="Y202" s="143"/>
      <c r="Z202" s="143"/>
    </row>
    <row r="203" spans="23:26">
      <c r="W203"/>
      <c r="X203"/>
      <c r="Y203" s="143"/>
      <c r="Z203" s="143"/>
    </row>
    <row r="204" spans="23:26">
      <c r="W204"/>
      <c r="X204"/>
      <c r="Y204" s="143"/>
      <c r="Z204" s="143"/>
    </row>
    <row r="205" spans="23:26">
      <c r="W205"/>
      <c r="X205"/>
      <c r="Y205" s="143"/>
      <c r="Z205" s="143"/>
    </row>
    <row r="206" spans="23:26">
      <c r="W206"/>
      <c r="X206"/>
      <c r="Y206" s="143"/>
      <c r="Z206" s="143"/>
    </row>
    <row r="207" spans="23:26">
      <c r="W207"/>
      <c r="X207"/>
      <c r="Y207" s="143"/>
      <c r="Z207" s="143"/>
    </row>
    <row r="208" spans="23:26">
      <c r="W208"/>
      <c r="X208"/>
      <c r="Y208" s="143"/>
      <c r="Z208" s="143"/>
    </row>
    <row r="209" spans="23:26">
      <c r="W209"/>
      <c r="X209"/>
      <c r="Y209" s="143"/>
      <c r="Z209" s="143"/>
    </row>
    <row r="210" spans="23:26">
      <c r="W210"/>
      <c r="X210"/>
      <c r="Y210" s="143"/>
      <c r="Z210" s="143"/>
    </row>
    <row r="211" spans="23:26">
      <c r="W211"/>
      <c r="X211"/>
      <c r="Y211" s="143"/>
      <c r="Z211" s="143"/>
    </row>
    <row r="212" spans="23:26">
      <c r="W212"/>
      <c r="X212"/>
      <c r="Y212" s="143"/>
      <c r="Z212" s="143"/>
    </row>
    <row r="213" spans="23:26">
      <c r="W213"/>
      <c r="X213"/>
      <c r="Y213" s="143"/>
      <c r="Z213" s="143"/>
    </row>
    <row r="214" spans="23:26">
      <c r="W214"/>
      <c r="X214"/>
      <c r="Y214" s="143"/>
      <c r="Z214" s="143"/>
    </row>
    <row r="215" spans="23:26">
      <c r="W215"/>
      <c r="X215"/>
      <c r="Y215" s="143"/>
      <c r="Z215" s="143"/>
    </row>
    <row r="216" spans="23:26">
      <c r="W216"/>
      <c r="X216"/>
      <c r="Y216" s="143"/>
      <c r="Z216" s="143"/>
    </row>
    <row r="217" spans="23:26">
      <c r="W217"/>
      <c r="X217"/>
      <c r="Y217" s="143"/>
      <c r="Z217" s="143"/>
    </row>
    <row r="218" spans="23:26">
      <c r="W218"/>
      <c r="X218"/>
      <c r="Y218" s="143"/>
      <c r="Z218" s="143"/>
    </row>
    <row r="219" spans="23:26">
      <c r="W219"/>
      <c r="X219"/>
      <c r="Y219" s="143"/>
      <c r="Z219" s="143"/>
    </row>
    <row r="220" spans="23:26">
      <c r="W220"/>
      <c r="X220"/>
      <c r="Y220" s="143"/>
      <c r="Z220" s="143"/>
    </row>
    <row r="221" spans="23:26">
      <c r="W221"/>
      <c r="X221"/>
      <c r="Y221" s="143"/>
      <c r="Z221" s="143"/>
    </row>
    <row r="222" spans="23:26">
      <c r="W222"/>
      <c r="X222"/>
      <c r="Y222" s="143"/>
      <c r="Z222" s="143"/>
    </row>
    <row r="223" spans="23:26">
      <c r="W223"/>
      <c r="X223"/>
      <c r="Y223" s="143"/>
      <c r="Z223" s="143"/>
    </row>
    <row r="224" spans="23:26">
      <c r="W224"/>
      <c r="X224"/>
      <c r="Y224" s="143"/>
      <c r="Z224" s="143"/>
    </row>
    <row r="225" spans="23:26">
      <c r="W225"/>
      <c r="X225"/>
      <c r="Y225" s="143"/>
      <c r="Z225" s="143"/>
    </row>
    <row r="226" spans="23:26">
      <c r="W226"/>
      <c r="X226"/>
      <c r="Y226" s="143"/>
      <c r="Z226" s="143"/>
    </row>
    <row r="227" spans="23:26">
      <c r="W227"/>
      <c r="X227"/>
      <c r="Y227" s="143"/>
      <c r="Z227" s="143"/>
    </row>
    <row r="228" spans="23:26">
      <c r="W228"/>
      <c r="X228"/>
      <c r="Y228" s="143"/>
      <c r="Z228" s="143"/>
    </row>
    <row r="229" spans="23:26">
      <c r="W229"/>
      <c r="X229"/>
      <c r="Y229" s="143"/>
      <c r="Z229" s="143"/>
    </row>
    <row r="230" spans="23:26">
      <c r="W230"/>
      <c r="X230"/>
      <c r="Y230" s="143"/>
      <c r="Z230" s="143"/>
    </row>
    <row r="231" spans="23:26">
      <c r="W231"/>
      <c r="X231"/>
      <c r="Y231" s="143"/>
      <c r="Z231" s="143"/>
    </row>
    <row r="232" spans="23:26">
      <c r="W232"/>
      <c r="X232"/>
      <c r="Y232" s="143"/>
      <c r="Z232" s="143"/>
    </row>
    <row r="233" spans="23:26">
      <c r="W233"/>
      <c r="X233"/>
      <c r="Y233" s="143"/>
      <c r="Z233" s="143"/>
    </row>
    <row r="234" spans="23:26">
      <c r="W234"/>
      <c r="X234"/>
      <c r="Y234" s="143"/>
      <c r="Z234" s="143"/>
    </row>
    <row r="235" spans="23:26">
      <c r="W235"/>
      <c r="X235"/>
      <c r="Y235" s="143"/>
      <c r="Z235" s="143"/>
    </row>
    <row r="236" spans="23:26">
      <c r="W236"/>
      <c r="X236"/>
      <c r="Y236" s="143"/>
      <c r="Z236" s="143"/>
    </row>
    <row r="237" spans="23:26">
      <c r="W237"/>
      <c r="X237"/>
      <c r="Y237" s="143"/>
      <c r="Z237" s="143"/>
    </row>
    <row r="238" spans="23:26">
      <c r="W238"/>
      <c r="X238"/>
      <c r="Y238" s="143"/>
      <c r="Z238" s="143"/>
    </row>
    <row r="239" spans="23:26">
      <c r="W239"/>
      <c r="X239"/>
      <c r="Y239" s="143"/>
      <c r="Z239" s="143"/>
    </row>
    <row r="240" spans="23:26">
      <c r="W240"/>
      <c r="X240"/>
      <c r="Y240" s="143"/>
      <c r="Z240" s="143"/>
    </row>
    <row r="241" spans="23:26">
      <c r="W241"/>
      <c r="X241"/>
      <c r="Y241" s="143"/>
      <c r="Z241" s="143"/>
    </row>
    <row r="242" spans="23:26">
      <c r="W242"/>
      <c r="X242"/>
      <c r="Y242" s="143"/>
      <c r="Z242" s="143"/>
    </row>
    <row r="243" spans="23:26">
      <c r="W243"/>
      <c r="X243"/>
      <c r="Y243" s="143"/>
      <c r="Z243" s="143"/>
    </row>
    <row r="244" spans="23:26">
      <c r="W244"/>
      <c r="X244"/>
      <c r="Y244" s="143"/>
      <c r="Z244" s="143"/>
    </row>
    <row r="245" spans="23:26">
      <c r="W245"/>
      <c r="X245"/>
      <c r="Y245" s="143"/>
      <c r="Z245" s="143"/>
    </row>
    <row r="246" spans="23:26">
      <c r="W246"/>
      <c r="X246"/>
      <c r="Y246" s="143"/>
      <c r="Z246" s="143"/>
    </row>
    <row r="247" spans="23:26">
      <c r="W247"/>
      <c r="X247"/>
      <c r="Y247" s="143"/>
      <c r="Z247" s="143"/>
    </row>
    <row r="248" spans="23:26">
      <c r="W248"/>
      <c r="X248"/>
      <c r="Y248" s="143"/>
      <c r="Z248" s="143"/>
    </row>
    <row r="249" spans="23:26">
      <c r="W249"/>
      <c r="X249"/>
      <c r="Y249" s="143"/>
      <c r="Z249" s="143"/>
    </row>
    <row r="250" spans="23:26">
      <c r="W250"/>
      <c r="X250"/>
      <c r="Y250" s="143"/>
      <c r="Z250" s="143"/>
    </row>
    <row r="251" spans="23:26">
      <c r="W251"/>
      <c r="X251"/>
      <c r="Y251" s="143"/>
      <c r="Z251" s="143"/>
    </row>
    <row r="252" spans="23:26">
      <c r="W252"/>
      <c r="X252"/>
      <c r="Y252" s="143"/>
      <c r="Z252" s="143"/>
    </row>
    <row r="253" spans="23:26">
      <c r="W253"/>
      <c r="X253"/>
      <c r="Y253" s="143"/>
      <c r="Z253" s="143"/>
    </row>
    <row r="254" spans="23:26">
      <c r="W254"/>
      <c r="X254"/>
      <c r="Y254" s="143"/>
      <c r="Z254" s="143"/>
    </row>
  </sheetData>
  <sortState ref="BD2:BN27">
    <sortCondition ref="BD4"/>
  </sortState>
  <mergeCells count="3">
    <mergeCell ref="BD1:BO1"/>
    <mergeCell ref="CN1:DD2"/>
    <mergeCell ref="BV1:CL2"/>
  </mergeCells>
  <conditionalFormatting pivot="1" sqref="BT4:BT55">
    <cfRule type="cellIs" dxfId="562" priority="1" operator="greaterThan">
      <formula>0</formula>
    </cfRule>
  </conditionalFormatting>
  <pageMargins left="0.7" right="0.7" top="0.75" bottom="0.75" header="0.3" footer="0.3"/>
  <pageSetup orientation="portrait" r:id="rId3"/>
  <tableParts count="2">
    <tablePart r:id="rId4"/>
    <tablePart r:id="rId5"/>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BI131"/>
  <sheetViews>
    <sheetView topLeftCell="A4" workbookViewId="0">
      <selection activeCell="H28" sqref="H28"/>
    </sheetView>
  </sheetViews>
  <sheetFormatPr defaultRowHeight="15"/>
  <cols>
    <col min="1" max="1" width="13.140625" style="31" bestFit="1" customWidth="1"/>
    <col min="2" max="2" width="14.7109375" style="31" bestFit="1" customWidth="1"/>
    <col min="3" max="3" width="11" style="31" bestFit="1" customWidth="1"/>
    <col min="4" max="4" width="42.28515625" style="31" customWidth="1"/>
    <col min="5" max="5" width="28.42578125" style="262" customWidth="1"/>
    <col min="6" max="6" width="16" style="69" bestFit="1" customWidth="1"/>
    <col min="7" max="7" width="13.28515625" style="69" bestFit="1" customWidth="1"/>
    <col min="8" max="8" width="17.85546875" style="14" bestFit="1" customWidth="1"/>
    <col min="9" max="9" width="27.28515625" style="69" bestFit="1" customWidth="1"/>
    <col min="10" max="10" width="17.7109375" style="31" bestFit="1" customWidth="1"/>
    <col min="11" max="11" width="4" style="31" customWidth="1"/>
    <col min="12" max="12" width="21" style="31" customWidth="1"/>
    <col min="13" max="13" width="16.140625" style="31" customWidth="1"/>
    <col min="14" max="14" width="10.28515625" style="262" customWidth="1"/>
    <col min="15" max="16" width="12.5703125" style="262" bestFit="1" customWidth="1"/>
    <col min="17" max="17" width="14.42578125" style="262" bestFit="1" customWidth="1"/>
    <col min="18" max="19" width="12.5703125" style="262" bestFit="1" customWidth="1"/>
    <col min="20" max="21" width="12.5703125" style="31" bestFit="1" customWidth="1"/>
    <col min="22" max="23" width="12.5703125" style="262" bestFit="1" customWidth="1"/>
    <col min="24" max="24" width="13.28515625" style="262" customWidth="1"/>
    <col min="25" max="25" width="4.140625" style="262" customWidth="1"/>
    <col min="26" max="26" width="22.28515625" style="31" customWidth="1"/>
    <col min="27" max="27" width="11.5703125" style="262" bestFit="1" customWidth="1"/>
    <col min="28" max="30" width="11.5703125" style="31" bestFit="1" customWidth="1"/>
    <col min="31" max="31" width="14.42578125" style="262" bestFit="1" customWidth="1"/>
    <col min="32" max="32" width="11.5703125" style="31" bestFit="1" customWidth="1"/>
    <col min="33" max="33" width="11.5703125" style="262" bestFit="1" customWidth="1"/>
    <col min="34" max="34" width="11.5703125" style="262" customWidth="1"/>
    <col min="35" max="36" width="11.5703125" style="31" bestFit="1" customWidth="1"/>
    <col min="37" max="37" width="18.7109375" style="262" bestFit="1" customWidth="1"/>
    <col min="38" max="38" width="19.7109375" style="262" bestFit="1" customWidth="1"/>
    <col min="39" max="39" width="11.5703125" style="31" bestFit="1" customWidth="1"/>
    <col min="40" max="42" width="11.5703125" style="262" bestFit="1" customWidth="1"/>
    <col min="43" max="43" width="11.5703125" style="31" customWidth="1"/>
    <col min="44" max="44" width="11.5703125" style="262" bestFit="1" customWidth="1"/>
    <col min="45" max="45" width="11.5703125" style="262" customWidth="1"/>
    <col min="46" max="46" width="11.5703125" style="262" bestFit="1" customWidth="1"/>
    <col min="47" max="47" width="9.140625" style="262" customWidth="1"/>
    <col min="48" max="59" width="9.140625" customWidth="1"/>
    <col min="60" max="60" width="11.5703125" style="31" bestFit="1" customWidth="1"/>
    <col min="61" max="16384" width="9.140625" style="31"/>
  </cols>
  <sheetData>
    <row r="1" spans="1:60" ht="21">
      <c r="A1" s="638" t="s">
        <v>110</v>
      </c>
      <c r="B1" s="638"/>
      <c r="C1" s="638"/>
      <c r="D1" s="638"/>
      <c r="E1" s="638"/>
      <c r="F1" s="638"/>
      <c r="G1" s="638"/>
      <c r="H1" s="638"/>
      <c r="I1" s="638"/>
      <c r="J1" s="638"/>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M1" s="245"/>
      <c r="AN1" s="245"/>
      <c r="AO1" s="245"/>
      <c r="AP1" s="245"/>
      <c r="AQ1" s="245"/>
      <c r="AR1" s="245"/>
      <c r="AS1" s="245"/>
      <c r="AT1" s="245"/>
      <c r="AU1" s="245"/>
      <c r="BH1" s="245"/>
    </row>
    <row r="2" spans="1:60" s="20" customFormat="1" ht="30">
      <c r="A2" s="20" t="s">
        <v>111</v>
      </c>
      <c r="B2" s="20" t="s">
        <v>0</v>
      </c>
      <c r="C2" s="20" t="s">
        <v>115</v>
      </c>
      <c r="D2" s="20" t="s">
        <v>109</v>
      </c>
      <c r="E2" s="185" t="s">
        <v>510</v>
      </c>
      <c r="F2" s="185" t="s">
        <v>508</v>
      </c>
      <c r="G2" s="70" t="s">
        <v>2240</v>
      </c>
      <c r="H2" s="70" t="s">
        <v>2241</v>
      </c>
      <c r="I2" s="34" t="s">
        <v>114</v>
      </c>
      <c r="J2" s="68" t="s">
        <v>108</v>
      </c>
      <c r="L2" s="106" t="s">
        <v>175</v>
      </c>
      <c r="M2" s="265" t="s">
        <v>508</v>
      </c>
      <c r="N2" s="265" t="s">
        <v>2222</v>
      </c>
      <c r="O2" s="32" t="s">
        <v>79</v>
      </c>
      <c r="P2" s="134" t="s">
        <v>211</v>
      </c>
      <c r="Q2" s="32" t="s">
        <v>26</v>
      </c>
      <c r="R2" s="32" t="s">
        <v>171</v>
      </c>
      <c r="S2" s="134" t="s">
        <v>466</v>
      </c>
      <c r="T2" s="134" t="s">
        <v>212</v>
      </c>
      <c r="U2" s="134" t="s">
        <v>213</v>
      </c>
      <c r="V2" s="32" t="s">
        <v>25</v>
      </c>
      <c r="W2" s="134" t="s">
        <v>209</v>
      </c>
      <c r="X2" s="32" t="s">
        <v>23</v>
      </c>
      <c r="Z2" s="106" t="s">
        <v>175</v>
      </c>
      <c r="AA2" s="32" t="s">
        <v>79</v>
      </c>
      <c r="AB2" s="134" t="s">
        <v>211</v>
      </c>
      <c r="AC2" s="32" t="s">
        <v>26</v>
      </c>
      <c r="AD2" s="32" t="s">
        <v>171</v>
      </c>
      <c r="AE2" s="134" t="s">
        <v>466</v>
      </c>
      <c r="AF2" s="134" t="s">
        <v>212</v>
      </c>
      <c r="AG2" s="134" t="s">
        <v>213</v>
      </c>
      <c r="AH2" s="32" t="s">
        <v>25</v>
      </c>
      <c r="AI2" s="134" t="s">
        <v>209</v>
      </c>
      <c r="AJ2" s="32" t="s">
        <v>23</v>
      </c>
      <c r="AL2"/>
      <c r="AM2"/>
      <c r="AN2"/>
      <c r="AO2"/>
      <c r="AP2"/>
      <c r="AQ2"/>
      <c r="AR2"/>
      <c r="AS2"/>
      <c r="AT2"/>
      <c r="AU2"/>
      <c r="AV2"/>
      <c r="AW2"/>
    </row>
    <row r="3" spans="1:60" s="20" customFormat="1">
      <c r="A3" s="42" t="s">
        <v>227</v>
      </c>
      <c r="B3" s="42" t="s">
        <v>56</v>
      </c>
      <c r="C3" s="42" t="s">
        <v>95</v>
      </c>
      <c r="D3" s="53" t="s">
        <v>125</v>
      </c>
      <c r="E3" s="53" t="s">
        <v>53</v>
      </c>
      <c r="F3" s="53" t="s">
        <v>507</v>
      </c>
      <c r="G3" s="163">
        <v>161208</v>
      </c>
      <c r="H3" s="163">
        <v>29017.439999999999</v>
      </c>
      <c r="I3" s="88" t="s">
        <v>106</v>
      </c>
      <c r="J3" s="89">
        <f>IF(SW_Pricing_Table[[#This Row],[Include Maint in Year 1?]]="No",SW_Pricing_Table[[#This Row],[SW Cost (Annual)]],SW_Pricing_Table[[#This Row],[SW Cost (Annual)]]+SW_Pricing_Table[[#This Row],[Maintenance (Annual)]])</f>
        <v>190225.44</v>
      </c>
      <c r="L3" s="12" t="s">
        <v>53</v>
      </c>
      <c r="M3" s="19" t="str">
        <f>INDEX(SW_Pricing_Table[],MATCH(Product_Pricing_Table[[#This Row],[Product Name]],SW_Pricing_Table[Prod Alias],0),6)</f>
        <v>Cores</v>
      </c>
      <c r="N3" s="19"/>
      <c r="O3" s="132">
        <f t="shared" ref="O3:X3" si="0">AbInitio_p7_All</f>
        <v>190225.44</v>
      </c>
      <c r="P3" s="132">
        <f t="shared" si="0"/>
        <v>190225.44</v>
      </c>
      <c r="Q3" s="132">
        <f t="shared" si="0"/>
        <v>190225.44</v>
      </c>
      <c r="R3" s="132">
        <f t="shared" si="0"/>
        <v>190225.44</v>
      </c>
      <c r="S3" s="223">
        <f t="shared" si="0"/>
        <v>190225.44</v>
      </c>
      <c r="T3" s="132">
        <f t="shared" si="0"/>
        <v>190225.44</v>
      </c>
      <c r="U3" s="132">
        <f t="shared" si="0"/>
        <v>190225.44</v>
      </c>
      <c r="V3" s="132">
        <f t="shared" si="0"/>
        <v>190225.44</v>
      </c>
      <c r="W3" s="132">
        <f t="shared" si="0"/>
        <v>190225.44</v>
      </c>
      <c r="X3" s="132">
        <f t="shared" si="0"/>
        <v>190225.44</v>
      </c>
      <c r="Z3" s="12" t="s">
        <v>53</v>
      </c>
      <c r="AA3" s="223">
        <f t="shared" ref="AA3:AJ3" si="1">AbInitio_p7_All_Maint</f>
        <v>29017.439999999999</v>
      </c>
      <c r="AB3" s="132">
        <f t="shared" si="1"/>
        <v>29017.439999999999</v>
      </c>
      <c r="AC3" s="223">
        <f t="shared" si="1"/>
        <v>29017.439999999999</v>
      </c>
      <c r="AD3" s="132">
        <f t="shared" si="1"/>
        <v>29017.439999999999</v>
      </c>
      <c r="AE3" s="223">
        <f t="shared" si="1"/>
        <v>29017.439999999999</v>
      </c>
      <c r="AF3" s="132">
        <f t="shared" si="1"/>
        <v>29017.439999999999</v>
      </c>
      <c r="AG3" s="132">
        <f t="shared" si="1"/>
        <v>29017.439999999999</v>
      </c>
      <c r="AH3" s="132">
        <f t="shared" si="1"/>
        <v>29017.439999999999</v>
      </c>
      <c r="AI3" s="132">
        <f t="shared" si="1"/>
        <v>29017.439999999999</v>
      </c>
      <c r="AJ3" s="132">
        <f t="shared" si="1"/>
        <v>29017.439999999999</v>
      </c>
      <c r="AL3"/>
      <c r="AM3"/>
      <c r="AN3"/>
      <c r="AO3"/>
      <c r="AP3"/>
      <c r="AQ3"/>
      <c r="AR3"/>
      <c r="AS3"/>
      <c r="AT3"/>
      <c r="AU3"/>
      <c r="AV3"/>
      <c r="AW3"/>
    </row>
    <row r="4" spans="1:60">
      <c r="A4" s="43" t="s">
        <v>2211</v>
      </c>
      <c r="B4" s="43" t="s">
        <v>2212</v>
      </c>
      <c r="C4" s="43" t="s">
        <v>56</v>
      </c>
      <c r="D4" s="63" t="s">
        <v>2213</v>
      </c>
      <c r="E4" s="63" t="s">
        <v>2214</v>
      </c>
      <c r="F4" s="63" t="s">
        <v>92</v>
      </c>
      <c r="G4" s="416">
        <v>0</v>
      </c>
      <c r="H4" s="416">
        <v>0</v>
      </c>
      <c r="I4" s="76" t="s">
        <v>105</v>
      </c>
      <c r="J4" s="77">
        <f>IF(SW_Pricing_Table[[#This Row],[Include Maint in Year 1?]]="No",SW_Pricing_Table[[#This Row],[SW Cost (Annual)]],SW_Pricing_Table[[#This Row],[SW Cost (Annual)]]+SW_Pricing_Table[[#This Row],[Maintenance (Annual)]])</f>
        <v>0</v>
      </c>
      <c r="L4" s="222" t="s">
        <v>2214</v>
      </c>
      <c r="M4" s="307" t="str">
        <f>INDEX(SW_Pricing_Table[],MATCH(Product_Pricing_Table[[#This Row],[Product Name]],SW_Pricing_Table[Prod Alias],0),6)</f>
        <v>Per Server</v>
      </c>
      <c r="N4" s="307"/>
      <c r="O4" s="133">
        <f t="shared" ref="O4:U4" si="2">CA_APM_All_NonDev</f>
        <v>0</v>
      </c>
      <c r="P4" s="133">
        <f t="shared" si="2"/>
        <v>0</v>
      </c>
      <c r="Q4" s="133">
        <f t="shared" si="2"/>
        <v>0</v>
      </c>
      <c r="R4" s="133">
        <f t="shared" si="2"/>
        <v>0</v>
      </c>
      <c r="S4" s="133">
        <f t="shared" si="2"/>
        <v>0</v>
      </c>
      <c r="T4" s="133">
        <f t="shared" si="2"/>
        <v>0</v>
      </c>
      <c r="U4" s="133">
        <f t="shared" si="2"/>
        <v>0</v>
      </c>
      <c r="V4" s="133">
        <f>CA_APM_All_Dev</f>
        <v>0</v>
      </c>
      <c r="W4" s="133">
        <f>CA_APM_All_Dev</f>
        <v>0</v>
      </c>
      <c r="X4" s="133">
        <f>CA_APM_All_Dev</f>
        <v>0</v>
      </c>
      <c r="Y4" s="31"/>
      <c r="Z4" s="222" t="s">
        <v>2214</v>
      </c>
      <c r="AA4" s="133">
        <f t="shared" ref="AA4:AG4" si="3">CA_APM_All_NonDev_Maint</f>
        <v>0</v>
      </c>
      <c r="AB4" s="133">
        <f t="shared" si="3"/>
        <v>0</v>
      </c>
      <c r="AC4" s="133">
        <f t="shared" si="3"/>
        <v>0</v>
      </c>
      <c r="AD4" s="133">
        <f t="shared" si="3"/>
        <v>0</v>
      </c>
      <c r="AE4" s="133">
        <f t="shared" si="3"/>
        <v>0</v>
      </c>
      <c r="AF4" s="133">
        <f t="shared" si="3"/>
        <v>0</v>
      </c>
      <c r="AG4" s="133">
        <f t="shared" si="3"/>
        <v>0</v>
      </c>
      <c r="AH4" s="133">
        <f>CA_APM_All_Dev_Maint</f>
        <v>0</v>
      </c>
      <c r="AI4" s="133">
        <f>CA_APM_All_Dev_Maint</f>
        <v>0</v>
      </c>
      <c r="AJ4" s="133">
        <f>CA_APM_All_Dev_Maint</f>
        <v>0</v>
      </c>
      <c r="AK4" s="31"/>
      <c r="AL4"/>
      <c r="AM4"/>
      <c r="AN4"/>
      <c r="AO4"/>
      <c r="AP4"/>
      <c r="AQ4"/>
      <c r="AR4"/>
      <c r="AS4"/>
      <c r="AT4"/>
      <c r="AU4"/>
      <c r="AX4" s="31"/>
      <c r="AY4" s="31"/>
      <c r="AZ4" s="31"/>
      <c r="BA4" s="31"/>
      <c r="BB4" s="31"/>
      <c r="BC4" s="31"/>
      <c r="BD4" s="31"/>
      <c r="BE4" s="31"/>
      <c r="BF4" s="31"/>
      <c r="BG4" s="31"/>
    </row>
    <row r="5" spans="1:60">
      <c r="A5" s="43" t="s">
        <v>2211</v>
      </c>
      <c r="B5" s="43" t="s">
        <v>59</v>
      </c>
      <c r="C5" s="43" t="s">
        <v>56</v>
      </c>
      <c r="D5" s="63" t="s">
        <v>2213</v>
      </c>
      <c r="E5" s="63" t="s">
        <v>2214</v>
      </c>
      <c r="F5" s="63" t="s">
        <v>92</v>
      </c>
      <c r="G5" s="416">
        <v>0</v>
      </c>
      <c r="H5" s="416">
        <v>0</v>
      </c>
      <c r="I5" s="76" t="s">
        <v>105</v>
      </c>
      <c r="J5" s="77">
        <f>IF(SW_Pricing_Table[[#This Row],[Include Maint in Year 1?]]="No",SW_Pricing_Table[[#This Row],[SW Cost (Annual)]],SW_Pricing_Table[[#This Row],[SW Cost (Annual)]]+SW_Pricing_Table[[#This Row],[Maintenance (Annual)]])</f>
        <v>0</v>
      </c>
      <c r="L5" s="187" t="s">
        <v>380</v>
      </c>
      <c r="M5" s="19" t="str">
        <f>INDEX(SW_Pricing_Table[],MATCH(Product_Pricing_Table[[#This Row],[Product Name]],SW_Pricing_Table[Prod Alias],0),6)</f>
        <v>Per Server</v>
      </c>
      <c r="N5" s="19"/>
      <c r="O5" s="133">
        <f t="shared" ref="O5:X5" si="4">FinCAD_X86_All</f>
        <v>52500</v>
      </c>
      <c r="P5" s="133">
        <f t="shared" si="4"/>
        <v>52500</v>
      </c>
      <c r="Q5" s="133">
        <f t="shared" si="4"/>
        <v>52500</v>
      </c>
      <c r="R5" s="133">
        <f t="shared" si="4"/>
        <v>52500</v>
      </c>
      <c r="S5" s="133">
        <f t="shared" si="4"/>
        <v>52500</v>
      </c>
      <c r="T5" s="133">
        <f t="shared" si="4"/>
        <v>52500</v>
      </c>
      <c r="U5" s="133">
        <f t="shared" si="4"/>
        <v>52500</v>
      </c>
      <c r="V5" s="133">
        <f t="shared" si="4"/>
        <v>52500</v>
      </c>
      <c r="W5" s="133">
        <f t="shared" si="4"/>
        <v>52500</v>
      </c>
      <c r="X5" s="133">
        <f t="shared" si="4"/>
        <v>52500</v>
      </c>
      <c r="Y5" s="31"/>
      <c r="Z5" s="187" t="s">
        <v>380</v>
      </c>
      <c r="AA5" s="133">
        <f t="shared" ref="AA5:AJ5" si="5">FinCAD_X86_All_Maint</f>
        <v>0</v>
      </c>
      <c r="AB5" s="133">
        <f t="shared" si="5"/>
        <v>0</v>
      </c>
      <c r="AC5" s="133">
        <f t="shared" si="5"/>
        <v>0</v>
      </c>
      <c r="AD5" s="133">
        <f t="shared" si="5"/>
        <v>0</v>
      </c>
      <c r="AE5" s="133">
        <f t="shared" si="5"/>
        <v>0</v>
      </c>
      <c r="AF5" s="133">
        <f t="shared" si="5"/>
        <v>0</v>
      </c>
      <c r="AG5" s="133">
        <f t="shared" si="5"/>
        <v>0</v>
      </c>
      <c r="AH5" s="133">
        <f t="shared" si="5"/>
        <v>0</v>
      </c>
      <c r="AI5" s="133">
        <f t="shared" si="5"/>
        <v>0</v>
      </c>
      <c r="AJ5" s="133">
        <f t="shared" si="5"/>
        <v>0</v>
      </c>
      <c r="AK5" s="31"/>
      <c r="AL5"/>
      <c r="AM5"/>
      <c r="AN5"/>
      <c r="AO5"/>
      <c r="AP5"/>
      <c r="AQ5"/>
      <c r="AR5"/>
      <c r="AS5"/>
      <c r="AT5"/>
      <c r="AU5"/>
      <c r="AX5" s="31"/>
      <c r="AY5" s="31"/>
      <c r="AZ5" s="31"/>
      <c r="BA5" s="31"/>
      <c r="BB5" s="31"/>
      <c r="BC5" s="31"/>
      <c r="BD5" s="31"/>
      <c r="BE5" s="31"/>
      <c r="BF5" s="31"/>
      <c r="BG5" s="31"/>
    </row>
    <row r="6" spans="1:60">
      <c r="A6" s="417" t="s">
        <v>380</v>
      </c>
      <c r="B6" s="417" t="s">
        <v>56</v>
      </c>
      <c r="C6" s="417" t="s">
        <v>116</v>
      </c>
      <c r="D6" s="417" t="s">
        <v>381</v>
      </c>
      <c r="E6" s="417" t="s">
        <v>380</v>
      </c>
      <c r="F6" s="417" t="s">
        <v>92</v>
      </c>
      <c r="G6" s="418">
        <v>52500</v>
      </c>
      <c r="H6" s="418">
        <v>0</v>
      </c>
      <c r="I6" s="419" t="s">
        <v>105</v>
      </c>
      <c r="J6" s="418">
        <f>IF(SW_Pricing_Table[[#This Row],[Include Maint in Year 1?]]="No",SW_Pricing_Table[[#This Row],[SW Cost (Annual)]],SW_Pricing_Table[[#This Row],[SW Cost (Annual)]]+SW_Pricing_Table[[#This Row],[Maintenance (Annual)]])</f>
        <v>52500</v>
      </c>
      <c r="L6" s="12" t="s">
        <v>143</v>
      </c>
      <c r="M6" s="19" t="s">
        <v>507</v>
      </c>
      <c r="N6" s="19"/>
      <c r="O6" s="17">
        <f t="shared" ref="O6:X6" si="6">IBM_BG_Web_Client_pSeries</f>
        <v>6660</v>
      </c>
      <c r="P6" s="132">
        <f t="shared" si="6"/>
        <v>6660</v>
      </c>
      <c r="Q6" s="17">
        <f t="shared" si="6"/>
        <v>6660</v>
      </c>
      <c r="R6" s="17">
        <f t="shared" si="6"/>
        <v>6660</v>
      </c>
      <c r="S6" s="223">
        <f t="shared" si="6"/>
        <v>6660</v>
      </c>
      <c r="T6" s="132">
        <f t="shared" si="6"/>
        <v>6660</v>
      </c>
      <c r="U6" s="17">
        <f t="shared" si="6"/>
        <v>6660</v>
      </c>
      <c r="V6" s="17">
        <f t="shared" si="6"/>
        <v>6660</v>
      </c>
      <c r="W6" s="17">
        <f t="shared" si="6"/>
        <v>6660</v>
      </c>
      <c r="X6" s="17">
        <f t="shared" si="6"/>
        <v>6660</v>
      </c>
      <c r="Y6" s="31"/>
      <c r="Z6" s="12" t="s">
        <v>143</v>
      </c>
      <c r="AA6" s="223">
        <f t="shared" ref="AA6:AJ6" si="7">IBM_BG_Web_Client_pSeries_Maint</f>
        <v>1332</v>
      </c>
      <c r="AB6" s="132">
        <f t="shared" si="7"/>
        <v>1332</v>
      </c>
      <c r="AC6" s="223">
        <f t="shared" si="7"/>
        <v>1332</v>
      </c>
      <c r="AD6" s="17">
        <f t="shared" si="7"/>
        <v>1332</v>
      </c>
      <c r="AE6" s="223">
        <f t="shared" si="7"/>
        <v>1332</v>
      </c>
      <c r="AF6" s="132">
        <f t="shared" si="7"/>
        <v>1332</v>
      </c>
      <c r="AG6" s="17">
        <f t="shared" si="7"/>
        <v>1332</v>
      </c>
      <c r="AH6" s="17">
        <f t="shared" si="7"/>
        <v>1332</v>
      </c>
      <c r="AI6" s="17">
        <f t="shared" si="7"/>
        <v>1332</v>
      </c>
      <c r="AJ6" s="17">
        <f t="shared" si="7"/>
        <v>1332</v>
      </c>
      <c r="AK6" s="31"/>
      <c r="AL6"/>
      <c r="AM6"/>
      <c r="AN6"/>
      <c r="AO6"/>
      <c r="AP6"/>
      <c r="AQ6"/>
      <c r="AR6"/>
      <c r="AS6"/>
      <c r="AT6"/>
      <c r="AU6"/>
      <c r="AX6" s="31"/>
      <c r="AY6" s="31"/>
      <c r="AZ6" s="31"/>
      <c r="BA6" s="31"/>
      <c r="BB6" s="31"/>
      <c r="BC6" s="31"/>
      <c r="BD6" s="31"/>
      <c r="BE6" s="31"/>
      <c r="BF6" s="31"/>
      <c r="BG6" s="31"/>
    </row>
    <row r="7" spans="1:60">
      <c r="A7" s="16" t="s">
        <v>112</v>
      </c>
      <c r="B7" s="16" t="s">
        <v>113</v>
      </c>
      <c r="C7" s="16" t="s">
        <v>95</v>
      </c>
      <c r="D7" s="16" t="s">
        <v>139</v>
      </c>
      <c r="E7" s="16" t="s">
        <v>142</v>
      </c>
      <c r="F7" s="16" t="s">
        <v>507</v>
      </c>
      <c r="G7" s="155">
        <v>26784</v>
      </c>
      <c r="H7" s="155">
        <v>5364</v>
      </c>
      <c r="I7" s="78" t="s">
        <v>105</v>
      </c>
      <c r="J7" s="129">
        <f>IF(SW_Pricing_Table[[#This Row],[Include Maint in Year 1?]]="No",SW_Pricing_Table[[#This Row],[SW Cost (Annual)]],SW_Pricing_Table[[#This Row],[SW Cost (Annual)]]+SW_Pricing_Table[[#This Row],[Maintenance (Annual)]])</f>
        <v>26784</v>
      </c>
      <c r="L7" s="12" t="s">
        <v>142</v>
      </c>
      <c r="M7" s="19" t="str">
        <f>INDEX(SW_Pricing_Table[],MATCH(Product_Pricing_Table[[#This Row],[Product Name]],SW_Pricing_Table[Prod Alias],0),6)</f>
        <v>Cores</v>
      </c>
      <c r="N7" s="19"/>
      <c r="O7" s="17">
        <f>IBM_Biz_Glossary_pSeries_Prod</f>
        <v>26784</v>
      </c>
      <c r="P7" s="132">
        <f>IBM_Biz_Glossary_pSeries_Prod</f>
        <v>26784</v>
      </c>
      <c r="Q7" s="133">
        <f t="shared" ref="Q7:X7" si="8">IBM_Biz_Glossary_pSeries_NonProd</f>
        <v>13320</v>
      </c>
      <c r="R7" s="133">
        <f t="shared" si="8"/>
        <v>13320</v>
      </c>
      <c r="S7" s="133">
        <f t="shared" si="8"/>
        <v>13320</v>
      </c>
      <c r="T7" s="133">
        <f t="shared" si="8"/>
        <v>13320</v>
      </c>
      <c r="U7" s="133">
        <f t="shared" si="8"/>
        <v>13320</v>
      </c>
      <c r="V7" s="133">
        <f t="shared" si="8"/>
        <v>13320</v>
      </c>
      <c r="W7" s="133">
        <f t="shared" si="8"/>
        <v>13320</v>
      </c>
      <c r="X7" s="133">
        <f t="shared" si="8"/>
        <v>13320</v>
      </c>
      <c r="Y7" s="31"/>
      <c r="Z7" s="12" t="s">
        <v>142</v>
      </c>
      <c r="AA7" s="223">
        <f>IBM_Biz_Glossary_pSeries_Prod_Maint</f>
        <v>5364</v>
      </c>
      <c r="AB7" s="132">
        <f>IBM_Biz_Glossary_pSeries_Prod_Maint</f>
        <v>5364</v>
      </c>
      <c r="AC7" s="223">
        <f t="shared" ref="AC7:AJ7" si="9">IBM_Biz_Glossary_pSeries_NonProd_Maint</f>
        <v>2664</v>
      </c>
      <c r="AD7" s="17">
        <f t="shared" si="9"/>
        <v>2664</v>
      </c>
      <c r="AE7" s="223">
        <f t="shared" si="9"/>
        <v>2664</v>
      </c>
      <c r="AF7" s="132">
        <f t="shared" si="9"/>
        <v>2664</v>
      </c>
      <c r="AG7" s="17">
        <f t="shared" si="9"/>
        <v>2664</v>
      </c>
      <c r="AH7" s="17">
        <f t="shared" si="9"/>
        <v>2664</v>
      </c>
      <c r="AI7" s="17">
        <f t="shared" si="9"/>
        <v>2664</v>
      </c>
      <c r="AJ7" s="17">
        <f t="shared" si="9"/>
        <v>2664</v>
      </c>
      <c r="AK7" s="31"/>
      <c r="AL7"/>
      <c r="AM7"/>
      <c r="AN7"/>
      <c r="AO7"/>
      <c r="AP7"/>
      <c r="AQ7"/>
      <c r="AR7"/>
      <c r="AS7"/>
      <c r="AT7"/>
      <c r="AU7"/>
      <c r="AX7" s="31"/>
      <c r="AY7" s="31"/>
      <c r="AZ7" s="31"/>
      <c r="BA7" s="31"/>
      <c r="BB7" s="31"/>
      <c r="BC7" s="31"/>
      <c r="BD7" s="31"/>
      <c r="BE7" s="31"/>
      <c r="BF7" s="31"/>
      <c r="BG7" s="31"/>
    </row>
    <row r="8" spans="1:60">
      <c r="A8" s="16" t="s">
        <v>112</v>
      </c>
      <c r="B8" s="16" t="s">
        <v>107</v>
      </c>
      <c r="C8" s="16" t="s">
        <v>95</v>
      </c>
      <c r="D8" s="16" t="s">
        <v>139</v>
      </c>
      <c r="E8" s="16" t="s">
        <v>142</v>
      </c>
      <c r="F8" s="16" t="s">
        <v>507</v>
      </c>
      <c r="G8" s="155">
        <v>13320</v>
      </c>
      <c r="H8" s="155">
        <v>2664</v>
      </c>
      <c r="I8" s="78" t="s">
        <v>105</v>
      </c>
      <c r="J8" s="129">
        <f>IF(SW_Pricing_Table[[#This Row],[Include Maint in Year 1?]]="No",SW_Pricing_Table[[#This Row],[SW Cost (Annual)]],SW_Pricing_Table[[#This Row],[SW Cost (Annual)]]+SW_Pricing_Table[[#This Row],[Maintenance (Annual)]])</f>
        <v>13320</v>
      </c>
      <c r="L8" s="12" t="s">
        <v>51</v>
      </c>
      <c r="M8" s="19" t="str">
        <f>INDEX(SW_Pricing_Table[],MATCH(Product_Pricing_Table[[#This Row],[Product Name]],SW_Pricing_Table[Prod Alias],0),6)</f>
        <v>Cores</v>
      </c>
      <c r="N8" s="19"/>
      <c r="O8" s="17">
        <f>IBM_Datastage_Prod</f>
        <v>22140</v>
      </c>
      <c r="P8" s="132">
        <f>IBM_Datastage_Prod</f>
        <v>22140</v>
      </c>
      <c r="Q8" s="17">
        <f t="shared" ref="Q8:X8" si="10">IBM_Datastage_NonProd</f>
        <v>11052</v>
      </c>
      <c r="R8" s="17">
        <f t="shared" si="10"/>
        <v>11052</v>
      </c>
      <c r="S8" s="223">
        <f t="shared" si="10"/>
        <v>11052</v>
      </c>
      <c r="T8" s="132">
        <f t="shared" si="10"/>
        <v>11052</v>
      </c>
      <c r="U8" s="17">
        <f t="shared" si="10"/>
        <v>11052</v>
      </c>
      <c r="V8" s="17">
        <f t="shared" si="10"/>
        <v>11052</v>
      </c>
      <c r="W8" s="17">
        <f t="shared" si="10"/>
        <v>11052</v>
      </c>
      <c r="X8" s="17">
        <f t="shared" si="10"/>
        <v>11052</v>
      </c>
      <c r="Y8" s="31"/>
      <c r="Z8" s="12" t="s">
        <v>51</v>
      </c>
      <c r="AA8" s="223">
        <f>IBM_Datastage_Prod_Maint</f>
        <v>8856</v>
      </c>
      <c r="AB8" s="132">
        <f>IBM_Datastage_Prod_Maint</f>
        <v>8856</v>
      </c>
      <c r="AC8" s="223">
        <f t="shared" ref="AC8:AJ8" si="11">IBM_Datastage_NonProd_Maint</f>
        <v>4428</v>
      </c>
      <c r="AD8" s="17">
        <f t="shared" si="11"/>
        <v>4428</v>
      </c>
      <c r="AE8" s="223">
        <f t="shared" si="11"/>
        <v>4428</v>
      </c>
      <c r="AF8" s="132">
        <f t="shared" si="11"/>
        <v>4428</v>
      </c>
      <c r="AG8" s="17">
        <f t="shared" si="11"/>
        <v>4428</v>
      </c>
      <c r="AH8" s="17">
        <f t="shared" si="11"/>
        <v>4428</v>
      </c>
      <c r="AI8" s="17">
        <f t="shared" si="11"/>
        <v>4428</v>
      </c>
      <c r="AJ8" s="17">
        <f t="shared" si="11"/>
        <v>4428</v>
      </c>
      <c r="AK8" s="31"/>
      <c r="AL8"/>
      <c r="AM8"/>
      <c r="AN8"/>
      <c r="AO8"/>
      <c r="AP8"/>
      <c r="AQ8"/>
      <c r="AR8"/>
      <c r="AS8"/>
      <c r="AT8"/>
      <c r="AU8"/>
      <c r="AX8" s="31"/>
      <c r="AY8" s="31"/>
      <c r="AZ8" s="31"/>
      <c r="BA8" s="31"/>
      <c r="BB8" s="31"/>
      <c r="BC8" s="31"/>
      <c r="BD8" s="31"/>
      <c r="BE8" s="31"/>
      <c r="BF8" s="31"/>
      <c r="BG8" s="31"/>
    </row>
    <row r="9" spans="1:60">
      <c r="A9" s="16" t="s">
        <v>112</v>
      </c>
      <c r="B9" s="16" t="s">
        <v>56</v>
      </c>
      <c r="C9" s="16" t="s">
        <v>95</v>
      </c>
      <c r="D9" s="16" t="s">
        <v>138</v>
      </c>
      <c r="E9" s="16" t="s">
        <v>143</v>
      </c>
      <c r="F9" s="16" t="s">
        <v>12</v>
      </c>
      <c r="G9" s="182">
        <v>6660</v>
      </c>
      <c r="H9" s="182">
        <v>1332</v>
      </c>
      <c r="I9" s="78" t="s">
        <v>105</v>
      </c>
      <c r="J9" s="79">
        <f>IF(SW_Pricing_Table[[#This Row],[Include Maint in Year 1?]]="No",SW_Pricing_Table[[#This Row],[SW Cost (Annual)]],SW_Pricing_Table[[#This Row],[SW Cost (Annual)]]+SW_Pricing_Table[[#This Row],[Maintenance (Annual)]])</f>
        <v>6660</v>
      </c>
      <c r="L9" s="12" t="s">
        <v>141</v>
      </c>
      <c r="M9" s="19" t="str">
        <f>INDEX(SW_Pricing_Table[],MATCH(Product_Pricing_Table[[#This Row],[Product Name]],SW_Pricing_Table[Prod Alias],0),6)</f>
        <v>Cores</v>
      </c>
      <c r="N9" s="19"/>
      <c r="O9" s="17">
        <f t="shared" ref="O9:X9" si="12">IBM_DS_Designer_x86</f>
        <v>2004</v>
      </c>
      <c r="P9" s="132">
        <f t="shared" si="12"/>
        <v>2004</v>
      </c>
      <c r="Q9" s="17">
        <f t="shared" si="12"/>
        <v>2004</v>
      </c>
      <c r="R9" s="17">
        <f t="shared" si="12"/>
        <v>2004</v>
      </c>
      <c r="S9" s="223">
        <f t="shared" si="12"/>
        <v>2004</v>
      </c>
      <c r="T9" s="132">
        <f t="shared" si="12"/>
        <v>2004</v>
      </c>
      <c r="U9" s="17">
        <f t="shared" si="12"/>
        <v>2004</v>
      </c>
      <c r="V9" s="17">
        <f t="shared" si="12"/>
        <v>2004</v>
      </c>
      <c r="W9" s="17">
        <f t="shared" si="12"/>
        <v>2004</v>
      </c>
      <c r="X9" s="17">
        <f t="shared" si="12"/>
        <v>2004</v>
      </c>
      <c r="Y9" s="221"/>
      <c r="Z9" s="12" t="s">
        <v>141</v>
      </c>
      <c r="AA9" s="223">
        <f t="shared" ref="AA9:AJ9" si="13">IBM_DS_Designer_x86_Maint</f>
        <v>668</v>
      </c>
      <c r="AB9" s="132">
        <f t="shared" si="13"/>
        <v>668</v>
      </c>
      <c r="AC9" s="223">
        <f t="shared" si="13"/>
        <v>668</v>
      </c>
      <c r="AD9" s="17">
        <f t="shared" si="13"/>
        <v>668</v>
      </c>
      <c r="AE9" s="223">
        <f t="shared" si="13"/>
        <v>668</v>
      </c>
      <c r="AF9" s="132">
        <f t="shared" si="13"/>
        <v>668</v>
      </c>
      <c r="AG9" s="17">
        <f t="shared" si="13"/>
        <v>668</v>
      </c>
      <c r="AH9" s="17">
        <f t="shared" si="13"/>
        <v>668</v>
      </c>
      <c r="AI9" s="17">
        <f t="shared" si="13"/>
        <v>668</v>
      </c>
      <c r="AJ9" s="17">
        <f t="shared" si="13"/>
        <v>668</v>
      </c>
      <c r="AK9" s="31"/>
      <c r="AL9"/>
      <c r="AM9"/>
      <c r="AN9"/>
      <c r="AO9"/>
      <c r="AP9"/>
      <c r="AQ9"/>
      <c r="AR9"/>
      <c r="AS9"/>
      <c r="AT9"/>
      <c r="AU9"/>
      <c r="AX9" s="31"/>
      <c r="AY9" s="31"/>
      <c r="AZ9" s="31"/>
      <c r="BA9" s="31"/>
      <c r="BB9" s="31"/>
      <c r="BC9" s="31"/>
      <c r="BD9" s="31"/>
      <c r="BE9" s="31"/>
      <c r="BF9" s="31"/>
      <c r="BG9" s="31"/>
    </row>
    <row r="10" spans="1:60">
      <c r="A10" s="16" t="s">
        <v>112</v>
      </c>
      <c r="B10" s="16" t="s">
        <v>56</v>
      </c>
      <c r="C10" s="16" t="s">
        <v>116</v>
      </c>
      <c r="D10" s="16" t="s">
        <v>137</v>
      </c>
      <c r="E10" s="16" t="s">
        <v>141</v>
      </c>
      <c r="F10" s="16" t="s">
        <v>507</v>
      </c>
      <c r="G10" s="155">
        <v>2004</v>
      </c>
      <c r="H10" s="155">
        <v>668</v>
      </c>
      <c r="I10" s="78" t="s">
        <v>105</v>
      </c>
      <c r="J10" s="79">
        <f>IF(SW_Pricing_Table[[#This Row],[Include Maint in Year 1?]]="No",SW_Pricing_Table[[#This Row],[SW Cost (Annual)]],SW_Pricing_Table[[#This Row],[SW Cost (Annual)]]+SW_Pricing_Table[[#This Row],[Maintenance (Annual)]])</f>
        <v>2004</v>
      </c>
      <c r="K10" s="228"/>
      <c r="L10" s="222" t="s">
        <v>470</v>
      </c>
      <c r="M10" s="19" t="str">
        <f>INDEX(SW_Pricing_Table[],MATCH(Product_Pricing_Table[[#This Row],[Product Name]],SW_Pricing_Table[Prod Alias],0),6)</f>
        <v>Cores</v>
      </c>
      <c r="N10" s="19"/>
      <c r="O10" s="133">
        <f>IBM_DS_IS_Dir_Prod</f>
        <v>24048</v>
      </c>
      <c r="P10" s="133">
        <f>IBM_DS_IS_Dir_Prod</f>
        <v>24048</v>
      </c>
      <c r="Q10" s="133">
        <f t="shared" ref="Q10:X10" si="14">IBM_DS_IS_Dir_NonProd</f>
        <v>24</v>
      </c>
      <c r="R10" s="133">
        <f t="shared" si="14"/>
        <v>24</v>
      </c>
      <c r="S10" s="133">
        <f t="shared" si="14"/>
        <v>24</v>
      </c>
      <c r="T10" s="133">
        <f t="shared" si="14"/>
        <v>24</v>
      </c>
      <c r="U10" s="133">
        <f t="shared" si="14"/>
        <v>24</v>
      </c>
      <c r="V10" s="133">
        <f t="shared" si="14"/>
        <v>24</v>
      </c>
      <c r="W10" s="133">
        <f t="shared" si="14"/>
        <v>24</v>
      </c>
      <c r="X10" s="133">
        <f t="shared" si="14"/>
        <v>24</v>
      </c>
      <c r="Y10" s="221"/>
      <c r="Z10" s="222" t="s">
        <v>470</v>
      </c>
      <c r="AA10" s="133">
        <f>IBM_DS_IS_Dir_Prod_Maint</f>
        <v>8010</v>
      </c>
      <c r="AB10" s="133">
        <f>IBM_DS_IS_Dir_Prod_Maint</f>
        <v>8010</v>
      </c>
      <c r="AC10" s="133">
        <f t="shared" ref="AC10:AJ10" si="15">IBM_DS_IS_Dir_NonProd_Maint</f>
        <v>12</v>
      </c>
      <c r="AD10" s="133">
        <f t="shared" si="15"/>
        <v>12</v>
      </c>
      <c r="AE10" s="133">
        <f t="shared" si="15"/>
        <v>12</v>
      </c>
      <c r="AF10" s="133">
        <f t="shared" si="15"/>
        <v>12</v>
      </c>
      <c r="AG10" s="133">
        <f t="shared" si="15"/>
        <v>12</v>
      </c>
      <c r="AH10" s="133">
        <f t="shared" si="15"/>
        <v>12</v>
      </c>
      <c r="AI10" s="133">
        <f t="shared" si="15"/>
        <v>12</v>
      </c>
      <c r="AJ10" s="133">
        <f t="shared" si="15"/>
        <v>12</v>
      </c>
      <c r="AK10" s="31"/>
      <c r="AL10"/>
      <c r="AM10"/>
      <c r="AN10"/>
      <c r="AO10"/>
      <c r="AP10"/>
      <c r="AQ10"/>
      <c r="AR10"/>
      <c r="AS10"/>
      <c r="AT10"/>
      <c r="AU10"/>
      <c r="AX10" s="31"/>
      <c r="AY10" s="31"/>
      <c r="AZ10" s="31"/>
      <c r="BA10" s="31"/>
      <c r="BB10" s="31"/>
      <c r="BC10" s="31"/>
      <c r="BD10" s="31"/>
      <c r="BE10" s="31"/>
      <c r="BF10" s="31"/>
      <c r="BG10" s="31"/>
    </row>
    <row r="11" spans="1:60">
      <c r="A11" s="16" t="s">
        <v>112</v>
      </c>
      <c r="B11" s="16" t="s">
        <v>113</v>
      </c>
      <c r="C11" s="16" t="s">
        <v>95</v>
      </c>
      <c r="D11" s="16" t="s">
        <v>140</v>
      </c>
      <c r="E11" s="16" t="s">
        <v>51</v>
      </c>
      <c r="F11" s="16" t="s">
        <v>507</v>
      </c>
      <c r="G11" s="155">
        <v>22140</v>
      </c>
      <c r="H11" s="155">
        <v>8856</v>
      </c>
      <c r="I11" s="78" t="s">
        <v>105</v>
      </c>
      <c r="J11" s="129">
        <f>IF(SW_Pricing_Table[[#This Row],[Include Maint in Year 1?]]="No",SW_Pricing_Table[[#This Row],[SW Cost (Annual)]],SW_Pricing_Table[[#This Row],[SW Cost (Annual)]]+SW_Pricing_Table[[#This Row],[Maintenance (Annual)]])</f>
        <v>22140</v>
      </c>
      <c r="K11" s="228"/>
      <c r="L11" s="226" t="s">
        <v>404</v>
      </c>
      <c r="M11" s="296" t="str">
        <f>INDEX(SW_Pricing_Table[],MATCH(Product_Pricing_Table[[#This Row],[Product Name]],SW_Pricing_Table[Prod Alias],0),6)</f>
        <v>Cores</v>
      </c>
      <c r="N11" s="296"/>
      <c r="O11" s="227">
        <f>IBM_HTTP_pSeries_Prod</f>
        <v>0</v>
      </c>
      <c r="P11" s="227">
        <f>IBM_HTTP_pSeries_Prod</f>
        <v>0</v>
      </c>
      <c r="Q11" s="227">
        <f t="shared" ref="Q11:X11" si="16">IBM_HTTP_pSeries_NonProd</f>
        <v>0</v>
      </c>
      <c r="R11" s="227">
        <f t="shared" si="16"/>
        <v>0</v>
      </c>
      <c r="S11" s="237">
        <f t="shared" si="16"/>
        <v>0</v>
      </c>
      <c r="T11" s="227">
        <f t="shared" si="16"/>
        <v>0</v>
      </c>
      <c r="U11" s="227">
        <f t="shared" si="16"/>
        <v>0</v>
      </c>
      <c r="V11" s="227">
        <f t="shared" si="16"/>
        <v>0</v>
      </c>
      <c r="W11" s="227">
        <f t="shared" si="16"/>
        <v>0</v>
      </c>
      <c r="X11" s="227">
        <f t="shared" si="16"/>
        <v>0</v>
      </c>
      <c r="Y11" s="31"/>
      <c r="Z11" s="236" t="s">
        <v>404</v>
      </c>
      <c r="AA11" s="237">
        <f>IBM_HTTP_pSeries_Prod_Maint</f>
        <v>0</v>
      </c>
      <c r="AB11" s="237">
        <f>IBM_HTTP_pSeries_Prod_Maint</f>
        <v>0</v>
      </c>
      <c r="AC11" s="237">
        <f t="shared" ref="AC11:AJ11" si="17">IBM_HTTP_pSeries_NonProd_Maint</f>
        <v>0</v>
      </c>
      <c r="AD11" s="237">
        <f t="shared" si="17"/>
        <v>0</v>
      </c>
      <c r="AE11" s="237">
        <f t="shared" si="17"/>
        <v>0</v>
      </c>
      <c r="AF11" s="227">
        <f t="shared" si="17"/>
        <v>0</v>
      </c>
      <c r="AG11" s="237">
        <f t="shared" si="17"/>
        <v>0</v>
      </c>
      <c r="AH11" s="237">
        <f t="shared" si="17"/>
        <v>0</v>
      </c>
      <c r="AI11" s="237">
        <f t="shared" si="17"/>
        <v>0</v>
      </c>
      <c r="AJ11" s="237">
        <f t="shared" si="17"/>
        <v>0</v>
      </c>
      <c r="AK11" s="31"/>
      <c r="AL11"/>
      <c r="AM11"/>
      <c r="AN11"/>
      <c r="AO11"/>
      <c r="AP11"/>
      <c r="AQ11"/>
      <c r="AR11"/>
      <c r="AS11"/>
      <c r="AT11"/>
      <c r="AU11"/>
      <c r="AX11" s="31"/>
      <c r="AY11" s="31"/>
      <c r="AZ11" s="31"/>
      <c r="BA11" s="31"/>
      <c r="BB11" s="31"/>
      <c r="BC11" s="31"/>
      <c r="BD11" s="31"/>
      <c r="BE11" s="31"/>
      <c r="BF11" s="31"/>
      <c r="BG11" s="31"/>
    </row>
    <row r="12" spans="1:60">
      <c r="A12" s="16" t="s">
        <v>112</v>
      </c>
      <c r="B12" s="16" t="s">
        <v>107</v>
      </c>
      <c r="C12" s="16" t="s">
        <v>95</v>
      </c>
      <c r="D12" s="16" t="s">
        <v>140</v>
      </c>
      <c r="E12" s="16" t="s">
        <v>51</v>
      </c>
      <c r="F12" s="16" t="s">
        <v>507</v>
      </c>
      <c r="G12" s="155">
        <v>11052</v>
      </c>
      <c r="H12" s="155">
        <v>4428</v>
      </c>
      <c r="I12" s="78" t="s">
        <v>105</v>
      </c>
      <c r="J12" s="129">
        <f>IF(SW_Pricing_Table[[#This Row],[Include Maint in Year 1?]]="No",SW_Pricing_Table[[#This Row],[SW Cost (Annual)]],SW_Pricing_Table[[#This Row],[SW Cost (Annual)]]+SW_Pricing_Table[[#This Row],[Maintenance (Annual)]])</f>
        <v>11052</v>
      </c>
      <c r="K12" s="228"/>
      <c r="L12" s="222" t="s">
        <v>405</v>
      </c>
      <c r="M12" s="296" t="str">
        <f>INDEX(SW_Pricing_Table[],MATCH(Product_Pricing_Table[[#This Row],[Product Name]],SW_Pricing_Table[Prod Alias],0),6)</f>
        <v>Cores</v>
      </c>
      <c r="N12" s="296"/>
      <c r="O12" s="227">
        <f t="shared" ref="O12:X12" si="18">IBM_HTTP_x86_All</f>
        <v>0</v>
      </c>
      <c r="P12" s="227">
        <f t="shared" si="18"/>
        <v>0</v>
      </c>
      <c r="Q12" s="227">
        <f t="shared" si="18"/>
        <v>0</v>
      </c>
      <c r="R12" s="227">
        <f t="shared" si="18"/>
        <v>0</v>
      </c>
      <c r="S12" s="237">
        <f t="shared" si="18"/>
        <v>0</v>
      </c>
      <c r="T12" s="227">
        <f t="shared" si="18"/>
        <v>0</v>
      </c>
      <c r="U12" s="227">
        <f t="shared" si="18"/>
        <v>0</v>
      </c>
      <c r="V12" s="227">
        <f t="shared" si="18"/>
        <v>0</v>
      </c>
      <c r="W12" s="227">
        <f t="shared" si="18"/>
        <v>0</v>
      </c>
      <c r="X12" s="227">
        <f t="shared" si="18"/>
        <v>0</v>
      </c>
      <c r="Y12" s="31"/>
      <c r="Z12" s="236" t="s">
        <v>405</v>
      </c>
      <c r="AA12" s="237">
        <f t="shared" ref="AA12:AJ12" si="19">IBM_HTTP_x86_All_Maint</f>
        <v>0</v>
      </c>
      <c r="AB12" s="237">
        <f t="shared" si="19"/>
        <v>0</v>
      </c>
      <c r="AC12" s="237">
        <f t="shared" si="19"/>
        <v>0</v>
      </c>
      <c r="AD12" s="237">
        <f t="shared" si="19"/>
        <v>0</v>
      </c>
      <c r="AE12" s="237">
        <f t="shared" si="19"/>
        <v>0</v>
      </c>
      <c r="AF12" s="237">
        <f t="shared" si="19"/>
        <v>0</v>
      </c>
      <c r="AG12" s="237">
        <f t="shared" si="19"/>
        <v>0</v>
      </c>
      <c r="AH12" s="237">
        <f t="shared" si="19"/>
        <v>0</v>
      </c>
      <c r="AI12" s="237">
        <f t="shared" si="19"/>
        <v>0</v>
      </c>
      <c r="AJ12" s="237">
        <f t="shared" si="19"/>
        <v>0</v>
      </c>
      <c r="AK12" s="31"/>
      <c r="AL12"/>
      <c r="AM12"/>
      <c r="AN12"/>
      <c r="AO12"/>
      <c r="AP12"/>
      <c r="AQ12"/>
      <c r="AR12"/>
      <c r="AS12"/>
      <c r="AT12"/>
      <c r="AU12"/>
      <c r="AX12" s="31"/>
      <c r="AY12" s="31"/>
      <c r="AZ12" s="31"/>
      <c r="BA12" s="31"/>
      <c r="BB12" s="31"/>
      <c r="BC12" s="31"/>
      <c r="BD12" s="31"/>
      <c r="BE12" s="31"/>
      <c r="BF12" s="31"/>
      <c r="BG12" s="31"/>
    </row>
    <row r="13" spans="1:60">
      <c r="A13" s="16" t="s">
        <v>112</v>
      </c>
      <c r="B13" s="16" t="s">
        <v>113</v>
      </c>
      <c r="C13" s="16" t="s">
        <v>95</v>
      </c>
      <c r="D13" s="16" t="s">
        <v>401</v>
      </c>
      <c r="E13" s="16" t="s">
        <v>404</v>
      </c>
      <c r="F13" s="16" t="s">
        <v>507</v>
      </c>
      <c r="G13" s="155">
        <v>0</v>
      </c>
      <c r="H13" s="155">
        <v>0</v>
      </c>
      <c r="I13" s="78" t="s">
        <v>105</v>
      </c>
      <c r="J13" s="129">
        <f>IF(SW_Pricing_Table[[#This Row],[Include Maint in Year 1?]]="No",SW_Pricing_Table[[#This Row],[SW Cost (Annual)]],SW_Pricing_Table[[#This Row],[SW Cost (Annual)]]+SW_Pricing_Table[[#This Row],[Maintenance (Annual)]])</f>
        <v>0</v>
      </c>
      <c r="K13" s="228"/>
      <c r="L13" s="222" t="s">
        <v>539</v>
      </c>
      <c r="M13" s="307" t="str">
        <f>INDEX(SW_Pricing_Table[],MATCH(Product_Pricing_Table[[#This Row],[Product Name]],SW_Pricing_Table[Prod Alias],0),6)</f>
        <v>Cores</v>
      </c>
      <c r="N13" s="307"/>
      <c r="O13" s="133">
        <f t="shared" ref="O13:X13" si="20">IBM_Tivoli_DS_pSeries_All</f>
        <v>8424</v>
      </c>
      <c r="P13" s="133">
        <f t="shared" si="20"/>
        <v>8424</v>
      </c>
      <c r="Q13" s="133">
        <f t="shared" si="20"/>
        <v>8424</v>
      </c>
      <c r="R13" s="133">
        <f t="shared" si="20"/>
        <v>8424</v>
      </c>
      <c r="S13" s="133">
        <f t="shared" si="20"/>
        <v>8424</v>
      </c>
      <c r="T13" s="133">
        <f t="shared" si="20"/>
        <v>8424</v>
      </c>
      <c r="U13" s="133">
        <f t="shared" si="20"/>
        <v>8424</v>
      </c>
      <c r="V13" s="133">
        <f t="shared" si="20"/>
        <v>8424</v>
      </c>
      <c r="W13" s="133">
        <f t="shared" si="20"/>
        <v>8424</v>
      </c>
      <c r="X13" s="133">
        <f t="shared" si="20"/>
        <v>8424</v>
      </c>
      <c r="Y13" s="31"/>
      <c r="Z13" s="222" t="s">
        <v>539</v>
      </c>
      <c r="AA13" s="133">
        <f t="shared" ref="AA13:AJ13" si="21">IBM_Tivoli_DS_pSeries_All_Maint</f>
        <v>1684.8</v>
      </c>
      <c r="AB13" s="133">
        <f t="shared" si="21"/>
        <v>1684.8</v>
      </c>
      <c r="AC13" s="133">
        <f t="shared" si="21"/>
        <v>1684.8</v>
      </c>
      <c r="AD13" s="133">
        <f t="shared" si="21"/>
        <v>1684.8</v>
      </c>
      <c r="AE13" s="133">
        <f t="shared" si="21"/>
        <v>1684.8</v>
      </c>
      <c r="AF13" s="133">
        <f t="shared" si="21"/>
        <v>1684.8</v>
      </c>
      <c r="AG13" s="133">
        <f t="shared" si="21"/>
        <v>1684.8</v>
      </c>
      <c r="AH13" s="133">
        <f t="shared" si="21"/>
        <v>1684.8</v>
      </c>
      <c r="AI13" s="133">
        <f t="shared" si="21"/>
        <v>1684.8</v>
      </c>
      <c r="AJ13" s="133">
        <f t="shared" si="21"/>
        <v>1684.8</v>
      </c>
      <c r="AK13" s="31"/>
      <c r="AL13"/>
      <c r="AM13"/>
      <c r="AN13"/>
      <c r="AO13"/>
      <c r="AP13"/>
      <c r="AQ13"/>
      <c r="AR13"/>
      <c r="AS13"/>
      <c r="AT13"/>
      <c r="AU13"/>
      <c r="AX13" s="31"/>
      <c r="AY13" s="31"/>
      <c r="AZ13" s="31"/>
      <c r="BA13" s="31"/>
      <c r="BB13" s="31"/>
      <c r="BC13" s="31"/>
      <c r="BD13" s="31"/>
      <c r="BE13" s="31"/>
      <c r="BF13" s="31"/>
      <c r="BG13" s="31"/>
    </row>
    <row r="14" spans="1:60">
      <c r="A14" s="16" t="s">
        <v>112</v>
      </c>
      <c r="B14" s="16" t="s">
        <v>107</v>
      </c>
      <c r="C14" s="16" t="s">
        <v>95</v>
      </c>
      <c r="D14" s="16" t="s">
        <v>401</v>
      </c>
      <c r="E14" s="16" t="s">
        <v>404</v>
      </c>
      <c r="F14" s="16" t="s">
        <v>507</v>
      </c>
      <c r="G14" s="155">
        <v>0</v>
      </c>
      <c r="H14" s="155">
        <v>0</v>
      </c>
      <c r="I14" s="78" t="s">
        <v>105</v>
      </c>
      <c r="J14" s="129">
        <f>IF(SW_Pricing_Table[[#This Row],[Include Maint in Year 1?]]="No",SW_Pricing_Table[[#This Row],[SW Cost (Annual)]],SW_Pricing_Table[[#This Row],[SW Cost (Annual)]]+SW_Pricing_Table[[#This Row],[Maintenance (Annual)]])</f>
        <v>0</v>
      </c>
      <c r="K14" s="228"/>
      <c r="L14" s="12" t="s">
        <v>83</v>
      </c>
      <c r="M14" s="19" t="str">
        <f>INDEX(SW_Pricing_Table[],MATCH(Product_Pricing_Table[[#This Row],[Product Name]],SW_Pricing_Table[Prod Alias],0),6)</f>
        <v>Cores</v>
      </c>
      <c r="N14" s="19" t="s">
        <v>2214</v>
      </c>
      <c r="O14" s="17">
        <f t="shared" ref="O14:X14" si="22">IBM_WAS_pSeries_All</f>
        <v>5274</v>
      </c>
      <c r="P14" s="132">
        <f t="shared" si="22"/>
        <v>5274</v>
      </c>
      <c r="Q14" s="17">
        <f t="shared" si="22"/>
        <v>5274</v>
      </c>
      <c r="R14" s="120">
        <f t="shared" si="22"/>
        <v>5274</v>
      </c>
      <c r="S14" s="223">
        <f t="shared" si="22"/>
        <v>5274</v>
      </c>
      <c r="T14" s="132">
        <f t="shared" si="22"/>
        <v>5274</v>
      </c>
      <c r="U14" s="120">
        <f t="shared" si="22"/>
        <v>5274</v>
      </c>
      <c r="V14" s="120">
        <f t="shared" si="22"/>
        <v>5274</v>
      </c>
      <c r="W14" s="120">
        <f t="shared" si="22"/>
        <v>5274</v>
      </c>
      <c r="X14" s="120">
        <f t="shared" si="22"/>
        <v>5274</v>
      </c>
      <c r="Y14" s="31"/>
      <c r="Z14" s="222" t="s">
        <v>83</v>
      </c>
      <c r="AA14" s="223">
        <f t="shared" ref="AA14:AJ14" si="23">IBM_WAS_pSeries_All_Maint</f>
        <v>2106</v>
      </c>
      <c r="AB14" s="132">
        <f t="shared" si="23"/>
        <v>2106</v>
      </c>
      <c r="AC14" s="223">
        <f t="shared" si="23"/>
        <v>2106</v>
      </c>
      <c r="AD14" s="120">
        <f t="shared" si="23"/>
        <v>2106</v>
      </c>
      <c r="AE14" s="223">
        <f t="shared" si="23"/>
        <v>2106</v>
      </c>
      <c r="AF14" s="132">
        <f t="shared" si="23"/>
        <v>2106</v>
      </c>
      <c r="AG14" s="120">
        <f t="shared" si="23"/>
        <v>2106</v>
      </c>
      <c r="AH14" s="120">
        <f t="shared" si="23"/>
        <v>2106</v>
      </c>
      <c r="AI14" s="120">
        <f t="shared" si="23"/>
        <v>2106</v>
      </c>
      <c r="AJ14" s="120">
        <f t="shared" si="23"/>
        <v>2106</v>
      </c>
      <c r="AK14" s="31"/>
      <c r="AL14"/>
      <c r="AM14"/>
      <c r="AN14"/>
      <c r="AO14"/>
      <c r="AP14"/>
      <c r="AQ14"/>
      <c r="AR14"/>
      <c r="AS14"/>
      <c r="AT14"/>
      <c r="AU14"/>
      <c r="AX14" s="31"/>
      <c r="AY14" s="31"/>
      <c r="AZ14" s="31"/>
      <c r="BA14" s="31"/>
      <c r="BB14" s="31"/>
      <c r="BC14" s="31"/>
      <c r="BD14" s="31"/>
      <c r="BE14" s="31"/>
      <c r="BF14" s="31"/>
      <c r="BG14" s="31"/>
    </row>
    <row r="15" spans="1:60">
      <c r="A15" s="16" t="s">
        <v>112</v>
      </c>
      <c r="B15" s="16" t="s">
        <v>56</v>
      </c>
      <c r="C15" s="16" t="s">
        <v>116</v>
      </c>
      <c r="D15" s="16" t="s">
        <v>403</v>
      </c>
      <c r="E15" s="16" t="s">
        <v>405</v>
      </c>
      <c r="F15" s="16" t="s">
        <v>507</v>
      </c>
      <c r="G15" s="155">
        <v>0</v>
      </c>
      <c r="H15" s="155">
        <v>0</v>
      </c>
      <c r="I15" s="78" t="s">
        <v>105</v>
      </c>
      <c r="J15" s="129">
        <f>IF(SW_Pricing_Table[[#This Row],[Include Maint in Year 1?]]="No",SW_Pricing_Table[[#This Row],[SW Cost (Annual)]],SW_Pricing_Table[[#This Row],[SW Cost (Annual)]]+SW_Pricing_Table[[#This Row],[Maintenance (Annual)]])</f>
        <v>0</v>
      </c>
      <c r="K15" s="228"/>
      <c r="L15" s="12" t="s">
        <v>80</v>
      </c>
      <c r="M15" s="19" t="str">
        <f>INDEX(SW_Pricing_Table[],MATCH(Product_Pricing_Table[[#This Row],[Product Name]],SW_Pricing_Table[Prod Alias],0),6)</f>
        <v>Cores</v>
      </c>
      <c r="N15" s="19" t="s">
        <v>2214</v>
      </c>
      <c r="O15" s="135">
        <f t="shared" ref="O15:X15" si="24">IBM_WAS_x86_All</f>
        <v>3076.5</v>
      </c>
      <c r="P15" s="135">
        <f t="shared" si="24"/>
        <v>3076.5</v>
      </c>
      <c r="Q15" s="135">
        <f t="shared" si="24"/>
        <v>3076.5</v>
      </c>
      <c r="R15" s="135">
        <f t="shared" si="24"/>
        <v>3076.5</v>
      </c>
      <c r="S15" s="224">
        <f t="shared" si="24"/>
        <v>3076.5</v>
      </c>
      <c r="T15" s="135">
        <f t="shared" si="24"/>
        <v>3076.5</v>
      </c>
      <c r="U15" s="135">
        <f t="shared" si="24"/>
        <v>3076.5</v>
      </c>
      <c r="V15" s="135">
        <f t="shared" si="24"/>
        <v>3076.5</v>
      </c>
      <c r="W15" s="135">
        <f t="shared" si="24"/>
        <v>3076.5</v>
      </c>
      <c r="X15" s="135">
        <f t="shared" si="24"/>
        <v>3076.5</v>
      </c>
      <c r="Y15" s="31"/>
      <c r="Z15" s="222" t="s">
        <v>80</v>
      </c>
      <c r="AA15" s="224">
        <f t="shared" ref="AA15:AJ15" si="25">IBM_WAS_x86_All_Maint</f>
        <v>1228.5</v>
      </c>
      <c r="AB15" s="135">
        <f t="shared" si="25"/>
        <v>1228.5</v>
      </c>
      <c r="AC15" s="224">
        <f t="shared" si="25"/>
        <v>1228.5</v>
      </c>
      <c r="AD15" s="135">
        <f t="shared" si="25"/>
        <v>1228.5</v>
      </c>
      <c r="AE15" s="224">
        <f t="shared" si="25"/>
        <v>1228.5</v>
      </c>
      <c r="AF15" s="135">
        <f t="shared" si="25"/>
        <v>1228.5</v>
      </c>
      <c r="AG15" s="135">
        <f t="shared" si="25"/>
        <v>1228.5</v>
      </c>
      <c r="AH15" s="135">
        <f t="shared" si="25"/>
        <v>1228.5</v>
      </c>
      <c r="AI15" s="135">
        <f t="shared" si="25"/>
        <v>1228.5</v>
      </c>
      <c r="AJ15" s="135">
        <f t="shared" si="25"/>
        <v>1228.5</v>
      </c>
      <c r="AK15" s="31"/>
      <c r="AL15"/>
      <c r="AM15"/>
      <c r="AN15"/>
      <c r="AO15"/>
      <c r="AP15"/>
      <c r="AQ15"/>
      <c r="AR15"/>
      <c r="AS15"/>
      <c r="AT15"/>
      <c r="AU15"/>
      <c r="AX15" s="31"/>
      <c r="AY15" s="31"/>
      <c r="AZ15" s="31"/>
      <c r="BA15" s="31"/>
      <c r="BB15" s="31"/>
      <c r="BC15" s="31"/>
      <c r="BD15" s="31"/>
      <c r="BE15" s="31"/>
      <c r="BF15" s="31"/>
      <c r="BG15" s="31"/>
    </row>
    <row r="16" spans="1:60">
      <c r="A16" s="16" t="s">
        <v>112</v>
      </c>
      <c r="B16" s="16" t="s">
        <v>113</v>
      </c>
      <c r="C16" s="16" t="s">
        <v>95</v>
      </c>
      <c r="D16" s="16" t="s">
        <v>469</v>
      </c>
      <c r="E16" s="16" t="s">
        <v>470</v>
      </c>
      <c r="F16" s="16" t="s">
        <v>507</v>
      </c>
      <c r="G16" s="155">
        <f>120*200.4</f>
        <v>24048</v>
      </c>
      <c r="H16" s="155">
        <f>120*66.75</f>
        <v>8010</v>
      </c>
      <c r="I16" s="78" t="s">
        <v>105</v>
      </c>
      <c r="J16" s="129">
        <f>IF(SW_Pricing_Table[[#This Row],[Include Maint in Year 1?]]="No",SW_Pricing_Table[[#This Row],[SW Cost (Annual)]],SW_Pricing_Table[[#This Row],[SW Cost (Annual)]]+SW_Pricing_Table[[#This Row],[Maintenance (Annual)]])</f>
        <v>24048</v>
      </c>
      <c r="K16" s="228"/>
      <c r="L16" s="222" t="s">
        <v>544</v>
      </c>
      <c r="M16" s="307" t="str">
        <f>INDEX(SW_Pricing_Table[],MATCH(Product_Pricing_Table[[#This Row],[Product Name]],SW_Pricing_Table[Prod Alias],0),6)</f>
        <v>Cores</v>
      </c>
      <c r="N16" s="307"/>
      <c r="O16" s="308">
        <f t="shared" ref="O16:X16" si="26">IBM_WBM_pSeries_All</f>
        <v>56570.400000000001</v>
      </c>
      <c r="P16" s="308">
        <f t="shared" si="26"/>
        <v>56570.400000000001</v>
      </c>
      <c r="Q16" s="308">
        <f t="shared" si="26"/>
        <v>56570.400000000001</v>
      </c>
      <c r="R16" s="308">
        <f t="shared" si="26"/>
        <v>56570.400000000001</v>
      </c>
      <c r="S16" s="308">
        <f t="shared" si="26"/>
        <v>56570.400000000001</v>
      </c>
      <c r="T16" s="308">
        <f t="shared" si="26"/>
        <v>56570.400000000001</v>
      </c>
      <c r="U16" s="308">
        <f t="shared" si="26"/>
        <v>56570.400000000001</v>
      </c>
      <c r="V16" s="308">
        <f t="shared" si="26"/>
        <v>56570.400000000001</v>
      </c>
      <c r="W16" s="308">
        <f t="shared" si="26"/>
        <v>56570.400000000001</v>
      </c>
      <c r="X16" s="308">
        <f t="shared" si="26"/>
        <v>56570.400000000001</v>
      </c>
      <c r="Y16" s="31"/>
      <c r="Z16" s="222" t="s">
        <v>544</v>
      </c>
      <c r="AA16" s="308">
        <f t="shared" ref="AA16:AJ16" si="27">IBM_WBM_pSeries_All_Maint</f>
        <v>11289.6</v>
      </c>
      <c r="AB16" s="308">
        <f t="shared" si="27"/>
        <v>11289.6</v>
      </c>
      <c r="AC16" s="308">
        <f t="shared" si="27"/>
        <v>11289.6</v>
      </c>
      <c r="AD16" s="308">
        <f t="shared" si="27"/>
        <v>11289.6</v>
      </c>
      <c r="AE16" s="308">
        <f t="shared" si="27"/>
        <v>11289.6</v>
      </c>
      <c r="AF16" s="308">
        <f t="shared" si="27"/>
        <v>11289.6</v>
      </c>
      <c r="AG16" s="308">
        <f t="shared" si="27"/>
        <v>11289.6</v>
      </c>
      <c r="AH16" s="308">
        <f t="shared" si="27"/>
        <v>11289.6</v>
      </c>
      <c r="AI16" s="308">
        <f t="shared" si="27"/>
        <v>11289.6</v>
      </c>
      <c r="AJ16" s="308">
        <f t="shared" si="27"/>
        <v>11289.6</v>
      </c>
      <c r="AK16" s="31"/>
      <c r="AL16"/>
      <c r="AM16"/>
      <c r="AN16"/>
      <c r="AO16"/>
      <c r="AP16"/>
      <c r="AQ16"/>
      <c r="AR16"/>
      <c r="AS16"/>
      <c r="AT16"/>
      <c r="AU16"/>
      <c r="AX16" s="31"/>
      <c r="AY16" s="31"/>
      <c r="AZ16" s="31"/>
      <c r="BA16" s="31"/>
      <c r="BB16" s="31"/>
      <c r="BC16" s="31"/>
      <c r="BD16" s="31"/>
      <c r="BE16" s="31"/>
      <c r="BF16" s="31"/>
      <c r="BG16" s="31"/>
    </row>
    <row r="17" spans="1:59">
      <c r="A17" s="16" t="s">
        <v>112</v>
      </c>
      <c r="B17" s="16" t="s">
        <v>107</v>
      </c>
      <c r="C17" s="16" t="s">
        <v>95</v>
      </c>
      <c r="D17" s="16" t="s">
        <v>469</v>
      </c>
      <c r="E17" s="16" t="s">
        <v>470</v>
      </c>
      <c r="F17" s="16" t="s">
        <v>507</v>
      </c>
      <c r="G17" s="155">
        <v>24</v>
      </c>
      <c r="H17" s="155">
        <v>12</v>
      </c>
      <c r="I17" s="78" t="s">
        <v>105</v>
      </c>
      <c r="J17" s="155">
        <f>IF(SW_Pricing_Table[[#This Row],[Include Maint in Year 1?]]="No",SW_Pricing_Table[[#This Row],[SW Cost (Annual)]],SW_Pricing_Table[[#This Row],[SW Cost (Annual)]]+SW_Pricing_Table[[#This Row],[Maintenance (Annual)]])</f>
        <v>24</v>
      </c>
      <c r="K17" s="228"/>
      <c r="L17" s="12" t="s">
        <v>547</v>
      </c>
      <c r="M17" s="19" t="str">
        <f>INDEX(SW_Pricing_Table[],MATCH(Product_Pricing_Table[[#This Row],[Product Name]],SW_Pricing_Table[Prod Alias],0),6)</f>
        <v>Cores</v>
      </c>
      <c r="N17" s="19" t="s">
        <v>2214</v>
      </c>
      <c r="O17" s="17">
        <f t="shared" ref="O17:X17" si="28">IBM_WMQ_x86_All</f>
        <v>2449.02</v>
      </c>
      <c r="P17" s="132">
        <f t="shared" si="28"/>
        <v>2449.02</v>
      </c>
      <c r="Q17" s="132">
        <f t="shared" si="28"/>
        <v>2449.02</v>
      </c>
      <c r="R17" s="132">
        <f t="shared" si="28"/>
        <v>2449.02</v>
      </c>
      <c r="S17" s="223">
        <f t="shared" si="28"/>
        <v>2449.02</v>
      </c>
      <c r="T17" s="132">
        <f t="shared" si="28"/>
        <v>2449.02</v>
      </c>
      <c r="U17" s="132">
        <f t="shared" si="28"/>
        <v>2449.02</v>
      </c>
      <c r="V17" s="132">
        <f t="shared" si="28"/>
        <v>2449.02</v>
      </c>
      <c r="W17" s="132">
        <f t="shared" si="28"/>
        <v>2449.02</v>
      </c>
      <c r="X17" s="132">
        <f t="shared" si="28"/>
        <v>2449.02</v>
      </c>
      <c r="Y17" s="31"/>
      <c r="Z17" s="119" t="s">
        <v>547</v>
      </c>
      <c r="AA17" s="223">
        <f t="shared" ref="AA17:AJ17" si="29">IBM_WMQ_x86_All_Maint</f>
        <v>489.72</v>
      </c>
      <c r="AB17" s="132">
        <f t="shared" si="29"/>
        <v>489.72</v>
      </c>
      <c r="AC17" s="223">
        <f t="shared" si="29"/>
        <v>489.72</v>
      </c>
      <c r="AD17" s="120">
        <f t="shared" si="29"/>
        <v>489.72</v>
      </c>
      <c r="AE17" s="223">
        <f t="shared" si="29"/>
        <v>489.72</v>
      </c>
      <c r="AF17" s="132">
        <f t="shared" si="29"/>
        <v>489.72</v>
      </c>
      <c r="AG17" s="120">
        <f t="shared" si="29"/>
        <v>489.72</v>
      </c>
      <c r="AH17" s="120">
        <f t="shared" si="29"/>
        <v>489.72</v>
      </c>
      <c r="AI17" s="120">
        <f t="shared" si="29"/>
        <v>489.72</v>
      </c>
      <c r="AJ17" s="120">
        <f t="shared" si="29"/>
        <v>489.72</v>
      </c>
      <c r="AK17" s="31"/>
      <c r="AL17"/>
      <c r="AM17"/>
      <c r="AN17"/>
      <c r="AO17"/>
      <c r="AP17"/>
      <c r="AQ17"/>
      <c r="AR17"/>
      <c r="AS17"/>
      <c r="AT17"/>
      <c r="AU17"/>
      <c r="AX17" s="31"/>
      <c r="AY17" s="31"/>
      <c r="AZ17" s="31"/>
      <c r="BA17" s="31"/>
      <c r="BB17" s="31"/>
      <c r="BC17" s="31"/>
      <c r="BD17" s="31"/>
      <c r="BE17" s="31"/>
      <c r="BF17" s="31"/>
      <c r="BG17" s="31"/>
    </row>
    <row r="18" spans="1:59">
      <c r="A18" s="16" t="s">
        <v>112</v>
      </c>
      <c r="B18" s="16" t="s">
        <v>56</v>
      </c>
      <c r="C18" s="16" t="s">
        <v>95</v>
      </c>
      <c r="D18" s="16" t="s">
        <v>538</v>
      </c>
      <c r="E18" s="16" t="s">
        <v>539</v>
      </c>
      <c r="F18" s="16" t="s">
        <v>507</v>
      </c>
      <c r="G18" s="155">
        <v>8424</v>
      </c>
      <c r="H18" s="155">
        <v>1684.8</v>
      </c>
      <c r="I18" s="78" t="s">
        <v>105</v>
      </c>
      <c r="J18" s="155">
        <f>IF(SW_Pricing_Table[[#This Row],[Include Maint in Year 1?]]="No",SW_Pricing_Table[[#This Row],[SW Cost (Annual)]],SW_Pricing_Table[[#This Row],[SW Cost (Annual)]]+SW_Pricing_Table[[#This Row],[Maintenance (Annual)]])</f>
        <v>8424</v>
      </c>
      <c r="K18" s="228"/>
      <c r="L18" s="12" t="s">
        <v>82</v>
      </c>
      <c r="M18" s="19" t="str">
        <f>INDEX(SW_Pricing_Table[],MATCH(Product_Pricing_Table[[#This Row],[Product Name]],SW_Pricing_Table[Prod Alias],0),6)</f>
        <v>Cores</v>
      </c>
      <c r="N18" s="19" t="s">
        <v>2214</v>
      </c>
      <c r="O18" s="17">
        <f>IBM_WPS_pSeries_Prod</f>
        <v>42638.400000000001</v>
      </c>
      <c r="P18" s="132">
        <f>IBM_WPS_pSeries_Prod</f>
        <v>42638.400000000001</v>
      </c>
      <c r="Q18" s="17">
        <f t="shared" ref="Q18:X18" si="30">IBM_WPS_pSeries_NonProd</f>
        <v>42638.400000000001</v>
      </c>
      <c r="R18" s="17">
        <f t="shared" si="30"/>
        <v>42638.400000000001</v>
      </c>
      <c r="S18" s="223">
        <f t="shared" si="30"/>
        <v>42638.400000000001</v>
      </c>
      <c r="T18" s="132">
        <f t="shared" si="30"/>
        <v>42638.400000000001</v>
      </c>
      <c r="U18" s="17">
        <f t="shared" si="30"/>
        <v>42638.400000000001</v>
      </c>
      <c r="V18" s="17">
        <f t="shared" si="30"/>
        <v>42638.400000000001</v>
      </c>
      <c r="W18" s="17">
        <f t="shared" si="30"/>
        <v>42638.400000000001</v>
      </c>
      <c r="X18" s="17">
        <f t="shared" si="30"/>
        <v>42638.400000000001</v>
      </c>
      <c r="Y18" s="31"/>
      <c r="Z18" s="119" t="s">
        <v>82</v>
      </c>
      <c r="AA18" s="223">
        <f>IBM_WPS_pSeries_Prod_Maint</f>
        <v>8539.2000000000007</v>
      </c>
      <c r="AB18" s="132">
        <f>IBM_WPS_pSeries_Prod_Maint</f>
        <v>8539.2000000000007</v>
      </c>
      <c r="AC18" s="223">
        <f t="shared" ref="AC18:AJ18" si="31">IBM_WPS_pSeries_NonProd_Maint</f>
        <v>8539.2000000000007</v>
      </c>
      <c r="AD18" s="17">
        <f t="shared" si="31"/>
        <v>8539.2000000000007</v>
      </c>
      <c r="AE18" s="223">
        <f t="shared" si="31"/>
        <v>8539.2000000000007</v>
      </c>
      <c r="AF18" s="132">
        <f t="shared" si="31"/>
        <v>8539.2000000000007</v>
      </c>
      <c r="AG18" s="17">
        <f t="shared" si="31"/>
        <v>8539.2000000000007</v>
      </c>
      <c r="AH18" s="17">
        <f t="shared" si="31"/>
        <v>8539.2000000000007</v>
      </c>
      <c r="AI18" s="17">
        <f t="shared" si="31"/>
        <v>8539.2000000000007</v>
      </c>
      <c r="AJ18" s="17">
        <f t="shared" si="31"/>
        <v>8539.2000000000007</v>
      </c>
      <c r="AK18" s="31"/>
      <c r="AL18"/>
      <c r="AM18"/>
      <c r="AN18"/>
      <c r="AO18"/>
      <c r="AP18"/>
      <c r="AQ18"/>
      <c r="AR18"/>
      <c r="AS18"/>
      <c r="AT18"/>
      <c r="AU18"/>
      <c r="AX18" s="31"/>
      <c r="AY18" s="31"/>
      <c r="AZ18" s="31"/>
      <c r="BA18" s="31"/>
      <c r="BB18" s="31"/>
      <c r="BC18" s="31"/>
      <c r="BD18" s="31"/>
      <c r="BE18" s="31"/>
      <c r="BF18" s="31"/>
      <c r="BG18" s="31"/>
    </row>
    <row r="19" spans="1:59">
      <c r="A19" s="16" t="s">
        <v>112</v>
      </c>
      <c r="B19" s="16" t="s">
        <v>56</v>
      </c>
      <c r="C19" s="16" t="s">
        <v>95</v>
      </c>
      <c r="D19" s="16" t="s">
        <v>540</v>
      </c>
      <c r="E19" s="16" t="s">
        <v>83</v>
      </c>
      <c r="F19" s="16" t="s">
        <v>507</v>
      </c>
      <c r="G19" s="155">
        <v>5274</v>
      </c>
      <c r="H19" s="155">
        <v>2106</v>
      </c>
      <c r="I19" s="78" t="s">
        <v>105</v>
      </c>
      <c r="J19" s="155">
        <f>IF(SW_Pricing_Table[[#This Row],[Include Maint in Year 1?]]="No",SW_Pricing_Table[[#This Row],[SW Cost (Annual)]],SW_Pricing_Table[[#This Row],[SW Cost (Annual)]]+SW_Pricing_Table[[#This Row],[Maintenance (Annual)]])</f>
        <v>5274</v>
      </c>
      <c r="L19" s="12" t="s">
        <v>81</v>
      </c>
      <c r="M19" s="19" t="str">
        <f>INDEX(SW_Pricing_Table[],MATCH(Product_Pricing_Table[[#This Row],[Product Name]],SW_Pricing_Table[Prod Alias],0),6)</f>
        <v>Cores</v>
      </c>
      <c r="N19" s="19" t="s">
        <v>2214</v>
      </c>
      <c r="O19" s="17">
        <f t="shared" ref="O19:X19" si="32">IBM_WPS_x86_All</f>
        <v>24872.400000000001</v>
      </c>
      <c r="P19" s="132">
        <f t="shared" si="32"/>
        <v>24872.400000000001</v>
      </c>
      <c r="Q19" s="17">
        <f t="shared" si="32"/>
        <v>24872.400000000001</v>
      </c>
      <c r="R19" s="17">
        <f t="shared" si="32"/>
        <v>24872.400000000001</v>
      </c>
      <c r="S19" s="223">
        <f t="shared" si="32"/>
        <v>24872.400000000001</v>
      </c>
      <c r="T19" s="132">
        <f t="shared" si="32"/>
        <v>24872.400000000001</v>
      </c>
      <c r="U19" s="17">
        <f t="shared" si="32"/>
        <v>24872.400000000001</v>
      </c>
      <c r="V19" s="17">
        <f t="shared" si="32"/>
        <v>24872.400000000001</v>
      </c>
      <c r="W19" s="17">
        <f t="shared" si="32"/>
        <v>24872.400000000001</v>
      </c>
      <c r="X19" s="17">
        <f t="shared" si="32"/>
        <v>24872.400000000001</v>
      </c>
      <c r="Y19" s="31"/>
      <c r="Z19" s="12" t="s">
        <v>81</v>
      </c>
      <c r="AA19" s="223">
        <f t="shared" ref="AA19:AJ19" si="33">IBM_WPS_x86_All_Maint</f>
        <v>4981.2</v>
      </c>
      <c r="AB19" s="132">
        <f t="shared" si="33"/>
        <v>4981.2</v>
      </c>
      <c r="AC19" s="223">
        <f t="shared" si="33"/>
        <v>4981.2</v>
      </c>
      <c r="AD19" s="17">
        <f t="shared" si="33"/>
        <v>4981.2</v>
      </c>
      <c r="AE19" s="223">
        <f t="shared" si="33"/>
        <v>4981.2</v>
      </c>
      <c r="AF19" s="132">
        <f t="shared" si="33"/>
        <v>4981.2</v>
      </c>
      <c r="AG19" s="17">
        <f t="shared" si="33"/>
        <v>4981.2</v>
      </c>
      <c r="AH19" s="17">
        <f t="shared" si="33"/>
        <v>4981.2</v>
      </c>
      <c r="AI19" s="17">
        <f t="shared" si="33"/>
        <v>4981.2</v>
      </c>
      <c r="AJ19" s="17">
        <f t="shared" si="33"/>
        <v>4981.2</v>
      </c>
      <c r="AK19" s="31"/>
      <c r="AL19"/>
      <c r="AM19"/>
      <c r="AN19"/>
      <c r="AO19"/>
      <c r="AP19"/>
      <c r="AQ19"/>
      <c r="AR19"/>
      <c r="AS19"/>
      <c r="AT19"/>
      <c r="AU19"/>
      <c r="AX19" s="31"/>
      <c r="AY19" s="31"/>
      <c r="AZ19" s="31"/>
      <c r="BA19" s="31"/>
      <c r="BB19" s="31"/>
      <c r="BC19" s="31"/>
      <c r="BD19" s="31"/>
      <c r="BE19" s="31"/>
      <c r="BF19" s="31"/>
      <c r="BG19" s="31"/>
    </row>
    <row r="20" spans="1:59">
      <c r="A20" s="16" t="s">
        <v>112</v>
      </c>
      <c r="B20" s="16" t="s">
        <v>56</v>
      </c>
      <c r="C20" s="16" t="s">
        <v>116</v>
      </c>
      <c r="D20" s="16" t="s">
        <v>540</v>
      </c>
      <c r="E20" s="16" t="s">
        <v>80</v>
      </c>
      <c r="F20" s="16" t="s">
        <v>507</v>
      </c>
      <c r="G20" s="155">
        <v>3076.5</v>
      </c>
      <c r="H20" s="155">
        <v>1228.5</v>
      </c>
      <c r="I20" s="78" t="s">
        <v>105</v>
      </c>
      <c r="J20" s="155">
        <f>IF(SW_Pricing_Table[[#This Row],[Include Maint in Year 1?]]="No",SW_Pricing_Table[[#This Row],[SW Cost (Annual)]],SW_Pricing_Table[[#This Row],[SW Cost (Annual)]]+SW_Pricing_Table[[#This Row],[Maintenance (Annual)]])</f>
        <v>3076.5</v>
      </c>
      <c r="L20" s="222" t="s">
        <v>546</v>
      </c>
      <c r="M20" s="307" t="str">
        <f>INDEX(SW_Pricing_Table[],MATCH(Product_Pricing_Table[[#This Row],[Product Name]],SW_Pricing_Table[Prod Alias],0),6)</f>
        <v>Cores</v>
      </c>
      <c r="N20" s="307"/>
      <c r="O20" s="133">
        <f t="shared" ref="O20:X20" si="34">IBM_WS_Proc_Srvr_pSeries_All</f>
        <v>28656</v>
      </c>
      <c r="P20" s="133">
        <f t="shared" si="34"/>
        <v>28656</v>
      </c>
      <c r="Q20" s="133">
        <f t="shared" si="34"/>
        <v>28656</v>
      </c>
      <c r="R20" s="133">
        <f t="shared" si="34"/>
        <v>28656</v>
      </c>
      <c r="S20" s="133">
        <f t="shared" si="34"/>
        <v>28656</v>
      </c>
      <c r="T20" s="133">
        <f t="shared" si="34"/>
        <v>28656</v>
      </c>
      <c r="U20" s="133">
        <f t="shared" si="34"/>
        <v>28656</v>
      </c>
      <c r="V20" s="133">
        <f t="shared" si="34"/>
        <v>28656</v>
      </c>
      <c r="W20" s="133">
        <f t="shared" si="34"/>
        <v>28656</v>
      </c>
      <c r="X20" s="133">
        <f t="shared" si="34"/>
        <v>28656</v>
      </c>
      <c r="Y20" s="31"/>
      <c r="Z20" s="222" t="s">
        <v>546</v>
      </c>
      <c r="AA20" s="133">
        <f t="shared" ref="AA20:AJ20" si="35">IBM_WS_Proc_Srvr_pSeries_All_Maint</f>
        <v>11642.4</v>
      </c>
      <c r="AB20" s="133">
        <f t="shared" si="35"/>
        <v>11642.4</v>
      </c>
      <c r="AC20" s="133">
        <f t="shared" si="35"/>
        <v>11642.4</v>
      </c>
      <c r="AD20" s="133">
        <f t="shared" si="35"/>
        <v>11642.4</v>
      </c>
      <c r="AE20" s="133">
        <f t="shared" si="35"/>
        <v>11642.4</v>
      </c>
      <c r="AF20" s="133">
        <f t="shared" si="35"/>
        <v>11642.4</v>
      </c>
      <c r="AG20" s="133">
        <f t="shared" si="35"/>
        <v>11642.4</v>
      </c>
      <c r="AH20" s="133">
        <f t="shared" si="35"/>
        <v>11642.4</v>
      </c>
      <c r="AI20" s="133">
        <f t="shared" si="35"/>
        <v>11642.4</v>
      </c>
      <c r="AJ20" s="133">
        <f t="shared" si="35"/>
        <v>11642.4</v>
      </c>
      <c r="AK20" s="31"/>
      <c r="AL20"/>
      <c r="AM20"/>
      <c r="AN20"/>
      <c r="AO20"/>
      <c r="AP20"/>
      <c r="AQ20"/>
      <c r="AR20"/>
      <c r="AS20"/>
      <c r="AT20"/>
      <c r="AU20"/>
      <c r="AX20" s="31"/>
      <c r="AY20" s="31"/>
      <c r="AZ20" s="31"/>
      <c r="BA20" s="31"/>
      <c r="BB20" s="31"/>
      <c r="BC20" s="31"/>
      <c r="BD20" s="31"/>
      <c r="BE20" s="31"/>
      <c r="BF20" s="31"/>
      <c r="BG20" s="31"/>
    </row>
    <row r="21" spans="1:59">
      <c r="A21" s="16" t="s">
        <v>112</v>
      </c>
      <c r="B21" s="16" t="s">
        <v>56</v>
      </c>
      <c r="C21" s="16" t="s">
        <v>95</v>
      </c>
      <c r="D21" s="16" t="s">
        <v>543</v>
      </c>
      <c r="E21" s="16" t="s">
        <v>544</v>
      </c>
      <c r="F21" s="16" t="s">
        <v>507</v>
      </c>
      <c r="G21" s="155">
        <v>56570.400000000001</v>
      </c>
      <c r="H21" s="155">
        <v>11289.6</v>
      </c>
      <c r="I21" s="78" t="s">
        <v>105</v>
      </c>
      <c r="J21" s="155">
        <f>IF(SW_Pricing_Table[[#This Row],[Include Maint in Year 1?]]="No",SW_Pricing_Table[[#This Row],[SW Cost (Annual)]],SW_Pricing_Table[[#This Row],[SW Cost (Annual)]]+SW_Pricing_Table[[#This Row],[Maintenance (Annual)]])</f>
        <v>56570.400000000001</v>
      </c>
      <c r="L21" s="222" t="s">
        <v>2327</v>
      </c>
      <c r="M21" s="307" t="str">
        <f>INDEX(SW_Pricing_Table[],MATCH(Product_Pricing_Table[[#This Row],[Product Name]],SW_Pricing_Table[Prod Alias],0),6)</f>
        <v>Cores</v>
      </c>
      <c r="N21" s="307"/>
      <c r="O21" s="133">
        <f t="shared" ref="O21:X21" si="36">IBM_WS_VE_Cntrlr_pSeries_All</f>
        <v>7963.2</v>
      </c>
      <c r="P21" s="133">
        <f t="shared" si="36"/>
        <v>7963.2</v>
      </c>
      <c r="Q21" s="133">
        <f t="shared" si="36"/>
        <v>7963.2</v>
      </c>
      <c r="R21" s="133">
        <f t="shared" si="36"/>
        <v>7963.2</v>
      </c>
      <c r="S21" s="133">
        <f t="shared" si="36"/>
        <v>7963.2</v>
      </c>
      <c r="T21" s="133">
        <f t="shared" si="36"/>
        <v>7963.2</v>
      </c>
      <c r="U21" s="133">
        <f t="shared" si="36"/>
        <v>7963.2</v>
      </c>
      <c r="V21" s="133">
        <f t="shared" si="36"/>
        <v>7963.2</v>
      </c>
      <c r="W21" s="133">
        <f t="shared" si="36"/>
        <v>7963.2</v>
      </c>
      <c r="X21" s="133">
        <f t="shared" si="36"/>
        <v>7963.2</v>
      </c>
      <c r="Y21" s="31"/>
      <c r="Z21" s="222" t="s">
        <v>2327</v>
      </c>
      <c r="AA21" s="133">
        <f t="shared" ref="AA21:AJ21" si="37">IBM_WS_VE_Cntrlr_pSeries_All_Maint</f>
        <v>2650.8</v>
      </c>
      <c r="AB21" s="133">
        <f t="shared" si="37"/>
        <v>2650.8</v>
      </c>
      <c r="AC21" s="133">
        <f t="shared" si="37"/>
        <v>2650.8</v>
      </c>
      <c r="AD21" s="133">
        <f t="shared" si="37"/>
        <v>2650.8</v>
      </c>
      <c r="AE21" s="133">
        <f t="shared" si="37"/>
        <v>2650.8</v>
      </c>
      <c r="AF21" s="133">
        <f t="shared" si="37"/>
        <v>2650.8</v>
      </c>
      <c r="AG21" s="133">
        <f t="shared" si="37"/>
        <v>2650.8</v>
      </c>
      <c r="AH21" s="133">
        <f t="shared" si="37"/>
        <v>2650.8</v>
      </c>
      <c r="AI21" s="133">
        <f t="shared" si="37"/>
        <v>2650.8</v>
      </c>
      <c r="AJ21" s="133">
        <f t="shared" si="37"/>
        <v>2650.8</v>
      </c>
      <c r="AK21" s="31"/>
      <c r="AL21"/>
      <c r="AM21"/>
      <c r="AN21"/>
      <c r="AO21"/>
      <c r="AP21"/>
      <c r="AQ21"/>
      <c r="AR21"/>
      <c r="AS21"/>
      <c r="AT21"/>
      <c r="AU21"/>
      <c r="AX21" s="31"/>
      <c r="AY21" s="31"/>
      <c r="AZ21" s="31"/>
      <c r="BA21" s="31"/>
      <c r="BB21" s="31"/>
      <c r="BC21" s="31"/>
      <c r="BD21" s="31"/>
      <c r="BE21" s="31"/>
      <c r="BF21" s="31"/>
      <c r="BG21" s="31"/>
    </row>
    <row r="22" spans="1:59">
      <c r="A22" s="16" t="s">
        <v>112</v>
      </c>
      <c r="B22" s="16" t="s">
        <v>56</v>
      </c>
      <c r="C22" s="16" t="s">
        <v>116</v>
      </c>
      <c r="D22" s="16" t="s">
        <v>541</v>
      </c>
      <c r="E22" s="16" t="s">
        <v>547</v>
      </c>
      <c r="F22" s="16" t="s">
        <v>507</v>
      </c>
      <c r="G22" s="155">
        <v>2449.02</v>
      </c>
      <c r="H22" s="155">
        <v>489.72</v>
      </c>
      <c r="I22" s="78" t="s">
        <v>105</v>
      </c>
      <c r="J22" s="155">
        <f>IF(SW_Pricing_Table[[#This Row],[Include Maint in Year 1?]]="No",SW_Pricing_Table[[#This Row],[SW Cost (Annual)]],SW_Pricing_Table[[#This Row],[SW Cost (Annual)]]+SW_Pricing_Table[[#This Row],[Maintenance (Annual)]])</f>
        <v>2449.02</v>
      </c>
      <c r="L22" s="222" t="s">
        <v>2328</v>
      </c>
      <c r="M22" s="307" t="str">
        <f>INDEX(SW_Pricing_Table[],MATCH(Product_Pricing_Table[[#This Row],[Product Name]],SW_Pricing_Table[Prod Alias],0),6)</f>
        <v>Cores</v>
      </c>
      <c r="N22" s="307"/>
      <c r="O22" s="133">
        <f t="shared" ref="O22:X22" si="38">IBM_WS_VE_Node_pSeries_All</f>
        <v>4814.3999999999996</v>
      </c>
      <c r="P22" s="133">
        <f t="shared" si="38"/>
        <v>4814.3999999999996</v>
      </c>
      <c r="Q22" s="133">
        <f t="shared" si="38"/>
        <v>4814.3999999999996</v>
      </c>
      <c r="R22" s="133">
        <f t="shared" si="38"/>
        <v>4814.3999999999996</v>
      </c>
      <c r="S22" s="133">
        <f t="shared" si="38"/>
        <v>4814.3999999999996</v>
      </c>
      <c r="T22" s="133">
        <f t="shared" si="38"/>
        <v>4814.3999999999996</v>
      </c>
      <c r="U22" s="133">
        <f t="shared" si="38"/>
        <v>4814.3999999999996</v>
      </c>
      <c r="V22" s="133">
        <f t="shared" si="38"/>
        <v>4814.3999999999996</v>
      </c>
      <c r="W22" s="133">
        <f t="shared" si="38"/>
        <v>4814.3999999999996</v>
      </c>
      <c r="X22" s="133">
        <f t="shared" si="38"/>
        <v>4814.3999999999996</v>
      </c>
      <c r="Y22" s="31"/>
      <c r="Z22" s="222" t="s">
        <v>2328</v>
      </c>
      <c r="AA22" s="133">
        <f t="shared" ref="AA22:AJ22" si="39">IBM_WS_VE_Node_pSeries_All_Maint</f>
        <v>1604.4</v>
      </c>
      <c r="AB22" s="133">
        <f t="shared" si="39"/>
        <v>1604.4</v>
      </c>
      <c r="AC22" s="133">
        <f t="shared" si="39"/>
        <v>1604.4</v>
      </c>
      <c r="AD22" s="133">
        <f t="shared" si="39"/>
        <v>1604.4</v>
      </c>
      <c r="AE22" s="133">
        <f t="shared" si="39"/>
        <v>1604.4</v>
      </c>
      <c r="AF22" s="133">
        <f t="shared" si="39"/>
        <v>1604.4</v>
      </c>
      <c r="AG22" s="133">
        <f t="shared" si="39"/>
        <v>1604.4</v>
      </c>
      <c r="AH22" s="133">
        <f t="shared" si="39"/>
        <v>1604.4</v>
      </c>
      <c r="AI22" s="133">
        <f t="shared" si="39"/>
        <v>1604.4</v>
      </c>
      <c r="AJ22" s="133">
        <f t="shared" si="39"/>
        <v>1604.4</v>
      </c>
      <c r="AK22" s="31"/>
      <c r="AL22"/>
      <c r="AM22"/>
      <c r="AN22"/>
      <c r="AO22"/>
      <c r="AP22"/>
      <c r="AQ22"/>
      <c r="AR22"/>
      <c r="AS22"/>
      <c r="AT22"/>
      <c r="AU22"/>
      <c r="AX22" s="31"/>
      <c r="AY22" s="31"/>
      <c r="AZ22" s="31"/>
      <c r="BA22" s="31"/>
      <c r="BB22" s="31"/>
      <c r="BC22" s="31"/>
      <c r="BD22" s="31"/>
      <c r="BE22" s="31"/>
      <c r="BF22" s="31"/>
      <c r="BG22" s="31"/>
    </row>
    <row r="23" spans="1:59">
      <c r="A23" s="16" t="s">
        <v>112</v>
      </c>
      <c r="B23" s="16" t="s">
        <v>113</v>
      </c>
      <c r="C23" s="16" t="s">
        <v>95</v>
      </c>
      <c r="D23" s="16" t="s">
        <v>542</v>
      </c>
      <c r="E23" s="16" t="s">
        <v>82</v>
      </c>
      <c r="F23" s="16" t="s">
        <v>507</v>
      </c>
      <c r="G23" s="155">
        <v>42638.400000000001</v>
      </c>
      <c r="H23" s="155">
        <v>8539.2000000000007</v>
      </c>
      <c r="I23" s="78" t="s">
        <v>105</v>
      </c>
      <c r="J23" s="155">
        <f>IF(SW_Pricing_Table[[#This Row],[Include Maint in Year 1?]]="No",SW_Pricing_Table[[#This Row],[SW Cost (Annual)]],SW_Pricing_Table[[#This Row],[SW Cost (Annual)]]+SW_Pricing_Table[[#This Row],[Maintenance (Annual)]])</f>
        <v>42638.400000000001</v>
      </c>
      <c r="L23" s="13" t="s">
        <v>52</v>
      </c>
      <c r="M23" s="297" t="str">
        <f>INDEX(SW_Pricing_Table[],MATCH(Product_Pricing_Table[[#This Row],[Product Name]],SW_Pricing_Table[Prod Alias],0),6)</f>
        <v>CPU</v>
      </c>
      <c r="N23" s="297"/>
      <c r="O23" s="17">
        <f t="shared" ref="O23:X23" si="40">Kana_x86_All</f>
        <v>24</v>
      </c>
      <c r="P23" s="132">
        <f t="shared" si="40"/>
        <v>24</v>
      </c>
      <c r="Q23" s="132">
        <f t="shared" si="40"/>
        <v>24</v>
      </c>
      <c r="R23" s="17">
        <f t="shared" si="40"/>
        <v>24</v>
      </c>
      <c r="S23" s="223">
        <f t="shared" si="40"/>
        <v>24</v>
      </c>
      <c r="T23" s="132">
        <f t="shared" si="40"/>
        <v>24</v>
      </c>
      <c r="U23" s="107">
        <f t="shared" si="40"/>
        <v>24</v>
      </c>
      <c r="V23" s="107">
        <f t="shared" si="40"/>
        <v>24</v>
      </c>
      <c r="W23" s="132">
        <f t="shared" si="40"/>
        <v>24</v>
      </c>
      <c r="X23" s="132">
        <f t="shared" si="40"/>
        <v>24</v>
      </c>
      <c r="Y23" s="31"/>
      <c r="Z23" s="13" t="s">
        <v>52</v>
      </c>
      <c r="AA23" s="223">
        <f t="shared" ref="AA23:AJ23" si="41">Kana_x86_All_Maint</f>
        <v>12</v>
      </c>
      <c r="AB23" s="132">
        <f t="shared" si="41"/>
        <v>12</v>
      </c>
      <c r="AC23" s="223">
        <f t="shared" si="41"/>
        <v>12</v>
      </c>
      <c r="AD23" s="17">
        <f t="shared" si="41"/>
        <v>12</v>
      </c>
      <c r="AE23" s="223">
        <f t="shared" si="41"/>
        <v>12</v>
      </c>
      <c r="AF23" s="132">
        <f t="shared" si="41"/>
        <v>12</v>
      </c>
      <c r="AG23" s="107">
        <f t="shared" si="41"/>
        <v>12</v>
      </c>
      <c r="AH23" s="107">
        <f t="shared" si="41"/>
        <v>12</v>
      </c>
      <c r="AI23" s="132">
        <f t="shared" si="41"/>
        <v>12</v>
      </c>
      <c r="AJ23" s="132">
        <f t="shared" si="41"/>
        <v>12</v>
      </c>
      <c r="AK23" s="31"/>
      <c r="AL23"/>
      <c r="AM23"/>
      <c r="AN23"/>
      <c r="AO23"/>
      <c r="AP23"/>
      <c r="AQ23"/>
      <c r="AR23"/>
      <c r="AS23"/>
      <c r="AT23"/>
      <c r="AU23"/>
      <c r="AX23" s="31"/>
      <c r="AY23" s="31"/>
      <c r="AZ23" s="31"/>
      <c r="BA23" s="31"/>
      <c r="BB23" s="31"/>
      <c r="BC23" s="31"/>
      <c r="BD23" s="31"/>
      <c r="BE23" s="31"/>
      <c r="BF23" s="31"/>
      <c r="BG23" s="31"/>
    </row>
    <row r="24" spans="1:59">
      <c r="A24" s="16" t="s">
        <v>112</v>
      </c>
      <c r="B24" s="16" t="s">
        <v>107</v>
      </c>
      <c r="C24" s="16" t="s">
        <v>95</v>
      </c>
      <c r="D24" s="16" t="s">
        <v>542</v>
      </c>
      <c r="E24" s="16" t="s">
        <v>82</v>
      </c>
      <c r="F24" s="16" t="s">
        <v>507</v>
      </c>
      <c r="G24" s="155">
        <v>42638.400000000001</v>
      </c>
      <c r="H24" s="155">
        <v>8539.2000000000007</v>
      </c>
      <c r="I24" s="78" t="s">
        <v>105</v>
      </c>
      <c r="J24" s="155">
        <f>IF(SW_Pricing_Table[[#This Row],[Include Maint in Year 1?]]="No",SW_Pricing_Table[[#This Row],[SW Cost (Annual)]],SW_Pricing_Table[[#This Row],[SW Cost (Annual)]]+SW_Pricing_Table[[#This Row],[Maintenance (Annual)]])</f>
        <v>42638.400000000001</v>
      </c>
      <c r="L24" s="222" t="s">
        <v>2346</v>
      </c>
      <c r="M24" s="307" t="str">
        <f>INDEX(SW_Pricing_Table[],MATCH(Product_Pricing_Table[[#This Row],[Product Name]],SW_Pricing_Table[Prod Alias],0),6)</f>
        <v>CPU</v>
      </c>
      <c r="N24" s="19"/>
      <c r="O24" s="133">
        <f t="shared" ref="O24:X24" si="42">MS_SQL_EE_Ext_All</f>
        <v>27028.720000000001</v>
      </c>
      <c r="P24" s="133">
        <f t="shared" si="42"/>
        <v>27028.720000000001</v>
      </c>
      <c r="Q24" s="133">
        <f t="shared" si="42"/>
        <v>27028.720000000001</v>
      </c>
      <c r="R24" s="133">
        <f t="shared" si="42"/>
        <v>27028.720000000001</v>
      </c>
      <c r="S24" s="133">
        <f t="shared" si="42"/>
        <v>27028.720000000001</v>
      </c>
      <c r="T24" s="133">
        <f t="shared" si="42"/>
        <v>27028.720000000001</v>
      </c>
      <c r="U24" s="133">
        <f t="shared" si="42"/>
        <v>27028.720000000001</v>
      </c>
      <c r="V24" s="133">
        <f t="shared" si="42"/>
        <v>27028.720000000001</v>
      </c>
      <c r="W24" s="133">
        <f t="shared" si="42"/>
        <v>27028.720000000001</v>
      </c>
      <c r="X24" s="133">
        <f t="shared" si="42"/>
        <v>27028.720000000001</v>
      </c>
      <c r="Y24" s="31"/>
      <c r="Z24" s="222" t="s">
        <v>2346</v>
      </c>
      <c r="AA24" s="133">
        <f t="shared" ref="AA24:AJ24" si="43">MS_SQL_EE_Ext_All_Maint</f>
        <v>0</v>
      </c>
      <c r="AB24" s="133">
        <f t="shared" si="43"/>
        <v>0</v>
      </c>
      <c r="AC24" s="133">
        <f t="shared" si="43"/>
        <v>0</v>
      </c>
      <c r="AD24" s="133">
        <f t="shared" si="43"/>
        <v>0</v>
      </c>
      <c r="AE24" s="133">
        <f t="shared" si="43"/>
        <v>0</v>
      </c>
      <c r="AF24" s="133">
        <f t="shared" si="43"/>
        <v>0</v>
      </c>
      <c r="AG24" s="133">
        <f t="shared" si="43"/>
        <v>0</v>
      </c>
      <c r="AH24" s="133">
        <f t="shared" si="43"/>
        <v>0</v>
      </c>
      <c r="AI24" s="133">
        <f t="shared" si="43"/>
        <v>0</v>
      </c>
      <c r="AJ24" s="133">
        <f t="shared" si="43"/>
        <v>0</v>
      </c>
      <c r="AK24" s="31"/>
      <c r="AL24"/>
      <c r="AM24"/>
      <c r="AN24"/>
      <c r="AO24"/>
      <c r="AP24"/>
      <c r="AQ24"/>
      <c r="AR24"/>
      <c r="AS24"/>
      <c r="AT24"/>
      <c r="AU24"/>
      <c r="AX24" s="31"/>
      <c r="AY24" s="31"/>
      <c r="AZ24" s="31"/>
      <c r="BA24" s="31"/>
      <c r="BB24" s="31"/>
      <c r="BC24" s="31"/>
      <c r="BD24" s="31"/>
      <c r="BE24" s="31"/>
      <c r="BF24" s="31"/>
      <c r="BG24" s="31"/>
    </row>
    <row r="25" spans="1:59">
      <c r="A25" s="16" t="s">
        <v>112</v>
      </c>
      <c r="B25" s="16" t="s">
        <v>56</v>
      </c>
      <c r="C25" s="16" t="s">
        <v>116</v>
      </c>
      <c r="D25" s="16" t="s">
        <v>542</v>
      </c>
      <c r="E25" s="16" t="s">
        <v>81</v>
      </c>
      <c r="F25" s="16" t="s">
        <v>507</v>
      </c>
      <c r="G25" s="155">
        <v>24872.400000000001</v>
      </c>
      <c r="H25" s="155">
        <v>4981.2</v>
      </c>
      <c r="I25" s="78" t="s">
        <v>105</v>
      </c>
      <c r="J25" s="155">
        <f>IF(SW_Pricing_Table[[#This Row],[Include Maint in Year 1?]]="No",SW_Pricing_Table[[#This Row],[SW Cost (Annual)]],SW_Pricing_Table[[#This Row],[SW Cost (Annual)]]+SW_Pricing_Table[[#This Row],[Maintenance (Annual)]])</f>
        <v>24872.400000000001</v>
      </c>
      <c r="L25" s="12" t="s">
        <v>2344</v>
      </c>
      <c r="M25" s="19" t="str">
        <f>INDEX(SW_Pricing_Table[],MATCH(Product_Pricing_Table[[#This Row],[Product Name]],SW_Pricing_Table[Prod Alias],0),6)</f>
        <v>Per Server</v>
      </c>
      <c r="N25" s="19"/>
      <c r="O25" s="17">
        <f t="shared" ref="O25:X25" si="44">MS_SQL_EE_Int_All</f>
        <v>9712.7199999999993</v>
      </c>
      <c r="P25" s="132">
        <f t="shared" si="44"/>
        <v>9712.7199999999993</v>
      </c>
      <c r="Q25" s="17">
        <f t="shared" si="44"/>
        <v>9712.7199999999993</v>
      </c>
      <c r="R25" s="17">
        <f t="shared" si="44"/>
        <v>9712.7199999999993</v>
      </c>
      <c r="S25" s="223">
        <f t="shared" si="44"/>
        <v>9712.7199999999993</v>
      </c>
      <c r="T25" s="132">
        <f t="shared" si="44"/>
        <v>9712.7199999999993</v>
      </c>
      <c r="U25" s="107">
        <f t="shared" si="44"/>
        <v>9712.7199999999993</v>
      </c>
      <c r="V25" s="107">
        <f t="shared" si="44"/>
        <v>9712.7199999999993</v>
      </c>
      <c r="W25" s="132">
        <f t="shared" si="44"/>
        <v>9712.7199999999993</v>
      </c>
      <c r="X25" s="132">
        <f t="shared" si="44"/>
        <v>9712.7199999999993</v>
      </c>
      <c r="Y25" s="31"/>
      <c r="Z25" s="12" t="s">
        <v>2344</v>
      </c>
      <c r="AA25" s="223">
        <f t="shared" ref="AA25:AJ25" si="45">MS_SQL_EE_Int_All_Maint</f>
        <v>0</v>
      </c>
      <c r="AB25" s="223">
        <f t="shared" si="45"/>
        <v>0</v>
      </c>
      <c r="AC25" s="223">
        <f t="shared" si="45"/>
        <v>0</v>
      </c>
      <c r="AD25" s="223">
        <f t="shared" si="45"/>
        <v>0</v>
      </c>
      <c r="AE25" s="223">
        <f t="shared" si="45"/>
        <v>0</v>
      </c>
      <c r="AF25" s="223">
        <f t="shared" si="45"/>
        <v>0</v>
      </c>
      <c r="AG25" s="223">
        <f t="shared" si="45"/>
        <v>0</v>
      </c>
      <c r="AH25" s="223">
        <f t="shared" si="45"/>
        <v>0</v>
      </c>
      <c r="AI25" s="223">
        <f t="shared" si="45"/>
        <v>0</v>
      </c>
      <c r="AJ25" s="223">
        <f t="shared" si="45"/>
        <v>0</v>
      </c>
      <c r="AK25" s="31"/>
      <c r="AL25"/>
      <c r="AM25"/>
      <c r="AN25"/>
      <c r="AO25"/>
      <c r="AP25"/>
      <c r="AQ25"/>
      <c r="AR25"/>
      <c r="AS25"/>
      <c r="AT25"/>
      <c r="AU25"/>
      <c r="AX25" s="31"/>
      <c r="AY25" s="31"/>
      <c r="AZ25" s="31"/>
      <c r="BA25" s="31"/>
      <c r="BB25" s="31"/>
      <c r="BC25" s="31"/>
      <c r="BD25" s="31"/>
      <c r="BE25" s="31"/>
      <c r="BF25" s="31"/>
      <c r="BG25" s="31"/>
    </row>
    <row r="26" spans="1:59">
      <c r="A26" s="16" t="s">
        <v>112</v>
      </c>
      <c r="B26" s="16" t="s">
        <v>56</v>
      </c>
      <c r="C26" s="16" t="s">
        <v>95</v>
      </c>
      <c r="D26" s="16" t="s">
        <v>545</v>
      </c>
      <c r="E26" s="16" t="s">
        <v>546</v>
      </c>
      <c r="F26" s="16" t="s">
        <v>507</v>
      </c>
      <c r="G26" s="155">
        <v>28656</v>
      </c>
      <c r="H26" s="155">
        <v>11642.4</v>
      </c>
      <c r="I26" s="78" t="s">
        <v>105</v>
      </c>
      <c r="J26" s="155">
        <f>IF(SW_Pricing_Table[[#This Row],[Include Maint in Year 1?]]="No",SW_Pricing_Table[[#This Row],[SW Cost (Annual)]],SW_Pricing_Table[[#This Row],[SW Cost (Annual)]]+SW_Pricing_Table[[#This Row],[Maintenance (Annual)]])</f>
        <v>28656</v>
      </c>
      <c r="L26" s="222" t="s">
        <v>2347</v>
      </c>
      <c r="M26" s="307" t="str">
        <f>INDEX(SW_Pricing_Table[],MATCH(Product_Pricing_Table[[#This Row],[Product Name]],SW_Pricing_Table[Prod Alias],0),6)</f>
        <v>CPU</v>
      </c>
      <c r="N26" s="19"/>
      <c r="O26" s="133">
        <f t="shared" ref="O26:X26" si="46">MS_SQL_SE_Ext_All</f>
        <v>6485.2</v>
      </c>
      <c r="P26" s="133">
        <f t="shared" si="46"/>
        <v>6485.2</v>
      </c>
      <c r="Q26" s="133">
        <f t="shared" si="46"/>
        <v>6485.2</v>
      </c>
      <c r="R26" s="133">
        <f t="shared" si="46"/>
        <v>6485.2</v>
      </c>
      <c r="S26" s="133">
        <f t="shared" si="46"/>
        <v>6485.2</v>
      </c>
      <c r="T26" s="133">
        <f t="shared" si="46"/>
        <v>6485.2</v>
      </c>
      <c r="U26" s="133">
        <f t="shared" si="46"/>
        <v>6485.2</v>
      </c>
      <c r="V26" s="133">
        <f t="shared" si="46"/>
        <v>6485.2</v>
      </c>
      <c r="W26" s="133">
        <f t="shared" si="46"/>
        <v>6485.2</v>
      </c>
      <c r="X26" s="133">
        <f t="shared" si="46"/>
        <v>6485.2</v>
      </c>
      <c r="Y26" s="31"/>
      <c r="Z26" s="222" t="s">
        <v>2347</v>
      </c>
      <c r="AA26" s="133">
        <f t="shared" ref="AA26:AJ26" si="47">MS_SQL_SE_Ext_All_Maint</f>
        <v>0</v>
      </c>
      <c r="AB26" s="133">
        <f t="shared" si="47"/>
        <v>0</v>
      </c>
      <c r="AC26" s="133">
        <f t="shared" si="47"/>
        <v>0</v>
      </c>
      <c r="AD26" s="133">
        <f t="shared" si="47"/>
        <v>0</v>
      </c>
      <c r="AE26" s="133">
        <f t="shared" si="47"/>
        <v>0</v>
      </c>
      <c r="AF26" s="133">
        <f t="shared" si="47"/>
        <v>0</v>
      </c>
      <c r="AG26" s="133">
        <f t="shared" si="47"/>
        <v>0</v>
      </c>
      <c r="AH26" s="133">
        <f t="shared" si="47"/>
        <v>0</v>
      </c>
      <c r="AI26" s="133">
        <f t="shared" si="47"/>
        <v>0</v>
      </c>
      <c r="AJ26" s="133">
        <f t="shared" si="47"/>
        <v>0</v>
      </c>
      <c r="AK26" s="31"/>
      <c r="AL26"/>
      <c r="AM26"/>
      <c r="AN26"/>
      <c r="AO26"/>
      <c r="AP26"/>
      <c r="AQ26"/>
      <c r="AR26"/>
      <c r="AS26"/>
      <c r="AT26"/>
      <c r="AU26"/>
      <c r="AX26" s="31"/>
      <c r="AY26" s="31"/>
      <c r="AZ26" s="31"/>
      <c r="BA26" s="31"/>
      <c r="BB26" s="31"/>
      <c r="BC26" s="31"/>
      <c r="BD26" s="31"/>
      <c r="BE26" s="31"/>
      <c r="BF26" s="31"/>
      <c r="BG26" s="31"/>
    </row>
    <row r="27" spans="1:59">
      <c r="A27" s="16" t="s">
        <v>112</v>
      </c>
      <c r="B27" s="16" t="s">
        <v>56</v>
      </c>
      <c r="C27" s="16" t="s">
        <v>95</v>
      </c>
      <c r="D27" s="16" t="s">
        <v>2325</v>
      </c>
      <c r="E27" s="16" t="s">
        <v>2327</v>
      </c>
      <c r="F27" s="16" t="s">
        <v>507</v>
      </c>
      <c r="G27" s="155">
        <v>7963.2</v>
      </c>
      <c r="H27" s="155">
        <v>2650.8</v>
      </c>
      <c r="I27" s="78" t="s">
        <v>105</v>
      </c>
      <c r="J27" s="155">
        <f>IF(SW_Pricing_Table[[#This Row],[Include Maint in Year 1?]]="No",SW_Pricing_Table[[#This Row],[SW Cost (Annual)]],SW_Pricing_Table[[#This Row],[SW Cost (Annual)]]+SW_Pricing_Table[[#This Row],[Maintenance (Annual)]])</f>
        <v>7963.2</v>
      </c>
      <c r="L27" s="222" t="s">
        <v>2345</v>
      </c>
      <c r="M27" s="298" t="str">
        <f>INDEX(SW_Pricing_Table[],MATCH(Product_Pricing_Table[[#This Row],[Product Name]],SW_Pricing_Table[Prod Alias],0),6)</f>
        <v>Per Server</v>
      </c>
      <c r="N27" s="298"/>
      <c r="O27" s="146">
        <f t="shared" ref="O27:X27" si="48">MS_SQL_SE_Int_All</f>
        <v>1013.52</v>
      </c>
      <c r="P27" s="146">
        <f t="shared" si="48"/>
        <v>1013.52</v>
      </c>
      <c r="Q27" s="146">
        <f t="shared" si="48"/>
        <v>1013.52</v>
      </c>
      <c r="R27" s="146">
        <f t="shared" si="48"/>
        <v>1013.52</v>
      </c>
      <c r="S27" s="146">
        <f t="shared" si="48"/>
        <v>1013.52</v>
      </c>
      <c r="T27" s="146">
        <f t="shared" si="48"/>
        <v>1013.52</v>
      </c>
      <c r="U27" s="146">
        <f t="shared" si="48"/>
        <v>1013.52</v>
      </c>
      <c r="V27" s="146">
        <f t="shared" si="48"/>
        <v>1013.52</v>
      </c>
      <c r="W27" s="146">
        <f t="shared" si="48"/>
        <v>1013.52</v>
      </c>
      <c r="X27" s="146">
        <f t="shared" si="48"/>
        <v>1013.52</v>
      </c>
      <c r="Y27" s="31"/>
      <c r="Z27" s="222" t="s">
        <v>2345</v>
      </c>
      <c r="AA27" s="146">
        <f t="shared" ref="AA27:AJ27" si="49">MS_SQL_SE_Int_All_Maint</f>
        <v>0</v>
      </c>
      <c r="AB27" s="146">
        <f t="shared" si="49"/>
        <v>0</v>
      </c>
      <c r="AC27" s="146">
        <f t="shared" si="49"/>
        <v>0</v>
      </c>
      <c r="AD27" s="146">
        <f t="shared" si="49"/>
        <v>0</v>
      </c>
      <c r="AE27" s="146">
        <f t="shared" si="49"/>
        <v>0</v>
      </c>
      <c r="AF27" s="146">
        <f t="shared" si="49"/>
        <v>0</v>
      </c>
      <c r="AG27" s="146">
        <f t="shared" si="49"/>
        <v>0</v>
      </c>
      <c r="AH27" s="146">
        <f t="shared" si="49"/>
        <v>0</v>
      </c>
      <c r="AI27" s="146">
        <f t="shared" si="49"/>
        <v>0</v>
      </c>
      <c r="AJ27" s="146">
        <f t="shared" si="49"/>
        <v>0</v>
      </c>
      <c r="AK27" s="31"/>
      <c r="AL27"/>
      <c r="AM27"/>
      <c r="AN27"/>
      <c r="AO27"/>
      <c r="AP27"/>
      <c r="AQ27"/>
      <c r="AR27"/>
      <c r="AS27"/>
      <c r="AT27"/>
      <c r="AU27"/>
      <c r="AX27" s="31"/>
      <c r="AY27" s="31"/>
      <c r="AZ27" s="31"/>
      <c r="BA27" s="31"/>
      <c r="BB27" s="31"/>
      <c r="BC27" s="31"/>
      <c r="BD27" s="31"/>
      <c r="BE27" s="31"/>
      <c r="BF27" s="31"/>
      <c r="BG27" s="31"/>
    </row>
    <row r="28" spans="1:59">
      <c r="A28" s="16" t="s">
        <v>112</v>
      </c>
      <c r="B28" s="16" t="s">
        <v>56</v>
      </c>
      <c r="C28" s="16" t="s">
        <v>95</v>
      </c>
      <c r="D28" s="16" t="s">
        <v>2326</v>
      </c>
      <c r="E28" s="16" t="s">
        <v>2328</v>
      </c>
      <c r="F28" s="16" t="s">
        <v>507</v>
      </c>
      <c r="G28" s="155">
        <v>4814.3999999999996</v>
      </c>
      <c r="H28" s="155">
        <v>1604.4</v>
      </c>
      <c r="I28" s="78" t="s">
        <v>105</v>
      </c>
      <c r="J28" s="155">
        <f>IF(SW_Pricing_Table[[#This Row],[Include Maint in Year 1?]]="No",SW_Pricing_Table[[#This Row],[SW Cost (Annual)]],SW_Pricing_Table[[#This Row],[SW Cost (Annual)]]+SW_Pricing_Table[[#This Row],[Maintenance (Annual)]])</f>
        <v>4814.3999999999996</v>
      </c>
      <c r="L28" s="222" t="s">
        <v>2251</v>
      </c>
      <c r="M28" s="307" t="str">
        <f>INDEX(SW_Pricing_Table[],MATCH(Product_Pricing_Table[[#This Row],[Product Name]],SW_Pricing_Table[Prod Alias],0),6)</f>
        <v>Cores</v>
      </c>
      <c r="N28" s="19"/>
      <c r="O28" s="133">
        <f>Oracle_ASO_pSeries_Prod</f>
        <v>1077.92</v>
      </c>
      <c r="P28" s="133">
        <f>Oracle_ASO_pSeries_Prod</f>
        <v>1077.92</v>
      </c>
      <c r="Q28" s="133">
        <f t="shared" ref="Q28:X28" si="50">Oracle_ASO_pSeries_NonProd</f>
        <v>517.40160000000003</v>
      </c>
      <c r="R28" s="133">
        <f t="shared" si="50"/>
        <v>517.40160000000003</v>
      </c>
      <c r="S28" s="133">
        <f t="shared" si="50"/>
        <v>517.40160000000003</v>
      </c>
      <c r="T28" s="133">
        <f t="shared" si="50"/>
        <v>517.40160000000003</v>
      </c>
      <c r="U28" s="133">
        <f t="shared" si="50"/>
        <v>517.40160000000003</v>
      </c>
      <c r="V28" s="133">
        <f t="shared" si="50"/>
        <v>517.40160000000003</v>
      </c>
      <c r="W28" s="133">
        <f t="shared" si="50"/>
        <v>517.40160000000003</v>
      </c>
      <c r="X28" s="133">
        <f t="shared" si="50"/>
        <v>517.40160000000003</v>
      </c>
      <c r="Y28" s="31"/>
      <c r="Z28" s="222" t="s">
        <v>2251</v>
      </c>
      <c r="AA28" s="133">
        <f>Oracle_ASO_pSeries_Prod_Maint</f>
        <v>188.75</v>
      </c>
      <c r="AB28" s="133">
        <f>Oracle_ASO_pSeries_Prod_Maint</f>
        <v>188.75</v>
      </c>
      <c r="AC28" s="146">
        <f t="shared" ref="AC28:AJ28" si="51">Oracle_ASO_pSeries_NonProd_Maint</f>
        <v>90.6</v>
      </c>
      <c r="AD28" s="146">
        <f t="shared" si="51"/>
        <v>90.6</v>
      </c>
      <c r="AE28" s="146">
        <f t="shared" si="51"/>
        <v>90.6</v>
      </c>
      <c r="AF28" s="146">
        <f t="shared" si="51"/>
        <v>90.6</v>
      </c>
      <c r="AG28" s="146">
        <f t="shared" si="51"/>
        <v>90.6</v>
      </c>
      <c r="AH28" s="146">
        <f t="shared" si="51"/>
        <v>90.6</v>
      </c>
      <c r="AI28" s="146">
        <f t="shared" si="51"/>
        <v>90.6</v>
      </c>
      <c r="AJ28" s="146">
        <f t="shared" si="51"/>
        <v>90.6</v>
      </c>
      <c r="AK28" s="31"/>
      <c r="AL28"/>
      <c r="AM28"/>
      <c r="AN28"/>
      <c r="AO28"/>
      <c r="AP28"/>
      <c r="AQ28"/>
      <c r="AR28"/>
      <c r="AS28"/>
      <c r="AT28"/>
      <c r="AU28"/>
      <c r="AX28" s="31"/>
      <c r="AY28" s="31"/>
      <c r="AZ28" s="31"/>
      <c r="BA28" s="31"/>
      <c r="BB28" s="31"/>
      <c r="BC28" s="31"/>
      <c r="BD28" s="31"/>
      <c r="BE28" s="31"/>
      <c r="BF28" s="31"/>
      <c r="BG28" s="31"/>
    </row>
    <row r="29" spans="1:59">
      <c r="A29" s="111" t="s">
        <v>28</v>
      </c>
      <c r="B29" s="111" t="s">
        <v>56</v>
      </c>
      <c r="C29" s="111" t="s">
        <v>116</v>
      </c>
      <c r="D29" s="111" t="s">
        <v>28</v>
      </c>
      <c r="E29" s="111" t="s">
        <v>52</v>
      </c>
      <c r="F29" s="111" t="s">
        <v>12</v>
      </c>
      <c r="G29" s="175">
        <v>24</v>
      </c>
      <c r="H29" s="175">
        <v>12</v>
      </c>
      <c r="I29" s="113" t="s">
        <v>105</v>
      </c>
      <c r="J29" s="114">
        <f>IF(SW_Pricing_Table[[#This Row],[Include Maint in Year 1?]]="No",SW_Pricing_Table[[#This Row],[SW Cost (Annual)]],SW_Pricing_Table[[#This Row],[SW Cost (Annual)]]+SW_Pricing_Table[[#This Row],[Maintenance (Annual)]])</f>
        <v>24</v>
      </c>
      <c r="L29" s="222" t="s">
        <v>2252</v>
      </c>
      <c r="M29" s="307" t="str">
        <f>INDEX(SW_Pricing_Table[],MATCH(Product_Pricing_Table[[#This Row],[Product Name]],SW_Pricing_Table[Prod Alias],0),6)</f>
        <v>Cores</v>
      </c>
      <c r="N29" s="19"/>
      <c r="O29" s="133">
        <f>Oracle_ASO_x86_Prod</f>
        <v>538.96</v>
      </c>
      <c r="P29" s="133">
        <f>Oracle_ASO_x86_Prod</f>
        <v>538.96</v>
      </c>
      <c r="Q29" s="133">
        <f t="shared" ref="Q29:X29" si="52">Oracle_ASO_x86_NonProd</f>
        <v>269.48</v>
      </c>
      <c r="R29" s="133">
        <f t="shared" si="52"/>
        <v>269.48</v>
      </c>
      <c r="S29" s="133">
        <f t="shared" si="52"/>
        <v>269.48</v>
      </c>
      <c r="T29" s="133">
        <f t="shared" si="52"/>
        <v>269.48</v>
      </c>
      <c r="U29" s="133">
        <f t="shared" si="52"/>
        <v>269.48</v>
      </c>
      <c r="V29" s="133">
        <f t="shared" si="52"/>
        <v>269.48</v>
      </c>
      <c r="W29" s="133">
        <f t="shared" si="52"/>
        <v>269.48</v>
      </c>
      <c r="X29" s="133">
        <f t="shared" si="52"/>
        <v>269.48</v>
      </c>
      <c r="Y29" s="31"/>
      <c r="Z29" s="222" t="s">
        <v>2252</v>
      </c>
      <c r="AA29" s="133">
        <f>Oracle_ASO_x86_Prod_Maint</f>
        <v>94.375</v>
      </c>
      <c r="AB29" s="133">
        <f>Oracle_ASO_x86_Prod_Maint</f>
        <v>94.375</v>
      </c>
      <c r="AC29" s="146">
        <f t="shared" ref="AC29:AJ29" si="53">Oracle_ASO_x86_NonProd_Maint</f>
        <v>47.1875</v>
      </c>
      <c r="AD29" s="146">
        <f t="shared" si="53"/>
        <v>47.1875</v>
      </c>
      <c r="AE29" s="146">
        <f t="shared" si="53"/>
        <v>47.1875</v>
      </c>
      <c r="AF29" s="146">
        <f t="shared" si="53"/>
        <v>47.1875</v>
      </c>
      <c r="AG29" s="146">
        <f t="shared" si="53"/>
        <v>47.1875</v>
      </c>
      <c r="AH29" s="146">
        <f t="shared" si="53"/>
        <v>47.1875</v>
      </c>
      <c r="AI29" s="146">
        <f t="shared" si="53"/>
        <v>47.1875</v>
      </c>
      <c r="AJ29" s="146">
        <f t="shared" si="53"/>
        <v>47.1875</v>
      </c>
      <c r="AK29" s="31"/>
      <c r="AL29"/>
      <c r="AM29"/>
      <c r="AN29"/>
      <c r="AO29"/>
      <c r="AP29"/>
      <c r="AQ29"/>
      <c r="AR29"/>
      <c r="AS29"/>
      <c r="AT29"/>
      <c r="AU29"/>
      <c r="AX29" s="31"/>
      <c r="AY29" s="31"/>
      <c r="AZ29" s="31"/>
      <c r="BA29" s="31"/>
      <c r="BB29" s="31"/>
      <c r="BC29" s="31"/>
      <c r="BD29" s="31"/>
      <c r="BE29" s="31"/>
      <c r="BF29" s="31"/>
      <c r="BG29" s="31"/>
    </row>
    <row r="30" spans="1:59">
      <c r="A30" s="110" t="s">
        <v>194</v>
      </c>
      <c r="B30" s="110" t="s">
        <v>56</v>
      </c>
      <c r="C30" s="110" t="s">
        <v>116</v>
      </c>
      <c r="D30" s="110" t="s">
        <v>2356</v>
      </c>
      <c r="E30" s="110" t="s">
        <v>2346</v>
      </c>
      <c r="F30" s="110" t="s">
        <v>12</v>
      </c>
      <c r="G30" s="149">
        <v>27028.720000000001</v>
      </c>
      <c r="H30" s="149">
        <v>0</v>
      </c>
      <c r="I30" s="115" t="s">
        <v>105</v>
      </c>
      <c r="J30" s="149">
        <f>IF(SW_Pricing_Table[[#This Row],[Include Maint in Year 1?]]="No",SW_Pricing_Table[[#This Row],[SW Cost (Annual)]],SW_Pricing_Table[[#This Row],[SW Cost (Annual)]]+SW_Pricing_Table[[#This Row],[Maintenance (Annual)]])</f>
        <v>27028.720000000001</v>
      </c>
      <c r="L30" s="12" t="s">
        <v>2260</v>
      </c>
      <c r="M30" s="19" t="str">
        <f>INDEX(SW_Pricing_Table[],MATCH(Product_Pricing_Table[[#This Row],[Product Name]],SW_Pricing_Table[Prod Alias],0),6)</f>
        <v>Cores</v>
      </c>
      <c r="N30" s="19"/>
      <c r="O30" s="133">
        <f>Oracle_Ext_pSeries_Prod</f>
        <v>5031.62</v>
      </c>
      <c r="P30" s="133">
        <f>Oracle_Ext_pSeries_Prod</f>
        <v>5031.62</v>
      </c>
      <c r="Q30" s="133">
        <f t="shared" ref="Q30:X30" si="54">Oracle_Ext_pSeries_NonProd</f>
        <v>2415.1776</v>
      </c>
      <c r="R30" s="133">
        <f t="shared" si="54"/>
        <v>2415.1776</v>
      </c>
      <c r="S30" s="133">
        <f t="shared" si="54"/>
        <v>2415.1776</v>
      </c>
      <c r="T30" s="133">
        <f t="shared" si="54"/>
        <v>2415.1776</v>
      </c>
      <c r="U30" s="133">
        <f t="shared" si="54"/>
        <v>2415.1776</v>
      </c>
      <c r="V30" s="133">
        <f t="shared" si="54"/>
        <v>2415.1776</v>
      </c>
      <c r="W30" s="133">
        <f t="shared" si="54"/>
        <v>2415.1776</v>
      </c>
      <c r="X30" s="133">
        <f t="shared" si="54"/>
        <v>2415.1776</v>
      </c>
      <c r="Y30" s="31"/>
      <c r="Z30" s="222" t="s">
        <v>2260</v>
      </c>
      <c r="AA30" s="133">
        <f>Oracle_Ext_pSeries_Prod_Maint</f>
        <v>881.04000000000008</v>
      </c>
      <c r="AB30" s="133">
        <f>Oracle_Ext_pSeries_Prod_Maint</f>
        <v>881.04000000000008</v>
      </c>
      <c r="AC30" s="146">
        <f t="shared" ref="AC30:AJ30" si="55">Oracle_Ext_pSeries_NonProd_Maint</f>
        <v>422.89920000000001</v>
      </c>
      <c r="AD30" s="146">
        <f t="shared" si="55"/>
        <v>422.89920000000001</v>
      </c>
      <c r="AE30" s="146">
        <f t="shared" si="55"/>
        <v>422.89920000000001</v>
      </c>
      <c r="AF30" s="146">
        <f t="shared" si="55"/>
        <v>422.89920000000001</v>
      </c>
      <c r="AG30" s="146">
        <f t="shared" si="55"/>
        <v>422.89920000000001</v>
      </c>
      <c r="AH30" s="146">
        <f t="shared" si="55"/>
        <v>422.89920000000001</v>
      </c>
      <c r="AI30" s="146">
        <f t="shared" si="55"/>
        <v>422.89920000000001</v>
      </c>
      <c r="AJ30" s="146">
        <f t="shared" si="55"/>
        <v>422.89920000000001</v>
      </c>
      <c r="AK30" s="31"/>
      <c r="AL30"/>
      <c r="AM30"/>
      <c r="AN30"/>
      <c r="AO30"/>
      <c r="AP30"/>
      <c r="AQ30"/>
      <c r="AR30"/>
      <c r="AS30"/>
      <c r="AT30"/>
      <c r="AU30"/>
      <c r="AX30" s="31"/>
      <c r="AY30" s="31"/>
      <c r="AZ30" s="31"/>
      <c r="BA30" s="31"/>
      <c r="BB30" s="31"/>
      <c r="BC30" s="31"/>
      <c r="BD30" s="31"/>
      <c r="BE30" s="31"/>
      <c r="BF30" s="31"/>
      <c r="BG30" s="31"/>
    </row>
    <row r="31" spans="1:59">
      <c r="A31" s="110" t="s">
        <v>194</v>
      </c>
      <c r="B31" s="110" t="s">
        <v>56</v>
      </c>
      <c r="C31" s="110" t="s">
        <v>116</v>
      </c>
      <c r="D31" s="110" t="s">
        <v>2358</v>
      </c>
      <c r="E31" s="110" t="s">
        <v>2344</v>
      </c>
      <c r="F31" s="110" t="s">
        <v>92</v>
      </c>
      <c r="G31" s="149">
        <v>9712.7199999999993</v>
      </c>
      <c r="H31" s="149">
        <v>0</v>
      </c>
      <c r="I31" s="115" t="s">
        <v>105</v>
      </c>
      <c r="J31" s="112">
        <f>IF(SW_Pricing_Table[[#This Row],[Include Maint in Year 1?]]="No",SW_Pricing_Table[[#This Row],[SW Cost (Annual)]],SW_Pricing_Table[[#This Row],[SW Cost (Annual)]]+SW_Pricing_Table[[#This Row],[Maintenance (Annual)]])</f>
        <v>9712.7199999999993</v>
      </c>
      <c r="L31" s="222" t="s">
        <v>2261</v>
      </c>
      <c r="M31" s="307" t="str">
        <f>INDEX(SW_Pricing_Table[],MATCH(Product_Pricing_Table[[#This Row],[Product Name]],SW_Pricing_Table[Prod Alias],0),6)</f>
        <v>Cores</v>
      </c>
      <c r="N31" s="19"/>
      <c r="O31" s="133">
        <f>Oracle_Ext_x86_Prod</f>
        <v>2515.81</v>
      </c>
      <c r="P31" s="133">
        <f>Oracle_Ext_x86_Prod</f>
        <v>2515.81</v>
      </c>
      <c r="Q31" s="133">
        <f t="shared" ref="Q31:X31" si="56">Oracle_Ext_x86_NonProd</f>
        <v>1257.905</v>
      </c>
      <c r="R31" s="133">
        <f t="shared" si="56"/>
        <v>1257.905</v>
      </c>
      <c r="S31" s="133">
        <f t="shared" si="56"/>
        <v>1257.905</v>
      </c>
      <c r="T31" s="133">
        <f t="shared" si="56"/>
        <v>1257.905</v>
      </c>
      <c r="U31" s="133">
        <f t="shared" si="56"/>
        <v>1257.905</v>
      </c>
      <c r="V31" s="133">
        <f t="shared" si="56"/>
        <v>1257.905</v>
      </c>
      <c r="W31" s="133">
        <f t="shared" si="56"/>
        <v>1257.905</v>
      </c>
      <c r="X31" s="133">
        <f t="shared" si="56"/>
        <v>1257.905</v>
      </c>
      <c r="Y31" s="31"/>
      <c r="Z31" s="222" t="s">
        <v>2261</v>
      </c>
      <c r="AA31" s="133">
        <f>Oracle_Ext_x86_Prod_Maint</f>
        <v>440.52000000000004</v>
      </c>
      <c r="AB31" s="133">
        <f>Oracle_Ext_x86_Prod_Maint</f>
        <v>440.52000000000004</v>
      </c>
      <c r="AC31" s="146">
        <f t="shared" ref="AC31:AJ31" si="57">Oracle_Ext_x86_NonProd_Maint</f>
        <v>220.26000000000002</v>
      </c>
      <c r="AD31" s="146">
        <f t="shared" si="57"/>
        <v>220.26000000000002</v>
      </c>
      <c r="AE31" s="146">
        <f t="shared" si="57"/>
        <v>220.26000000000002</v>
      </c>
      <c r="AF31" s="146">
        <f t="shared" si="57"/>
        <v>220.26000000000002</v>
      </c>
      <c r="AG31" s="146">
        <f t="shared" si="57"/>
        <v>220.26000000000002</v>
      </c>
      <c r="AH31" s="146">
        <f t="shared" si="57"/>
        <v>220.26000000000002</v>
      </c>
      <c r="AI31" s="146">
        <f t="shared" si="57"/>
        <v>220.26000000000002</v>
      </c>
      <c r="AJ31" s="146">
        <f t="shared" si="57"/>
        <v>220.26000000000002</v>
      </c>
      <c r="AK31" s="31"/>
      <c r="AL31"/>
      <c r="AM31"/>
      <c r="AN31"/>
      <c r="AO31"/>
      <c r="AP31"/>
      <c r="AQ31"/>
      <c r="AR31"/>
      <c r="AS31"/>
      <c r="AT31"/>
      <c r="AU31"/>
      <c r="AX31" s="31"/>
      <c r="AY31" s="31"/>
      <c r="AZ31" s="31"/>
      <c r="BA31" s="31"/>
      <c r="BB31" s="31"/>
      <c r="BC31" s="31"/>
      <c r="BD31" s="31"/>
      <c r="BE31" s="31"/>
      <c r="BF31" s="31"/>
      <c r="BG31" s="31"/>
    </row>
    <row r="32" spans="1:59">
      <c r="A32" s="110" t="s">
        <v>194</v>
      </c>
      <c r="B32" s="110" t="s">
        <v>56</v>
      </c>
      <c r="C32" s="110" t="s">
        <v>116</v>
      </c>
      <c r="D32" s="110" t="s">
        <v>2359</v>
      </c>
      <c r="E32" s="110" t="s">
        <v>2347</v>
      </c>
      <c r="F32" s="110" t="s">
        <v>12</v>
      </c>
      <c r="G32" s="149">
        <v>6485.2</v>
      </c>
      <c r="H32" s="149">
        <v>0</v>
      </c>
      <c r="I32" s="115" t="s">
        <v>105</v>
      </c>
      <c r="J32" s="149">
        <f>IF(SW_Pricing_Table[[#This Row],[Include Maint in Year 1?]]="No",SW_Pricing_Table[[#This Row],[SW Cost (Annual)]],SW_Pricing_Table[[#This Row],[SW Cost (Annual)]]+SW_Pricing_Table[[#This Row],[Maintenance (Annual)]])</f>
        <v>6485.2</v>
      </c>
      <c r="L32" s="187" t="s">
        <v>2244</v>
      </c>
      <c r="M32" s="19" t="str">
        <f>INDEX(SW_Pricing_Table[],MATCH(Product_Pricing_Table[[#This Row],[Product Name]],SW_Pricing_Table[Prod Alias],0),6)</f>
        <v>Cores</v>
      </c>
      <c r="N32" s="19"/>
      <c r="O32" s="133">
        <f>Oracle_GG_pSeries_Prod</f>
        <v>1484.3</v>
      </c>
      <c r="P32" s="133">
        <f>Oracle_GG_pSeries_Prod</f>
        <v>1484.3</v>
      </c>
      <c r="Q32" s="133">
        <f t="shared" ref="Q32:X32" si="58">Oracle_GG_pSeries_NonProd</f>
        <v>712.46399999999994</v>
      </c>
      <c r="R32" s="133">
        <f t="shared" si="58"/>
        <v>712.46399999999994</v>
      </c>
      <c r="S32" s="133">
        <f t="shared" si="58"/>
        <v>712.46399999999994</v>
      </c>
      <c r="T32" s="133">
        <f t="shared" si="58"/>
        <v>712.46399999999994</v>
      </c>
      <c r="U32" s="133">
        <f t="shared" si="58"/>
        <v>712.46399999999994</v>
      </c>
      <c r="V32" s="133">
        <f t="shared" si="58"/>
        <v>712.46399999999994</v>
      </c>
      <c r="W32" s="133">
        <f t="shared" si="58"/>
        <v>712.46399999999994</v>
      </c>
      <c r="X32" s="133">
        <f t="shared" si="58"/>
        <v>712.46399999999994</v>
      </c>
      <c r="Y32" s="31"/>
      <c r="Z32" s="222" t="s">
        <v>2244</v>
      </c>
      <c r="AA32" s="133">
        <f>Oracle_GG_pSeries_Prod_Maint</f>
        <v>267.2</v>
      </c>
      <c r="AB32" s="133">
        <f>Oracle_GG_pSeries_Prod_Maint</f>
        <v>267.2</v>
      </c>
      <c r="AC32" s="146">
        <f t="shared" ref="AC32:AJ32" si="59">Oracle_GG_pSeries_NonProd_Maint</f>
        <v>128.256</v>
      </c>
      <c r="AD32" s="146">
        <f t="shared" si="59"/>
        <v>128.256</v>
      </c>
      <c r="AE32" s="146">
        <f t="shared" si="59"/>
        <v>128.256</v>
      </c>
      <c r="AF32" s="146">
        <f t="shared" si="59"/>
        <v>128.256</v>
      </c>
      <c r="AG32" s="146">
        <f t="shared" si="59"/>
        <v>128.256</v>
      </c>
      <c r="AH32" s="146">
        <f t="shared" si="59"/>
        <v>128.256</v>
      </c>
      <c r="AI32" s="146">
        <f t="shared" si="59"/>
        <v>128.256</v>
      </c>
      <c r="AJ32" s="146">
        <f t="shared" si="59"/>
        <v>128.256</v>
      </c>
      <c r="AK32" s="31"/>
      <c r="AL32"/>
      <c r="AM32"/>
      <c r="AN32"/>
      <c r="AO32"/>
      <c r="AP32"/>
      <c r="AQ32"/>
      <c r="AR32"/>
      <c r="AS32"/>
      <c r="AT32"/>
      <c r="AU32"/>
      <c r="AX32" s="31"/>
      <c r="AY32" s="31"/>
      <c r="AZ32" s="31"/>
      <c r="BA32" s="31"/>
      <c r="BB32" s="31"/>
      <c r="BC32" s="31"/>
      <c r="BD32" s="31"/>
      <c r="BE32" s="31"/>
      <c r="BF32" s="31"/>
      <c r="BG32" s="31"/>
    </row>
    <row r="33" spans="1:61">
      <c r="A33" s="110" t="s">
        <v>194</v>
      </c>
      <c r="B33" s="110" t="s">
        <v>56</v>
      </c>
      <c r="C33" s="110" t="s">
        <v>116</v>
      </c>
      <c r="D33" s="110" t="s">
        <v>2357</v>
      </c>
      <c r="E33" s="110" t="s">
        <v>2345</v>
      </c>
      <c r="F33" s="110" t="s">
        <v>92</v>
      </c>
      <c r="G33" s="149">
        <v>1013.52</v>
      </c>
      <c r="H33" s="149">
        <v>0</v>
      </c>
      <c r="I33" s="115" t="s">
        <v>105</v>
      </c>
      <c r="J33" s="147">
        <f>IF(SW_Pricing_Table[[#This Row],[Include Maint in Year 1?]]="No",SW_Pricing_Table[[#This Row],[SW Cost (Annual)]],SW_Pricing_Table[[#This Row],[SW Cost (Annual)]]+SW_Pricing_Table[[#This Row],[Maintenance (Annual)]])</f>
        <v>1013.52</v>
      </c>
      <c r="L33" s="222" t="s">
        <v>2245</v>
      </c>
      <c r="M33" s="307" t="str">
        <f>INDEX(SW_Pricing_Table[],MATCH(Product_Pricing_Table[[#This Row],[Product Name]],SW_Pricing_Table[Prod Alias],0),6)</f>
        <v>Cores</v>
      </c>
      <c r="N33" s="19"/>
      <c r="O33" s="133">
        <f>Oracle_GG_x86_Prod</f>
        <v>742.15</v>
      </c>
      <c r="P33" s="133">
        <f>Oracle_GG_x86_Prod</f>
        <v>742.15</v>
      </c>
      <c r="Q33" s="133">
        <f t="shared" ref="Q33:X33" si="60">Oracle_GG_x86_NonProd</f>
        <v>371.07499999999999</v>
      </c>
      <c r="R33" s="133">
        <f t="shared" si="60"/>
        <v>371.07499999999999</v>
      </c>
      <c r="S33" s="133">
        <f t="shared" si="60"/>
        <v>371.07499999999999</v>
      </c>
      <c r="T33" s="133">
        <f t="shared" si="60"/>
        <v>371.07499999999999</v>
      </c>
      <c r="U33" s="133">
        <f t="shared" si="60"/>
        <v>371.07499999999999</v>
      </c>
      <c r="V33" s="133">
        <f t="shared" si="60"/>
        <v>371.07499999999999</v>
      </c>
      <c r="W33" s="133">
        <f t="shared" si="60"/>
        <v>371.07499999999999</v>
      </c>
      <c r="X33" s="133">
        <f t="shared" si="60"/>
        <v>371.07499999999999</v>
      </c>
      <c r="Y33" s="31"/>
      <c r="Z33" s="222" t="s">
        <v>2245</v>
      </c>
      <c r="AA33" s="133">
        <f>Oracle_GG_x86_Prod_Maint</f>
        <v>133.6</v>
      </c>
      <c r="AB33" s="133">
        <f>Oracle_GG_x86_Prod_Maint</f>
        <v>133.6</v>
      </c>
      <c r="AC33" s="146">
        <f t="shared" ref="AC33:AJ33" si="61">Oracle_GG_x86_NonProd_Maint</f>
        <v>66.8</v>
      </c>
      <c r="AD33" s="146">
        <f t="shared" si="61"/>
        <v>66.8</v>
      </c>
      <c r="AE33" s="146">
        <f t="shared" si="61"/>
        <v>66.8</v>
      </c>
      <c r="AF33" s="146">
        <f t="shared" si="61"/>
        <v>66.8</v>
      </c>
      <c r="AG33" s="146">
        <f t="shared" si="61"/>
        <v>66.8</v>
      </c>
      <c r="AH33" s="146">
        <f t="shared" si="61"/>
        <v>66.8</v>
      </c>
      <c r="AI33" s="146">
        <f t="shared" si="61"/>
        <v>66.8</v>
      </c>
      <c r="AJ33" s="146">
        <f t="shared" si="61"/>
        <v>66.8</v>
      </c>
      <c r="AK33" s="31"/>
      <c r="AL33"/>
      <c r="AM33"/>
      <c r="AN33"/>
      <c r="AO33"/>
      <c r="AP33"/>
      <c r="AQ33"/>
      <c r="AR33"/>
      <c r="AS33"/>
      <c r="AT33"/>
      <c r="AU33"/>
      <c r="AX33" s="31"/>
      <c r="AY33" s="31"/>
      <c r="AZ33" s="31"/>
      <c r="BA33" s="31"/>
      <c r="BB33" s="31"/>
      <c r="BC33" s="31"/>
      <c r="BD33" s="31"/>
      <c r="BE33" s="31"/>
      <c r="BF33" s="31"/>
      <c r="BG33" s="31"/>
    </row>
    <row r="34" spans="1:61">
      <c r="A34" s="45" t="s">
        <v>124</v>
      </c>
      <c r="B34" s="45" t="s">
        <v>56</v>
      </c>
      <c r="C34" s="45" t="s">
        <v>116</v>
      </c>
      <c r="D34" s="51" t="s">
        <v>124</v>
      </c>
      <c r="E34" s="51" t="s">
        <v>124</v>
      </c>
      <c r="F34" s="51"/>
      <c r="G34" s="159">
        <v>1500</v>
      </c>
      <c r="H34" s="159">
        <v>225</v>
      </c>
      <c r="I34" s="84" t="s">
        <v>105</v>
      </c>
      <c r="J34" s="85">
        <f>IF(SW_Pricing_Table[[#This Row],[Include Maint in Year 1?]]="No",SW_Pricing_Table[[#This Row],[SW Cost (Annual)]],SW_Pricing_Table[[#This Row],[SW Cost (Annual)]]+SW_Pricing_Table[[#This Row],[Maintenance (Annual)]])</f>
        <v>1500</v>
      </c>
      <c r="L34" s="222" t="s">
        <v>2258</v>
      </c>
      <c r="M34" s="307" t="str">
        <f>INDEX(SW_Pricing_Table[],MATCH(Product_Pricing_Table[[#This Row],[Product Name]],SW_Pricing_Table[Prod Alias],0),6)</f>
        <v>Cores</v>
      </c>
      <c r="N34" s="19"/>
      <c r="O34" s="133">
        <f>Oracle_GG_Veridata_pSeries_Prod</f>
        <v>2554.5</v>
      </c>
      <c r="P34" s="133">
        <f>Oracle_GG_Veridata_pSeries_Prod</f>
        <v>2554.5</v>
      </c>
      <c r="Q34" s="133">
        <f t="shared" ref="Q34:X34" si="62">Oracle_GG_Veridata_pSeries_NonProd</f>
        <v>1226.1599999999999</v>
      </c>
      <c r="R34" s="133">
        <f t="shared" si="62"/>
        <v>1226.1599999999999</v>
      </c>
      <c r="S34" s="133">
        <f t="shared" si="62"/>
        <v>1226.1599999999999</v>
      </c>
      <c r="T34" s="133">
        <f t="shared" si="62"/>
        <v>1226.1599999999999</v>
      </c>
      <c r="U34" s="133">
        <f t="shared" si="62"/>
        <v>1226.1599999999999</v>
      </c>
      <c r="V34" s="133">
        <f t="shared" si="62"/>
        <v>1226.1599999999999</v>
      </c>
      <c r="W34" s="133">
        <f t="shared" si="62"/>
        <v>1226.1599999999999</v>
      </c>
      <c r="X34" s="133">
        <f t="shared" si="62"/>
        <v>1226.1599999999999</v>
      </c>
      <c r="Y34" s="31"/>
      <c r="Z34" s="222" t="s">
        <v>2258</v>
      </c>
      <c r="AA34" s="133">
        <f>Oracle_GG_Veridata_pSeries_Prod_Maint</f>
        <v>458</v>
      </c>
      <c r="AB34" s="133">
        <f>Oracle_GG_Veridata_pSeries_Prod_Maint</f>
        <v>458</v>
      </c>
      <c r="AC34" s="146">
        <f t="shared" ref="AC34:AJ34" si="63">Oracle_GG_Veridata_pSeries_NonProd_Maint</f>
        <v>219.84</v>
      </c>
      <c r="AD34" s="146">
        <f t="shared" si="63"/>
        <v>219.84</v>
      </c>
      <c r="AE34" s="146">
        <f t="shared" si="63"/>
        <v>219.84</v>
      </c>
      <c r="AF34" s="146">
        <f t="shared" si="63"/>
        <v>219.84</v>
      </c>
      <c r="AG34" s="146">
        <f t="shared" si="63"/>
        <v>219.84</v>
      </c>
      <c r="AH34" s="146">
        <f t="shared" si="63"/>
        <v>219.84</v>
      </c>
      <c r="AI34" s="146">
        <f t="shared" si="63"/>
        <v>219.84</v>
      </c>
      <c r="AJ34" s="146">
        <f t="shared" si="63"/>
        <v>219.84</v>
      </c>
      <c r="AK34" s="31"/>
      <c r="AL34"/>
      <c r="AM34"/>
      <c r="AN34"/>
      <c r="AO34"/>
      <c r="AP34"/>
      <c r="AQ34"/>
      <c r="AR34"/>
      <c r="AS34"/>
      <c r="AT34"/>
      <c r="AU34"/>
      <c r="AX34" s="31"/>
      <c r="AY34" s="31"/>
      <c r="AZ34" s="31"/>
      <c r="BA34" s="31"/>
      <c r="BB34" s="31"/>
      <c r="BC34" s="31"/>
      <c r="BD34" s="31"/>
      <c r="BE34" s="31"/>
      <c r="BF34" s="31"/>
      <c r="BG34" s="31"/>
    </row>
    <row r="35" spans="1:61">
      <c r="A35" s="216" t="s">
        <v>117</v>
      </c>
      <c r="B35" s="216" t="s">
        <v>113</v>
      </c>
      <c r="C35" s="216" t="s">
        <v>95</v>
      </c>
      <c r="D35" s="217" t="s">
        <v>2250</v>
      </c>
      <c r="E35" s="217" t="s">
        <v>2251</v>
      </c>
      <c r="F35" s="216" t="s">
        <v>507</v>
      </c>
      <c r="G35" s="220">
        <v>1077.92</v>
      </c>
      <c r="H35" s="220">
        <v>188.75</v>
      </c>
      <c r="I35" s="218" t="s">
        <v>105</v>
      </c>
      <c r="J35" s="219">
        <f>IF(SW_Pricing_Table[[#This Row],[Include Maint in Year 1?]]="No",SW_Pricing_Table[[#This Row],[SW Cost (Annual)]],SW_Pricing_Table[[#This Row],[SW Cost (Annual)]]+SW_Pricing_Table[[#This Row],[Maintenance (Annual)]])</f>
        <v>1077.92</v>
      </c>
      <c r="L35" s="222" t="s">
        <v>2259</v>
      </c>
      <c r="M35" s="296" t="str">
        <f>INDEX(SW_Pricing_Table[],MATCH(Product_Pricing_Table[[#This Row],[Product Name]],SW_Pricing_Table[Prod Alias],0),6)</f>
        <v>Cores</v>
      </c>
      <c r="N35" s="296"/>
      <c r="O35" s="225">
        <f>Oracle_GG_Veridata_x86_Prod</f>
        <v>1277.25</v>
      </c>
      <c r="P35" s="237">
        <f>Oracle_GG_Veridata_x86_Prod</f>
        <v>1277.25</v>
      </c>
      <c r="Q35" s="237">
        <f t="shared" ref="Q35:X35" si="64">Oracle_GG_Veridata_x86_NonProd</f>
        <v>638.625</v>
      </c>
      <c r="R35" s="237">
        <f t="shared" si="64"/>
        <v>638.625</v>
      </c>
      <c r="S35" s="237">
        <f t="shared" si="64"/>
        <v>638.625</v>
      </c>
      <c r="T35" s="237">
        <f t="shared" si="64"/>
        <v>638.625</v>
      </c>
      <c r="U35" s="237">
        <f t="shared" si="64"/>
        <v>638.625</v>
      </c>
      <c r="V35" s="237">
        <f t="shared" si="64"/>
        <v>638.625</v>
      </c>
      <c r="W35" s="237">
        <f t="shared" si="64"/>
        <v>638.625</v>
      </c>
      <c r="X35" s="237">
        <f t="shared" si="64"/>
        <v>638.625</v>
      </c>
      <c r="Y35" s="31"/>
      <c r="Z35" s="222" t="s">
        <v>2259</v>
      </c>
      <c r="AA35" s="133">
        <f>Oracle_GG_Veridata_x86_Prod_Maint</f>
        <v>229</v>
      </c>
      <c r="AB35" s="133">
        <f>Oracle_GG_Veridata_x86_Prod_Maint</f>
        <v>229</v>
      </c>
      <c r="AC35" s="146">
        <f t="shared" ref="AC35:AJ35" si="65">Oracle_GG_Veridata_x86_NonProd_Maint</f>
        <v>114.5</v>
      </c>
      <c r="AD35" s="146">
        <f t="shared" si="65"/>
        <v>114.5</v>
      </c>
      <c r="AE35" s="146">
        <f t="shared" si="65"/>
        <v>114.5</v>
      </c>
      <c r="AF35" s="146">
        <f t="shared" si="65"/>
        <v>114.5</v>
      </c>
      <c r="AG35" s="146">
        <f t="shared" si="65"/>
        <v>114.5</v>
      </c>
      <c r="AH35" s="146">
        <f t="shared" si="65"/>
        <v>114.5</v>
      </c>
      <c r="AI35" s="146">
        <f t="shared" si="65"/>
        <v>114.5</v>
      </c>
      <c r="AJ35" s="146">
        <f t="shared" si="65"/>
        <v>114.5</v>
      </c>
      <c r="AK35" s="31"/>
      <c r="AL35"/>
      <c r="AM35"/>
      <c r="AN35"/>
      <c r="AO35"/>
      <c r="AP35"/>
      <c r="AQ35"/>
      <c r="AR35"/>
      <c r="AS35"/>
      <c r="AT35"/>
      <c r="AU35"/>
      <c r="AX35" s="31"/>
      <c r="AY35" s="31"/>
      <c r="AZ35" s="31"/>
      <c r="BA35" s="31"/>
      <c r="BB35" s="31"/>
      <c r="BC35" s="31"/>
      <c r="BD35" s="31"/>
      <c r="BE35" s="31"/>
      <c r="BF35" s="31"/>
      <c r="BG35" s="31"/>
    </row>
    <row r="36" spans="1:61">
      <c r="A36" s="216" t="s">
        <v>117</v>
      </c>
      <c r="B36" s="216" t="s">
        <v>107</v>
      </c>
      <c r="C36" s="216" t="s">
        <v>95</v>
      </c>
      <c r="D36" s="217" t="s">
        <v>2250</v>
      </c>
      <c r="E36" s="217" t="s">
        <v>2251</v>
      </c>
      <c r="F36" s="216" t="s">
        <v>507</v>
      </c>
      <c r="G36" s="220">
        <f>G35*48%</f>
        <v>517.40160000000003</v>
      </c>
      <c r="H36" s="220">
        <f>H35*48%</f>
        <v>90.6</v>
      </c>
      <c r="I36" s="218" t="s">
        <v>105</v>
      </c>
      <c r="J36" s="219">
        <f>IF(SW_Pricing_Table[[#This Row],[Include Maint in Year 1?]]="No",SW_Pricing_Table[[#This Row],[SW Cost (Annual)]],SW_Pricing_Table[[#This Row],[SW Cost (Annual)]]+SW_Pricing_Table[[#This Row],[Maintenance (Annual)]])</f>
        <v>517.40160000000003</v>
      </c>
      <c r="L36" s="222" t="s">
        <v>2246</v>
      </c>
      <c r="M36" s="307" t="str">
        <f>INDEX(SW_Pricing_Table[],MATCH(Product_Pricing_Table[[#This Row],[Product Name]],SW_Pricing_Table[Prod Alias],0),6)</f>
        <v>Cores</v>
      </c>
      <c r="N36" s="19"/>
      <c r="O36" s="133">
        <f>Oracle_Partitioning_pSeries_Prod</f>
        <v>975.4</v>
      </c>
      <c r="P36" s="133">
        <f>Oracle_Partitioning_pSeries_Prod</f>
        <v>975.4</v>
      </c>
      <c r="Q36" s="133">
        <f t="shared" ref="Q36:X36" si="66">Oracle_Partitioning_pSeries_NonProd</f>
        <v>468.19199999999995</v>
      </c>
      <c r="R36" s="133">
        <f t="shared" si="66"/>
        <v>468.19199999999995</v>
      </c>
      <c r="S36" s="133">
        <f t="shared" si="66"/>
        <v>468.19199999999995</v>
      </c>
      <c r="T36" s="133">
        <f t="shared" si="66"/>
        <v>468.19199999999995</v>
      </c>
      <c r="U36" s="133">
        <f t="shared" si="66"/>
        <v>468.19199999999995</v>
      </c>
      <c r="V36" s="133">
        <f t="shared" si="66"/>
        <v>468.19199999999995</v>
      </c>
      <c r="W36" s="133">
        <f t="shared" si="66"/>
        <v>468.19199999999995</v>
      </c>
      <c r="X36" s="133">
        <f t="shared" si="66"/>
        <v>468.19199999999995</v>
      </c>
      <c r="Y36" s="31"/>
      <c r="Z36" s="222" t="s">
        <v>2246</v>
      </c>
      <c r="AA36" s="133">
        <f>Oracle_Partitioning_pSeries_Prod_Maint</f>
        <v>175.6</v>
      </c>
      <c r="AB36" s="133">
        <f>Oracle_Partitioning_pSeries_Prod_Maint</f>
        <v>175.6</v>
      </c>
      <c r="AC36" s="133">
        <f t="shared" ref="AC36:AJ36" si="67">Oracle_Partitioning_pSeries_NonProd_Maint</f>
        <v>84.287999999999997</v>
      </c>
      <c r="AD36" s="133">
        <f t="shared" si="67"/>
        <v>84.287999999999997</v>
      </c>
      <c r="AE36" s="133">
        <f t="shared" si="67"/>
        <v>84.287999999999997</v>
      </c>
      <c r="AF36" s="133">
        <f t="shared" si="67"/>
        <v>84.287999999999997</v>
      </c>
      <c r="AG36" s="133">
        <f t="shared" si="67"/>
        <v>84.287999999999997</v>
      </c>
      <c r="AH36" s="133">
        <f t="shared" si="67"/>
        <v>84.287999999999997</v>
      </c>
      <c r="AI36" s="133">
        <f t="shared" si="67"/>
        <v>84.287999999999997</v>
      </c>
      <c r="AJ36" s="133">
        <f t="shared" si="67"/>
        <v>84.287999999999997</v>
      </c>
      <c r="AK36" s="31"/>
      <c r="AL36"/>
      <c r="AM36"/>
      <c r="AN36"/>
      <c r="AO36"/>
      <c r="AP36"/>
      <c r="AQ36"/>
      <c r="AR36"/>
      <c r="AS36"/>
      <c r="AT36"/>
      <c r="AU36"/>
      <c r="AX36" s="31"/>
      <c r="AY36" s="31"/>
      <c r="AZ36" s="31"/>
      <c r="BA36" s="31"/>
      <c r="BB36" s="31"/>
      <c r="BC36" s="31"/>
      <c r="BD36" s="31"/>
      <c r="BE36" s="31"/>
      <c r="BF36" s="31"/>
      <c r="BG36" s="31"/>
    </row>
    <row r="37" spans="1:61">
      <c r="A37" s="216" t="s">
        <v>117</v>
      </c>
      <c r="B37" s="216" t="s">
        <v>113</v>
      </c>
      <c r="C37" s="216" t="s">
        <v>116</v>
      </c>
      <c r="D37" s="217" t="s">
        <v>2250</v>
      </c>
      <c r="E37" s="217" t="s">
        <v>2252</v>
      </c>
      <c r="F37" s="216" t="s">
        <v>507</v>
      </c>
      <c r="G37" s="220">
        <f>G35*50%</f>
        <v>538.96</v>
      </c>
      <c r="H37" s="220">
        <f>H35*50%</f>
        <v>94.375</v>
      </c>
      <c r="I37" s="218" t="s">
        <v>105</v>
      </c>
      <c r="J37" s="219">
        <f>IF(SW_Pricing_Table[[#This Row],[Include Maint in Year 1?]]="No",SW_Pricing_Table[[#This Row],[SW Cost (Annual)]],SW_Pricing_Table[[#This Row],[SW Cost (Annual)]]+SW_Pricing_Table[[#This Row],[Maintenance (Annual)]])</f>
        <v>538.96</v>
      </c>
      <c r="L37" s="222" t="s">
        <v>2247</v>
      </c>
      <c r="M37" s="307" t="str">
        <f>INDEX(SW_Pricing_Table[],MATCH(Product_Pricing_Table[[#This Row],[Product Name]],SW_Pricing_Table[Prod Alias],0),6)</f>
        <v>Cores</v>
      </c>
      <c r="N37" s="19"/>
      <c r="O37" s="133">
        <f>Oracle_Partitioning_x86_Prod</f>
        <v>487.7</v>
      </c>
      <c r="P37" s="133">
        <f>Oracle_Partitioning_x86_Prod</f>
        <v>487.7</v>
      </c>
      <c r="Q37" s="133">
        <f t="shared" ref="Q37:X37" si="68">Oracle_Partitioning_x86_NonProd</f>
        <v>243.85</v>
      </c>
      <c r="R37" s="133">
        <f t="shared" si="68"/>
        <v>243.85</v>
      </c>
      <c r="S37" s="133">
        <f t="shared" si="68"/>
        <v>243.85</v>
      </c>
      <c r="T37" s="133">
        <f t="shared" si="68"/>
        <v>243.85</v>
      </c>
      <c r="U37" s="133">
        <f t="shared" si="68"/>
        <v>243.85</v>
      </c>
      <c r="V37" s="133">
        <f t="shared" si="68"/>
        <v>243.85</v>
      </c>
      <c r="W37" s="133">
        <f t="shared" si="68"/>
        <v>243.85</v>
      </c>
      <c r="X37" s="133">
        <f t="shared" si="68"/>
        <v>243.85</v>
      </c>
      <c r="Y37" s="31"/>
      <c r="Z37" s="222" t="s">
        <v>2247</v>
      </c>
      <c r="AA37" s="133">
        <f>Oracle_Partitioning_x86_Prod_Maint</f>
        <v>87.8</v>
      </c>
      <c r="AB37" s="133">
        <f>Oracle_Partitioning_x86_Prod_Maint</f>
        <v>87.8</v>
      </c>
      <c r="AC37" s="133">
        <f t="shared" ref="AC37:AJ37" si="69">Oracle_Partitioning_x86_NonProd_Maint</f>
        <v>43.9</v>
      </c>
      <c r="AD37" s="133">
        <f t="shared" si="69"/>
        <v>43.9</v>
      </c>
      <c r="AE37" s="133">
        <f t="shared" si="69"/>
        <v>43.9</v>
      </c>
      <c r="AF37" s="133">
        <f t="shared" si="69"/>
        <v>43.9</v>
      </c>
      <c r="AG37" s="133">
        <f t="shared" si="69"/>
        <v>43.9</v>
      </c>
      <c r="AH37" s="133">
        <f t="shared" si="69"/>
        <v>43.9</v>
      </c>
      <c r="AI37" s="133">
        <f t="shared" si="69"/>
        <v>43.9</v>
      </c>
      <c r="AJ37" s="133">
        <f t="shared" si="69"/>
        <v>43.9</v>
      </c>
      <c r="AQ37" s="262"/>
      <c r="AR37"/>
      <c r="AS37"/>
      <c r="AT37"/>
      <c r="AU37"/>
      <c r="BD37" s="31"/>
      <c r="BE37" s="31"/>
      <c r="BF37" s="31"/>
      <c r="BG37" s="31"/>
    </row>
    <row r="38" spans="1:61">
      <c r="A38" s="216" t="s">
        <v>117</v>
      </c>
      <c r="B38" s="216" t="s">
        <v>107</v>
      </c>
      <c r="C38" s="216" t="s">
        <v>116</v>
      </c>
      <c r="D38" s="217" t="s">
        <v>2250</v>
      </c>
      <c r="E38" s="217" t="s">
        <v>2252</v>
      </c>
      <c r="F38" s="216" t="s">
        <v>507</v>
      </c>
      <c r="G38" s="220">
        <f>G37*50%</f>
        <v>269.48</v>
      </c>
      <c r="H38" s="220">
        <f>H37*50%</f>
        <v>47.1875</v>
      </c>
      <c r="I38" s="218" t="s">
        <v>105</v>
      </c>
      <c r="J38" s="219">
        <f>IF(SW_Pricing_Table[[#This Row],[Include Maint in Year 1?]]="No",SW_Pricing_Table[[#This Row],[SW Cost (Annual)]],SW_Pricing_Table[[#This Row],[SW Cost (Annual)]]+SW_Pricing_Table[[#This Row],[Maintenance (Annual)]])</f>
        <v>269.48</v>
      </c>
      <c r="L38" s="222" t="s">
        <v>2248</v>
      </c>
      <c r="M38" s="307" t="str">
        <f>INDEX(SW_Pricing_Table[],MATCH(Product_Pricing_Table[[#This Row],[Product Name]],SW_Pricing_Table[Prod Alias],0),6)</f>
        <v>Cores</v>
      </c>
      <c r="N38" s="19"/>
      <c r="O38" s="133">
        <f>Oracle_RAC_pSeries_Prod</f>
        <v>2155.83</v>
      </c>
      <c r="P38" s="133">
        <f>Oracle_RAC_pSeries_Prod</f>
        <v>2155.83</v>
      </c>
      <c r="Q38" s="133">
        <f t="shared" ref="Q38:X38" si="70">Oracle_RAC_pSeries_NonProd</f>
        <v>1034.7983999999999</v>
      </c>
      <c r="R38" s="133">
        <f t="shared" si="70"/>
        <v>1034.7983999999999</v>
      </c>
      <c r="S38" s="133">
        <f t="shared" si="70"/>
        <v>1034.7983999999999</v>
      </c>
      <c r="T38" s="133">
        <f t="shared" si="70"/>
        <v>1034.7983999999999</v>
      </c>
      <c r="U38" s="133">
        <f t="shared" si="70"/>
        <v>1034.7983999999999</v>
      </c>
      <c r="V38" s="133">
        <f t="shared" si="70"/>
        <v>1034.7983999999999</v>
      </c>
      <c r="W38" s="133">
        <f t="shared" si="70"/>
        <v>1034.7983999999999</v>
      </c>
      <c r="X38" s="133">
        <f t="shared" si="70"/>
        <v>1034.7983999999999</v>
      </c>
      <c r="Y38" s="31"/>
      <c r="Z38" s="222" t="s">
        <v>2248</v>
      </c>
      <c r="AA38" s="223">
        <f>Oracle_RAC_pSeries_Prod_Maint</f>
        <v>377.48</v>
      </c>
      <c r="AB38" s="223">
        <f>Oracle_RAC_pSeries_Prod_Maint</f>
        <v>377.48</v>
      </c>
      <c r="AC38" s="223">
        <f t="shared" ref="AC38:AJ38" si="71">Oracle_RAC_pSeries_NonProd_Maint</f>
        <v>181.19040000000001</v>
      </c>
      <c r="AD38" s="223">
        <f t="shared" si="71"/>
        <v>181.19040000000001</v>
      </c>
      <c r="AE38" s="223">
        <f t="shared" si="71"/>
        <v>181.19040000000001</v>
      </c>
      <c r="AF38" s="223">
        <f t="shared" si="71"/>
        <v>181.19040000000001</v>
      </c>
      <c r="AG38" s="223">
        <f t="shared" si="71"/>
        <v>181.19040000000001</v>
      </c>
      <c r="AH38" s="223">
        <f t="shared" si="71"/>
        <v>181.19040000000001</v>
      </c>
      <c r="AI38" s="223">
        <f t="shared" si="71"/>
        <v>181.19040000000001</v>
      </c>
      <c r="AJ38" s="223">
        <f t="shared" si="71"/>
        <v>181.19040000000001</v>
      </c>
      <c r="AK38" s="15"/>
      <c r="AL38" s="15"/>
      <c r="AQ38" s="262"/>
      <c r="AR38"/>
      <c r="AS38"/>
      <c r="AT38"/>
      <c r="AU38"/>
      <c r="BD38" s="31"/>
      <c r="BE38" s="31"/>
      <c r="BF38" s="31"/>
      <c r="BG38" s="31"/>
    </row>
    <row r="39" spans="1:61">
      <c r="A39" s="116" t="s">
        <v>117</v>
      </c>
      <c r="B39" s="116" t="s">
        <v>113</v>
      </c>
      <c r="C39" s="116" t="s">
        <v>95</v>
      </c>
      <c r="D39" s="217" t="s">
        <v>2253</v>
      </c>
      <c r="E39" s="217" t="s">
        <v>2260</v>
      </c>
      <c r="F39" s="216" t="s">
        <v>507</v>
      </c>
      <c r="G39" s="157">
        <f>4311.66+332.55+387.41</f>
        <v>5031.62</v>
      </c>
      <c r="H39" s="157">
        <f>754.97+58.23+67.84</f>
        <v>881.04000000000008</v>
      </c>
      <c r="I39" s="218" t="s">
        <v>105</v>
      </c>
      <c r="J39" s="117">
        <f>IF(SW_Pricing_Table[[#This Row],[Include Maint in Year 1?]]="No",SW_Pricing_Table[[#This Row],[SW Cost (Annual)]],SW_Pricing_Table[[#This Row],[SW Cost (Annual)]]+SW_Pricing_Table[[#This Row],[Maintenance (Annual)]])</f>
        <v>5031.62</v>
      </c>
      <c r="L39" s="12" t="s">
        <v>2249</v>
      </c>
      <c r="M39" s="19" t="str">
        <f>INDEX(SW_Pricing_Table[],MATCH(Product_Pricing_Table[[#This Row],[Product Name]],SW_Pricing_Table[Prod Alias],0),6)</f>
        <v>Cores</v>
      </c>
      <c r="N39" s="19"/>
      <c r="O39" s="17">
        <f>Oracle_RAC_x86_Prod</f>
        <v>1077.915</v>
      </c>
      <c r="P39" s="223">
        <f>Oracle_RAC_x86_Prod</f>
        <v>1077.915</v>
      </c>
      <c r="Q39" s="17">
        <f t="shared" ref="Q39:X39" si="72">Oracle_RAC_x86_NonProd</f>
        <v>538.95749999999998</v>
      </c>
      <c r="R39" s="223">
        <f t="shared" si="72"/>
        <v>538.95749999999998</v>
      </c>
      <c r="S39" s="223">
        <f t="shared" si="72"/>
        <v>538.95749999999998</v>
      </c>
      <c r="T39" s="223">
        <f t="shared" si="72"/>
        <v>538.95749999999998</v>
      </c>
      <c r="U39" s="223">
        <f t="shared" si="72"/>
        <v>538.95749999999998</v>
      </c>
      <c r="V39" s="223">
        <f t="shared" si="72"/>
        <v>538.95749999999998</v>
      </c>
      <c r="W39" s="223">
        <f t="shared" si="72"/>
        <v>538.95749999999998</v>
      </c>
      <c r="X39" s="223">
        <f t="shared" si="72"/>
        <v>538.95749999999998</v>
      </c>
      <c r="Y39" s="31"/>
      <c r="Z39" s="222" t="s">
        <v>2249</v>
      </c>
      <c r="AA39" s="133">
        <f>Oracle_RAC_x86_Prod_Maint</f>
        <v>188.74</v>
      </c>
      <c r="AB39" s="133">
        <f>Oracle_RAC_x86_Prod_Maint</f>
        <v>188.74</v>
      </c>
      <c r="AC39" s="133">
        <f t="shared" ref="AC39:AJ39" si="73">Oracle_RAC_x86_NonProd_Maint</f>
        <v>94.37</v>
      </c>
      <c r="AD39" s="133">
        <f t="shared" si="73"/>
        <v>94.37</v>
      </c>
      <c r="AE39" s="133">
        <f t="shared" si="73"/>
        <v>94.37</v>
      </c>
      <c r="AF39" s="133">
        <f t="shared" si="73"/>
        <v>94.37</v>
      </c>
      <c r="AG39" s="133">
        <f t="shared" si="73"/>
        <v>94.37</v>
      </c>
      <c r="AH39" s="133">
        <f t="shared" si="73"/>
        <v>94.37</v>
      </c>
      <c r="AI39" s="133">
        <f t="shared" si="73"/>
        <v>94.37</v>
      </c>
      <c r="AJ39" s="133">
        <f t="shared" si="73"/>
        <v>94.37</v>
      </c>
      <c r="AQ39" s="262"/>
      <c r="AR39"/>
      <c r="AS39"/>
      <c r="AT39"/>
      <c r="AU39"/>
      <c r="BD39" s="31"/>
      <c r="BE39" s="31"/>
      <c r="BF39" s="31"/>
      <c r="BG39" s="31"/>
    </row>
    <row r="40" spans="1:61">
      <c r="A40" s="216" t="s">
        <v>117</v>
      </c>
      <c r="B40" s="216" t="s">
        <v>107</v>
      </c>
      <c r="C40" s="216" t="s">
        <v>95</v>
      </c>
      <c r="D40" s="217" t="s">
        <v>2253</v>
      </c>
      <c r="E40" s="217" t="s">
        <v>2260</v>
      </c>
      <c r="F40" s="216" t="s">
        <v>507</v>
      </c>
      <c r="G40" s="220">
        <f>G39*48%</f>
        <v>2415.1776</v>
      </c>
      <c r="H40" s="220">
        <f>H39*48%</f>
        <v>422.89920000000001</v>
      </c>
      <c r="I40" s="218" t="s">
        <v>105</v>
      </c>
      <c r="J40" s="219">
        <f>IF(SW_Pricing_Table[[#This Row],[Include Maint in Year 1?]]="No",SW_Pricing_Table[[#This Row],[SW Cost (Annual)]],SW_Pricing_Table[[#This Row],[SW Cost (Annual)]]+SW_Pricing_Table[[#This Row],[Maintenance (Annual)]])</f>
        <v>2415.1776</v>
      </c>
      <c r="L40" s="222" t="s">
        <v>2237</v>
      </c>
      <c r="M40" s="19" t="str">
        <f>INDEX(SW_Pricing_Table[],MATCH(Product_Pricing_Table[[#This Row],[Product Name]],SW_Pricing_Table[Prod Alias],0),6)</f>
        <v>Cores</v>
      </c>
      <c r="N40" s="19"/>
      <c r="O40" s="133">
        <f>Oracle_Spatial_pSeries_Prod</f>
        <v>4375</v>
      </c>
      <c r="P40" s="133">
        <f>Oracle_Spatial_pSeries_Prod</f>
        <v>4375</v>
      </c>
      <c r="Q40" s="133">
        <f t="shared" ref="Q40:X40" si="74">Oracle_Spatial_pSeries_NonProd</f>
        <v>2100</v>
      </c>
      <c r="R40" s="133">
        <f t="shared" si="74"/>
        <v>2100</v>
      </c>
      <c r="S40" s="133">
        <f t="shared" si="74"/>
        <v>2100</v>
      </c>
      <c r="T40" s="133">
        <f t="shared" si="74"/>
        <v>2100</v>
      </c>
      <c r="U40" s="133">
        <f t="shared" si="74"/>
        <v>2100</v>
      </c>
      <c r="V40" s="133">
        <f t="shared" si="74"/>
        <v>2100</v>
      </c>
      <c r="W40" s="133">
        <f t="shared" si="74"/>
        <v>2100</v>
      </c>
      <c r="X40" s="133">
        <f t="shared" si="74"/>
        <v>2100</v>
      </c>
      <c r="Z40" s="222" t="s">
        <v>2237</v>
      </c>
      <c r="AA40" s="133">
        <f>Oracle_Spatial_pSeries_Prod_Maint</f>
        <v>875</v>
      </c>
      <c r="AB40" s="133">
        <f>Oracle_Spatial_pSeries_Prod_Maint</f>
        <v>875</v>
      </c>
      <c r="AC40" s="133">
        <f t="shared" ref="AC40:AJ40" si="75">Oracle_Spatial_pSeries_NonProd_Maint</f>
        <v>420</v>
      </c>
      <c r="AD40" s="133">
        <f t="shared" si="75"/>
        <v>420</v>
      </c>
      <c r="AE40" s="133">
        <f t="shared" si="75"/>
        <v>420</v>
      </c>
      <c r="AF40" s="133">
        <f t="shared" si="75"/>
        <v>420</v>
      </c>
      <c r="AG40" s="133">
        <f t="shared" si="75"/>
        <v>420</v>
      </c>
      <c r="AH40" s="133">
        <f t="shared" si="75"/>
        <v>420</v>
      </c>
      <c r="AI40" s="133">
        <f t="shared" si="75"/>
        <v>420</v>
      </c>
      <c r="AJ40" s="133">
        <f t="shared" si="75"/>
        <v>420</v>
      </c>
      <c r="AK40" s="31"/>
      <c r="AL40" s="31"/>
      <c r="AM40" s="262"/>
      <c r="AO40" s="31"/>
      <c r="AQ40" s="262"/>
      <c r="AS40" s="31"/>
      <c r="AV40" s="262"/>
      <c r="AW40" s="262"/>
      <c r="BH40"/>
      <c r="BI40"/>
    </row>
    <row r="41" spans="1:61">
      <c r="A41" s="216" t="s">
        <v>117</v>
      </c>
      <c r="B41" s="216" t="s">
        <v>113</v>
      </c>
      <c r="C41" s="216" t="s">
        <v>116</v>
      </c>
      <c r="D41" s="217" t="s">
        <v>2253</v>
      </c>
      <c r="E41" s="217" t="s">
        <v>2261</v>
      </c>
      <c r="F41" s="216" t="s">
        <v>507</v>
      </c>
      <c r="G41" s="220">
        <f>G39*50%</f>
        <v>2515.81</v>
      </c>
      <c r="H41" s="220">
        <f>H39*50%</f>
        <v>440.52000000000004</v>
      </c>
      <c r="I41" s="218" t="s">
        <v>105</v>
      </c>
      <c r="J41" s="219">
        <f>IF(SW_Pricing_Table[[#This Row],[Include Maint in Year 1?]]="No",SW_Pricing_Table[[#This Row],[SW Cost (Annual)]],SW_Pricing_Table[[#This Row],[SW Cost (Annual)]]+SW_Pricing_Table[[#This Row],[Maintenance (Annual)]])</f>
        <v>2515.81</v>
      </c>
      <c r="L41" s="222" t="s">
        <v>2238</v>
      </c>
      <c r="M41" s="19" t="str">
        <f>INDEX(SW_Pricing_Table[],MATCH(Product_Pricing_Table[[#This Row],[Product Name]],SW_Pricing_Table[Prod Alias],0),6)</f>
        <v>Cores</v>
      </c>
      <c r="N41" s="19"/>
      <c r="O41" s="133">
        <f>Oracle_Spatial_x86_Prod</f>
        <v>2187.5</v>
      </c>
      <c r="P41" s="133">
        <f>Oracle_Spatial_x86_Prod</f>
        <v>2187.5</v>
      </c>
      <c r="Q41" s="133">
        <f t="shared" ref="Q41:X41" si="76">Oracle_Partitioning_x86_NonProd</f>
        <v>243.85</v>
      </c>
      <c r="R41" s="133">
        <f t="shared" si="76"/>
        <v>243.85</v>
      </c>
      <c r="S41" s="133">
        <f t="shared" si="76"/>
        <v>243.85</v>
      </c>
      <c r="T41" s="133">
        <f t="shared" si="76"/>
        <v>243.85</v>
      </c>
      <c r="U41" s="133">
        <f t="shared" si="76"/>
        <v>243.85</v>
      </c>
      <c r="V41" s="133">
        <f t="shared" si="76"/>
        <v>243.85</v>
      </c>
      <c r="W41" s="133">
        <f t="shared" si="76"/>
        <v>243.85</v>
      </c>
      <c r="X41" s="133">
        <f t="shared" si="76"/>
        <v>243.85</v>
      </c>
      <c r="Z41" s="222" t="s">
        <v>2238</v>
      </c>
      <c r="AA41" s="133">
        <f>Oracle_Spatial_x86_Prod_Maint</f>
        <v>437.5</v>
      </c>
      <c r="AB41" s="133">
        <f>Oracle_Spatial_x86_Prod_Maint</f>
        <v>437.5</v>
      </c>
      <c r="AC41" s="133">
        <f t="shared" ref="AC41:AJ41" si="77">Oracle_Spatial_x86_NonProd_Maint</f>
        <v>218.75</v>
      </c>
      <c r="AD41" s="133">
        <f t="shared" si="77"/>
        <v>218.75</v>
      </c>
      <c r="AE41" s="133">
        <f t="shared" si="77"/>
        <v>218.75</v>
      </c>
      <c r="AF41" s="133">
        <f t="shared" si="77"/>
        <v>218.75</v>
      </c>
      <c r="AG41" s="133">
        <f t="shared" si="77"/>
        <v>218.75</v>
      </c>
      <c r="AH41" s="133">
        <f t="shared" si="77"/>
        <v>218.75</v>
      </c>
      <c r="AI41" s="133">
        <f t="shared" si="77"/>
        <v>218.75</v>
      </c>
      <c r="AJ41" s="133">
        <f t="shared" si="77"/>
        <v>218.75</v>
      </c>
      <c r="AM41" s="15"/>
      <c r="AN41" s="15"/>
    </row>
    <row r="42" spans="1:61" customFormat="1">
      <c r="A42" s="216" t="s">
        <v>117</v>
      </c>
      <c r="B42" s="216" t="s">
        <v>107</v>
      </c>
      <c r="C42" s="216" t="s">
        <v>116</v>
      </c>
      <c r="D42" s="217" t="s">
        <v>2253</v>
      </c>
      <c r="E42" s="217" t="s">
        <v>2261</v>
      </c>
      <c r="F42" s="216" t="s">
        <v>507</v>
      </c>
      <c r="G42" s="220">
        <f>G41*50%</f>
        <v>1257.905</v>
      </c>
      <c r="H42" s="220">
        <f>H41*50%</f>
        <v>220.26000000000002</v>
      </c>
      <c r="I42" s="218" t="s">
        <v>105</v>
      </c>
      <c r="J42" s="219">
        <f>IF(SW_Pricing_Table[[#This Row],[Include Maint in Year 1?]]="No",SW_Pricing_Table[[#This Row],[SW Cost (Annual)]],SW_Pricing_Table[[#This Row],[SW Cost (Annual)]]+SW_Pricing_Table[[#This Row],[Maintenance (Annual)]])</f>
        <v>1257.905</v>
      </c>
      <c r="K42" s="31"/>
      <c r="L42" s="222" t="s">
        <v>483</v>
      </c>
      <c r="M42" s="19" t="str">
        <f>INDEX(SW_Pricing_Table[],MATCH(Product_Pricing_Table[[#This Row],[Product Name]],SW_Pricing_Table[Prod Alias],0),6)</f>
        <v>Cores</v>
      </c>
      <c r="N42" s="19"/>
      <c r="O42" s="133">
        <f t="shared" ref="O42:X42" si="78">Oracle_StandAlone_All</f>
        <v>0</v>
      </c>
      <c r="P42" s="133">
        <f t="shared" si="78"/>
        <v>0</v>
      </c>
      <c r="Q42" s="133">
        <f t="shared" si="78"/>
        <v>0</v>
      </c>
      <c r="R42" s="133">
        <f t="shared" si="78"/>
        <v>0</v>
      </c>
      <c r="S42" s="133">
        <f t="shared" si="78"/>
        <v>0</v>
      </c>
      <c r="T42" s="133">
        <f t="shared" si="78"/>
        <v>0</v>
      </c>
      <c r="U42" s="133">
        <f t="shared" si="78"/>
        <v>0</v>
      </c>
      <c r="V42" s="133">
        <f t="shared" si="78"/>
        <v>0</v>
      </c>
      <c r="W42" s="133">
        <f t="shared" si="78"/>
        <v>0</v>
      </c>
      <c r="X42" s="133">
        <f t="shared" si="78"/>
        <v>0</v>
      </c>
      <c r="Y42" s="262"/>
      <c r="Z42" s="222" t="s">
        <v>483</v>
      </c>
      <c r="AA42" s="237">
        <f t="shared" ref="AA42:AJ42" si="79">Oracle_StandAlone_All_Maint</f>
        <v>0</v>
      </c>
      <c r="AB42" s="237">
        <f t="shared" si="79"/>
        <v>0</v>
      </c>
      <c r="AC42" s="237">
        <f t="shared" si="79"/>
        <v>0</v>
      </c>
      <c r="AD42" s="237">
        <f t="shared" si="79"/>
        <v>0</v>
      </c>
      <c r="AE42" s="237">
        <f t="shared" si="79"/>
        <v>0</v>
      </c>
      <c r="AF42" s="237">
        <f t="shared" si="79"/>
        <v>0</v>
      </c>
      <c r="AG42" s="237">
        <f t="shared" si="79"/>
        <v>0</v>
      </c>
      <c r="AH42" s="237">
        <f t="shared" si="79"/>
        <v>0</v>
      </c>
      <c r="AI42" s="237">
        <f t="shared" si="79"/>
        <v>0</v>
      </c>
      <c r="AJ42" s="237">
        <f t="shared" si="79"/>
        <v>0</v>
      </c>
      <c r="AK42" s="262"/>
      <c r="AL42" s="262"/>
      <c r="AM42" s="31"/>
      <c r="AN42" s="262"/>
      <c r="AO42" s="262"/>
      <c r="AP42" s="262"/>
      <c r="AS42" s="262"/>
    </row>
    <row r="43" spans="1:61">
      <c r="A43" s="216" t="s">
        <v>117</v>
      </c>
      <c r="B43" s="216" t="s">
        <v>113</v>
      </c>
      <c r="C43" s="216" t="s">
        <v>95</v>
      </c>
      <c r="D43" s="188" t="s">
        <v>2243</v>
      </c>
      <c r="E43" s="217" t="s">
        <v>2244</v>
      </c>
      <c r="F43" s="216" t="s">
        <v>507</v>
      </c>
      <c r="G43" s="220">
        <v>1484.3</v>
      </c>
      <c r="H43" s="220">
        <v>267.2</v>
      </c>
      <c r="I43" s="218" t="s">
        <v>105</v>
      </c>
      <c r="J43" s="83">
        <f>IF(SW_Pricing_Table[[#This Row],[Include Maint in Year 1?]]="No",SW_Pricing_Table[[#This Row],[SW Cost (Annual)]],SW_Pricing_Table[[#This Row],[SW Cost (Annual)]]+SW_Pricing_Table[[#This Row],[Maintenance (Annual)]])</f>
        <v>1484.3</v>
      </c>
      <c r="L43" s="222" t="s">
        <v>2254</v>
      </c>
      <c r="M43" s="307" t="str">
        <f>INDEX(SW_Pricing_Table[],MATCH(Product_Pricing_Table[[#This Row],[Product Name]],SW_Pricing_Table[Prod Alias],0),6)</f>
        <v>Cores</v>
      </c>
      <c r="N43" s="19"/>
      <c r="O43" s="133">
        <f>Oracle_WebLogic_pSeries_Prod</f>
        <v>3816.8</v>
      </c>
      <c r="P43" s="133">
        <f>Oracle_WebLogic_pSeries_Prod</f>
        <v>3816.8</v>
      </c>
      <c r="Q43" s="133">
        <f t="shared" ref="Q43:X43" si="80">Oracle_WebLogic_pSeries_NonProd</f>
        <v>1832.0640000000001</v>
      </c>
      <c r="R43" s="133">
        <f t="shared" si="80"/>
        <v>1832.0640000000001</v>
      </c>
      <c r="S43" s="133">
        <f t="shared" si="80"/>
        <v>1832.0640000000001</v>
      </c>
      <c r="T43" s="133">
        <f t="shared" si="80"/>
        <v>1832.0640000000001</v>
      </c>
      <c r="U43" s="133">
        <f t="shared" si="80"/>
        <v>1832.0640000000001</v>
      </c>
      <c r="V43" s="133">
        <f t="shared" si="80"/>
        <v>1832.0640000000001</v>
      </c>
      <c r="W43" s="133">
        <f t="shared" si="80"/>
        <v>1832.0640000000001</v>
      </c>
      <c r="X43" s="133">
        <f t="shared" si="80"/>
        <v>1832.0640000000001</v>
      </c>
      <c r="Z43" s="222" t="s">
        <v>2254</v>
      </c>
      <c r="AA43" s="133">
        <f>Oracle_WebLogic_pSeries_Prod_Maint</f>
        <v>687</v>
      </c>
      <c r="AB43" s="133">
        <f>Oracle_WebLogic_pSeries_Prod_Maint</f>
        <v>687</v>
      </c>
      <c r="AC43" s="146">
        <f t="shared" ref="AC43:AJ43" si="81">Oracle_WebLogic_pSeries_NonProd_Maint</f>
        <v>329.76</v>
      </c>
      <c r="AD43" s="146">
        <f t="shared" si="81"/>
        <v>329.76</v>
      </c>
      <c r="AE43" s="146">
        <f t="shared" si="81"/>
        <v>329.76</v>
      </c>
      <c r="AF43" s="146">
        <f t="shared" si="81"/>
        <v>329.76</v>
      </c>
      <c r="AG43" s="146">
        <f t="shared" si="81"/>
        <v>329.76</v>
      </c>
      <c r="AH43" s="146">
        <f t="shared" si="81"/>
        <v>329.76</v>
      </c>
      <c r="AI43" s="146">
        <f t="shared" si="81"/>
        <v>329.76</v>
      </c>
      <c r="AJ43" s="146">
        <f t="shared" si="81"/>
        <v>329.76</v>
      </c>
    </row>
    <row r="44" spans="1:61">
      <c r="A44" s="216" t="s">
        <v>117</v>
      </c>
      <c r="B44" s="216" t="s">
        <v>107</v>
      </c>
      <c r="C44" s="216" t="s">
        <v>95</v>
      </c>
      <c r="D44" s="217" t="s">
        <v>2243</v>
      </c>
      <c r="E44" s="217" t="s">
        <v>2244</v>
      </c>
      <c r="F44" s="216" t="s">
        <v>507</v>
      </c>
      <c r="G44" s="220">
        <f>G43*48%</f>
        <v>712.46399999999994</v>
      </c>
      <c r="H44" s="220">
        <f>H43*48%</f>
        <v>128.256</v>
      </c>
      <c r="I44" s="218" t="s">
        <v>105</v>
      </c>
      <c r="J44" s="219">
        <f>IF(SW_Pricing_Table[[#This Row],[Include Maint in Year 1?]]="No",SW_Pricing_Table[[#This Row],[SW Cost (Annual)]],SW_Pricing_Table[[#This Row],[SW Cost (Annual)]]+SW_Pricing_Table[[#This Row],[Maintenance (Annual)]])</f>
        <v>712.46399999999994</v>
      </c>
      <c r="L44" s="222" t="s">
        <v>2255</v>
      </c>
      <c r="M44" s="307" t="str">
        <f>INDEX(SW_Pricing_Table[],MATCH(Product_Pricing_Table[[#This Row],[Product Name]],SW_Pricing_Table[Prod Alias],0),6)</f>
        <v>Cores</v>
      </c>
      <c r="N44" s="19"/>
      <c r="O44" s="133">
        <f>Oracle_WebLogic_x86_Prod</f>
        <v>1908.4</v>
      </c>
      <c r="P44" s="133">
        <f>Oracle_WebLogic_x86_Prod</f>
        <v>1908.4</v>
      </c>
      <c r="Q44" s="133">
        <f t="shared" ref="Q44:X44" si="82">Oracle_WebLogic_x86_NonProd</f>
        <v>10150</v>
      </c>
      <c r="R44" s="133">
        <f t="shared" si="82"/>
        <v>10150</v>
      </c>
      <c r="S44" s="133">
        <f t="shared" si="82"/>
        <v>10150</v>
      </c>
      <c r="T44" s="133">
        <f t="shared" si="82"/>
        <v>10150</v>
      </c>
      <c r="U44" s="133">
        <f t="shared" si="82"/>
        <v>10150</v>
      </c>
      <c r="V44" s="133">
        <f t="shared" si="82"/>
        <v>10150</v>
      </c>
      <c r="W44" s="133">
        <f t="shared" si="82"/>
        <v>10150</v>
      </c>
      <c r="X44" s="133">
        <f t="shared" si="82"/>
        <v>10150</v>
      </c>
      <c r="Z44" s="222" t="s">
        <v>2255</v>
      </c>
      <c r="AA44" s="133">
        <f>Oracle_WebLogic_x86_Prod_Maint</f>
        <v>343.5</v>
      </c>
      <c r="AB44" s="133">
        <f>Oracle_WebLogic_x86_Prod_Maint</f>
        <v>343.5</v>
      </c>
      <c r="AC44" s="146">
        <f t="shared" ref="AC44:AJ44" si="83">Oracle_WebLogic_x86_NonProd_Maint</f>
        <v>171.75</v>
      </c>
      <c r="AD44" s="146">
        <f t="shared" si="83"/>
        <v>171.75</v>
      </c>
      <c r="AE44" s="146">
        <f t="shared" si="83"/>
        <v>171.75</v>
      </c>
      <c r="AF44" s="146">
        <f t="shared" si="83"/>
        <v>171.75</v>
      </c>
      <c r="AG44" s="146">
        <f t="shared" si="83"/>
        <v>171.75</v>
      </c>
      <c r="AH44" s="146">
        <f t="shared" si="83"/>
        <v>171.75</v>
      </c>
      <c r="AI44" s="146">
        <f t="shared" si="83"/>
        <v>171.75</v>
      </c>
      <c r="AJ44" s="146">
        <f t="shared" si="83"/>
        <v>171.75</v>
      </c>
    </row>
    <row r="45" spans="1:61">
      <c r="A45" s="216" t="s">
        <v>117</v>
      </c>
      <c r="B45" s="216" t="s">
        <v>113</v>
      </c>
      <c r="C45" s="216" t="s">
        <v>116</v>
      </c>
      <c r="D45" s="217" t="s">
        <v>2243</v>
      </c>
      <c r="E45" s="217" t="s">
        <v>2245</v>
      </c>
      <c r="F45" s="216" t="s">
        <v>507</v>
      </c>
      <c r="G45" s="220">
        <f>G43*50%</f>
        <v>742.15</v>
      </c>
      <c r="H45" s="220">
        <f>H43*50%</f>
        <v>133.6</v>
      </c>
      <c r="I45" s="218" t="s">
        <v>105</v>
      </c>
      <c r="J45" s="219">
        <f>IF(SW_Pricing_Table[[#This Row],[Include Maint in Year 1?]]="No",SW_Pricing_Table[[#This Row],[SW Cost (Annual)]],SW_Pricing_Table[[#This Row],[SW Cost (Annual)]]+SW_Pricing_Table[[#This Row],[Maintenance (Annual)]])</f>
        <v>742.15</v>
      </c>
      <c r="L45" s="13" t="s">
        <v>72</v>
      </c>
      <c r="M45" s="297" t="str">
        <f>INDEX(SW_Pricing_Table[],MATCH(Product_Pricing_Table[[#This Row],[Product Name]],SW_Pricing_Table[Prod Alias],0),6)</f>
        <v>Cores</v>
      </c>
      <c r="N45" s="297"/>
      <c r="O45" s="17">
        <f t="shared" ref="O45:X45" si="84">PB_Spectrum_All</f>
        <v>24</v>
      </c>
      <c r="P45" s="132">
        <f t="shared" si="84"/>
        <v>24</v>
      </c>
      <c r="Q45" s="120">
        <f t="shared" si="84"/>
        <v>24</v>
      </c>
      <c r="R45" s="120">
        <f t="shared" si="84"/>
        <v>24</v>
      </c>
      <c r="S45" s="223">
        <f t="shared" si="84"/>
        <v>24</v>
      </c>
      <c r="T45" s="132">
        <f t="shared" si="84"/>
        <v>24</v>
      </c>
      <c r="U45" s="120">
        <f t="shared" si="84"/>
        <v>24</v>
      </c>
      <c r="V45" s="120">
        <f t="shared" si="84"/>
        <v>24</v>
      </c>
      <c r="W45" s="120">
        <f t="shared" si="84"/>
        <v>24</v>
      </c>
      <c r="X45" s="120">
        <f t="shared" si="84"/>
        <v>24</v>
      </c>
      <c r="Z45" s="236" t="s">
        <v>72</v>
      </c>
      <c r="AA45" s="223">
        <f t="shared" ref="AA45:AJ45" si="85">PB_Spectrum_All_Maint</f>
        <v>54363.199999999997</v>
      </c>
      <c r="AB45" s="132">
        <f t="shared" si="85"/>
        <v>54363.199999999997</v>
      </c>
      <c r="AC45" s="223">
        <f t="shared" si="85"/>
        <v>54363.199999999997</v>
      </c>
      <c r="AD45" s="120">
        <f t="shared" si="85"/>
        <v>54363.199999999997</v>
      </c>
      <c r="AE45" s="223">
        <f t="shared" si="85"/>
        <v>54363.199999999997</v>
      </c>
      <c r="AF45" s="132">
        <f t="shared" si="85"/>
        <v>54363.199999999997</v>
      </c>
      <c r="AG45" s="120">
        <f t="shared" si="85"/>
        <v>54363.199999999997</v>
      </c>
      <c r="AH45" s="120">
        <f t="shared" si="85"/>
        <v>54363.199999999997</v>
      </c>
      <c r="AI45" s="120">
        <f t="shared" si="85"/>
        <v>54363.199999999997</v>
      </c>
      <c r="AJ45" s="120">
        <f t="shared" si="85"/>
        <v>54363.199999999997</v>
      </c>
      <c r="AM45"/>
    </row>
    <row r="46" spans="1:61">
      <c r="A46" s="216" t="s">
        <v>117</v>
      </c>
      <c r="B46" s="216" t="s">
        <v>107</v>
      </c>
      <c r="C46" s="216" t="s">
        <v>116</v>
      </c>
      <c r="D46" s="217" t="s">
        <v>2243</v>
      </c>
      <c r="E46" s="217" t="s">
        <v>2245</v>
      </c>
      <c r="F46" s="216" t="s">
        <v>507</v>
      </c>
      <c r="G46" s="220">
        <f>G45*50%</f>
        <v>371.07499999999999</v>
      </c>
      <c r="H46" s="220">
        <f>H45*50%</f>
        <v>66.8</v>
      </c>
      <c r="I46" s="218" t="s">
        <v>105</v>
      </c>
      <c r="J46" s="219">
        <f>IF(SW_Pricing_Table[[#This Row],[Include Maint in Year 1?]]="No",SW_Pricing_Table[[#This Row],[SW Cost (Annual)]],SW_Pricing_Table[[#This Row],[SW Cost (Annual)]]+SW_Pricing_Table[[#This Row],[Maintenance (Annual)]])</f>
        <v>371.07499999999999</v>
      </c>
      <c r="L46" s="222" t="s">
        <v>50</v>
      </c>
      <c r="M46" s="19" t="str">
        <f>INDEX(SW_Pricing_Table[],MATCH(Product_Pricing_Table[[#This Row],[Product Name]],SW_Pricing_Table[Prod Alias],0),6)</f>
        <v>CPU</v>
      </c>
      <c r="N46" s="19"/>
      <c r="O46" s="17">
        <f>SAP_x86_Prod</f>
        <v>46850</v>
      </c>
      <c r="P46" s="223">
        <f>SAP_x86_Prod</f>
        <v>46850</v>
      </c>
      <c r="Q46" s="120">
        <f t="shared" ref="Q46:X46" si="86">SAP_x86_NonProd</f>
        <v>0</v>
      </c>
      <c r="R46" s="223">
        <f t="shared" si="86"/>
        <v>0</v>
      </c>
      <c r="S46" s="223">
        <f t="shared" si="86"/>
        <v>0</v>
      </c>
      <c r="T46" s="223">
        <f t="shared" si="86"/>
        <v>0</v>
      </c>
      <c r="U46" s="223">
        <f t="shared" si="86"/>
        <v>0</v>
      </c>
      <c r="V46" s="223">
        <f t="shared" si="86"/>
        <v>0</v>
      </c>
      <c r="W46" s="223">
        <f t="shared" si="86"/>
        <v>0</v>
      </c>
      <c r="X46" s="223">
        <f t="shared" si="86"/>
        <v>0</v>
      </c>
      <c r="Y46"/>
      <c r="Z46" s="236" t="s">
        <v>50</v>
      </c>
      <c r="AA46" s="223">
        <f>SAP_x86_Prod_Maint</f>
        <v>13185.78</v>
      </c>
      <c r="AB46" s="223">
        <f>SAP_x86_Prod_Maint</f>
        <v>13185.78</v>
      </c>
      <c r="AC46" s="223">
        <f t="shared" ref="AC46:AJ46" si="87">SAP_x86_NonProd_Maint</f>
        <v>0</v>
      </c>
      <c r="AD46" s="223">
        <f t="shared" si="87"/>
        <v>0</v>
      </c>
      <c r="AE46" s="223">
        <f t="shared" si="87"/>
        <v>0</v>
      </c>
      <c r="AF46" s="223">
        <f t="shared" si="87"/>
        <v>0</v>
      </c>
      <c r="AG46" s="223">
        <f t="shared" si="87"/>
        <v>0</v>
      </c>
      <c r="AH46" s="223">
        <f t="shared" si="87"/>
        <v>0</v>
      </c>
      <c r="AI46" s="223">
        <f t="shared" si="87"/>
        <v>0</v>
      </c>
      <c r="AJ46" s="223">
        <f t="shared" si="87"/>
        <v>0</v>
      </c>
    </row>
    <row r="47" spans="1:61">
      <c r="A47" s="216" t="s">
        <v>117</v>
      </c>
      <c r="B47" s="216" t="s">
        <v>113</v>
      </c>
      <c r="C47" s="216" t="s">
        <v>95</v>
      </c>
      <c r="D47" s="217" t="s">
        <v>2257</v>
      </c>
      <c r="E47" s="217" t="s">
        <v>2258</v>
      </c>
      <c r="F47" s="216" t="s">
        <v>507</v>
      </c>
      <c r="G47" s="220">
        <v>2554.5</v>
      </c>
      <c r="H47" s="220">
        <v>458</v>
      </c>
      <c r="I47" s="218" t="s">
        <v>105</v>
      </c>
      <c r="J47" s="219">
        <f>IF(SW_Pricing_Table[[#This Row],[Include Maint in Year 1?]]="No",SW_Pricing_Table[[#This Row],[SW Cost (Annual)]],SW_Pricing_Table[[#This Row],[SW Cost (Annual)]]+SW_Pricing_Table[[#This Row],[Maintenance (Annual)]])</f>
        <v>2554.5</v>
      </c>
      <c r="L47" s="12" t="s">
        <v>49</v>
      </c>
      <c r="M47" s="19" t="str">
        <f>INDEX(SW_Pricing_Table[],MATCH(Product_Pricing_Table[[#This Row],[Product Name]],SW_Pricing_Table[Prod Alias],0),6)</f>
        <v>Per Server</v>
      </c>
      <c r="N47" s="19"/>
      <c r="O47" s="17">
        <f>IBM_NDM_Prod</f>
        <v>2679.3</v>
      </c>
      <c r="P47" s="132">
        <f>IBM_NDM_Prod</f>
        <v>2679.3</v>
      </c>
      <c r="Q47" s="17">
        <f t="shared" ref="Q47:X47" si="88">IBM_NDM_NonProd</f>
        <v>1340.1</v>
      </c>
      <c r="R47" s="17">
        <f t="shared" si="88"/>
        <v>1340.1</v>
      </c>
      <c r="S47" s="223">
        <f t="shared" si="88"/>
        <v>1340.1</v>
      </c>
      <c r="T47" s="132">
        <f t="shared" si="88"/>
        <v>1340.1</v>
      </c>
      <c r="U47" s="17">
        <f t="shared" si="88"/>
        <v>1340.1</v>
      </c>
      <c r="V47" s="17">
        <f t="shared" si="88"/>
        <v>1340.1</v>
      </c>
      <c r="W47" s="17">
        <f t="shared" si="88"/>
        <v>1340.1</v>
      </c>
      <c r="X47" s="17">
        <f t="shared" si="88"/>
        <v>1340.1</v>
      </c>
      <c r="Z47" s="12" t="s">
        <v>49</v>
      </c>
      <c r="AA47" s="223">
        <f>IBM_NDM_Prod_Maint</f>
        <v>1071.72</v>
      </c>
      <c r="AB47" s="132">
        <f>IBM_NDM_Prod_Maint</f>
        <v>1071.72</v>
      </c>
      <c r="AC47" s="223">
        <f t="shared" ref="AC47:AJ47" si="89">IBM_NDM_NonProd_Maint</f>
        <v>535.86</v>
      </c>
      <c r="AD47" s="17">
        <f t="shared" si="89"/>
        <v>535.86</v>
      </c>
      <c r="AE47" s="223">
        <f t="shared" si="89"/>
        <v>535.86</v>
      </c>
      <c r="AF47" s="132">
        <f t="shared" si="89"/>
        <v>535.86</v>
      </c>
      <c r="AG47" s="17">
        <f t="shared" si="89"/>
        <v>535.86</v>
      </c>
      <c r="AH47" s="17">
        <f t="shared" si="89"/>
        <v>535.86</v>
      </c>
      <c r="AI47" s="17">
        <f t="shared" si="89"/>
        <v>535.86</v>
      </c>
      <c r="AJ47" s="17">
        <f t="shared" si="89"/>
        <v>535.86</v>
      </c>
    </row>
    <row r="48" spans="1:61">
      <c r="A48" s="216" t="s">
        <v>117</v>
      </c>
      <c r="B48" s="216" t="s">
        <v>107</v>
      </c>
      <c r="C48" s="216" t="s">
        <v>95</v>
      </c>
      <c r="D48" s="217" t="s">
        <v>2257</v>
      </c>
      <c r="E48" s="217" t="s">
        <v>2258</v>
      </c>
      <c r="F48" s="216" t="s">
        <v>507</v>
      </c>
      <c r="G48" s="220">
        <f>G47*48%</f>
        <v>1226.1599999999999</v>
      </c>
      <c r="H48" s="220">
        <f>H47*48%</f>
        <v>219.84</v>
      </c>
      <c r="I48" s="218" t="s">
        <v>105</v>
      </c>
      <c r="J48" s="219">
        <f>IF(SW_Pricing_Table[[#This Row],[Include Maint in Year 1?]]="No",SW_Pricing_Table[[#This Row],[SW Cost (Annual)]],SW_Pricing_Table[[#This Row],[SW Cost (Annual)]]+SW_Pricing_Table[[#This Row],[Maintenance (Annual)]])</f>
        <v>1226.1599999999999</v>
      </c>
      <c r="L48" s="222" t="s">
        <v>490</v>
      </c>
      <c r="M48" s="19" t="str">
        <f>INDEX(SW_Pricing_Table[],MATCH(Product_Pricing_Table[[#This Row],[Product Name]],SW_Pricing_Table[Prod Alias],0),6)</f>
        <v>Cores</v>
      </c>
      <c r="N48" s="19"/>
      <c r="O48" s="133">
        <f>TIBCO_Adapter_SDK_Prod*75%</f>
        <v>1875</v>
      </c>
      <c r="P48" s="133">
        <f>TIBCO_Adapter_SDK_Prod*75%</f>
        <v>1875</v>
      </c>
      <c r="Q48" s="133">
        <f t="shared" ref="Q48:V48" si="90">TIBCO_Adapter_SDK_StressUAT*75%</f>
        <v>750</v>
      </c>
      <c r="R48" s="133">
        <f t="shared" si="90"/>
        <v>750</v>
      </c>
      <c r="S48" s="133">
        <f t="shared" si="90"/>
        <v>750</v>
      </c>
      <c r="T48" s="133">
        <f t="shared" si="90"/>
        <v>750</v>
      </c>
      <c r="U48" s="133">
        <f t="shared" si="90"/>
        <v>750</v>
      </c>
      <c r="V48" s="133">
        <f t="shared" si="90"/>
        <v>750</v>
      </c>
      <c r="W48" s="18">
        <f>TIBCO_Adapter_SDK_Dev*75%</f>
        <v>0</v>
      </c>
      <c r="X48" s="18">
        <f>TIBCO_Adapter_SDK_Dev*75%</f>
        <v>0</v>
      </c>
      <c r="Z48" s="222" t="s">
        <v>490</v>
      </c>
      <c r="AA48" s="133">
        <f>TIBCO_Adapter_SDK_Prod_Maint</f>
        <v>262.5</v>
      </c>
      <c r="AB48" s="133">
        <f>TIBCO_Adapter_SDK_Prod_Maint</f>
        <v>262.5</v>
      </c>
      <c r="AC48" s="133">
        <f t="shared" ref="AC48:AH48" si="91">TIBCO_Adapter_SDK_StressUAT_Maint</f>
        <v>105</v>
      </c>
      <c r="AD48" s="133">
        <f t="shared" si="91"/>
        <v>105</v>
      </c>
      <c r="AE48" s="133">
        <f t="shared" si="91"/>
        <v>105</v>
      </c>
      <c r="AF48" s="133">
        <f t="shared" si="91"/>
        <v>105</v>
      </c>
      <c r="AG48" s="133">
        <f t="shared" si="91"/>
        <v>105</v>
      </c>
      <c r="AH48" s="133">
        <f t="shared" si="91"/>
        <v>105</v>
      </c>
      <c r="AI48" s="18">
        <f>TIBCO_Adapter_SDK_Dev_Maint</f>
        <v>0</v>
      </c>
      <c r="AJ48" s="18">
        <f>TIBCO_Adapter_SDK_Dev_Maint</f>
        <v>0</v>
      </c>
    </row>
    <row r="49" spans="1:36">
      <c r="A49" s="216" t="s">
        <v>117</v>
      </c>
      <c r="B49" s="216" t="s">
        <v>113</v>
      </c>
      <c r="C49" s="216" t="s">
        <v>116</v>
      </c>
      <c r="D49" s="217" t="s">
        <v>2257</v>
      </c>
      <c r="E49" s="217" t="s">
        <v>2259</v>
      </c>
      <c r="F49" s="216" t="s">
        <v>507</v>
      </c>
      <c r="G49" s="220">
        <f>G47*50%</f>
        <v>1277.25</v>
      </c>
      <c r="H49" s="220">
        <f>H47*50%</f>
        <v>229</v>
      </c>
      <c r="I49" s="218" t="s">
        <v>105</v>
      </c>
      <c r="J49" s="219">
        <f>IF(SW_Pricing_Table[[#This Row],[Include Maint in Year 1?]]="No",SW_Pricing_Table[[#This Row],[SW Cost (Annual)]],SW_Pricing_Table[[#This Row],[SW Cost (Annual)]]+SW_Pricing_Table[[#This Row],[Maintenance (Annual)]])</f>
        <v>1277.25</v>
      </c>
      <c r="L49" s="119" t="s">
        <v>70</v>
      </c>
      <c r="M49" s="19" t="str">
        <f>INDEX(SW_Pricing_Table[],MATCH(Product_Pricing_Table[[#This Row],[Product Name]],SW_Pricing_Table[Prod Alias],0),6)</f>
        <v>Cores</v>
      </c>
      <c r="N49" s="19"/>
      <c r="O49" s="17">
        <f>TIBCO_AMX_BPM_Prod*75%</f>
        <v>9375</v>
      </c>
      <c r="P49" s="223">
        <f>TIBCO_AMX_BPM_Prod*75%</f>
        <v>9375</v>
      </c>
      <c r="Q49" s="120">
        <f t="shared" ref="Q49:V49" si="92">TIBCO_AMX_BPM_StressUAT*75%</f>
        <v>2812.5</v>
      </c>
      <c r="R49" s="223">
        <f t="shared" si="92"/>
        <v>2812.5</v>
      </c>
      <c r="S49" s="223">
        <f t="shared" si="92"/>
        <v>2812.5</v>
      </c>
      <c r="T49" s="223">
        <f t="shared" si="92"/>
        <v>2812.5</v>
      </c>
      <c r="U49" s="223">
        <f t="shared" si="92"/>
        <v>2812.5</v>
      </c>
      <c r="V49" s="223">
        <f t="shared" si="92"/>
        <v>2812.5</v>
      </c>
      <c r="W49" s="18">
        <f>TIBCO_AMX_BPM_Dev*75%</f>
        <v>0</v>
      </c>
      <c r="X49" s="18">
        <f>TIBCO_AMX_BPM_Dev*75%</f>
        <v>0</v>
      </c>
      <c r="Z49" s="119" t="s">
        <v>70</v>
      </c>
      <c r="AA49" s="223">
        <f>TIBCO_AMX_BPM_Prod_Maint</f>
        <v>1312.5</v>
      </c>
      <c r="AB49" s="132">
        <f>TIBCO_AMX_BPM_Prod_Maint</f>
        <v>1312.5</v>
      </c>
      <c r="AC49" s="223">
        <f t="shared" ref="AC49:AH49" si="93">TIBCO_AMX_BPM_StressUAT_Maint</f>
        <v>393.75</v>
      </c>
      <c r="AD49" s="120">
        <f t="shared" si="93"/>
        <v>393.75</v>
      </c>
      <c r="AE49" s="223">
        <f t="shared" si="93"/>
        <v>393.75</v>
      </c>
      <c r="AF49" s="132">
        <f t="shared" si="93"/>
        <v>393.75</v>
      </c>
      <c r="AG49" s="120">
        <f t="shared" si="93"/>
        <v>393.75</v>
      </c>
      <c r="AH49" s="120">
        <f t="shared" si="93"/>
        <v>393.75</v>
      </c>
      <c r="AI49" s="18">
        <f>TIBCO_AMX_BPM_Dev_Maint</f>
        <v>0</v>
      </c>
      <c r="AJ49" s="18">
        <f>TIBCO_AMX_BPM_Dev_Maint</f>
        <v>0</v>
      </c>
    </row>
    <row r="50" spans="1:36">
      <c r="A50" s="216" t="s">
        <v>117</v>
      </c>
      <c r="B50" s="216" t="s">
        <v>107</v>
      </c>
      <c r="C50" s="216" t="s">
        <v>116</v>
      </c>
      <c r="D50" s="217" t="s">
        <v>2257</v>
      </c>
      <c r="E50" s="217" t="s">
        <v>2259</v>
      </c>
      <c r="F50" s="216" t="s">
        <v>507</v>
      </c>
      <c r="G50" s="220">
        <f>G49*50%</f>
        <v>638.625</v>
      </c>
      <c r="H50" s="220">
        <f>H49*50%</f>
        <v>114.5</v>
      </c>
      <c r="I50" s="218" t="s">
        <v>105</v>
      </c>
      <c r="J50" s="219">
        <f>IF(SW_Pricing_Table[[#This Row],[Include Maint in Year 1?]]="No",SW_Pricing_Table[[#This Row],[SW Cost (Annual)]],SW_Pricing_Table[[#This Row],[SW Cost (Annual)]]+SW_Pricing_Table[[#This Row],[Maintenance (Annual)]])</f>
        <v>638.625</v>
      </c>
      <c r="L50" s="119" t="s">
        <v>46</v>
      </c>
      <c r="M50" s="19" t="str">
        <f>INDEX(SW_Pricing_Table[],MATCH(Product_Pricing_Table[[#This Row],[Product Name]],SW_Pricing_Table[Prod Alias],0),6)</f>
        <v>Cores</v>
      </c>
      <c r="N50" s="19"/>
      <c r="O50" s="17">
        <f>TIBCO_BizEvt_Prod*75%</f>
        <v>5625</v>
      </c>
      <c r="P50" s="223">
        <f>TIBCO_BizEvt_Prod*75%</f>
        <v>5625</v>
      </c>
      <c r="Q50" s="120">
        <f t="shared" ref="Q50:V50" si="94">TIBCO_BizEvt_StressUAT*75%</f>
        <v>2812.5</v>
      </c>
      <c r="R50" s="223">
        <f t="shared" si="94"/>
        <v>2812.5</v>
      </c>
      <c r="S50" s="223">
        <f t="shared" si="94"/>
        <v>2812.5</v>
      </c>
      <c r="T50" s="223">
        <f t="shared" si="94"/>
        <v>2812.5</v>
      </c>
      <c r="U50" s="223">
        <f t="shared" si="94"/>
        <v>2812.5</v>
      </c>
      <c r="V50" s="223">
        <f t="shared" si="94"/>
        <v>2812.5</v>
      </c>
      <c r="W50" s="18">
        <f>TIBCO_BizEvt_Dev*75%</f>
        <v>0</v>
      </c>
      <c r="X50" s="18">
        <f>TIBCO_BizEvt_Dev*75%</f>
        <v>0</v>
      </c>
      <c r="Z50" s="119" t="s">
        <v>46</v>
      </c>
      <c r="AA50" s="223">
        <f>TIBCO_BizEvt_Prod_Maint</f>
        <v>787.5</v>
      </c>
      <c r="AB50" s="132">
        <f>TIBCO_BizEvt_Prod_Maint</f>
        <v>787.5</v>
      </c>
      <c r="AC50" s="223">
        <f t="shared" ref="AC50:AH50" si="95">TIBCO_BizEvt_StressUAT_Maint</f>
        <v>393.75</v>
      </c>
      <c r="AD50" s="120">
        <f t="shared" si="95"/>
        <v>393.75</v>
      </c>
      <c r="AE50" s="223">
        <f t="shared" si="95"/>
        <v>393.75</v>
      </c>
      <c r="AF50" s="132">
        <f t="shared" si="95"/>
        <v>393.75</v>
      </c>
      <c r="AG50" s="120">
        <f t="shared" si="95"/>
        <v>393.75</v>
      </c>
      <c r="AH50" s="120">
        <f t="shared" si="95"/>
        <v>393.75</v>
      </c>
      <c r="AI50" s="18">
        <f>TIBCO_BizEvt_Dev_Maint</f>
        <v>0</v>
      </c>
      <c r="AJ50" s="18">
        <f>TIBCO_BizEvt_Dev_Maint</f>
        <v>0</v>
      </c>
    </row>
    <row r="51" spans="1:36">
      <c r="A51" s="216" t="s">
        <v>117</v>
      </c>
      <c r="B51" s="216" t="s">
        <v>113</v>
      </c>
      <c r="C51" s="216" t="s">
        <v>95</v>
      </c>
      <c r="D51" s="217" t="s">
        <v>2242</v>
      </c>
      <c r="E51" s="217" t="s">
        <v>2246</v>
      </c>
      <c r="F51" s="216" t="s">
        <v>507</v>
      </c>
      <c r="G51" s="220">
        <v>975.4</v>
      </c>
      <c r="H51" s="220">
        <v>175.6</v>
      </c>
      <c r="I51" s="218" t="s">
        <v>105</v>
      </c>
      <c r="J51" s="219">
        <f>IF(SW_Pricing_Table[[#This Row],[Include Maint in Year 1?]]="No",SW_Pricing_Table[[#This Row],[SW Cost (Annual)]],SW_Pricing_Table[[#This Row],[SW Cost (Annual)]]+SW_Pricing_Table[[#This Row],[Maintenance (Annual)]])</f>
        <v>975.4</v>
      </c>
      <c r="L51" s="12" t="s">
        <v>44</v>
      </c>
      <c r="M51" s="19" t="str">
        <f>INDEX(SW_Pricing_Table[],MATCH(Product_Pricing_Table[[#This Row],[Product Name]],SW_Pricing_Table[Prod Alias],0),6)</f>
        <v>Cores</v>
      </c>
      <c r="N51" s="19" t="s">
        <v>2214</v>
      </c>
      <c r="O51" s="17">
        <f>TIBCO_BW_Bundle_Prod*75%</f>
        <v>5625</v>
      </c>
      <c r="P51" s="223">
        <f>TIBCO_BW_Bundle_Prod*75%</f>
        <v>5625</v>
      </c>
      <c r="Q51" s="17">
        <f t="shared" ref="Q51:V51" si="96">TIBCO_BW_Bundle_StressUAT*75%</f>
        <v>2812.5</v>
      </c>
      <c r="R51" s="223">
        <f t="shared" si="96"/>
        <v>2812.5</v>
      </c>
      <c r="S51" s="223">
        <f t="shared" si="96"/>
        <v>2812.5</v>
      </c>
      <c r="T51" s="223">
        <f t="shared" si="96"/>
        <v>2812.5</v>
      </c>
      <c r="U51" s="223">
        <f t="shared" si="96"/>
        <v>2812.5</v>
      </c>
      <c r="V51" s="223">
        <f t="shared" si="96"/>
        <v>2812.5</v>
      </c>
      <c r="W51" s="18">
        <f>TIBCO_BW_Bundle_Dev*75%</f>
        <v>0</v>
      </c>
      <c r="X51" s="18">
        <f>TIBCO_BW_Bundle_Dev*75%</f>
        <v>0</v>
      </c>
      <c r="Z51" s="12" t="s">
        <v>44</v>
      </c>
      <c r="AA51" s="223">
        <f>TIBCO_BW_Bundle_Prod_Maint</f>
        <v>787.5</v>
      </c>
      <c r="AB51" s="132">
        <f>TIBCO_BW_Bundle_Prod_Maint</f>
        <v>787.5</v>
      </c>
      <c r="AC51" s="223">
        <f t="shared" ref="AC51:AH51" si="97">TIBCO_BW_Bundle_StressUAT_Maint</f>
        <v>393.75</v>
      </c>
      <c r="AD51" s="17">
        <f t="shared" si="97"/>
        <v>393.75</v>
      </c>
      <c r="AE51" s="223">
        <f t="shared" si="97"/>
        <v>393.75</v>
      </c>
      <c r="AF51" s="132">
        <f t="shared" si="97"/>
        <v>393.75</v>
      </c>
      <c r="AG51" s="17">
        <f t="shared" si="97"/>
        <v>393.75</v>
      </c>
      <c r="AH51" s="17">
        <f t="shared" si="97"/>
        <v>393.75</v>
      </c>
      <c r="AI51" s="18">
        <f>TIBCO_BW_Bundle_Dev_Maint</f>
        <v>0</v>
      </c>
      <c r="AJ51" s="18">
        <f>TIBCO_BW_Bundle_Dev_Maint</f>
        <v>0</v>
      </c>
    </row>
    <row r="52" spans="1:36">
      <c r="A52" s="216" t="s">
        <v>117</v>
      </c>
      <c r="B52" s="216" t="s">
        <v>107</v>
      </c>
      <c r="C52" s="216" t="s">
        <v>95</v>
      </c>
      <c r="D52" s="217" t="s">
        <v>2242</v>
      </c>
      <c r="E52" s="217" t="s">
        <v>2246</v>
      </c>
      <c r="F52" s="216" t="s">
        <v>507</v>
      </c>
      <c r="G52" s="220">
        <f>G51*48%</f>
        <v>468.19199999999995</v>
      </c>
      <c r="H52" s="220">
        <f>H51*48%</f>
        <v>84.287999999999997</v>
      </c>
      <c r="I52" s="218" t="s">
        <v>105</v>
      </c>
      <c r="J52" s="219">
        <f>IF(SW_Pricing_Table[[#This Row],[Include Maint in Year 1?]]="No",SW_Pricing_Table[[#This Row],[SW Cost (Annual)]],SW_Pricing_Table[[#This Row],[SW Cost (Annual)]]+SW_Pricing_Table[[#This Row],[Maintenance (Annual)]])</f>
        <v>468.19199999999995</v>
      </c>
      <c r="L52" s="119" t="s">
        <v>45</v>
      </c>
      <c r="M52" s="19" t="str">
        <f>INDEX(SW_Pricing_Table[],MATCH(Product_Pricing_Table[[#This Row],[Product Name]],SW_Pricing_Table[Prod Alias],0),6)</f>
        <v>Cores</v>
      </c>
      <c r="N52" s="19" t="s">
        <v>2214</v>
      </c>
      <c r="O52" s="132">
        <f>TIBCO_EMS_Prod*75%</f>
        <v>4593.75</v>
      </c>
      <c r="P52" s="223">
        <f>TIBCO_EMS_Prod*75%</f>
        <v>4593.75</v>
      </c>
      <c r="Q52" s="132">
        <f t="shared" ref="Q52:V52" si="98">TIBCO_EMS_StressUAT*75%</f>
        <v>2250</v>
      </c>
      <c r="R52" s="223">
        <f t="shared" si="98"/>
        <v>2250</v>
      </c>
      <c r="S52" s="223">
        <f t="shared" si="98"/>
        <v>2250</v>
      </c>
      <c r="T52" s="223">
        <f t="shared" si="98"/>
        <v>2250</v>
      </c>
      <c r="U52" s="223">
        <f t="shared" si="98"/>
        <v>2250</v>
      </c>
      <c r="V52" s="223">
        <f t="shared" si="98"/>
        <v>2250</v>
      </c>
      <c r="W52" s="18">
        <f>TIBCO_EMS_Dev*75%</f>
        <v>0</v>
      </c>
      <c r="X52" s="18">
        <f>TIBCO_EMS_Dev*75%</f>
        <v>0</v>
      </c>
      <c r="Z52" s="119" t="s">
        <v>45</v>
      </c>
      <c r="AA52" s="223">
        <f>TIBCO_EMS_Prod_Maint</f>
        <v>643.125</v>
      </c>
      <c r="AB52" s="132">
        <f>TIBCO_EMS_Prod_Maint</f>
        <v>643.125</v>
      </c>
      <c r="AC52" s="223">
        <f t="shared" ref="AC52:AH52" si="99">TIBCO_EMS_StressUAT_Maint</f>
        <v>315</v>
      </c>
      <c r="AD52" s="132">
        <f t="shared" si="99"/>
        <v>315</v>
      </c>
      <c r="AE52" s="223">
        <f t="shared" si="99"/>
        <v>315</v>
      </c>
      <c r="AF52" s="132">
        <f t="shared" si="99"/>
        <v>315</v>
      </c>
      <c r="AG52" s="132">
        <f t="shared" si="99"/>
        <v>315</v>
      </c>
      <c r="AH52" s="132">
        <f t="shared" si="99"/>
        <v>315</v>
      </c>
      <c r="AI52" s="18">
        <f>TIBCO_EMS_Dev_Maint</f>
        <v>0</v>
      </c>
      <c r="AJ52" s="18">
        <f>TIBCO_EMS_Dev_Maint</f>
        <v>0</v>
      </c>
    </row>
    <row r="53" spans="1:36">
      <c r="A53" s="216" t="s">
        <v>117</v>
      </c>
      <c r="B53" s="216" t="s">
        <v>113</v>
      </c>
      <c r="C53" s="216" t="s">
        <v>116</v>
      </c>
      <c r="D53" s="217" t="s">
        <v>2242</v>
      </c>
      <c r="E53" s="217" t="s">
        <v>2247</v>
      </c>
      <c r="F53" s="216" t="s">
        <v>507</v>
      </c>
      <c r="G53" s="220">
        <f>G51*50%</f>
        <v>487.7</v>
      </c>
      <c r="H53" s="220">
        <f>H51*50%</f>
        <v>87.8</v>
      </c>
      <c r="I53" s="218" t="s">
        <v>105</v>
      </c>
      <c r="J53" s="219">
        <f>IF(SW_Pricing_Table[[#This Row],[Include Maint in Year 1?]]="No",SW_Pricing_Table[[#This Row],[SW Cost (Annual)]],SW_Pricing_Table[[#This Row],[SW Cost (Annual)]]+SW_Pricing_Table[[#This Row],[Maintenance (Annual)]])</f>
        <v>487.7</v>
      </c>
      <c r="L53" s="119" t="s">
        <v>47</v>
      </c>
      <c r="M53" s="19" t="str">
        <f>INDEX(SW_Pricing_Table[],MATCH(Product_Pricing_Table[[#This Row],[Product Name]],SW_Pricing_Table[Prod Alias],0),6)</f>
        <v>Cores</v>
      </c>
      <c r="N53" s="19"/>
      <c r="O53" s="223">
        <f>TIBCO_iProc_Prod*75%</f>
        <v>17812.5</v>
      </c>
      <c r="P53" s="132">
        <f>TIBCO_iProc_Prod*75%</f>
        <v>17812.5</v>
      </c>
      <c r="Q53" s="223">
        <f t="shared" ref="Q53:V53" si="100">TIBCO_iProc_StressUAT*75%</f>
        <v>6056.25</v>
      </c>
      <c r="R53" s="223">
        <f t="shared" si="100"/>
        <v>6056.25</v>
      </c>
      <c r="S53" s="223">
        <f t="shared" si="100"/>
        <v>6056.25</v>
      </c>
      <c r="T53" s="223">
        <f t="shared" si="100"/>
        <v>6056.25</v>
      </c>
      <c r="U53" s="223">
        <f t="shared" si="100"/>
        <v>6056.25</v>
      </c>
      <c r="V53" s="132">
        <f t="shared" si="100"/>
        <v>6056.25</v>
      </c>
      <c r="W53" s="18">
        <f>TIBCO_iProc_Dev*75%</f>
        <v>0</v>
      </c>
      <c r="X53" s="18">
        <f>TIBCO_iProc_Dev*75%</f>
        <v>0</v>
      </c>
      <c r="Z53" s="119" t="s">
        <v>47</v>
      </c>
      <c r="AA53" s="223">
        <f>TIBCO_iProc_Prod_Maint</f>
        <v>2493.75</v>
      </c>
      <c r="AB53" s="132">
        <f>TIBCO_iProc_Prod_Maint</f>
        <v>2493.75</v>
      </c>
      <c r="AC53" s="223">
        <f t="shared" ref="AC53:AH53" si="101">TIBCO_iProc_StressUAT_Maint</f>
        <v>847.875</v>
      </c>
      <c r="AD53" s="132">
        <f t="shared" si="101"/>
        <v>847.875</v>
      </c>
      <c r="AE53" s="223">
        <f t="shared" si="101"/>
        <v>847.875</v>
      </c>
      <c r="AF53" s="132">
        <f t="shared" si="101"/>
        <v>847.875</v>
      </c>
      <c r="AG53" s="132">
        <f t="shared" si="101"/>
        <v>847.875</v>
      </c>
      <c r="AH53" s="132">
        <f t="shared" si="101"/>
        <v>847.875</v>
      </c>
      <c r="AI53" s="18">
        <f>TIBCO_iProc_Dev_Maint</f>
        <v>0</v>
      </c>
      <c r="AJ53" s="18">
        <f>TIBCO_iProc_Dev_Maint</f>
        <v>0</v>
      </c>
    </row>
    <row r="54" spans="1:36">
      <c r="A54" s="216" t="s">
        <v>117</v>
      </c>
      <c r="B54" s="216" t="s">
        <v>107</v>
      </c>
      <c r="C54" s="216" t="s">
        <v>116</v>
      </c>
      <c r="D54" s="217" t="s">
        <v>2242</v>
      </c>
      <c r="E54" s="217" t="s">
        <v>2247</v>
      </c>
      <c r="F54" s="216" t="s">
        <v>507</v>
      </c>
      <c r="G54" s="220">
        <f>G53*50%</f>
        <v>243.85</v>
      </c>
      <c r="H54" s="220">
        <f>H53*50%</f>
        <v>43.9</v>
      </c>
      <c r="I54" s="218" t="s">
        <v>105</v>
      </c>
      <c r="J54" s="219">
        <f>IF(SW_Pricing_Table[[#This Row],[Include Maint in Year 1?]]="No",SW_Pricing_Table[[#This Row],[SW Cost (Annual)]],SW_Pricing_Table[[#This Row],[SW Cost (Annual)]]+SW_Pricing_Table[[#This Row],[Maintenance (Annual)]])</f>
        <v>243.85</v>
      </c>
      <c r="L54" s="19" t="s">
        <v>69</v>
      </c>
      <c r="M54" s="19" t="str">
        <f>INDEX(SW_Pricing_Table[],MATCH(Product_Pricing_Table[[#This Row],[Product Name]],SW_Pricing_Table[Prod Alias],0),6)</f>
        <v>CPU</v>
      </c>
      <c r="N54" s="19"/>
      <c r="O54" s="133">
        <f>Veritas_Cluster_CFS_Prod</f>
        <v>1408.5</v>
      </c>
      <c r="P54" s="133">
        <f>Veritas_Cluster_CFS_Prod</f>
        <v>1408.5</v>
      </c>
      <c r="Q54" s="133">
        <f t="shared" ref="Q54:X54" si="102">Veritas_Cluster_CFS_StressUAT</f>
        <v>1408.5</v>
      </c>
      <c r="R54" s="133">
        <f t="shared" si="102"/>
        <v>1408.5</v>
      </c>
      <c r="S54" s="133">
        <f t="shared" si="102"/>
        <v>1408.5</v>
      </c>
      <c r="T54" s="133">
        <f t="shared" si="102"/>
        <v>1408.5</v>
      </c>
      <c r="U54" s="133">
        <f t="shared" si="102"/>
        <v>1408.5</v>
      </c>
      <c r="V54" s="133">
        <f t="shared" si="102"/>
        <v>1408.5</v>
      </c>
      <c r="W54" s="133">
        <f t="shared" si="102"/>
        <v>1408.5</v>
      </c>
      <c r="X54" s="133">
        <f t="shared" si="102"/>
        <v>1408.5</v>
      </c>
      <c r="Z54" s="119" t="s">
        <v>69</v>
      </c>
      <c r="AA54" s="133">
        <f>Veritas_Cluster_CFS_Prod_Maint</f>
        <v>253.53</v>
      </c>
      <c r="AB54" s="133">
        <f>Veritas_Cluster_CFS_Prod_Maint</f>
        <v>253.53</v>
      </c>
      <c r="AC54" s="133">
        <f t="shared" ref="AC54:AJ54" si="103">Veritas_Cluster_CFS_StressUAT_Maint</f>
        <v>253.53</v>
      </c>
      <c r="AD54" s="133">
        <f t="shared" si="103"/>
        <v>253.53</v>
      </c>
      <c r="AE54" s="133">
        <f t="shared" si="103"/>
        <v>253.53</v>
      </c>
      <c r="AF54" s="133">
        <f t="shared" si="103"/>
        <v>253.53</v>
      </c>
      <c r="AG54" s="133">
        <f t="shared" si="103"/>
        <v>253.53</v>
      </c>
      <c r="AH54" s="133">
        <f t="shared" si="103"/>
        <v>253.53</v>
      </c>
      <c r="AI54" s="133">
        <f t="shared" si="103"/>
        <v>253.53</v>
      </c>
      <c r="AJ54" s="133">
        <f t="shared" si="103"/>
        <v>253.53</v>
      </c>
    </row>
    <row r="55" spans="1:36">
      <c r="A55" s="216" t="s">
        <v>117</v>
      </c>
      <c r="B55" s="116" t="s">
        <v>113</v>
      </c>
      <c r="C55" s="216" t="s">
        <v>95</v>
      </c>
      <c r="D55" s="217" t="s">
        <v>71</v>
      </c>
      <c r="E55" s="216" t="s">
        <v>2248</v>
      </c>
      <c r="F55" s="216" t="s">
        <v>507</v>
      </c>
      <c r="G55" s="220">
        <v>2155.83</v>
      </c>
      <c r="H55" s="220">
        <v>377.48</v>
      </c>
      <c r="I55" s="218" t="s">
        <v>105</v>
      </c>
      <c r="J55" s="117">
        <f>IF(SW_Pricing_Table[[#This Row],[Include Maint in Year 1?]]="No",SW_Pricing_Table[[#This Row],[SW Cost (Annual)]],SW_Pricing_Table[[#This Row],[SW Cost (Annual)]]+SW_Pricing_Table[[#This Row],[Maintenance (Annual)]])</f>
        <v>2155.83</v>
      </c>
    </row>
    <row r="56" spans="1:36">
      <c r="A56" s="216" t="s">
        <v>117</v>
      </c>
      <c r="B56" s="216" t="s">
        <v>107</v>
      </c>
      <c r="C56" s="216" t="s">
        <v>95</v>
      </c>
      <c r="D56" s="217" t="s">
        <v>71</v>
      </c>
      <c r="E56" s="216" t="s">
        <v>2248</v>
      </c>
      <c r="F56" s="216" t="s">
        <v>507</v>
      </c>
      <c r="G56" s="220">
        <f>G55*48%</f>
        <v>1034.7983999999999</v>
      </c>
      <c r="H56" s="220">
        <f>H55*48%</f>
        <v>181.19040000000001</v>
      </c>
      <c r="I56" s="218" t="s">
        <v>105</v>
      </c>
      <c r="J56" s="219">
        <f>IF(SW_Pricing_Table[[#This Row],[Include Maint in Year 1?]]="No",SW_Pricing_Table[[#This Row],[SW Cost (Annual)]],SW_Pricing_Table[[#This Row],[SW Cost (Annual)]]+SW_Pricing_Table[[#This Row],[Maintenance (Annual)]])</f>
        <v>1034.7983999999999</v>
      </c>
      <c r="T56" s="15"/>
    </row>
    <row r="57" spans="1:36">
      <c r="A57" s="216" t="s">
        <v>117</v>
      </c>
      <c r="B57" s="216" t="s">
        <v>113</v>
      </c>
      <c r="C57" s="216" t="s">
        <v>116</v>
      </c>
      <c r="D57" s="217" t="s">
        <v>71</v>
      </c>
      <c r="E57" s="216" t="s">
        <v>2249</v>
      </c>
      <c r="F57" s="216" t="s">
        <v>507</v>
      </c>
      <c r="G57" s="220">
        <f>G55*50%</f>
        <v>1077.915</v>
      </c>
      <c r="H57" s="220">
        <f>H55*50%</f>
        <v>188.74</v>
      </c>
      <c r="I57" s="218" t="s">
        <v>105</v>
      </c>
      <c r="J57" s="219">
        <f>IF(SW_Pricing_Table[[#This Row],[Include Maint in Year 1?]]="No",SW_Pricing_Table[[#This Row],[SW Cost (Annual)]],SW_Pricing_Table[[#This Row],[SW Cost (Annual)]]+SW_Pricing_Table[[#This Row],[Maintenance (Annual)]])</f>
        <v>1077.915</v>
      </c>
      <c r="L57" s="264"/>
      <c r="Z57"/>
    </row>
    <row r="58" spans="1:36">
      <c r="A58" s="216" t="s">
        <v>117</v>
      </c>
      <c r="B58" s="216" t="s">
        <v>107</v>
      </c>
      <c r="C58" s="216" t="s">
        <v>116</v>
      </c>
      <c r="D58" s="217" t="s">
        <v>71</v>
      </c>
      <c r="E58" s="216" t="s">
        <v>2249</v>
      </c>
      <c r="F58" s="216" t="s">
        <v>507</v>
      </c>
      <c r="G58" s="220">
        <f>G57*50%</f>
        <v>538.95749999999998</v>
      </c>
      <c r="H58" s="220">
        <f>H57*50%</f>
        <v>94.37</v>
      </c>
      <c r="I58" s="218" t="s">
        <v>105</v>
      </c>
      <c r="J58" s="219">
        <f>IF(SW_Pricing_Table[[#This Row],[Include Maint in Year 1?]]="No",SW_Pricing_Table[[#This Row],[SW Cost (Annual)]],SW_Pricing_Table[[#This Row],[SW Cost (Annual)]]+SW_Pricing_Table[[#This Row],[Maintenance (Annual)]])</f>
        <v>538.95749999999998</v>
      </c>
      <c r="L58" s="426"/>
    </row>
    <row r="59" spans="1:36">
      <c r="A59" s="216" t="s">
        <v>117</v>
      </c>
      <c r="B59" s="216" t="s">
        <v>113</v>
      </c>
      <c r="C59" s="216" t="s">
        <v>95</v>
      </c>
      <c r="D59" s="217" t="s">
        <v>468</v>
      </c>
      <c r="E59" s="217" t="s">
        <v>2237</v>
      </c>
      <c r="F59" s="216" t="s">
        <v>507</v>
      </c>
      <c r="G59" s="220">
        <v>4375</v>
      </c>
      <c r="H59" s="220">
        <v>875</v>
      </c>
      <c r="I59" s="218" t="s">
        <v>105</v>
      </c>
      <c r="J59" s="219">
        <f>IF(SW_Pricing_Table[[#This Row],[Include Maint in Year 1?]]="No",SW_Pricing_Table[[#This Row],[SW Cost (Annual)]],SW_Pricing_Table[[#This Row],[SW Cost (Annual)]]+SW_Pricing_Table[[#This Row],[Maintenance (Annual)]])</f>
        <v>4375</v>
      </c>
      <c r="AI59"/>
      <c r="AJ59"/>
    </row>
    <row r="60" spans="1:36">
      <c r="A60" s="216" t="s">
        <v>117</v>
      </c>
      <c r="B60" s="216" t="s">
        <v>107</v>
      </c>
      <c r="C60" s="216" t="s">
        <v>95</v>
      </c>
      <c r="D60" s="217" t="s">
        <v>468</v>
      </c>
      <c r="E60" s="217" t="s">
        <v>2237</v>
      </c>
      <c r="F60" s="216" t="s">
        <v>507</v>
      </c>
      <c r="G60" s="220">
        <f>G59*48%</f>
        <v>2100</v>
      </c>
      <c r="H60" s="220">
        <f>H59*48%</f>
        <v>420</v>
      </c>
      <c r="I60" s="218" t="s">
        <v>105</v>
      </c>
      <c r="J60" s="219">
        <f>IF(SW_Pricing_Table[[#This Row],[Include Maint in Year 1?]]="No",SW_Pricing_Table[[#This Row],[SW Cost (Annual)]],SW_Pricing_Table[[#This Row],[SW Cost (Annual)]]+SW_Pricing_Table[[#This Row],[Maintenance (Annual)]])</f>
        <v>2100</v>
      </c>
      <c r="L60"/>
      <c r="M60"/>
      <c r="T60"/>
      <c r="U60"/>
      <c r="V60"/>
      <c r="AB60"/>
      <c r="AC60"/>
      <c r="AD60"/>
      <c r="AF60"/>
    </row>
    <row r="61" spans="1:36">
      <c r="A61" s="216" t="s">
        <v>117</v>
      </c>
      <c r="B61" s="216" t="s">
        <v>113</v>
      </c>
      <c r="C61" s="216" t="s">
        <v>116</v>
      </c>
      <c r="D61" s="217" t="s">
        <v>468</v>
      </c>
      <c r="E61" s="217" t="s">
        <v>2238</v>
      </c>
      <c r="F61" s="216" t="s">
        <v>507</v>
      </c>
      <c r="G61" s="220">
        <f>G59*50%</f>
        <v>2187.5</v>
      </c>
      <c r="H61" s="220">
        <f>H59*50%</f>
        <v>437.5</v>
      </c>
      <c r="I61" s="218" t="s">
        <v>105</v>
      </c>
      <c r="J61" s="219">
        <f>IF(SW_Pricing_Table[[#This Row],[Include Maint in Year 1?]]="No",SW_Pricing_Table[[#This Row],[SW Cost (Annual)]],SW_Pricing_Table[[#This Row],[SW Cost (Annual)]]+SW_Pricing_Table[[#This Row],[Maintenance (Annual)]])</f>
        <v>2187.5</v>
      </c>
      <c r="L61"/>
      <c r="M61"/>
      <c r="T61"/>
    </row>
    <row r="62" spans="1:36">
      <c r="A62" s="216" t="s">
        <v>117</v>
      </c>
      <c r="B62" s="216" t="s">
        <v>107</v>
      </c>
      <c r="C62" s="216" t="s">
        <v>116</v>
      </c>
      <c r="D62" s="217" t="s">
        <v>468</v>
      </c>
      <c r="E62" s="217" t="s">
        <v>2238</v>
      </c>
      <c r="F62" s="216" t="s">
        <v>507</v>
      </c>
      <c r="G62" s="220">
        <f>G61*50%</f>
        <v>1093.75</v>
      </c>
      <c r="H62" s="220">
        <f>H61*50%</f>
        <v>218.75</v>
      </c>
      <c r="I62" s="218" t="s">
        <v>105</v>
      </c>
      <c r="J62" s="219">
        <f>IF(SW_Pricing_Table[[#This Row],[Include Maint in Year 1?]]="No",SW_Pricing_Table[[#This Row],[SW Cost (Annual)]],SW_Pricing_Table[[#This Row],[SW Cost (Annual)]]+SW_Pricing_Table[[#This Row],[Maintenance (Annual)]])</f>
        <v>1093.75</v>
      </c>
      <c r="L62"/>
      <c r="M62"/>
      <c r="T62"/>
    </row>
    <row r="63" spans="1:36">
      <c r="A63" s="216" t="s">
        <v>117</v>
      </c>
      <c r="B63" s="216" t="s">
        <v>56</v>
      </c>
      <c r="C63" s="216" t="s">
        <v>56</v>
      </c>
      <c r="D63" s="217" t="s">
        <v>483</v>
      </c>
      <c r="E63" s="217" t="s">
        <v>483</v>
      </c>
      <c r="F63" s="216" t="s">
        <v>507</v>
      </c>
      <c r="G63" s="220">
        <v>0</v>
      </c>
      <c r="H63" s="220">
        <v>0</v>
      </c>
      <c r="I63" s="218" t="s">
        <v>105</v>
      </c>
      <c r="J63" s="219">
        <f>IF(SW_Pricing_Table[[#This Row],[Include Maint in Year 1?]]="No",SW_Pricing_Table[[#This Row],[SW Cost (Annual)]],SW_Pricing_Table[[#This Row],[SW Cost (Annual)]]+SW_Pricing_Table[[#This Row],[Maintenance (Annual)]])</f>
        <v>0</v>
      </c>
      <c r="L63"/>
      <c r="M63"/>
      <c r="T63"/>
    </row>
    <row r="64" spans="1:36">
      <c r="A64" s="216" t="s">
        <v>117</v>
      </c>
      <c r="B64" s="216" t="s">
        <v>113</v>
      </c>
      <c r="C64" s="216" t="s">
        <v>95</v>
      </c>
      <c r="D64" s="217" t="s">
        <v>2256</v>
      </c>
      <c r="E64" s="217" t="s">
        <v>2254</v>
      </c>
      <c r="F64" s="216" t="s">
        <v>507</v>
      </c>
      <c r="G64" s="220">
        <v>3816.8</v>
      </c>
      <c r="H64" s="220">
        <v>687</v>
      </c>
      <c r="I64" s="218" t="s">
        <v>105</v>
      </c>
      <c r="J64" s="219">
        <f>IF(SW_Pricing_Table[[#This Row],[Include Maint in Year 1?]]="No",SW_Pricing_Table[[#This Row],[SW Cost (Annual)]],SW_Pricing_Table[[#This Row],[SW Cost (Annual)]]+SW_Pricing_Table[[#This Row],[Maintenance (Annual)]])</f>
        <v>3816.8</v>
      </c>
      <c r="L64"/>
      <c r="M64"/>
      <c r="T64"/>
    </row>
    <row r="65" spans="1:20">
      <c r="A65" s="216" t="s">
        <v>117</v>
      </c>
      <c r="B65" s="216" t="s">
        <v>107</v>
      </c>
      <c r="C65" s="216" t="s">
        <v>95</v>
      </c>
      <c r="D65" s="217" t="s">
        <v>2256</v>
      </c>
      <c r="E65" s="217" t="s">
        <v>2254</v>
      </c>
      <c r="F65" s="216" t="s">
        <v>507</v>
      </c>
      <c r="G65" s="220">
        <f>G64*48%</f>
        <v>1832.0640000000001</v>
      </c>
      <c r="H65" s="220">
        <f>H64*48%</f>
        <v>329.76</v>
      </c>
      <c r="I65" s="218" t="s">
        <v>105</v>
      </c>
      <c r="J65" s="219">
        <f>IF(SW_Pricing_Table[[#This Row],[Include Maint in Year 1?]]="No",SW_Pricing_Table[[#This Row],[SW Cost (Annual)]],SW_Pricing_Table[[#This Row],[SW Cost (Annual)]]+SW_Pricing_Table[[#This Row],[Maintenance (Annual)]])</f>
        <v>1832.0640000000001</v>
      </c>
      <c r="L65"/>
      <c r="M65"/>
      <c r="T65"/>
    </row>
    <row r="66" spans="1:20">
      <c r="A66" s="216" t="s">
        <v>117</v>
      </c>
      <c r="B66" s="216" t="s">
        <v>113</v>
      </c>
      <c r="C66" s="216" t="s">
        <v>116</v>
      </c>
      <c r="D66" s="217" t="s">
        <v>2256</v>
      </c>
      <c r="E66" s="217" t="s">
        <v>2255</v>
      </c>
      <c r="F66" s="216" t="s">
        <v>507</v>
      </c>
      <c r="G66" s="220">
        <f>G64*50%</f>
        <v>1908.4</v>
      </c>
      <c r="H66" s="220">
        <f>H64*50%</f>
        <v>343.5</v>
      </c>
      <c r="I66" s="218" t="s">
        <v>105</v>
      </c>
      <c r="J66" s="219">
        <f>IF(SW_Pricing_Table[[#This Row],[Include Maint in Year 1?]]="No",SW_Pricing_Table[[#This Row],[SW Cost (Annual)]],SW_Pricing_Table[[#This Row],[SW Cost (Annual)]]+SW_Pricing_Table[[#This Row],[Maintenance (Annual)]])</f>
        <v>1908.4</v>
      </c>
    </row>
    <row r="67" spans="1:20">
      <c r="A67" s="216" t="s">
        <v>117</v>
      </c>
      <c r="B67" s="216" t="s">
        <v>107</v>
      </c>
      <c r="C67" s="216" t="s">
        <v>116</v>
      </c>
      <c r="D67" s="217" t="s">
        <v>2256</v>
      </c>
      <c r="E67" s="217" t="s">
        <v>2255</v>
      </c>
      <c r="F67" s="216" t="s">
        <v>507</v>
      </c>
      <c r="G67" s="220">
        <f>G66*50%</f>
        <v>954.2</v>
      </c>
      <c r="H67" s="220">
        <f>H66*50%</f>
        <v>171.75</v>
      </c>
      <c r="I67" s="218" t="s">
        <v>105</v>
      </c>
      <c r="J67" s="219">
        <v>10150</v>
      </c>
    </row>
    <row r="68" spans="1:20">
      <c r="A68" s="125" t="s">
        <v>196</v>
      </c>
      <c r="B68" s="125" t="s">
        <v>56</v>
      </c>
      <c r="C68" s="125" t="s">
        <v>116</v>
      </c>
      <c r="D68" s="126" t="s">
        <v>72</v>
      </c>
      <c r="E68" s="126" t="s">
        <v>72</v>
      </c>
      <c r="F68" s="126" t="s">
        <v>507</v>
      </c>
      <c r="G68" s="184">
        <v>24</v>
      </c>
      <c r="H68" s="184">
        <v>54363.199999999997</v>
      </c>
      <c r="I68" s="127" t="s">
        <v>105</v>
      </c>
      <c r="J68" s="128">
        <f>IF(SW_Pricing_Table[[#This Row],[Include Maint in Year 1?]]="No",SW_Pricing_Table[[#This Row],[SW Cost (Annual)]],SW_Pricing_Table[[#This Row],[SW Cost (Annual)]]+SW_Pricing_Table[[#This Row],[Maintenance (Annual)]])</f>
        <v>24</v>
      </c>
    </row>
    <row r="69" spans="1:20">
      <c r="A69" s="121" t="s">
        <v>197</v>
      </c>
      <c r="B69" s="121" t="s">
        <v>113</v>
      </c>
      <c r="C69" s="121" t="s">
        <v>116</v>
      </c>
      <c r="D69" s="122" t="s">
        <v>198</v>
      </c>
      <c r="E69" s="122" t="s">
        <v>50</v>
      </c>
      <c r="F69" s="122" t="s">
        <v>12</v>
      </c>
      <c r="G69" s="152">
        <v>46850</v>
      </c>
      <c r="H69" s="152">
        <v>13185.78</v>
      </c>
      <c r="I69" s="123" t="s">
        <v>105</v>
      </c>
      <c r="J69" s="124">
        <f>IF(SW_Pricing_Table[[#This Row],[Include Maint in Year 1?]]="No",SW_Pricing_Table[[#This Row],[SW Cost (Annual)]],SW_Pricing_Table[[#This Row],[SW Cost (Annual)]]+SW_Pricing_Table[[#This Row],[Maintenance (Annual)]])</f>
        <v>46850</v>
      </c>
    </row>
    <row r="70" spans="1:20">
      <c r="A70" s="121" t="s">
        <v>197</v>
      </c>
      <c r="B70" s="121" t="s">
        <v>107</v>
      </c>
      <c r="C70" s="121" t="s">
        <v>116</v>
      </c>
      <c r="D70" s="122" t="s">
        <v>198</v>
      </c>
      <c r="E70" s="122" t="s">
        <v>50</v>
      </c>
      <c r="F70" s="122" t="s">
        <v>12</v>
      </c>
      <c r="G70" s="152">
        <v>0</v>
      </c>
      <c r="H70" s="152">
        <v>0</v>
      </c>
      <c r="I70" s="123" t="s">
        <v>105</v>
      </c>
      <c r="J70" s="414">
        <f>IF(SW_Pricing_Table[[#This Row],[Include Maint in Year 1?]]="No",SW_Pricing_Table[[#This Row],[SW Cost (Annual)]],SW_Pricing_Table[[#This Row],[SW Cost (Annual)]]+SW_Pricing_Table[[#This Row],[Maintenance (Annual)]])</f>
        <v>0</v>
      </c>
    </row>
    <row r="71" spans="1:20">
      <c r="A71" s="36" t="s">
        <v>537</v>
      </c>
      <c r="B71" s="36" t="s">
        <v>113</v>
      </c>
      <c r="C71" s="36" t="s">
        <v>116</v>
      </c>
      <c r="D71" s="110" t="s">
        <v>2360</v>
      </c>
      <c r="E71" s="110" t="s">
        <v>49</v>
      </c>
      <c r="F71" s="110" t="s">
        <v>92</v>
      </c>
      <c r="G71" s="148">
        <v>2679.3</v>
      </c>
      <c r="H71" s="148">
        <v>1071.72</v>
      </c>
      <c r="I71" s="66" t="s">
        <v>105</v>
      </c>
      <c r="J71" s="71">
        <f>IF(SW_Pricing_Table[[#This Row],[Include Maint in Year 1?]]="No",SW_Pricing_Table[[#This Row],[SW Cost (Annual)]],SW_Pricing_Table[[#This Row],[SW Cost (Annual)]]+SW_Pricing_Table[[#This Row],[Maintenance (Annual)]])</f>
        <v>2679.3</v>
      </c>
    </row>
    <row r="72" spans="1:20">
      <c r="A72" s="36" t="s">
        <v>537</v>
      </c>
      <c r="B72" s="36" t="s">
        <v>107</v>
      </c>
      <c r="C72" s="36" t="s">
        <v>116</v>
      </c>
      <c r="D72" s="110" t="s">
        <v>2360</v>
      </c>
      <c r="E72" s="110" t="s">
        <v>49</v>
      </c>
      <c r="F72" s="110" t="s">
        <v>92</v>
      </c>
      <c r="G72" s="150">
        <v>1340.1</v>
      </c>
      <c r="H72" s="150">
        <v>535.86</v>
      </c>
      <c r="I72" s="67" t="s">
        <v>105</v>
      </c>
      <c r="J72" s="71">
        <f>IF(SW_Pricing_Table[[#This Row],[Include Maint in Year 1?]]="No",SW_Pricing_Table[[#This Row],[SW Cost (Annual)]],SW_Pricing_Table[[#This Row],[SW Cost (Annual)]]+SW_Pricing_Table[[#This Row],[Maintenance (Annual)]])</f>
        <v>1340.1</v>
      </c>
    </row>
    <row r="73" spans="1:20">
      <c r="A73" s="255" t="s">
        <v>118</v>
      </c>
      <c r="B73" s="255" t="s">
        <v>113</v>
      </c>
      <c r="C73" s="255" t="s">
        <v>116</v>
      </c>
      <c r="D73" s="256" t="s">
        <v>490</v>
      </c>
      <c r="E73" s="256" t="s">
        <v>490</v>
      </c>
      <c r="F73" s="256" t="s">
        <v>507</v>
      </c>
      <c r="G73" s="257">
        <v>2500</v>
      </c>
      <c r="H73" s="257">
        <f>SW_Pricing_Table[[#This Row],[SW Cost (Annual)]]*10.5%</f>
        <v>262.5</v>
      </c>
      <c r="I73" s="258" t="s">
        <v>105</v>
      </c>
      <c r="J73" s="259">
        <f>IF(SW_Pricing_Table[[#This Row],[Include Maint in Year 1?]]="No",SW_Pricing_Table[[#This Row],[SW Cost (Annual)]],SW_Pricing_Table[[#This Row],[SW Cost (Annual)]]+SW_Pricing_Table[[#This Row],[Maintenance (Annual)]])</f>
        <v>2500</v>
      </c>
    </row>
    <row r="74" spans="1:20">
      <c r="A74" s="255" t="s">
        <v>118</v>
      </c>
      <c r="B74" s="255" t="s">
        <v>58</v>
      </c>
      <c r="C74" s="255" t="s">
        <v>116</v>
      </c>
      <c r="D74" s="256" t="s">
        <v>490</v>
      </c>
      <c r="E74" s="256" t="s">
        <v>490</v>
      </c>
      <c r="F74" s="256" t="s">
        <v>507</v>
      </c>
      <c r="G74" s="257">
        <v>1000</v>
      </c>
      <c r="H74" s="257">
        <f>SW_Pricing_Table[[#This Row],[SW Cost (Annual)]]*10.5%</f>
        <v>105</v>
      </c>
      <c r="I74" s="258" t="s">
        <v>105</v>
      </c>
      <c r="J74" s="259">
        <f>IF(SW_Pricing_Table[[#This Row],[Include Maint in Year 1?]]="No",SW_Pricing_Table[[#This Row],[SW Cost (Annual)]],SW_Pricing_Table[[#This Row],[SW Cost (Annual)]]+SW_Pricing_Table[[#This Row],[Maintenance (Annual)]])</f>
        <v>1000</v>
      </c>
    </row>
    <row r="75" spans="1:20">
      <c r="A75" s="255" t="s">
        <v>118</v>
      </c>
      <c r="B75" s="255" t="s">
        <v>59</v>
      </c>
      <c r="C75" s="255" t="s">
        <v>116</v>
      </c>
      <c r="D75" s="256" t="s">
        <v>490</v>
      </c>
      <c r="E75" s="256" t="s">
        <v>490</v>
      </c>
      <c r="F75" s="256" t="s">
        <v>507</v>
      </c>
      <c r="G75" s="257">
        <v>0</v>
      </c>
      <c r="H75" s="257">
        <v>0</v>
      </c>
      <c r="I75" s="258" t="s">
        <v>105</v>
      </c>
      <c r="J75" s="259">
        <f>IF(SW_Pricing_Table[[#This Row],[Include Maint in Year 1?]]="No",SW_Pricing_Table[[#This Row],[SW Cost (Annual)]],SW_Pricing_Table[[#This Row],[SW Cost (Annual)]]+SW_Pricing_Table[[#This Row],[Maintenance (Annual)]])</f>
        <v>0</v>
      </c>
    </row>
    <row r="76" spans="1:20">
      <c r="A76" s="56" t="s">
        <v>118</v>
      </c>
      <c r="B76" s="56" t="s">
        <v>113</v>
      </c>
      <c r="C76" s="56" t="s">
        <v>116</v>
      </c>
      <c r="D76" s="57" t="s">
        <v>62</v>
      </c>
      <c r="E76" s="57" t="s">
        <v>513</v>
      </c>
      <c r="F76" s="57" t="s">
        <v>507</v>
      </c>
      <c r="G76" s="164">
        <v>2250</v>
      </c>
      <c r="H76" s="164">
        <v>236.25</v>
      </c>
      <c r="I76" s="90" t="s">
        <v>105</v>
      </c>
      <c r="J76" s="91">
        <f>IF(SW_Pricing_Table[[#This Row],[Include Maint in Year 1?]]="No",SW_Pricing_Table[[#This Row],[SW Cost (Annual)]],SW_Pricing_Table[[#This Row],[SW Cost (Annual)]]+SW_Pricing_Table[[#This Row],[Maintenance (Annual)]])</f>
        <v>2250</v>
      </c>
    </row>
    <row r="77" spans="1:20">
      <c r="A77" s="56" t="s">
        <v>118</v>
      </c>
      <c r="B77" s="56" t="s">
        <v>58</v>
      </c>
      <c r="C77" s="56" t="s">
        <v>116</v>
      </c>
      <c r="D77" s="57" t="s">
        <v>62</v>
      </c>
      <c r="E77" s="57" t="s">
        <v>513</v>
      </c>
      <c r="F77" s="57" t="s">
        <v>507</v>
      </c>
      <c r="G77" s="165">
        <v>750</v>
      </c>
      <c r="H77" s="165">
        <v>78.75</v>
      </c>
      <c r="I77" s="90" t="s">
        <v>105</v>
      </c>
      <c r="J77" s="91">
        <f>IF(SW_Pricing_Table[[#This Row],[Include Maint in Year 1?]]="No",SW_Pricing_Table[[#This Row],[SW Cost (Annual)]],SW_Pricing_Table[[#This Row],[SW Cost (Annual)]]+SW_Pricing_Table[[#This Row],[Maintenance (Annual)]])</f>
        <v>750</v>
      </c>
    </row>
    <row r="78" spans="1:20">
      <c r="A78" s="56" t="s">
        <v>118</v>
      </c>
      <c r="B78" s="56" t="s">
        <v>59</v>
      </c>
      <c r="C78" s="56" t="s">
        <v>116</v>
      </c>
      <c r="D78" s="57" t="s">
        <v>62</v>
      </c>
      <c r="E78" s="57" t="s">
        <v>513</v>
      </c>
      <c r="F78" s="57" t="s">
        <v>507</v>
      </c>
      <c r="G78" s="164">
        <v>0</v>
      </c>
      <c r="H78" s="164">
        <v>0</v>
      </c>
      <c r="I78" s="90" t="s">
        <v>105</v>
      </c>
      <c r="J78" s="91">
        <f>IF(SW_Pricing_Table[[#This Row],[Include Maint in Year 1?]]="No",SW_Pricing_Table[[#This Row],[SW Cost (Annual)]],SW_Pricing_Table[[#This Row],[SW Cost (Annual)]]+SW_Pricing_Table[[#This Row],[Maintenance (Annual)]])</f>
        <v>0</v>
      </c>
    </row>
    <row r="79" spans="1:20">
      <c r="A79" s="42" t="s">
        <v>118</v>
      </c>
      <c r="B79" s="42" t="s">
        <v>113</v>
      </c>
      <c r="C79" s="42" t="s">
        <v>116</v>
      </c>
      <c r="D79" s="53" t="s">
        <v>61</v>
      </c>
      <c r="E79" s="53" t="s">
        <v>512</v>
      </c>
      <c r="F79" s="53" t="s">
        <v>507</v>
      </c>
      <c r="G79" s="162">
        <v>3000</v>
      </c>
      <c r="H79" s="162">
        <v>315</v>
      </c>
      <c r="I79" s="88" t="s">
        <v>105</v>
      </c>
      <c r="J79" s="89">
        <f>IF(SW_Pricing_Table[[#This Row],[Include Maint in Year 1?]]="No",SW_Pricing_Table[[#This Row],[SW Cost (Annual)]],SW_Pricing_Table[[#This Row],[SW Cost (Annual)]]+SW_Pricing_Table[[#This Row],[Maintenance (Annual)]])</f>
        <v>3000</v>
      </c>
    </row>
    <row r="80" spans="1:20">
      <c r="A80" s="42" t="s">
        <v>118</v>
      </c>
      <c r="B80" s="42" t="s">
        <v>58</v>
      </c>
      <c r="C80" s="42" t="s">
        <v>116</v>
      </c>
      <c r="D80" s="53" t="s">
        <v>61</v>
      </c>
      <c r="E80" s="53" t="s">
        <v>512</v>
      </c>
      <c r="F80" s="53" t="s">
        <v>507</v>
      </c>
      <c r="G80" s="163">
        <v>1000</v>
      </c>
      <c r="H80" s="163">
        <v>105</v>
      </c>
      <c r="I80" s="88" t="s">
        <v>105</v>
      </c>
      <c r="J80" s="89">
        <f>IF(SW_Pricing_Table[[#This Row],[Include Maint in Year 1?]]="No",SW_Pricing_Table[[#This Row],[SW Cost (Annual)]],SW_Pricing_Table[[#This Row],[SW Cost (Annual)]]+SW_Pricing_Table[[#This Row],[Maintenance (Annual)]])</f>
        <v>1000</v>
      </c>
    </row>
    <row r="81" spans="1:10">
      <c r="A81" s="42" t="s">
        <v>118</v>
      </c>
      <c r="B81" s="42" t="s">
        <v>59</v>
      </c>
      <c r="C81" s="42" t="s">
        <v>116</v>
      </c>
      <c r="D81" s="53" t="s">
        <v>61</v>
      </c>
      <c r="E81" s="53" t="s">
        <v>512</v>
      </c>
      <c r="F81" s="53" t="s">
        <v>507</v>
      </c>
      <c r="G81" s="162">
        <v>0</v>
      </c>
      <c r="H81" s="162">
        <v>0</v>
      </c>
      <c r="I81" s="88" t="s">
        <v>105</v>
      </c>
      <c r="J81" s="89">
        <f>IF(SW_Pricing_Table[[#This Row],[Include Maint in Year 1?]]="No",SW_Pricing_Table[[#This Row],[SW Cost (Annual)]],SW_Pricing_Table[[#This Row],[SW Cost (Annual)]]+SW_Pricing_Table[[#This Row],[Maintenance (Annual)]])</f>
        <v>0</v>
      </c>
    </row>
    <row r="82" spans="1:10">
      <c r="A82" s="39" t="s">
        <v>118</v>
      </c>
      <c r="B82" s="39" t="s">
        <v>113</v>
      </c>
      <c r="C82" s="39" t="s">
        <v>116</v>
      </c>
      <c r="D82" s="61" t="s">
        <v>122</v>
      </c>
      <c r="E82" s="61" t="s">
        <v>70</v>
      </c>
      <c r="F82" s="61" t="s">
        <v>507</v>
      </c>
      <c r="G82" s="183">
        <v>12500</v>
      </c>
      <c r="H82" s="183">
        <f>SW_Pricing_Table[SW Cost (Annual)]*10.5%</f>
        <v>1312.5</v>
      </c>
      <c r="I82" s="72" t="s">
        <v>105</v>
      </c>
      <c r="J82" s="73">
        <f>IF(SW_Pricing_Table[[#This Row],[Include Maint in Year 1?]]="No",SW_Pricing_Table[[#This Row],[SW Cost (Annual)]],SW_Pricing_Table[[#This Row],[SW Cost (Annual)]]+SW_Pricing_Table[[#This Row],[Maintenance (Annual)]])</f>
        <v>12500</v>
      </c>
    </row>
    <row r="83" spans="1:10">
      <c r="A83" s="39" t="s">
        <v>118</v>
      </c>
      <c r="B83" s="39" t="s">
        <v>58</v>
      </c>
      <c r="C83" s="39" t="s">
        <v>116</v>
      </c>
      <c r="D83" s="61" t="s">
        <v>122</v>
      </c>
      <c r="E83" s="61" t="s">
        <v>70</v>
      </c>
      <c r="F83" s="61" t="s">
        <v>507</v>
      </c>
      <c r="G83" s="183">
        <v>3750</v>
      </c>
      <c r="H83" s="183">
        <f>SW_Pricing_Table[SW Cost (Annual)]*10.5%</f>
        <v>393.75</v>
      </c>
      <c r="I83" s="72" t="s">
        <v>105</v>
      </c>
      <c r="J83" s="73">
        <f>IF(SW_Pricing_Table[[#This Row],[Include Maint in Year 1?]]="No",SW_Pricing_Table[[#This Row],[SW Cost (Annual)]],SW_Pricing_Table[[#This Row],[SW Cost (Annual)]]+SW_Pricing_Table[[#This Row],[Maintenance (Annual)]])</f>
        <v>3750</v>
      </c>
    </row>
    <row r="84" spans="1:10">
      <c r="A84" s="39" t="s">
        <v>118</v>
      </c>
      <c r="B84" s="39" t="s">
        <v>59</v>
      </c>
      <c r="C84" s="39" t="s">
        <v>116</v>
      </c>
      <c r="D84" s="61" t="s">
        <v>122</v>
      </c>
      <c r="E84" s="61" t="s">
        <v>70</v>
      </c>
      <c r="F84" s="61" t="s">
        <v>507</v>
      </c>
      <c r="G84" s="183">
        <v>0</v>
      </c>
      <c r="H84" s="183">
        <v>0</v>
      </c>
      <c r="I84" s="72" t="s">
        <v>105</v>
      </c>
      <c r="J84" s="73">
        <f>IF(SW_Pricing_Table[[#This Row],[Include Maint in Year 1?]]="No",SW_Pricing_Table[[#This Row],[SW Cost (Annual)]],SW_Pricing_Table[[#This Row],[SW Cost (Annual)]]+SW_Pricing_Table[[#This Row],[Maintenance (Annual)]])</f>
        <v>0</v>
      </c>
    </row>
    <row r="85" spans="1:10">
      <c r="A85" s="40" t="s">
        <v>118</v>
      </c>
      <c r="B85" s="40" t="s">
        <v>113</v>
      </c>
      <c r="C85" s="40" t="s">
        <v>116</v>
      </c>
      <c r="D85" s="54" t="s">
        <v>120</v>
      </c>
      <c r="E85" s="54" t="s">
        <v>46</v>
      </c>
      <c r="F85" s="54" t="s">
        <v>507</v>
      </c>
      <c r="G85" s="172">
        <v>7500</v>
      </c>
      <c r="H85" s="172">
        <v>787.5</v>
      </c>
      <c r="I85" s="96" t="s">
        <v>105</v>
      </c>
      <c r="J85" s="97">
        <f>IF(SW_Pricing_Table[[#This Row],[Include Maint in Year 1?]]="No",SW_Pricing_Table[[#This Row],[SW Cost (Annual)]],SW_Pricing_Table[[#This Row],[SW Cost (Annual)]]+SW_Pricing_Table[[#This Row],[Maintenance (Annual)]])</f>
        <v>7500</v>
      </c>
    </row>
    <row r="86" spans="1:10">
      <c r="A86" s="40" t="s">
        <v>118</v>
      </c>
      <c r="B86" s="40" t="s">
        <v>58</v>
      </c>
      <c r="C86" s="40" t="s">
        <v>116</v>
      </c>
      <c r="D86" s="54" t="s">
        <v>120</v>
      </c>
      <c r="E86" s="54" t="s">
        <v>46</v>
      </c>
      <c r="F86" s="54" t="s">
        <v>507</v>
      </c>
      <c r="G86" s="173">
        <v>3750</v>
      </c>
      <c r="H86" s="173">
        <v>393.75</v>
      </c>
      <c r="I86" s="96" t="s">
        <v>105</v>
      </c>
      <c r="J86" s="97">
        <f>IF(SW_Pricing_Table[[#This Row],[Include Maint in Year 1?]]="No",SW_Pricing_Table[[#This Row],[SW Cost (Annual)]],SW_Pricing_Table[[#This Row],[SW Cost (Annual)]]+SW_Pricing_Table[[#This Row],[Maintenance (Annual)]])</f>
        <v>3750</v>
      </c>
    </row>
    <row r="87" spans="1:10">
      <c r="A87" s="40" t="s">
        <v>118</v>
      </c>
      <c r="B87" s="40" t="s">
        <v>59</v>
      </c>
      <c r="C87" s="40" t="s">
        <v>116</v>
      </c>
      <c r="D87" s="54" t="s">
        <v>120</v>
      </c>
      <c r="E87" s="54" t="s">
        <v>46</v>
      </c>
      <c r="F87" s="54" t="s">
        <v>507</v>
      </c>
      <c r="G87" s="172">
        <v>0</v>
      </c>
      <c r="H87" s="172">
        <v>0</v>
      </c>
      <c r="I87" s="96" t="s">
        <v>105</v>
      </c>
      <c r="J87" s="97">
        <f>IF(SW_Pricing_Table[[#This Row],[Include Maint in Year 1?]]="No",SW_Pricing_Table[[#This Row],[SW Cost (Annual)]],SW_Pricing_Table[[#This Row],[SW Cost (Annual)]]+SW_Pricing_Table[[#This Row],[Maintenance (Annual)]])</f>
        <v>0</v>
      </c>
    </row>
    <row r="88" spans="1:10">
      <c r="A88" s="45" t="s">
        <v>118</v>
      </c>
      <c r="B88" s="45" t="s">
        <v>113</v>
      </c>
      <c r="C88" s="45" t="s">
        <v>116</v>
      </c>
      <c r="D88" s="51" t="s">
        <v>57</v>
      </c>
      <c r="E88" s="51" t="s">
        <v>44</v>
      </c>
      <c r="F88" s="51" t="s">
        <v>507</v>
      </c>
      <c r="G88" s="158">
        <v>7500</v>
      </c>
      <c r="H88" s="158">
        <v>787.5</v>
      </c>
      <c r="I88" s="84" t="s">
        <v>105</v>
      </c>
      <c r="J88" s="85">
        <f>IF(SW_Pricing_Table[[#This Row],[Include Maint in Year 1?]]="No",SW_Pricing_Table[[#This Row],[SW Cost (Annual)]],SW_Pricing_Table[[#This Row],[SW Cost (Annual)]]+SW_Pricing_Table[[#This Row],[Maintenance (Annual)]])</f>
        <v>7500</v>
      </c>
    </row>
    <row r="89" spans="1:10">
      <c r="A89" s="45" t="s">
        <v>118</v>
      </c>
      <c r="B89" s="45" t="s">
        <v>58</v>
      </c>
      <c r="C89" s="45" t="s">
        <v>116</v>
      </c>
      <c r="D89" s="51" t="s">
        <v>57</v>
      </c>
      <c r="E89" s="51" t="s">
        <v>44</v>
      </c>
      <c r="F89" s="51" t="s">
        <v>507</v>
      </c>
      <c r="G89" s="159">
        <v>3750</v>
      </c>
      <c r="H89" s="159">
        <v>393.75</v>
      </c>
      <c r="I89" s="84" t="s">
        <v>105</v>
      </c>
      <c r="J89" s="85">
        <f>IF(SW_Pricing_Table[[#This Row],[Include Maint in Year 1?]]="No",SW_Pricing_Table[[#This Row],[SW Cost (Annual)]],SW_Pricing_Table[[#This Row],[SW Cost (Annual)]]+SW_Pricing_Table[[#This Row],[Maintenance (Annual)]])</f>
        <v>3750</v>
      </c>
    </row>
    <row r="90" spans="1:10">
      <c r="A90" s="45" t="s">
        <v>118</v>
      </c>
      <c r="B90" s="45" t="s">
        <v>59</v>
      </c>
      <c r="C90" s="45" t="s">
        <v>116</v>
      </c>
      <c r="D90" s="51" t="s">
        <v>57</v>
      </c>
      <c r="E90" s="51" t="s">
        <v>44</v>
      </c>
      <c r="F90" s="51" t="s">
        <v>507</v>
      </c>
      <c r="G90" s="158">
        <v>0</v>
      </c>
      <c r="H90" s="158">
        <v>0</v>
      </c>
      <c r="I90" s="84" t="s">
        <v>105</v>
      </c>
      <c r="J90" s="85">
        <f>IF(SW_Pricing_Table[[#This Row],[Include Maint in Year 1?]]="No",SW_Pricing_Table[[#This Row],[SW Cost (Annual)]],SW_Pricing_Table[[#This Row],[SW Cost (Annual)]]+SW_Pricing_Table[[#This Row],[Maintenance (Annual)]])</f>
        <v>0</v>
      </c>
    </row>
    <row r="91" spans="1:10">
      <c r="A91" s="38" t="s">
        <v>118</v>
      </c>
      <c r="B91" s="38" t="s">
        <v>113</v>
      </c>
      <c r="C91" s="38" t="s">
        <v>116</v>
      </c>
      <c r="D91" s="52" t="s">
        <v>60</v>
      </c>
      <c r="E91" s="52" t="s">
        <v>511</v>
      </c>
      <c r="F91" s="52" t="s">
        <v>507</v>
      </c>
      <c r="G91" s="160">
        <v>3750</v>
      </c>
      <c r="H91" s="160">
        <v>393.75</v>
      </c>
      <c r="I91" s="86" t="s">
        <v>105</v>
      </c>
      <c r="J91" s="87">
        <f>IF(SW_Pricing_Table[[#This Row],[Include Maint in Year 1?]]="No",SW_Pricing_Table[[#This Row],[SW Cost (Annual)]],SW_Pricing_Table[[#This Row],[SW Cost (Annual)]]+SW_Pricing_Table[[#This Row],[Maintenance (Annual)]])</f>
        <v>3750</v>
      </c>
    </row>
    <row r="92" spans="1:10">
      <c r="A92" s="38" t="s">
        <v>118</v>
      </c>
      <c r="B92" s="38" t="s">
        <v>58</v>
      </c>
      <c r="C92" s="38" t="s">
        <v>116</v>
      </c>
      <c r="D92" s="52" t="s">
        <v>60</v>
      </c>
      <c r="E92" s="52" t="s">
        <v>511</v>
      </c>
      <c r="F92" s="52" t="s">
        <v>507</v>
      </c>
      <c r="G92" s="161">
        <v>125</v>
      </c>
      <c r="H92" s="161">
        <v>13.125</v>
      </c>
      <c r="I92" s="86" t="s">
        <v>105</v>
      </c>
      <c r="J92" s="87">
        <f>IF(SW_Pricing_Table[[#This Row],[Include Maint in Year 1?]]="No",SW_Pricing_Table[[#This Row],[SW Cost (Annual)]],SW_Pricing_Table[[#This Row],[SW Cost (Annual)]]+SW_Pricing_Table[[#This Row],[Maintenance (Annual)]])</f>
        <v>125</v>
      </c>
    </row>
    <row r="93" spans="1:10">
      <c r="A93" s="38" t="s">
        <v>118</v>
      </c>
      <c r="B93" s="38" t="s">
        <v>59</v>
      </c>
      <c r="C93" s="38" t="s">
        <v>116</v>
      </c>
      <c r="D93" s="52" t="s">
        <v>60</v>
      </c>
      <c r="E93" s="52" t="s">
        <v>511</v>
      </c>
      <c r="F93" s="52" t="s">
        <v>507</v>
      </c>
      <c r="G93" s="160">
        <v>0</v>
      </c>
      <c r="H93" s="160">
        <v>0</v>
      </c>
      <c r="I93" s="86" t="s">
        <v>105</v>
      </c>
      <c r="J93" s="87">
        <f>IF(SW_Pricing_Table[[#This Row],[Include Maint in Year 1?]]="No",SW_Pricing_Table[[#This Row],[SW Cost (Annual)]],SW_Pricing_Table[[#This Row],[SW Cost (Annual)]]+SW_Pricing_Table[[#This Row],[Maintenance (Annual)]])</f>
        <v>0</v>
      </c>
    </row>
    <row r="94" spans="1:10">
      <c r="A94" s="49" t="s">
        <v>118</v>
      </c>
      <c r="B94" s="49" t="s">
        <v>113</v>
      </c>
      <c r="C94" s="49" t="s">
        <v>116</v>
      </c>
      <c r="D94" s="50" t="s">
        <v>119</v>
      </c>
      <c r="E94" s="217" t="s">
        <v>45</v>
      </c>
      <c r="F94" s="217" t="s">
        <v>507</v>
      </c>
      <c r="G94" s="171">
        <v>6125</v>
      </c>
      <c r="H94" s="171">
        <v>643.125</v>
      </c>
      <c r="I94" s="82" t="s">
        <v>105</v>
      </c>
      <c r="J94" s="83">
        <f>IF(SW_Pricing_Table[[#This Row],[Include Maint in Year 1?]]="No",SW_Pricing_Table[[#This Row],[SW Cost (Annual)]],SW_Pricing_Table[[#This Row],[SW Cost (Annual)]]+SW_Pricing_Table[[#This Row],[Maintenance (Annual)]])</f>
        <v>6125</v>
      </c>
    </row>
    <row r="95" spans="1:10">
      <c r="A95" s="49" t="s">
        <v>118</v>
      </c>
      <c r="B95" s="49" t="s">
        <v>58</v>
      </c>
      <c r="C95" s="49" t="s">
        <v>116</v>
      </c>
      <c r="D95" s="50" t="s">
        <v>119</v>
      </c>
      <c r="E95" s="217" t="s">
        <v>45</v>
      </c>
      <c r="F95" s="217" t="s">
        <v>507</v>
      </c>
      <c r="G95" s="157">
        <v>3000</v>
      </c>
      <c r="H95" s="157">
        <v>315</v>
      </c>
      <c r="I95" s="82" t="s">
        <v>105</v>
      </c>
      <c r="J95" s="83">
        <f>IF(SW_Pricing_Table[[#This Row],[Include Maint in Year 1?]]="No",SW_Pricing_Table[[#This Row],[SW Cost (Annual)]],SW_Pricing_Table[[#This Row],[SW Cost (Annual)]]+SW_Pricing_Table[[#This Row],[Maintenance (Annual)]])</f>
        <v>3000</v>
      </c>
    </row>
    <row r="96" spans="1:10">
      <c r="A96" s="49" t="s">
        <v>118</v>
      </c>
      <c r="B96" s="49" t="s">
        <v>59</v>
      </c>
      <c r="C96" s="49" t="s">
        <v>116</v>
      </c>
      <c r="D96" s="50" t="s">
        <v>119</v>
      </c>
      <c r="E96" s="217" t="s">
        <v>45</v>
      </c>
      <c r="F96" s="217" t="s">
        <v>507</v>
      </c>
      <c r="G96" s="171">
        <v>0</v>
      </c>
      <c r="H96" s="171">
        <v>0</v>
      </c>
      <c r="I96" s="82" t="s">
        <v>105</v>
      </c>
      <c r="J96" s="83">
        <f>IF(SW_Pricing_Table[[#This Row],[Include Maint in Year 1?]]="No",SW_Pricing_Table[[#This Row],[SW Cost (Annual)]],SW_Pricing_Table[[#This Row],[SW Cost (Annual)]]+SW_Pricing_Table[[#This Row],[Maintenance (Annual)]])</f>
        <v>0</v>
      </c>
    </row>
    <row r="97" spans="1:10">
      <c r="A97" s="48" t="s">
        <v>118</v>
      </c>
      <c r="B97" s="48" t="s">
        <v>113</v>
      </c>
      <c r="C97" s="48" t="s">
        <v>116</v>
      </c>
      <c r="D97" s="65" t="s">
        <v>68</v>
      </c>
      <c r="E97" s="65" t="s">
        <v>520</v>
      </c>
      <c r="F97" s="65" t="s">
        <v>507</v>
      </c>
      <c r="G97" s="181">
        <v>187.5</v>
      </c>
      <c r="H97" s="181">
        <v>19.6875</v>
      </c>
      <c r="I97" s="80" t="s">
        <v>105</v>
      </c>
      <c r="J97" s="81">
        <f>IF(SW_Pricing_Table[[#This Row],[Include Maint in Year 1?]]="No",SW_Pricing_Table[[#This Row],[SW Cost (Annual)]],SW_Pricing_Table[[#This Row],[SW Cost (Annual)]]+SW_Pricing_Table[[#This Row],[Maintenance (Annual)]])</f>
        <v>187.5</v>
      </c>
    </row>
    <row r="98" spans="1:10">
      <c r="A98" s="48" t="s">
        <v>118</v>
      </c>
      <c r="B98" s="48" t="s">
        <v>58</v>
      </c>
      <c r="C98" s="48" t="s">
        <v>116</v>
      </c>
      <c r="D98" s="65" t="s">
        <v>68</v>
      </c>
      <c r="E98" s="65" t="s">
        <v>520</v>
      </c>
      <c r="F98" s="65" t="s">
        <v>507</v>
      </c>
      <c r="G98" s="156">
        <v>87.5</v>
      </c>
      <c r="H98" s="156">
        <v>9.1875</v>
      </c>
      <c r="I98" s="80" t="s">
        <v>105</v>
      </c>
      <c r="J98" s="81">
        <f>IF(SW_Pricing_Table[[#This Row],[Include Maint in Year 1?]]="No",SW_Pricing_Table[[#This Row],[SW Cost (Annual)]],SW_Pricing_Table[[#This Row],[SW Cost (Annual)]]+SW_Pricing_Table[[#This Row],[Maintenance (Annual)]])</f>
        <v>87.5</v>
      </c>
    </row>
    <row r="99" spans="1:10">
      <c r="A99" s="48" t="s">
        <v>118</v>
      </c>
      <c r="B99" s="48" t="s">
        <v>59</v>
      </c>
      <c r="C99" s="48" t="s">
        <v>116</v>
      </c>
      <c r="D99" s="65" t="s">
        <v>68</v>
      </c>
      <c r="E99" s="65" t="s">
        <v>520</v>
      </c>
      <c r="F99" s="65" t="s">
        <v>507</v>
      </c>
      <c r="G99" s="181">
        <v>0</v>
      </c>
      <c r="H99" s="181">
        <v>0</v>
      </c>
      <c r="I99" s="80" t="s">
        <v>105</v>
      </c>
      <c r="J99" s="81">
        <f>IF(SW_Pricing_Table[[#This Row],[Include Maint in Year 1?]]="No",SW_Pricing_Table[[#This Row],[SW Cost (Annual)]],SW_Pricing_Table[[#This Row],[SW Cost (Annual)]]+SW_Pricing_Table[[#This Row],[Maintenance (Annual)]])</f>
        <v>0</v>
      </c>
    </row>
    <row r="100" spans="1:10">
      <c r="A100" s="37" t="s">
        <v>118</v>
      </c>
      <c r="B100" s="37" t="s">
        <v>113</v>
      </c>
      <c r="C100" s="37" t="s">
        <v>116</v>
      </c>
      <c r="D100" s="55" t="s">
        <v>121</v>
      </c>
      <c r="E100" s="55" t="s">
        <v>47</v>
      </c>
      <c r="F100" s="55" t="s">
        <v>507</v>
      </c>
      <c r="G100" s="174">
        <v>23750</v>
      </c>
      <c r="H100" s="174">
        <v>2493.75</v>
      </c>
      <c r="I100" s="98" t="s">
        <v>105</v>
      </c>
      <c r="J100" s="99">
        <f>IF(SW_Pricing_Table[[#This Row],[Include Maint in Year 1?]]="No",SW_Pricing_Table[[#This Row],[SW Cost (Annual)]],SW_Pricing_Table[[#This Row],[SW Cost (Annual)]]+SW_Pricing_Table[[#This Row],[Maintenance (Annual)]])</f>
        <v>23750</v>
      </c>
    </row>
    <row r="101" spans="1:10">
      <c r="A101" s="37" t="s">
        <v>118</v>
      </c>
      <c r="B101" s="37" t="s">
        <v>58</v>
      </c>
      <c r="C101" s="37" t="s">
        <v>116</v>
      </c>
      <c r="D101" s="55" t="s">
        <v>121</v>
      </c>
      <c r="E101" s="55" t="s">
        <v>47</v>
      </c>
      <c r="F101" s="55" t="s">
        <v>507</v>
      </c>
      <c r="G101" s="176">
        <v>8075</v>
      </c>
      <c r="H101" s="176">
        <v>847.875</v>
      </c>
      <c r="I101" s="98" t="s">
        <v>105</v>
      </c>
      <c r="J101" s="99">
        <f>IF(SW_Pricing_Table[[#This Row],[Include Maint in Year 1?]]="No",SW_Pricing_Table[[#This Row],[SW Cost (Annual)]],SW_Pricing_Table[[#This Row],[SW Cost (Annual)]]+SW_Pricing_Table[[#This Row],[Maintenance (Annual)]])</f>
        <v>8075</v>
      </c>
    </row>
    <row r="102" spans="1:10">
      <c r="A102" s="37" t="s">
        <v>118</v>
      </c>
      <c r="B102" s="37" t="s">
        <v>59</v>
      </c>
      <c r="C102" s="37" t="s">
        <v>116</v>
      </c>
      <c r="D102" s="55" t="s">
        <v>121</v>
      </c>
      <c r="E102" s="55" t="s">
        <v>47</v>
      </c>
      <c r="F102" s="55" t="s">
        <v>507</v>
      </c>
      <c r="G102" s="174">
        <v>0</v>
      </c>
      <c r="H102" s="174">
        <v>0</v>
      </c>
      <c r="I102" s="98" t="s">
        <v>105</v>
      </c>
      <c r="J102" s="99">
        <f>IF(SW_Pricing_Table[[#This Row],[Include Maint in Year 1?]]="No",SW_Pricing_Table[[#This Row],[SW Cost (Annual)]],SW_Pricing_Table[[#This Row],[SW Cost (Annual)]]+SW_Pricing_Table[[#This Row],[Maintenance (Annual)]])</f>
        <v>0</v>
      </c>
    </row>
    <row r="103" spans="1:10">
      <c r="A103" s="16" t="s">
        <v>118</v>
      </c>
      <c r="B103" s="16" t="s">
        <v>113</v>
      </c>
      <c r="C103" s="16" t="s">
        <v>116</v>
      </c>
      <c r="D103" s="59" t="s">
        <v>64</v>
      </c>
      <c r="E103" s="59" t="s">
        <v>515</v>
      </c>
      <c r="F103" s="59" t="s">
        <v>507</v>
      </c>
      <c r="G103" s="168">
        <v>1750</v>
      </c>
      <c r="H103" s="168">
        <v>183.75</v>
      </c>
      <c r="I103" s="78" t="s">
        <v>105</v>
      </c>
      <c r="J103" s="79">
        <f>IF(SW_Pricing_Table[[#This Row],[Include Maint in Year 1?]]="No",SW_Pricing_Table[[#This Row],[SW Cost (Annual)]],SW_Pricing_Table[[#This Row],[SW Cost (Annual)]]+SW_Pricing_Table[[#This Row],[Maintenance (Annual)]])</f>
        <v>1750</v>
      </c>
    </row>
    <row r="104" spans="1:10">
      <c r="A104" s="16" t="s">
        <v>118</v>
      </c>
      <c r="B104" s="16" t="s">
        <v>58</v>
      </c>
      <c r="C104" s="16" t="s">
        <v>116</v>
      </c>
      <c r="D104" s="59" t="s">
        <v>64</v>
      </c>
      <c r="E104" s="59" t="s">
        <v>515</v>
      </c>
      <c r="F104" s="59" t="s">
        <v>507</v>
      </c>
      <c r="G104" s="154">
        <v>600</v>
      </c>
      <c r="H104" s="154">
        <v>63</v>
      </c>
      <c r="I104" s="78" t="s">
        <v>105</v>
      </c>
      <c r="J104" s="79">
        <f>IF(SW_Pricing_Table[[#This Row],[Include Maint in Year 1?]]="No",SW_Pricing_Table[[#This Row],[SW Cost (Annual)]],SW_Pricing_Table[[#This Row],[SW Cost (Annual)]]+SW_Pricing_Table[[#This Row],[Maintenance (Annual)]])</f>
        <v>600</v>
      </c>
    </row>
    <row r="105" spans="1:10">
      <c r="A105" s="16" t="s">
        <v>118</v>
      </c>
      <c r="B105" s="16" t="s">
        <v>59</v>
      </c>
      <c r="C105" s="16" t="s">
        <v>116</v>
      </c>
      <c r="D105" s="59" t="s">
        <v>64</v>
      </c>
      <c r="E105" s="59" t="s">
        <v>515</v>
      </c>
      <c r="F105" s="59" t="s">
        <v>507</v>
      </c>
      <c r="G105" s="168">
        <v>0</v>
      </c>
      <c r="H105" s="168">
        <v>0</v>
      </c>
      <c r="I105" s="78" t="s">
        <v>105</v>
      </c>
      <c r="J105" s="79">
        <f>IF(SW_Pricing_Table[[#This Row],[Include Maint in Year 1?]]="No",SW_Pricing_Table[[#This Row],[SW Cost (Annual)]],SW_Pricing_Table[[#This Row],[SW Cost (Annual)]]+SW_Pricing_Table[[#This Row],[Maintenance (Annual)]])</f>
        <v>0</v>
      </c>
    </row>
    <row r="106" spans="1:10">
      <c r="A106" s="47" t="s">
        <v>118</v>
      </c>
      <c r="B106" s="47" t="s">
        <v>113</v>
      </c>
      <c r="C106" s="47" t="s">
        <v>116</v>
      </c>
      <c r="D106" s="60" t="s">
        <v>65</v>
      </c>
      <c r="E106" s="60" t="s">
        <v>516</v>
      </c>
      <c r="F106" s="60" t="s">
        <v>507</v>
      </c>
      <c r="G106" s="169">
        <v>500</v>
      </c>
      <c r="H106" s="169">
        <v>52.5</v>
      </c>
      <c r="I106" s="94" t="s">
        <v>105</v>
      </c>
      <c r="J106" s="95">
        <f>IF(SW_Pricing_Table[[#This Row],[Include Maint in Year 1?]]="No",SW_Pricing_Table[[#This Row],[SW Cost (Annual)]],SW_Pricing_Table[[#This Row],[SW Cost (Annual)]]+SW_Pricing_Table[[#This Row],[Maintenance (Annual)]])</f>
        <v>500</v>
      </c>
    </row>
    <row r="107" spans="1:10">
      <c r="A107" s="47" t="s">
        <v>118</v>
      </c>
      <c r="B107" s="47" t="s">
        <v>58</v>
      </c>
      <c r="C107" s="47" t="s">
        <v>116</v>
      </c>
      <c r="D107" s="60" t="s">
        <v>65</v>
      </c>
      <c r="E107" s="60" t="s">
        <v>516</v>
      </c>
      <c r="F107" s="60" t="s">
        <v>507</v>
      </c>
      <c r="G107" s="170">
        <v>175</v>
      </c>
      <c r="H107" s="170">
        <v>18.375</v>
      </c>
      <c r="I107" s="94" t="s">
        <v>105</v>
      </c>
      <c r="J107" s="95">
        <f>IF(SW_Pricing_Table[[#This Row],[Include Maint in Year 1?]]="No",SW_Pricing_Table[[#This Row],[SW Cost (Annual)]],SW_Pricing_Table[[#This Row],[SW Cost (Annual)]]+SW_Pricing_Table[[#This Row],[Maintenance (Annual)]])</f>
        <v>175</v>
      </c>
    </row>
    <row r="108" spans="1:10">
      <c r="A108" s="47" t="s">
        <v>118</v>
      </c>
      <c r="B108" s="47" t="s">
        <v>59</v>
      </c>
      <c r="C108" s="47" t="s">
        <v>116</v>
      </c>
      <c r="D108" s="60" t="s">
        <v>65</v>
      </c>
      <c r="E108" s="60" t="s">
        <v>516</v>
      </c>
      <c r="F108" s="60" t="s">
        <v>507</v>
      </c>
      <c r="G108" s="169">
        <v>0</v>
      </c>
      <c r="H108" s="169">
        <v>0</v>
      </c>
      <c r="I108" s="94" t="s">
        <v>105</v>
      </c>
      <c r="J108" s="95">
        <f>IF(SW_Pricing_Table[[#This Row],[Include Maint in Year 1?]]="No",SW_Pricing_Table[[#This Row],[SW Cost (Annual)]],SW_Pricing_Table[[#This Row],[SW Cost (Annual)]]+SW_Pricing_Table[[#This Row],[Maintenance (Annual)]])</f>
        <v>0</v>
      </c>
    </row>
    <row r="109" spans="1:10">
      <c r="A109" s="41" t="s">
        <v>118</v>
      </c>
      <c r="B109" s="41" t="s">
        <v>113</v>
      </c>
      <c r="C109" s="41" t="s">
        <v>116</v>
      </c>
      <c r="D109" s="62" t="s">
        <v>66</v>
      </c>
      <c r="E109" s="122" t="s">
        <v>517</v>
      </c>
      <c r="F109" s="122" t="s">
        <v>507</v>
      </c>
      <c r="G109" s="177">
        <v>3500</v>
      </c>
      <c r="H109" s="177">
        <v>297.5</v>
      </c>
      <c r="I109" s="74" t="s">
        <v>105</v>
      </c>
      <c r="J109" s="75">
        <f>IF(SW_Pricing_Table[[#This Row],[Include Maint in Year 1?]]="No",SW_Pricing_Table[[#This Row],[SW Cost (Annual)]],SW_Pricing_Table[[#This Row],[SW Cost (Annual)]]+SW_Pricing_Table[[#This Row],[Maintenance (Annual)]])</f>
        <v>3500</v>
      </c>
    </row>
    <row r="110" spans="1:10">
      <c r="A110" s="41" t="s">
        <v>118</v>
      </c>
      <c r="B110" s="41" t="s">
        <v>58</v>
      </c>
      <c r="C110" s="41" t="s">
        <v>116</v>
      </c>
      <c r="D110" s="62" t="s">
        <v>66</v>
      </c>
      <c r="E110" s="122" t="s">
        <v>517</v>
      </c>
      <c r="F110" s="122" t="s">
        <v>507</v>
      </c>
      <c r="G110" s="151">
        <v>1800</v>
      </c>
      <c r="H110" s="151">
        <v>153</v>
      </c>
      <c r="I110" s="74" t="s">
        <v>105</v>
      </c>
      <c r="J110" s="75">
        <f>IF(SW_Pricing_Table[[#This Row],[Include Maint in Year 1?]]="No",SW_Pricing_Table[[#This Row],[SW Cost (Annual)]],SW_Pricing_Table[[#This Row],[SW Cost (Annual)]]+SW_Pricing_Table[[#This Row],[Maintenance (Annual)]])</f>
        <v>1800</v>
      </c>
    </row>
    <row r="111" spans="1:10">
      <c r="A111" s="41" t="s">
        <v>118</v>
      </c>
      <c r="B111" s="41" t="s">
        <v>59</v>
      </c>
      <c r="C111" s="41" t="s">
        <v>116</v>
      </c>
      <c r="D111" s="62" t="s">
        <v>66</v>
      </c>
      <c r="E111" s="122" t="s">
        <v>517</v>
      </c>
      <c r="F111" s="122" t="s">
        <v>507</v>
      </c>
      <c r="G111" s="177">
        <v>0</v>
      </c>
      <c r="H111" s="177">
        <v>0</v>
      </c>
      <c r="I111" s="74" t="s">
        <v>105</v>
      </c>
      <c r="J111" s="75">
        <f>IF(SW_Pricing_Table[[#This Row],[Include Maint in Year 1?]]="No",SW_Pricing_Table[[#This Row],[SW Cost (Annual)]],SW_Pricing_Table[[#This Row],[SW Cost (Annual)]]+SW_Pricing_Table[[#This Row],[Maintenance (Annual)]])</f>
        <v>0</v>
      </c>
    </row>
    <row r="112" spans="1:10">
      <c r="A112" s="46" t="s">
        <v>118</v>
      </c>
      <c r="B112" s="46" t="s">
        <v>113</v>
      </c>
      <c r="C112" s="46" t="s">
        <v>116</v>
      </c>
      <c r="D112" s="64" t="s">
        <v>123</v>
      </c>
      <c r="E112" s="64" t="s">
        <v>519</v>
      </c>
      <c r="F112" s="64" t="s">
        <v>507</v>
      </c>
      <c r="G112" s="179">
        <v>500</v>
      </c>
      <c r="H112" s="179">
        <v>52.5</v>
      </c>
      <c r="I112" s="100" t="s">
        <v>105</v>
      </c>
      <c r="J112" s="101">
        <f>IF(SW_Pricing_Table[[#This Row],[Include Maint in Year 1?]]="No",SW_Pricing_Table[[#This Row],[SW Cost (Annual)]],SW_Pricing_Table[[#This Row],[SW Cost (Annual)]]+SW_Pricing_Table[[#This Row],[Maintenance (Annual)]])</f>
        <v>500</v>
      </c>
    </row>
    <row r="113" spans="1:10">
      <c r="A113" s="46" t="s">
        <v>118</v>
      </c>
      <c r="B113" s="46" t="s">
        <v>58</v>
      </c>
      <c r="C113" s="46" t="s">
        <v>116</v>
      </c>
      <c r="D113" s="64" t="s">
        <v>123</v>
      </c>
      <c r="E113" s="64" t="s">
        <v>519</v>
      </c>
      <c r="F113" s="64" t="s">
        <v>507</v>
      </c>
      <c r="G113" s="180">
        <v>500</v>
      </c>
      <c r="H113" s="180">
        <v>52.5</v>
      </c>
      <c r="I113" s="100" t="s">
        <v>105</v>
      </c>
      <c r="J113" s="101">
        <f>IF(SW_Pricing_Table[[#This Row],[Include Maint in Year 1?]]="No",SW_Pricing_Table[[#This Row],[SW Cost (Annual)]],SW_Pricing_Table[[#This Row],[SW Cost (Annual)]]+SW_Pricing_Table[[#This Row],[Maintenance (Annual)]])</f>
        <v>500</v>
      </c>
    </row>
    <row r="114" spans="1:10">
      <c r="A114" s="46" t="s">
        <v>118</v>
      </c>
      <c r="B114" s="46" t="s">
        <v>59</v>
      </c>
      <c r="C114" s="46" t="s">
        <v>116</v>
      </c>
      <c r="D114" s="64" t="s">
        <v>123</v>
      </c>
      <c r="E114" s="64" t="s">
        <v>519</v>
      </c>
      <c r="F114" s="64" t="s">
        <v>507</v>
      </c>
      <c r="G114" s="179">
        <v>0</v>
      </c>
      <c r="H114" s="179">
        <v>0</v>
      </c>
      <c r="I114" s="100" t="s">
        <v>105</v>
      </c>
      <c r="J114" s="101">
        <f>IF(SW_Pricing_Table[[#This Row],[Include Maint in Year 1?]]="No",SW_Pricing_Table[[#This Row],[SW Cost (Annual)]],SW_Pricing_Table[[#This Row],[SW Cost (Annual)]]+SW_Pricing_Table[[#This Row],[Maintenance (Annual)]])</f>
        <v>0</v>
      </c>
    </row>
    <row r="115" spans="1:10">
      <c r="A115" s="43" t="s">
        <v>118</v>
      </c>
      <c r="B115" s="43" t="s">
        <v>113</v>
      </c>
      <c r="C115" s="43" t="s">
        <v>116</v>
      </c>
      <c r="D115" s="63" t="s">
        <v>67</v>
      </c>
      <c r="E115" s="63" t="s">
        <v>518</v>
      </c>
      <c r="F115" s="63" t="s">
        <v>507</v>
      </c>
      <c r="G115" s="178">
        <v>700</v>
      </c>
      <c r="H115" s="178">
        <v>170</v>
      </c>
      <c r="I115" s="76" t="s">
        <v>105</v>
      </c>
      <c r="J115" s="77">
        <f>IF(SW_Pricing_Table[[#This Row],[Include Maint in Year 1?]]="No",SW_Pricing_Table[[#This Row],[SW Cost (Annual)]],SW_Pricing_Table[[#This Row],[SW Cost (Annual)]]+SW_Pricing_Table[[#This Row],[Maintenance (Annual)]])</f>
        <v>700</v>
      </c>
    </row>
    <row r="116" spans="1:10">
      <c r="A116" s="43" t="s">
        <v>118</v>
      </c>
      <c r="B116" s="43" t="s">
        <v>58</v>
      </c>
      <c r="C116" s="43" t="s">
        <v>116</v>
      </c>
      <c r="D116" s="63" t="s">
        <v>67</v>
      </c>
      <c r="E116" s="63" t="s">
        <v>518</v>
      </c>
      <c r="F116" s="63" t="s">
        <v>507</v>
      </c>
      <c r="G116" s="153">
        <v>700</v>
      </c>
      <c r="H116" s="153">
        <v>170</v>
      </c>
      <c r="I116" s="76" t="s">
        <v>105</v>
      </c>
      <c r="J116" s="77">
        <f>IF(SW_Pricing_Table[[#This Row],[Include Maint in Year 1?]]="No",SW_Pricing_Table[[#This Row],[SW Cost (Annual)]],SW_Pricing_Table[[#This Row],[SW Cost (Annual)]]+SW_Pricing_Table[[#This Row],[Maintenance (Annual)]])</f>
        <v>700</v>
      </c>
    </row>
    <row r="117" spans="1:10">
      <c r="A117" s="43" t="s">
        <v>118</v>
      </c>
      <c r="B117" s="43" t="s">
        <v>59</v>
      </c>
      <c r="C117" s="43" t="s">
        <v>116</v>
      </c>
      <c r="D117" s="63" t="s">
        <v>67</v>
      </c>
      <c r="E117" s="63" t="s">
        <v>518</v>
      </c>
      <c r="F117" s="63" t="s">
        <v>507</v>
      </c>
      <c r="G117" s="178">
        <v>0</v>
      </c>
      <c r="H117" s="178">
        <v>0</v>
      </c>
      <c r="I117" s="76" t="s">
        <v>105</v>
      </c>
      <c r="J117" s="77">
        <f>IF(SW_Pricing_Table[[#This Row],[Include Maint in Year 1?]]="No",SW_Pricing_Table[[#This Row],[SW Cost (Annual)]],SW_Pricing_Table[[#This Row],[SW Cost (Annual)]]+SW_Pricing_Table[[#This Row],[Maintenance (Annual)]])</f>
        <v>0</v>
      </c>
    </row>
    <row r="118" spans="1:10">
      <c r="A118" s="44" t="s">
        <v>118</v>
      </c>
      <c r="B118" s="44" t="s">
        <v>113</v>
      </c>
      <c r="C118" s="44" t="s">
        <v>116</v>
      </c>
      <c r="D118" s="58" t="s">
        <v>63</v>
      </c>
      <c r="E118" s="58" t="s">
        <v>514</v>
      </c>
      <c r="F118" s="58" t="s">
        <v>507</v>
      </c>
      <c r="G118" s="166">
        <v>1500</v>
      </c>
      <c r="H118" s="166">
        <v>157.5</v>
      </c>
      <c r="I118" s="92" t="s">
        <v>105</v>
      </c>
      <c r="J118" s="93">
        <f>IF(SW_Pricing_Table[[#This Row],[Include Maint in Year 1?]]="No",SW_Pricing_Table[[#This Row],[SW Cost (Annual)]],SW_Pricing_Table[[#This Row],[SW Cost (Annual)]]+SW_Pricing_Table[[#This Row],[Maintenance (Annual)]])</f>
        <v>1500</v>
      </c>
    </row>
    <row r="119" spans="1:10">
      <c r="A119" s="44" t="s">
        <v>118</v>
      </c>
      <c r="B119" s="44" t="s">
        <v>58</v>
      </c>
      <c r="C119" s="44" t="s">
        <v>116</v>
      </c>
      <c r="D119" s="58" t="s">
        <v>63</v>
      </c>
      <c r="E119" s="58" t="s">
        <v>514</v>
      </c>
      <c r="F119" s="58" t="s">
        <v>507</v>
      </c>
      <c r="G119" s="167">
        <v>500</v>
      </c>
      <c r="H119" s="167">
        <v>52.5</v>
      </c>
      <c r="I119" s="92" t="s">
        <v>105</v>
      </c>
      <c r="J119" s="93">
        <f>IF(SW_Pricing_Table[[#This Row],[Include Maint in Year 1?]]="No",SW_Pricing_Table[[#This Row],[SW Cost (Annual)]],SW_Pricing_Table[[#This Row],[SW Cost (Annual)]]+SW_Pricing_Table[[#This Row],[Maintenance (Annual)]])</f>
        <v>500</v>
      </c>
    </row>
    <row r="120" spans="1:10">
      <c r="A120" s="44" t="s">
        <v>118</v>
      </c>
      <c r="B120" s="44" t="s">
        <v>59</v>
      </c>
      <c r="C120" s="44" t="s">
        <v>116</v>
      </c>
      <c r="D120" s="58" t="s">
        <v>63</v>
      </c>
      <c r="E120" s="58" t="s">
        <v>514</v>
      </c>
      <c r="F120" s="58" t="s">
        <v>507</v>
      </c>
      <c r="G120" s="166">
        <v>0</v>
      </c>
      <c r="H120" s="166">
        <v>0</v>
      </c>
      <c r="I120" s="92" t="s">
        <v>105</v>
      </c>
      <c r="J120" s="93">
        <f>IF(SW_Pricing_Table[[#This Row],[Include Maint in Year 1?]]="No",SW_Pricing_Table[[#This Row],[SW Cost (Annual)]],SW_Pricing_Table[[#This Row],[SW Cost (Annual)]]+SW_Pricing_Table[[#This Row],[Maintenance (Annual)]])</f>
        <v>0</v>
      </c>
    </row>
    <row r="121" spans="1:10">
      <c r="A121" s="49" t="s">
        <v>126</v>
      </c>
      <c r="B121" s="49" t="s">
        <v>113</v>
      </c>
      <c r="C121" s="49" t="s">
        <v>116</v>
      </c>
      <c r="D121" s="50" t="s">
        <v>69</v>
      </c>
      <c r="E121" s="217" t="s">
        <v>69</v>
      </c>
      <c r="F121" s="217" t="s">
        <v>12</v>
      </c>
      <c r="G121" s="171">
        <v>1408.5</v>
      </c>
      <c r="H121" s="171">
        <v>253.53</v>
      </c>
      <c r="I121" s="82" t="s">
        <v>105</v>
      </c>
      <c r="J121" s="83">
        <f>IF(SW_Pricing_Table[[#This Row],[Include Maint in Year 1?]]="No",SW_Pricing_Table[[#This Row],[SW Cost (Annual)]],SW_Pricing_Table[[#This Row],[SW Cost (Annual)]]+SW_Pricing_Table[[#This Row],[Maintenance (Annual)]])</f>
        <v>1408.5</v>
      </c>
    </row>
    <row r="122" spans="1:10">
      <c r="A122" s="49" t="s">
        <v>126</v>
      </c>
      <c r="B122" s="49" t="s">
        <v>58</v>
      </c>
      <c r="C122" s="49" t="s">
        <v>116</v>
      </c>
      <c r="D122" s="50" t="s">
        <v>69</v>
      </c>
      <c r="E122" s="217" t="s">
        <v>69</v>
      </c>
      <c r="F122" s="217" t="s">
        <v>12</v>
      </c>
      <c r="G122" s="171">
        <v>1408.5</v>
      </c>
      <c r="H122" s="171">
        <v>253.53</v>
      </c>
      <c r="I122" s="82" t="s">
        <v>105</v>
      </c>
      <c r="J122" s="83">
        <f>IF(SW_Pricing_Table[[#This Row],[Include Maint in Year 1?]]="No",SW_Pricing_Table[[#This Row],[SW Cost (Annual)]],SW_Pricing_Table[[#This Row],[SW Cost (Annual)]]+SW_Pricing_Table[[#This Row],[Maintenance (Annual)]])</f>
        <v>1408.5</v>
      </c>
    </row>
    <row r="123" spans="1:10">
      <c r="D123" s="35"/>
      <c r="E123" s="35"/>
    </row>
    <row r="124" spans="1:10">
      <c r="D124" s="35"/>
      <c r="E124" s="35"/>
    </row>
    <row r="125" spans="1:10">
      <c r="D125" s="35"/>
      <c r="E125" s="35"/>
    </row>
    <row r="126" spans="1:10">
      <c r="D126" s="35"/>
      <c r="E126" s="35"/>
    </row>
    <row r="127" spans="1:10">
      <c r="D127" s="35"/>
      <c r="E127" s="35"/>
    </row>
    <row r="128" spans="1:10">
      <c r="D128" s="35"/>
      <c r="E128" s="35"/>
    </row>
    <row r="129" spans="4:5">
      <c r="D129" s="35"/>
      <c r="E129" s="35"/>
    </row>
    <row r="130" spans="4:5">
      <c r="D130" s="35"/>
      <c r="E130" s="35"/>
    </row>
    <row r="131" spans="4:5">
      <c r="D131" s="35"/>
      <c r="E131" s="35"/>
    </row>
  </sheetData>
  <mergeCells count="1">
    <mergeCell ref="A1:J1"/>
  </mergeCells>
  <conditionalFormatting sqref="O3:X54">
    <cfRule type="cellIs" dxfId="464" priority="109" operator="equal">
      <formula>24</formula>
    </cfRule>
  </conditionalFormatting>
  <conditionalFormatting sqref="D17 B16:D16 E16:J17 B70:C70 I70:J70 B2:J12 B76:J122 B58 B68:J69 B55:B56 D55:E55 C55:C58 E56:E63 B35:H38 E39:H39 B39:D40 I35:J46 B41:E46 B51:E54 J62:J63 D65:F67 E40 I65:J67 J51:J58 D51:D63 D64:J64 F40:H46 D47:J50 F51:I63 B33:J34 B71:J72 D73:J75 B19:J31">
    <cfRule type="cellIs" dxfId="463" priority="106" operator="equal">
      <formula>36</formula>
    </cfRule>
    <cfRule type="cellIs" dxfId="462" priority="107" operator="equal">
      <formula>12</formula>
    </cfRule>
    <cfRule type="cellIs" dxfId="461" priority="108" operator="equal">
      <formula>24</formula>
    </cfRule>
  </conditionalFormatting>
  <conditionalFormatting sqref="AA3:AJ54">
    <cfRule type="cellIs" dxfId="460" priority="105" operator="equal">
      <formula>12</formula>
    </cfRule>
  </conditionalFormatting>
  <conditionalFormatting sqref="B62:C63">
    <cfRule type="cellIs" dxfId="459" priority="99" operator="equal">
      <formula>36</formula>
    </cfRule>
    <cfRule type="cellIs" dxfId="458" priority="100" operator="equal">
      <formula>12</formula>
    </cfRule>
    <cfRule type="cellIs" dxfId="457" priority="101" operator="equal">
      <formula>24</formula>
    </cfRule>
  </conditionalFormatting>
  <conditionalFormatting sqref="B17:C17">
    <cfRule type="cellIs" dxfId="456" priority="96" operator="equal">
      <formula>36</formula>
    </cfRule>
    <cfRule type="cellIs" dxfId="455" priority="97" operator="equal">
      <formula>12</formula>
    </cfRule>
    <cfRule type="cellIs" dxfId="454" priority="98" operator="equal">
      <formula>24</formula>
    </cfRule>
  </conditionalFormatting>
  <conditionalFormatting sqref="D61 J61">
    <cfRule type="cellIs" dxfId="453" priority="93" operator="equal">
      <formula>36</formula>
    </cfRule>
    <cfRule type="cellIs" dxfId="452" priority="94" operator="equal">
      <formula>12</formula>
    </cfRule>
    <cfRule type="cellIs" dxfId="451" priority="95" operator="equal">
      <formula>24</formula>
    </cfRule>
  </conditionalFormatting>
  <conditionalFormatting sqref="B61:C61">
    <cfRule type="cellIs" dxfId="450" priority="90" operator="equal">
      <formula>36</formula>
    </cfRule>
    <cfRule type="cellIs" dxfId="449" priority="91" operator="equal">
      <formula>12</formula>
    </cfRule>
    <cfRule type="cellIs" dxfId="448" priority="92" operator="equal">
      <formula>24</formula>
    </cfRule>
  </conditionalFormatting>
  <conditionalFormatting sqref="D60 J60">
    <cfRule type="cellIs" dxfId="447" priority="87" operator="equal">
      <formula>36</formula>
    </cfRule>
    <cfRule type="cellIs" dxfId="446" priority="88" operator="equal">
      <formula>12</formula>
    </cfRule>
    <cfRule type="cellIs" dxfId="445" priority="89" operator="equal">
      <formula>24</formula>
    </cfRule>
  </conditionalFormatting>
  <conditionalFormatting sqref="B60:C60">
    <cfRule type="cellIs" dxfId="444" priority="84" operator="equal">
      <formula>36</formula>
    </cfRule>
    <cfRule type="cellIs" dxfId="443" priority="85" operator="equal">
      <formula>12</formula>
    </cfRule>
    <cfRule type="cellIs" dxfId="442" priority="86" operator="equal">
      <formula>24</formula>
    </cfRule>
  </conditionalFormatting>
  <conditionalFormatting sqref="D59 J59">
    <cfRule type="cellIs" dxfId="441" priority="81" operator="equal">
      <formula>36</formula>
    </cfRule>
    <cfRule type="cellIs" dxfId="440" priority="82" operator="equal">
      <formula>12</formula>
    </cfRule>
    <cfRule type="cellIs" dxfId="439" priority="83" operator="equal">
      <formula>24</formula>
    </cfRule>
  </conditionalFormatting>
  <conditionalFormatting sqref="B59:C59 C63">
    <cfRule type="cellIs" dxfId="438" priority="78" operator="equal">
      <formula>36</formula>
    </cfRule>
    <cfRule type="cellIs" dxfId="437" priority="79" operator="equal">
      <formula>12</formula>
    </cfRule>
    <cfRule type="cellIs" dxfId="436" priority="80" operator="equal">
      <formula>24</formula>
    </cfRule>
  </conditionalFormatting>
  <conditionalFormatting sqref="B73:C75">
    <cfRule type="cellIs" dxfId="435" priority="75" operator="equal">
      <formula>36</formula>
    </cfRule>
    <cfRule type="cellIs" dxfId="434" priority="76" operator="equal">
      <formula>12</formula>
    </cfRule>
    <cfRule type="cellIs" dxfId="433" priority="77" operator="equal">
      <formula>24</formula>
    </cfRule>
  </conditionalFormatting>
  <conditionalFormatting sqref="B13:J15">
    <cfRule type="cellIs" dxfId="432" priority="70" operator="equal">
      <formula>36</formula>
    </cfRule>
    <cfRule type="cellIs" dxfId="431" priority="71" operator="equal">
      <formula>12</formula>
    </cfRule>
    <cfRule type="cellIs" dxfId="430" priority="72" operator="equal">
      <formula>24</formula>
    </cfRule>
  </conditionalFormatting>
  <conditionalFormatting sqref="D18:J18">
    <cfRule type="cellIs" dxfId="429" priority="61" operator="equal">
      <formula>36</formula>
    </cfRule>
    <cfRule type="cellIs" dxfId="428" priority="62" operator="equal">
      <formula>12</formula>
    </cfRule>
    <cfRule type="cellIs" dxfId="427" priority="63" operator="equal">
      <formula>24</formula>
    </cfRule>
  </conditionalFormatting>
  <conditionalFormatting sqref="B18:C18">
    <cfRule type="cellIs" dxfId="426" priority="58" operator="equal">
      <formula>36</formula>
    </cfRule>
    <cfRule type="cellIs" dxfId="425" priority="59" operator="equal">
      <formula>12</formula>
    </cfRule>
    <cfRule type="cellIs" dxfId="424" priority="60" operator="equal">
      <formula>24</formula>
    </cfRule>
  </conditionalFormatting>
  <conditionalFormatting sqref="D70:H70">
    <cfRule type="cellIs" dxfId="423" priority="52" operator="equal">
      <formula>36</formula>
    </cfRule>
    <cfRule type="cellIs" dxfId="422" priority="53" operator="equal">
      <formula>12</formula>
    </cfRule>
    <cfRule type="cellIs" dxfId="421" priority="54" operator="equal">
      <formula>24</formula>
    </cfRule>
  </conditionalFormatting>
  <conditionalFormatting sqref="B57">
    <cfRule type="cellIs" dxfId="420" priority="49" operator="equal">
      <formula>36</formula>
    </cfRule>
    <cfRule type="cellIs" dxfId="419" priority="50" operator="equal">
      <formula>12</formula>
    </cfRule>
    <cfRule type="cellIs" dxfId="418" priority="51" operator="equal">
      <formula>24</formula>
    </cfRule>
  </conditionalFormatting>
  <conditionalFormatting sqref="C50 C67">
    <cfRule type="cellIs" dxfId="417" priority="43" operator="equal">
      <formula>36</formula>
    </cfRule>
    <cfRule type="cellIs" dxfId="416" priority="44" operator="equal">
      <formula>12</formula>
    </cfRule>
    <cfRule type="cellIs" dxfId="415" priority="45" operator="equal">
      <formula>24</formula>
    </cfRule>
  </conditionalFormatting>
  <conditionalFormatting sqref="C49 C66">
    <cfRule type="cellIs" dxfId="414" priority="40" operator="equal">
      <formula>36</formula>
    </cfRule>
    <cfRule type="cellIs" dxfId="413" priority="41" operator="equal">
      <formula>12</formula>
    </cfRule>
    <cfRule type="cellIs" dxfId="412" priority="42" operator="equal">
      <formula>24</formula>
    </cfRule>
  </conditionalFormatting>
  <conditionalFormatting sqref="C48 C65">
    <cfRule type="cellIs" dxfId="411" priority="37" operator="equal">
      <formula>36</formula>
    </cfRule>
    <cfRule type="cellIs" dxfId="410" priority="38" operator="equal">
      <formula>12</formula>
    </cfRule>
    <cfRule type="cellIs" dxfId="409" priority="39" operator="equal">
      <formula>24</formula>
    </cfRule>
  </conditionalFormatting>
  <conditionalFormatting sqref="C47 C64">
    <cfRule type="cellIs" dxfId="408" priority="34" operator="equal">
      <formula>36</formula>
    </cfRule>
    <cfRule type="cellIs" dxfId="407" priority="35" operator="equal">
      <formula>12</formula>
    </cfRule>
    <cfRule type="cellIs" dxfId="406" priority="36" operator="equal">
      <formula>24</formula>
    </cfRule>
  </conditionalFormatting>
  <conditionalFormatting sqref="B48 B50 B65 B67">
    <cfRule type="cellIs" dxfId="405" priority="31" operator="equal">
      <formula>36</formula>
    </cfRule>
    <cfRule type="cellIs" dxfId="404" priority="32" operator="equal">
      <formula>12</formula>
    </cfRule>
    <cfRule type="cellIs" dxfId="403" priority="33" operator="equal">
      <formula>24</formula>
    </cfRule>
  </conditionalFormatting>
  <conditionalFormatting sqref="B47 B49 B64 B66">
    <cfRule type="cellIs" dxfId="402" priority="28" operator="equal">
      <formula>36</formula>
    </cfRule>
    <cfRule type="cellIs" dxfId="401" priority="29" operator="equal">
      <formula>12</formula>
    </cfRule>
    <cfRule type="cellIs" dxfId="400" priority="30" operator="equal">
      <formula>24</formula>
    </cfRule>
  </conditionalFormatting>
  <conditionalFormatting sqref="G48:H49">
    <cfRule type="cellIs" dxfId="399" priority="19" operator="equal">
      <formula>36</formula>
    </cfRule>
    <cfRule type="cellIs" dxfId="398" priority="20" operator="equal">
      <formula>12</formula>
    </cfRule>
    <cfRule type="cellIs" dxfId="397" priority="21" operator="equal">
      <formula>24</formula>
    </cfRule>
  </conditionalFormatting>
  <conditionalFormatting sqref="G65:H67">
    <cfRule type="cellIs" dxfId="396" priority="10" operator="equal">
      <formula>36</formula>
    </cfRule>
    <cfRule type="cellIs" dxfId="395" priority="11" operator="equal">
      <formula>12</formula>
    </cfRule>
    <cfRule type="cellIs" dxfId="394" priority="12" operator="equal">
      <formula>24</formula>
    </cfRule>
  </conditionalFormatting>
  <conditionalFormatting sqref="B32 D32:J32">
    <cfRule type="cellIs" dxfId="393" priority="4" operator="equal">
      <formula>36</formula>
    </cfRule>
    <cfRule type="cellIs" dxfId="392" priority="5" operator="equal">
      <formula>12</formula>
    </cfRule>
    <cfRule type="cellIs" dxfId="391" priority="6" operator="equal">
      <formula>24</formula>
    </cfRule>
  </conditionalFormatting>
  <conditionalFormatting sqref="C32">
    <cfRule type="cellIs" dxfId="390" priority="1" operator="equal">
      <formula>36</formula>
    </cfRule>
    <cfRule type="cellIs" dxfId="389" priority="2" operator="equal">
      <formula>12</formula>
    </cfRule>
    <cfRule type="cellIs" dxfId="388" priority="3" operator="equal">
      <formula>24</formula>
    </cfRule>
  </conditionalFormatting>
  <dataValidations count="7">
    <dataValidation type="list" allowBlank="1" showInputMessage="1" showErrorMessage="1" sqref="B123:B141">
      <formula1>"All, Prod, Non-Prod, Stress/UAT, Dev"</formula1>
    </dataValidation>
    <dataValidation type="list" allowBlank="1" showInputMessage="1" showErrorMessage="1" sqref="C123:C141">
      <formula1>"pSeries, x86"</formula1>
    </dataValidation>
    <dataValidation type="list" allowBlank="1" showInputMessage="1" showErrorMessage="1" sqref="F3:F122">
      <formula1>INDIRECT("tLicRules[Licensing Rules]")</formula1>
    </dataValidation>
    <dataValidation type="list" allowBlank="1" showInputMessage="1" showErrorMessage="1" sqref="B3:B122">
      <formula1>"All, Prod, Non-Prod, Stress/UAT, Non-Dev, Dev"</formula1>
    </dataValidation>
    <dataValidation type="list" allowBlank="1" showInputMessage="1" showErrorMessage="1" sqref="C3:C122">
      <formula1>"All, pSeries, x86"</formula1>
    </dataValidation>
    <dataValidation type="list" allowBlank="1" showInputMessage="1" showErrorMessage="1" sqref="I3:I122">
      <formula1>"No, Yes"</formula1>
    </dataValidation>
    <dataValidation type="list" allowBlank="1" showInputMessage="1" showErrorMessage="1" sqref="N3:N54">
      <formula1>INDIRECT("Product_Pricing_Table[Product Name]")</formula1>
    </dataValidation>
  </dataValidations>
  <pageMargins left="0.7" right="0.7" top="0.75" bottom="0.75" header="0.3" footer="0.3"/>
  <pageSetup orientation="portrait" horizontalDpi="4294967293" verticalDpi="4294967293" r:id="rId1"/>
  <ignoredErrors>
    <ignoredError sqref="M6" calculatedColumn="1"/>
  </ignoredErrors>
  <legacyDrawing r:id="rId2"/>
  <tableParts count="3">
    <tablePart r:id="rId3"/>
    <tablePart r:id="rId4"/>
    <tablePart r:id="rId5"/>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J970"/>
  <sheetViews>
    <sheetView workbookViewId="0">
      <pane ySplit="2" topLeftCell="A12" activePane="bottomLeft" state="frozen"/>
      <selection pane="bottomLeft" activeCell="I343" sqref="I343:I763"/>
    </sheetView>
  </sheetViews>
  <sheetFormatPr defaultRowHeight="15"/>
  <cols>
    <col min="2" max="2" width="9.42578125" customWidth="1"/>
    <col min="3" max="3" width="18.85546875" customWidth="1"/>
    <col min="4" max="4" width="18.7109375" customWidth="1"/>
    <col min="5" max="5" width="16.42578125" customWidth="1"/>
    <col min="6" max="6" width="39.5703125" customWidth="1"/>
    <col min="7" max="7" width="75.85546875" customWidth="1"/>
    <col min="8" max="8" width="19.7109375" customWidth="1"/>
    <col min="9" max="9" width="19.42578125" customWidth="1"/>
    <col min="10" max="10" width="15.28515625" customWidth="1"/>
  </cols>
  <sheetData>
    <row r="1" spans="1:10" s="262" customFormat="1" ht="38.25" customHeight="1"/>
    <row r="2" spans="1:10" ht="24">
      <c r="A2" s="342" t="s">
        <v>418</v>
      </c>
      <c r="B2" s="343" t="s">
        <v>419</v>
      </c>
      <c r="C2" s="343" t="s">
        <v>109</v>
      </c>
      <c r="D2" s="343" t="s">
        <v>565</v>
      </c>
      <c r="E2" s="344" t="s">
        <v>566</v>
      </c>
      <c r="F2" s="343" t="s">
        <v>567</v>
      </c>
      <c r="G2" s="352" t="s">
        <v>3</v>
      </c>
      <c r="H2" s="343" t="s">
        <v>88</v>
      </c>
      <c r="I2" s="345" t="s">
        <v>568</v>
      </c>
      <c r="J2" s="346" t="s">
        <v>569</v>
      </c>
    </row>
    <row r="3" spans="1:10" ht="24">
      <c r="A3" s="334" t="s">
        <v>423</v>
      </c>
      <c r="B3" s="309"/>
      <c r="C3" s="309" t="s">
        <v>570</v>
      </c>
      <c r="D3" s="309" t="s">
        <v>571</v>
      </c>
      <c r="E3" s="310" t="s">
        <v>572</v>
      </c>
      <c r="F3" s="309" t="s">
        <v>573</v>
      </c>
      <c r="G3" s="309" t="s">
        <v>574</v>
      </c>
      <c r="H3" s="309" t="s">
        <v>571</v>
      </c>
      <c r="I3" s="311">
        <v>62</v>
      </c>
      <c r="J3" s="338">
        <v>62</v>
      </c>
    </row>
    <row r="4" spans="1:10" ht="24">
      <c r="A4" s="335" t="s">
        <v>421</v>
      </c>
      <c r="B4" s="312" t="s">
        <v>575</v>
      </c>
      <c r="C4" s="309" t="s">
        <v>570</v>
      </c>
      <c r="D4" s="309" t="s">
        <v>571</v>
      </c>
      <c r="E4" s="310" t="s">
        <v>576</v>
      </c>
      <c r="F4" s="309" t="s">
        <v>573</v>
      </c>
      <c r="G4" s="309" t="s">
        <v>574</v>
      </c>
      <c r="H4" s="309" t="s">
        <v>571</v>
      </c>
      <c r="I4" s="311">
        <v>77.000790523500001</v>
      </c>
      <c r="J4" s="338">
        <v>5705.55</v>
      </c>
    </row>
    <row r="5" spans="1:10" ht="24">
      <c r="A5" s="335" t="s">
        <v>421</v>
      </c>
      <c r="B5" s="312" t="s">
        <v>577</v>
      </c>
      <c r="C5" s="309" t="s">
        <v>570</v>
      </c>
      <c r="D5" s="309" t="s">
        <v>571</v>
      </c>
      <c r="E5" s="310" t="s">
        <v>578</v>
      </c>
      <c r="F5" s="309" t="s">
        <v>573</v>
      </c>
      <c r="G5" s="309" t="s">
        <v>574</v>
      </c>
      <c r="H5" s="309" t="s">
        <v>571</v>
      </c>
      <c r="I5" s="311">
        <v>129.6</v>
      </c>
      <c r="J5" s="338">
        <v>129.6</v>
      </c>
    </row>
    <row r="6" spans="1:10" ht="24">
      <c r="A6" s="335" t="s">
        <v>421</v>
      </c>
      <c r="B6" s="312" t="s">
        <v>579</v>
      </c>
      <c r="C6" s="309" t="s">
        <v>570</v>
      </c>
      <c r="D6" s="309" t="s">
        <v>571</v>
      </c>
      <c r="E6" s="310" t="s">
        <v>580</v>
      </c>
      <c r="F6" s="309" t="s">
        <v>573</v>
      </c>
      <c r="G6" s="309" t="s">
        <v>574</v>
      </c>
      <c r="H6" s="309" t="s">
        <v>571</v>
      </c>
      <c r="I6" s="311">
        <v>67.921873822500004</v>
      </c>
      <c r="J6" s="338">
        <v>54.57</v>
      </c>
    </row>
    <row r="7" spans="1:10" ht="24">
      <c r="A7" s="335" t="s">
        <v>421</v>
      </c>
      <c r="B7" s="312" t="s">
        <v>581</v>
      </c>
      <c r="C7" s="309" t="s">
        <v>570</v>
      </c>
      <c r="D7" s="309" t="s">
        <v>571</v>
      </c>
      <c r="E7" s="310" t="s">
        <v>582</v>
      </c>
      <c r="F7" s="309" t="s">
        <v>573</v>
      </c>
      <c r="G7" s="309" t="s">
        <v>574</v>
      </c>
      <c r="H7" s="309" t="s">
        <v>571</v>
      </c>
      <c r="I7" s="311">
        <v>55.47538881724666</v>
      </c>
      <c r="J7" s="338">
        <v>88.78</v>
      </c>
    </row>
    <row r="8" spans="1:10" ht="24">
      <c r="A8" s="335" t="s">
        <v>421</v>
      </c>
      <c r="B8" s="312" t="s">
        <v>583</v>
      </c>
      <c r="C8" s="309" t="s">
        <v>570</v>
      </c>
      <c r="D8" s="309" t="s">
        <v>571</v>
      </c>
      <c r="E8" s="310" t="s">
        <v>584</v>
      </c>
      <c r="F8" s="309" t="s">
        <v>573</v>
      </c>
      <c r="G8" s="309" t="s">
        <v>574</v>
      </c>
      <c r="H8" s="309" t="s">
        <v>571</v>
      </c>
      <c r="I8" s="311">
        <v>109.48767458479998</v>
      </c>
      <c r="J8" s="338">
        <v>57256.84</v>
      </c>
    </row>
    <row r="9" spans="1:10" ht="24">
      <c r="A9" s="335" t="s">
        <v>421</v>
      </c>
      <c r="B9" s="312" t="s">
        <v>585</v>
      </c>
      <c r="C9" s="309" t="s">
        <v>570</v>
      </c>
      <c r="D9" s="309" t="s">
        <v>571</v>
      </c>
      <c r="E9" s="310" t="s">
        <v>586</v>
      </c>
      <c r="F9" s="309" t="s">
        <v>573</v>
      </c>
      <c r="G9" s="309" t="s">
        <v>574</v>
      </c>
      <c r="H9" s="309" t="s">
        <v>571</v>
      </c>
      <c r="I9" s="311">
        <v>206.95</v>
      </c>
      <c r="J9" s="338">
        <v>206.95</v>
      </c>
    </row>
    <row r="10" spans="1:10" ht="24">
      <c r="A10" s="335" t="s">
        <v>421</v>
      </c>
      <c r="B10" s="312" t="s">
        <v>587</v>
      </c>
      <c r="C10" s="309" t="s">
        <v>570</v>
      </c>
      <c r="D10" s="309" t="s">
        <v>571</v>
      </c>
      <c r="E10" s="310" t="s">
        <v>588</v>
      </c>
      <c r="F10" s="309" t="s">
        <v>573</v>
      </c>
      <c r="G10" s="309" t="s">
        <v>574</v>
      </c>
      <c r="H10" s="309" t="s">
        <v>571</v>
      </c>
      <c r="I10" s="311">
        <v>35.912181135826614</v>
      </c>
      <c r="J10" s="338">
        <v>730.93</v>
      </c>
    </row>
    <row r="11" spans="1:10" ht="24">
      <c r="A11" s="335" t="s">
        <v>421</v>
      </c>
      <c r="B11" s="312" t="s">
        <v>589</v>
      </c>
      <c r="C11" s="309" t="s">
        <v>570</v>
      </c>
      <c r="D11" s="309" t="s">
        <v>571</v>
      </c>
      <c r="E11" s="310" t="s">
        <v>590</v>
      </c>
      <c r="F11" s="309" t="s">
        <v>573</v>
      </c>
      <c r="G11" s="309" t="s">
        <v>574</v>
      </c>
      <c r="H11" s="309" t="s">
        <v>571</v>
      </c>
      <c r="I11" s="311">
        <v>63.877891463099992</v>
      </c>
      <c r="J11" s="338">
        <v>455.13</v>
      </c>
    </row>
    <row r="12" spans="1:10" ht="24">
      <c r="A12" s="335" t="s">
        <v>421</v>
      </c>
      <c r="B12" s="312" t="s">
        <v>591</v>
      </c>
      <c r="C12" s="309" t="s">
        <v>570</v>
      </c>
      <c r="D12" s="309" t="s">
        <v>571</v>
      </c>
      <c r="E12" s="310" t="s">
        <v>592</v>
      </c>
      <c r="F12" s="309" t="s">
        <v>573</v>
      </c>
      <c r="G12" s="309" t="s">
        <v>574</v>
      </c>
      <c r="H12" s="309" t="s">
        <v>571</v>
      </c>
      <c r="I12" s="311">
        <v>119.63808891000001</v>
      </c>
      <c r="J12" s="338">
        <v>96.12</v>
      </c>
    </row>
    <row r="13" spans="1:10" ht="24">
      <c r="A13" s="335" t="s">
        <v>421</v>
      </c>
      <c r="B13" s="312" t="s">
        <v>593</v>
      </c>
      <c r="C13" s="309" t="s">
        <v>570</v>
      </c>
      <c r="D13" s="309" t="s">
        <v>571</v>
      </c>
      <c r="E13" s="310" t="s">
        <v>594</v>
      </c>
      <c r="F13" s="309" t="s">
        <v>573</v>
      </c>
      <c r="G13" s="309" t="s">
        <v>574</v>
      </c>
      <c r="H13" s="309" t="s">
        <v>571</v>
      </c>
      <c r="I13" s="311">
        <v>201.05223160250003</v>
      </c>
      <c r="J13" s="338">
        <v>161.53</v>
      </c>
    </row>
    <row r="14" spans="1:10" ht="24">
      <c r="A14" s="335" t="s">
        <v>421</v>
      </c>
      <c r="B14" s="312" t="s">
        <v>595</v>
      </c>
      <c r="C14" s="309" t="s">
        <v>570</v>
      </c>
      <c r="D14" s="309" t="s">
        <v>571</v>
      </c>
      <c r="E14" s="310" t="s">
        <v>596</v>
      </c>
      <c r="F14" s="309" t="s">
        <v>573</v>
      </c>
      <c r="G14" s="309" t="s">
        <v>574</v>
      </c>
      <c r="H14" s="309" t="s">
        <v>571</v>
      </c>
      <c r="I14" s="311">
        <v>27.289303440575736</v>
      </c>
      <c r="J14" s="338">
        <v>6351.73</v>
      </c>
    </row>
    <row r="15" spans="1:10" ht="24">
      <c r="A15" s="335" t="s">
        <v>421</v>
      </c>
      <c r="B15" s="312" t="s">
        <v>597</v>
      </c>
      <c r="C15" s="309" t="s">
        <v>570</v>
      </c>
      <c r="D15" s="309" t="s">
        <v>571</v>
      </c>
      <c r="E15" s="310" t="s">
        <v>598</v>
      </c>
      <c r="F15" s="309" t="s">
        <v>573</v>
      </c>
      <c r="G15" s="309" t="s">
        <v>574</v>
      </c>
      <c r="H15" s="309" t="s">
        <v>571</v>
      </c>
      <c r="I15" s="311">
        <v>80.206808670000001</v>
      </c>
      <c r="J15" s="338">
        <v>64.44</v>
      </c>
    </row>
    <row r="16" spans="1:10" ht="24">
      <c r="A16" s="335" t="s">
        <v>421</v>
      </c>
      <c r="B16" s="312" t="s">
        <v>599</v>
      </c>
      <c r="C16" s="309" t="s">
        <v>570</v>
      </c>
      <c r="D16" s="309" t="s">
        <v>571</v>
      </c>
      <c r="E16" s="310" t="s">
        <v>600</v>
      </c>
      <c r="F16" s="309" t="s">
        <v>573</v>
      </c>
      <c r="G16" s="309" t="s">
        <v>574</v>
      </c>
      <c r="H16" s="309" t="s">
        <v>571</v>
      </c>
      <c r="I16" s="311">
        <v>174.72926946264081</v>
      </c>
      <c r="J16" s="338">
        <v>700.5</v>
      </c>
    </row>
    <row r="17" spans="1:10" ht="24">
      <c r="A17" s="335" t="s">
        <v>421</v>
      </c>
      <c r="B17" s="312" t="s">
        <v>601</v>
      </c>
      <c r="C17" s="309" t="s">
        <v>570</v>
      </c>
      <c r="D17" s="309" t="s">
        <v>571</v>
      </c>
      <c r="E17" s="310" t="s">
        <v>602</v>
      </c>
      <c r="F17" s="309" t="s">
        <v>573</v>
      </c>
      <c r="G17" s="309" t="s">
        <v>574</v>
      </c>
      <c r="H17" s="309" t="s">
        <v>571</v>
      </c>
      <c r="I17" s="311">
        <v>125.98592758500001</v>
      </c>
      <c r="J17" s="338">
        <v>101.22</v>
      </c>
    </row>
    <row r="18" spans="1:10" ht="24">
      <c r="A18" s="335" t="s">
        <v>421</v>
      </c>
      <c r="B18" s="312" t="s">
        <v>603</v>
      </c>
      <c r="C18" s="309" t="s">
        <v>570</v>
      </c>
      <c r="D18" s="309" t="s">
        <v>571</v>
      </c>
      <c r="E18" s="310" t="s">
        <v>604</v>
      </c>
      <c r="F18" s="309" t="s">
        <v>573</v>
      </c>
      <c r="G18" s="309" t="s">
        <v>574</v>
      </c>
      <c r="H18" s="309" t="s">
        <v>571</v>
      </c>
      <c r="I18" s="311">
        <v>109.18028951750001</v>
      </c>
      <c r="J18" s="338">
        <v>79.510000000000005</v>
      </c>
    </row>
    <row r="19" spans="1:10" ht="24">
      <c r="A19" s="335" t="s">
        <v>421</v>
      </c>
      <c r="B19" s="312" t="s">
        <v>605</v>
      </c>
      <c r="C19" s="309" t="s">
        <v>570</v>
      </c>
      <c r="D19" s="309" t="s">
        <v>571</v>
      </c>
      <c r="E19" s="310" t="s">
        <v>606</v>
      </c>
      <c r="F19" s="309" t="s">
        <v>573</v>
      </c>
      <c r="G19" s="309" t="s">
        <v>574</v>
      </c>
      <c r="H19" s="309" t="s">
        <v>571</v>
      </c>
      <c r="I19" s="311">
        <v>79.659774867199999</v>
      </c>
      <c r="J19" s="338">
        <v>11836.66</v>
      </c>
    </row>
    <row r="20" spans="1:10" ht="24">
      <c r="A20" s="335" t="s">
        <v>421</v>
      </c>
      <c r="B20" s="312" t="s">
        <v>607</v>
      </c>
      <c r="C20" s="309" t="s">
        <v>570</v>
      </c>
      <c r="D20" s="309" t="s">
        <v>571</v>
      </c>
      <c r="E20" s="310" t="s">
        <v>608</v>
      </c>
      <c r="F20" s="309" t="s">
        <v>573</v>
      </c>
      <c r="G20" s="309" t="s">
        <v>574</v>
      </c>
      <c r="H20" s="309" t="s">
        <v>571</v>
      </c>
      <c r="I20" s="311">
        <v>275.07670999739997</v>
      </c>
      <c r="J20" s="338">
        <v>25135.14</v>
      </c>
    </row>
    <row r="21" spans="1:10" ht="24">
      <c r="A21" s="335" t="s">
        <v>421</v>
      </c>
      <c r="B21" s="312" t="s">
        <v>609</v>
      </c>
      <c r="C21" s="309" t="s">
        <v>570</v>
      </c>
      <c r="D21" s="309" t="s">
        <v>571</v>
      </c>
      <c r="E21" s="310" t="s">
        <v>610</v>
      </c>
      <c r="F21" s="309" t="s">
        <v>573</v>
      </c>
      <c r="G21" s="309" t="s">
        <v>574</v>
      </c>
      <c r="H21" s="309" t="s">
        <v>571</v>
      </c>
      <c r="I21" s="311">
        <v>213.55980891700005</v>
      </c>
      <c r="J21" s="338">
        <v>59.47</v>
      </c>
    </row>
    <row r="22" spans="1:10" ht="24">
      <c r="A22" s="335" t="s">
        <v>421</v>
      </c>
      <c r="B22" s="312" t="s">
        <v>611</v>
      </c>
      <c r="C22" s="309" t="s">
        <v>570</v>
      </c>
      <c r="D22" s="309" t="s">
        <v>571</v>
      </c>
      <c r="E22" s="310" t="s">
        <v>612</v>
      </c>
      <c r="F22" s="309" t="s">
        <v>573</v>
      </c>
      <c r="G22" s="309" t="s">
        <v>574</v>
      </c>
      <c r="H22" s="309" t="s">
        <v>571</v>
      </c>
      <c r="I22" s="311">
        <v>95.740343310000014</v>
      </c>
      <c r="J22" s="338">
        <v>76.92</v>
      </c>
    </row>
    <row r="23" spans="1:10" ht="24">
      <c r="A23" s="335" t="s">
        <v>421</v>
      </c>
      <c r="B23" s="312" t="s">
        <v>613</v>
      </c>
      <c r="C23" s="309" t="s">
        <v>570</v>
      </c>
      <c r="D23" s="309" t="s">
        <v>571</v>
      </c>
      <c r="E23" s="310" t="s">
        <v>614</v>
      </c>
      <c r="F23" s="309" t="s">
        <v>573</v>
      </c>
      <c r="G23" s="309" t="s">
        <v>574</v>
      </c>
      <c r="H23" s="309" t="s">
        <v>571</v>
      </c>
      <c r="I23" s="311">
        <v>214.93972836240007</v>
      </c>
      <c r="J23" s="338">
        <v>1881.69</v>
      </c>
    </row>
    <row r="24" spans="1:10" ht="24">
      <c r="A24" s="335" t="s">
        <v>421</v>
      </c>
      <c r="B24" s="312" t="s">
        <v>615</v>
      </c>
      <c r="C24" s="309" t="s">
        <v>570</v>
      </c>
      <c r="D24" s="309" t="s">
        <v>571</v>
      </c>
      <c r="E24" s="310" t="s">
        <v>616</v>
      </c>
      <c r="F24" s="309" t="s">
        <v>573</v>
      </c>
      <c r="G24" s="309" t="s">
        <v>574</v>
      </c>
      <c r="H24" s="309" t="s">
        <v>571</v>
      </c>
      <c r="I24" s="311">
        <v>63.553067205000005</v>
      </c>
      <c r="J24" s="338">
        <v>51.06</v>
      </c>
    </row>
    <row r="25" spans="1:10" ht="24">
      <c r="A25" s="335" t="s">
        <v>421</v>
      </c>
      <c r="B25" s="312" t="s">
        <v>617</v>
      </c>
      <c r="C25" s="309" t="s">
        <v>570</v>
      </c>
      <c r="D25" s="309" t="s">
        <v>571</v>
      </c>
      <c r="E25" s="310" t="s">
        <v>618</v>
      </c>
      <c r="F25" s="309" t="s">
        <v>573</v>
      </c>
      <c r="G25" s="309" t="s">
        <v>574</v>
      </c>
      <c r="H25" s="309" t="s">
        <v>571</v>
      </c>
      <c r="I25" s="311">
        <v>96.772122666900017</v>
      </c>
      <c r="J25" s="338">
        <v>16717.39</v>
      </c>
    </row>
    <row r="26" spans="1:10" ht="24">
      <c r="A26" s="335" t="s">
        <v>421</v>
      </c>
      <c r="B26" s="312" t="s">
        <v>619</v>
      </c>
      <c r="C26" s="309" t="s">
        <v>570</v>
      </c>
      <c r="D26" s="309" t="s">
        <v>571</v>
      </c>
      <c r="E26" s="310" t="s">
        <v>620</v>
      </c>
      <c r="F26" s="309" t="s">
        <v>573</v>
      </c>
      <c r="G26" s="309" t="s">
        <v>574</v>
      </c>
      <c r="H26" s="309" t="s">
        <v>571</v>
      </c>
      <c r="I26" s="311">
        <v>17.140117099224717</v>
      </c>
      <c r="J26" s="338">
        <v>1750.08</v>
      </c>
    </row>
    <row r="27" spans="1:10" ht="24">
      <c r="A27" s="335" t="s">
        <v>421</v>
      </c>
      <c r="B27" s="312" t="s">
        <v>621</v>
      </c>
      <c r="C27" s="309" t="s">
        <v>570</v>
      </c>
      <c r="D27" s="309" t="s">
        <v>571</v>
      </c>
      <c r="E27" s="310" t="s">
        <v>622</v>
      </c>
      <c r="F27" s="309" t="s">
        <v>573</v>
      </c>
      <c r="G27" s="309" t="s">
        <v>574</v>
      </c>
      <c r="H27" s="309" t="s">
        <v>571</v>
      </c>
      <c r="I27" s="311">
        <v>20.796148959828617</v>
      </c>
      <c r="J27" s="338">
        <v>70.56</v>
      </c>
    </row>
    <row r="28" spans="1:10" ht="24">
      <c r="A28" s="335" t="s">
        <v>421</v>
      </c>
      <c r="B28" s="312" t="s">
        <v>623</v>
      </c>
      <c r="C28" s="309" t="s">
        <v>570</v>
      </c>
      <c r="D28" s="309" t="s">
        <v>571</v>
      </c>
      <c r="E28" s="310" t="s">
        <v>624</v>
      </c>
      <c r="F28" s="309" t="s">
        <v>573</v>
      </c>
      <c r="G28" s="309" t="s">
        <v>574</v>
      </c>
      <c r="H28" s="309" t="s">
        <v>571</v>
      </c>
      <c r="I28" s="311">
        <v>28.091390546712766</v>
      </c>
      <c r="J28" s="338">
        <v>109.35</v>
      </c>
    </row>
    <row r="29" spans="1:10" ht="24">
      <c r="A29" s="335" t="s">
        <v>421</v>
      </c>
      <c r="B29" s="312" t="s">
        <v>625</v>
      </c>
      <c r="C29" s="309" t="s">
        <v>570</v>
      </c>
      <c r="D29" s="309" t="s">
        <v>571</v>
      </c>
      <c r="E29" s="310" t="s">
        <v>626</v>
      </c>
      <c r="F29" s="309" t="s">
        <v>573</v>
      </c>
      <c r="G29" s="309" t="s">
        <v>574</v>
      </c>
      <c r="H29" s="309" t="s">
        <v>571</v>
      </c>
      <c r="I29" s="311">
        <v>16.760812570419635</v>
      </c>
      <c r="J29" s="338">
        <v>567.02</v>
      </c>
    </row>
    <row r="30" spans="1:10" ht="24">
      <c r="A30" s="335" t="s">
        <v>421</v>
      </c>
      <c r="B30" s="312" t="s">
        <v>627</v>
      </c>
      <c r="C30" s="309" t="s">
        <v>570</v>
      </c>
      <c r="D30" s="309" t="s">
        <v>571</v>
      </c>
      <c r="E30" s="313" t="s">
        <v>628</v>
      </c>
      <c r="F30" s="309" t="s">
        <v>573</v>
      </c>
      <c r="G30" s="309" t="s">
        <v>574</v>
      </c>
      <c r="H30" s="309" t="s">
        <v>571</v>
      </c>
      <c r="I30" s="311">
        <v>254.32424652339992</v>
      </c>
      <c r="J30" s="338">
        <v>132999.47</v>
      </c>
    </row>
    <row r="31" spans="1:10" ht="24">
      <c r="A31" s="335" t="s">
        <v>421</v>
      </c>
      <c r="B31" s="312" t="s">
        <v>629</v>
      </c>
      <c r="C31" s="309" t="s">
        <v>570</v>
      </c>
      <c r="D31" s="309" t="s">
        <v>571</v>
      </c>
      <c r="E31" s="310" t="s">
        <v>630</v>
      </c>
      <c r="F31" s="309" t="s">
        <v>573</v>
      </c>
      <c r="G31" s="309" t="s">
        <v>574</v>
      </c>
      <c r="H31" s="309" t="s">
        <v>571</v>
      </c>
      <c r="I31" s="311">
        <v>26.872517057500001</v>
      </c>
      <c r="J31" s="338">
        <v>21.59</v>
      </c>
    </row>
    <row r="32" spans="1:10" ht="24">
      <c r="A32" s="335" t="s">
        <v>421</v>
      </c>
      <c r="B32" s="312" t="s">
        <v>631</v>
      </c>
      <c r="C32" s="309" t="s">
        <v>570</v>
      </c>
      <c r="D32" s="309" t="s">
        <v>571</v>
      </c>
      <c r="E32" s="310" t="s">
        <v>632</v>
      </c>
      <c r="F32" s="309" t="s">
        <v>573</v>
      </c>
      <c r="G32" s="309" t="s">
        <v>574</v>
      </c>
      <c r="H32" s="309" t="s">
        <v>571</v>
      </c>
      <c r="I32" s="311">
        <v>168.27262682928065</v>
      </c>
      <c r="J32" s="338">
        <v>1431.78</v>
      </c>
    </row>
    <row r="33" spans="1:10" ht="24">
      <c r="A33" s="335" t="s">
        <v>421</v>
      </c>
      <c r="B33" s="312" t="s">
        <v>633</v>
      </c>
      <c r="C33" s="309" t="s">
        <v>570</v>
      </c>
      <c r="D33" s="309" t="s">
        <v>571</v>
      </c>
      <c r="E33" s="310" t="s">
        <v>634</v>
      </c>
      <c r="F33" s="309" t="s">
        <v>573</v>
      </c>
      <c r="G33" s="309" t="s">
        <v>574</v>
      </c>
      <c r="H33" s="309" t="s">
        <v>571</v>
      </c>
      <c r="I33" s="311">
        <v>325.99263281750007</v>
      </c>
      <c r="J33" s="338">
        <v>261.91000000000003</v>
      </c>
    </row>
    <row r="34" spans="1:10" ht="24">
      <c r="A34" s="335" t="s">
        <v>421</v>
      </c>
      <c r="B34" s="312" t="s">
        <v>635</v>
      </c>
      <c r="C34" s="309" t="s">
        <v>570</v>
      </c>
      <c r="D34" s="309" t="s">
        <v>571</v>
      </c>
      <c r="E34" s="310" t="s">
        <v>636</v>
      </c>
      <c r="F34" s="309" t="s">
        <v>573</v>
      </c>
      <c r="G34" s="309" t="s">
        <v>574</v>
      </c>
      <c r="H34" s="309" t="s">
        <v>571</v>
      </c>
      <c r="I34" s="311">
        <v>85.534014460000009</v>
      </c>
      <c r="J34" s="338">
        <v>68.72</v>
      </c>
    </row>
    <row r="35" spans="1:10" ht="24">
      <c r="A35" s="335" t="s">
        <v>421</v>
      </c>
      <c r="B35" s="312" t="s">
        <v>637</v>
      </c>
      <c r="C35" s="309" t="s">
        <v>570</v>
      </c>
      <c r="D35" s="309" t="s">
        <v>571</v>
      </c>
      <c r="E35" s="310" t="s">
        <v>638</v>
      </c>
      <c r="F35" s="309" t="s">
        <v>573</v>
      </c>
      <c r="G35" s="309" t="s">
        <v>574</v>
      </c>
      <c r="H35" s="309" t="s">
        <v>571</v>
      </c>
      <c r="I35" s="311">
        <v>121.39121224208333</v>
      </c>
      <c r="J35" s="338">
        <v>126.41</v>
      </c>
    </row>
    <row r="36" spans="1:10" ht="24">
      <c r="A36" s="335" t="s">
        <v>421</v>
      </c>
      <c r="B36" s="312" t="s">
        <v>639</v>
      </c>
      <c r="C36" s="309" t="s">
        <v>570</v>
      </c>
      <c r="D36" s="309" t="s">
        <v>571</v>
      </c>
      <c r="E36" s="310" t="s">
        <v>640</v>
      </c>
      <c r="F36" s="309" t="s">
        <v>573</v>
      </c>
      <c r="G36" s="309" t="s">
        <v>574</v>
      </c>
      <c r="H36" s="309" t="s">
        <v>571</v>
      </c>
      <c r="I36" s="311">
        <v>198.93868245899998</v>
      </c>
      <c r="J36" s="338">
        <v>343370.7</v>
      </c>
    </row>
    <row r="37" spans="1:10" ht="24">
      <c r="A37" s="335" t="s">
        <v>421</v>
      </c>
      <c r="B37" s="312" t="s">
        <v>641</v>
      </c>
      <c r="C37" s="309" t="s">
        <v>570</v>
      </c>
      <c r="D37" s="309" t="s">
        <v>571</v>
      </c>
      <c r="E37" s="310" t="s">
        <v>642</v>
      </c>
      <c r="F37" s="309" t="s">
        <v>573</v>
      </c>
      <c r="G37" s="309" t="s">
        <v>574</v>
      </c>
      <c r="H37" s="309" t="s">
        <v>571</v>
      </c>
      <c r="I37" s="311">
        <v>168.20078222880002</v>
      </c>
      <c r="J37" s="338">
        <v>262.04000000000002</v>
      </c>
    </row>
    <row r="38" spans="1:10" ht="24">
      <c r="A38" s="335" t="s">
        <v>421</v>
      </c>
      <c r="B38" s="312" t="s">
        <v>643</v>
      </c>
      <c r="C38" s="309" t="s">
        <v>570</v>
      </c>
      <c r="D38" s="309" t="s">
        <v>571</v>
      </c>
      <c r="E38" s="310" t="s">
        <v>644</v>
      </c>
      <c r="F38" s="309" t="s">
        <v>573</v>
      </c>
      <c r="G38" s="309" t="s">
        <v>574</v>
      </c>
      <c r="H38" s="309" t="s">
        <v>571</v>
      </c>
      <c r="I38" s="311">
        <v>31.319286796275541</v>
      </c>
      <c r="J38" s="338">
        <v>58.66</v>
      </c>
    </row>
    <row r="39" spans="1:10" ht="24">
      <c r="A39" s="335" t="s">
        <v>421</v>
      </c>
      <c r="B39" s="312" t="s">
        <v>645</v>
      </c>
      <c r="C39" s="309" t="s">
        <v>570</v>
      </c>
      <c r="D39" s="309" t="s">
        <v>571</v>
      </c>
      <c r="E39" s="310" t="s">
        <v>646</v>
      </c>
      <c r="F39" s="309" t="s">
        <v>573</v>
      </c>
      <c r="G39" s="309" t="s">
        <v>574</v>
      </c>
      <c r="H39" s="309" t="s">
        <v>571</v>
      </c>
      <c r="I39" s="311">
        <v>60.380747166999988</v>
      </c>
      <c r="J39" s="338">
        <v>221.78</v>
      </c>
    </row>
    <row r="40" spans="1:10" ht="24">
      <c r="A40" s="335" t="s">
        <v>421</v>
      </c>
      <c r="B40" s="312" t="s">
        <v>647</v>
      </c>
      <c r="C40" s="309" t="s">
        <v>570</v>
      </c>
      <c r="D40" s="309" t="s">
        <v>571</v>
      </c>
      <c r="E40" s="310" t="s">
        <v>648</v>
      </c>
      <c r="F40" s="309" t="s">
        <v>573</v>
      </c>
      <c r="G40" s="309" t="s">
        <v>574</v>
      </c>
      <c r="H40" s="309" t="s">
        <v>571</v>
      </c>
      <c r="I40" s="311">
        <v>151.4001980036</v>
      </c>
      <c r="J40" s="338">
        <v>420895.16</v>
      </c>
    </row>
    <row r="41" spans="1:10" ht="24">
      <c r="A41" s="335" t="s">
        <v>421</v>
      </c>
      <c r="B41" s="312" t="s">
        <v>649</v>
      </c>
      <c r="C41" s="309" t="s">
        <v>570</v>
      </c>
      <c r="D41" s="309" t="s">
        <v>571</v>
      </c>
      <c r="E41" s="310" t="s">
        <v>650</v>
      </c>
      <c r="F41" s="309" t="s">
        <v>573</v>
      </c>
      <c r="G41" s="309" t="s">
        <v>574</v>
      </c>
      <c r="H41" s="309" t="s">
        <v>571</v>
      </c>
      <c r="I41" s="311">
        <v>66.391084674599995</v>
      </c>
      <c r="J41" s="338">
        <v>595.86</v>
      </c>
    </row>
    <row r="42" spans="1:10" ht="24">
      <c r="A42" s="335" t="s">
        <v>421</v>
      </c>
      <c r="B42" s="312" t="s">
        <v>651</v>
      </c>
      <c r="C42" s="309" t="s">
        <v>570</v>
      </c>
      <c r="D42" s="309" t="s">
        <v>571</v>
      </c>
      <c r="E42" s="310" t="s">
        <v>652</v>
      </c>
      <c r="F42" s="309" t="s">
        <v>573</v>
      </c>
      <c r="G42" s="309" t="s">
        <v>574</v>
      </c>
      <c r="H42" s="309" t="s">
        <v>571</v>
      </c>
      <c r="I42" s="311">
        <v>55.12</v>
      </c>
      <c r="J42" s="338">
        <v>35.25</v>
      </c>
    </row>
    <row r="43" spans="1:10" ht="24">
      <c r="A43" s="335" t="s">
        <v>421</v>
      </c>
      <c r="B43" s="312" t="s">
        <v>653</v>
      </c>
      <c r="C43" s="309" t="s">
        <v>570</v>
      </c>
      <c r="D43" s="309" t="s">
        <v>571</v>
      </c>
      <c r="E43" s="310" t="s">
        <v>654</v>
      </c>
      <c r="F43" s="309" t="s">
        <v>573</v>
      </c>
      <c r="G43" s="309" t="s">
        <v>574</v>
      </c>
      <c r="H43" s="309" t="s">
        <v>571</v>
      </c>
      <c r="I43" s="311">
        <v>294.22299141370002</v>
      </c>
      <c r="J43" s="338">
        <v>1634481.37</v>
      </c>
    </row>
    <row r="44" spans="1:10" ht="24">
      <c r="A44" s="335" t="s">
        <v>655</v>
      </c>
      <c r="B44" s="314" t="s">
        <v>656</v>
      </c>
      <c r="C44" s="309" t="s">
        <v>570</v>
      </c>
      <c r="D44" s="309" t="s">
        <v>571</v>
      </c>
      <c r="E44" s="315" t="s">
        <v>657</v>
      </c>
      <c r="F44" s="309" t="s">
        <v>573</v>
      </c>
      <c r="G44" s="309" t="s">
        <v>574</v>
      </c>
      <c r="H44" s="309" t="s">
        <v>571</v>
      </c>
      <c r="I44" s="311">
        <v>25.77</v>
      </c>
      <c r="J44" s="338">
        <v>24.9969</v>
      </c>
    </row>
    <row r="45" spans="1:10" ht="24">
      <c r="A45" s="335" t="s">
        <v>655</v>
      </c>
      <c r="B45" s="314" t="s">
        <v>658</v>
      </c>
      <c r="C45" s="309" t="s">
        <v>570</v>
      </c>
      <c r="D45" s="309" t="s">
        <v>571</v>
      </c>
      <c r="E45" s="315" t="s">
        <v>659</v>
      </c>
      <c r="F45" s="309" t="s">
        <v>573</v>
      </c>
      <c r="G45" s="309" t="s">
        <v>574</v>
      </c>
      <c r="H45" s="309" t="s">
        <v>571</v>
      </c>
      <c r="I45" s="311">
        <v>27.15</v>
      </c>
      <c r="J45" s="338">
        <v>174.303</v>
      </c>
    </row>
    <row r="46" spans="1:10" ht="24">
      <c r="A46" s="335" t="s">
        <v>655</v>
      </c>
      <c r="B46" s="314" t="s">
        <v>660</v>
      </c>
      <c r="C46" s="309" t="s">
        <v>570</v>
      </c>
      <c r="D46" s="309" t="s">
        <v>571</v>
      </c>
      <c r="E46" s="315" t="s">
        <v>661</v>
      </c>
      <c r="F46" s="309" t="s">
        <v>573</v>
      </c>
      <c r="G46" s="309" t="s">
        <v>574</v>
      </c>
      <c r="H46" s="309" t="s">
        <v>571</v>
      </c>
      <c r="I46" s="311">
        <v>23.78</v>
      </c>
      <c r="J46" s="338">
        <v>184.29500000000002</v>
      </c>
    </row>
    <row r="47" spans="1:10" ht="24">
      <c r="A47" s="335" t="s">
        <v>655</v>
      </c>
      <c r="B47" s="314" t="s">
        <v>662</v>
      </c>
      <c r="C47" s="309" t="s">
        <v>570</v>
      </c>
      <c r="D47" s="309" t="s">
        <v>571</v>
      </c>
      <c r="E47" s="315" t="s">
        <v>663</v>
      </c>
      <c r="F47" s="309" t="s">
        <v>573</v>
      </c>
      <c r="G47" s="309" t="s">
        <v>574</v>
      </c>
      <c r="H47" s="309" t="s">
        <v>571</v>
      </c>
      <c r="I47" s="311">
        <v>27.9</v>
      </c>
      <c r="J47" s="338">
        <v>1635.4979999999998</v>
      </c>
    </row>
    <row r="48" spans="1:10" ht="24">
      <c r="A48" s="335" t="s">
        <v>655</v>
      </c>
      <c r="B48" s="314" t="s">
        <v>664</v>
      </c>
      <c r="C48" s="309" t="s">
        <v>570</v>
      </c>
      <c r="D48" s="309" t="s">
        <v>571</v>
      </c>
      <c r="E48" s="315" t="s">
        <v>665</v>
      </c>
      <c r="F48" s="309" t="s">
        <v>573</v>
      </c>
      <c r="G48" s="309" t="s">
        <v>574</v>
      </c>
      <c r="H48" s="309" t="s">
        <v>571</v>
      </c>
      <c r="I48" s="311">
        <v>29.51</v>
      </c>
      <c r="J48" s="338">
        <v>291792.81430000003</v>
      </c>
    </row>
    <row r="49" spans="1:10" ht="24">
      <c r="A49" s="335" t="s">
        <v>655</v>
      </c>
      <c r="B49" s="314" t="s">
        <v>666</v>
      </c>
      <c r="C49" s="309" t="s">
        <v>570</v>
      </c>
      <c r="D49" s="309" t="s">
        <v>571</v>
      </c>
      <c r="E49" s="315" t="s">
        <v>667</v>
      </c>
      <c r="F49" s="309" t="s">
        <v>573</v>
      </c>
      <c r="G49" s="309" t="s">
        <v>574</v>
      </c>
      <c r="H49" s="309" t="s">
        <v>571</v>
      </c>
      <c r="I49" s="311">
        <v>26.46</v>
      </c>
      <c r="J49" s="338">
        <v>30209.911200000002</v>
      </c>
    </row>
    <row r="50" spans="1:10" ht="24">
      <c r="A50" s="335" t="s">
        <v>655</v>
      </c>
      <c r="B50" s="312" t="s">
        <v>668</v>
      </c>
      <c r="C50" s="309" t="s">
        <v>570</v>
      </c>
      <c r="D50" s="309" t="s">
        <v>571</v>
      </c>
      <c r="E50" s="315" t="s">
        <v>669</v>
      </c>
      <c r="F50" s="309" t="s">
        <v>573</v>
      </c>
      <c r="G50" s="309" t="s">
        <v>574</v>
      </c>
      <c r="H50" s="309" t="s">
        <v>571</v>
      </c>
      <c r="I50" s="311">
        <v>23.92</v>
      </c>
      <c r="J50" s="338">
        <v>75.58720000000001</v>
      </c>
    </row>
    <row r="51" spans="1:10" ht="24">
      <c r="A51" s="335" t="s">
        <v>655</v>
      </c>
      <c r="B51" s="314" t="s">
        <v>670</v>
      </c>
      <c r="C51" s="309" t="s">
        <v>570</v>
      </c>
      <c r="D51" s="309" t="s">
        <v>571</v>
      </c>
      <c r="E51" s="315" t="s">
        <v>671</v>
      </c>
      <c r="F51" s="309" t="s">
        <v>573</v>
      </c>
      <c r="G51" s="309" t="s">
        <v>574</v>
      </c>
      <c r="H51" s="309" t="s">
        <v>571</v>
      </c>
      <c r="I51" s="311">
        <v>26.18</v>
      </c>
      <c r="J51" s="338">
        <v>1101.1308000000001</v>
      </c>
    </row>
    <row r="52" spans="1:10" ht="24">
      <c r="A52" s="335" t="s">
        <v>655</v>
      </c>
      <c r="B52" s="314" t="s">
        <v>672</v>
      </c>
      <c r="C52" s="309" t="s">
        <v>570</v>
      </c>
      <c r="D52" s="309" t="s">
        <v>571</v>
      </c>
      <c r="E52" s="315" t="s">
        <v>673</v>
      </c>
      <c r="F52" s="309" t="s">
        <v>573</v>
      </c>
      <c r="G52" s="309" t="s">
        <v>574</v>
      </c>
      <c r="H52" s="309" t="s">
        <v>571</v>
      </c>
      <c r="I52" s="311">
        <v>25.6</v>
      </c>
      <c r="J52" s="338">
        <v>31.744</v>
      </c>
    </row>
    <row r="53" spans="1:10" ht="24">
      <c r="A53" s="335" t="s">
        <v>655</v>
      </c>
      <c r="B53" s="314" t="s">
        <v>674</v>
      </c>
      <c r="C53" s="309" t="s">
        <v>570</v>
      </c>
      <c r="D53" s="309" t="s">
        <v>571</v>
      </c>
      <c r="E53" s="315" t="s">
        <v>675</v>
      </c>
      <c r="F53" s="309" t="s">
        <v>573</v>
      </c>
      <c r="G53" s="309" t="s">
        <v>574</v>
      </c>
      <c r="H53" s="309" t="s">
        <v>571</v>
      </c>
      <c r="I53" s="311">
        <v>25.5</v>
      </c>
      <c r="J53" s="338">
        <v>755.31000000000006</v>
      </c>
    </row>
    <row r="54" spans="1:10" ht="24">
      <c r="A54" s="335" t="s">
        <v>655</v>
      </c>
      <c r="B54" s="314" t="s">
        <v>676</v>
      </c>
      <c r="C54" s="309" t="s">
        <v>570</v>
      </c>
      <c r="D54" s="309" t="s">
        <v>571</v>
      </c>
      <c r="E54" s="315" t="s">
        <v>677</v>
      </c>
      <c r="F54" s="309" t="s">
        <v>573</v>
      </c>
      <c r="G54" s="309" t="s">
        <v>574</v>
      </c>
      <c r="H54" s="309" t="s">
        <v>571</v>
      </c>
      <c r="I54" s="311">
        <v>25.53</v>
      </c>
      <c r="J54" s="338">
        <v>817.21529999999996</v>
      </c>
    </row>
    <row r="55" spans="1:10" ht="24">
      <c r="A55" s="334" t="s">
        <v>655</v>
      </c>
      <c r="B55" s="309" t="s">
        <v>678</v>
      </c>
      <c r="C55" s="309" t="s">
        <v>570</v>
      </c>
      <c r="D55" s="309" t="s">
        <v>571</v>
      </c>
      <c r="E55" s="310" t="s">
        <v>679</v>
      </c>
      <c r="F55" s="309" t="s">
        <v>573</v>
      </c>
      <c r="G55" s="309" t="s">
        <v>574</v>
      </c>
      <c r="H55" s="309" t="s">
        <v>571</v>
      </c>
      <c r="I55" s="311">
        <v>25.3</v>
      </c>
      <c r="J55" s="338">
        <v>572989.08700000006</v>
      </c>
    </row>
    <row r="56" spans="1:10" ht="24">
      <c r="A56" s="335" t="s">
        <v>680</v>
      </c>
      <c r="B56" s="312"/>
      <c r="C56" s="309" t="s">
        <v>570</v>
      </c>
      <c r="D56" s="309" t="s">
        <v>571</v>
      </c>
      <c r="E56" s="316" t="s">
        <v>681</v>
      </c>
      <c r="F56" s="309" t="s">
        <v>573</v>
      </c>
      <c r="G56" s="309" t="s">
        <v>574</v>
      </c>
      <c r="H56" s="309" t="s">
        <v>571</v>
      </c>
      <c r="I56" s="311">
        <v>62.81</v>
      </c>
      <c r="J56" s="339">
        <v>4902</v>
      </c>
    </row>
    <row r="57" spans="1:10">
      <c r="A57" s="334" t="s">
        <v>423</v>
      </c>
      <c r="B57" s="309"/>
      <c r="C57" s="309" t="s">
        <v>570</v>
      </c>
      <c r="D57" s="309" t="s">
        <v>571</v>
      </c>
      <c r="E57" s="310" t="s">
        <v>682</v>
      </c>
      <c r="F57" s="309" t="s">
        <v>683</v>
      </c>
      <c r="G57" s="309" t="s">
        <v>684</v>
      </c>
      <c r="H57" s="309" t="s">
        <v>571</v>
      </c>
      <c r="I57" s="311">
        <v>35.28</v>
      </c>
      <c r="J57" s="338">
        <v>35.28</v>
      </c>
    </row>
    <row r="58" spans="1:10" ht="24">
      <c r="A58" s="334" t="s">
        <v>423</v>
      </c>
      <c r="B58" s="309"/>
      <c r="C58" s="309" t="s">
        <v>570</v>
      </c>
      <c r="D58" s="309" t="s">
        <v>571</v>
      </c>
      <c r="E58" s="310" t="s">
        <v>685</v>
      </c>
      <c r="F58" s="309" t="s">
        <v>686</v>
      </c>
      <c r="G58" s="309" t="s">
        <v>687</v>
      </c>
      <c r="H58" s="309" t="s">
        <v>571</v>
      </c>
      <c r="I58" s="311">
        <v>97</v>
      </c>
      <c r="J58" s="338">
        <v>97</v>
      </c>
    </row>
    <row r="59" spans="1:10" ht="24">
      <c r="A59" s="334" t="s">
        <v>421</v>
      </c>
      <c r="B59" s="309" t="s">
        <v>587</v>
      </c>
      <c r="C59" s="309" t="s">
        <v>570</v>
      </c>
      <c r="D59" s="309" t="s">
        <v>571</v>
      </c>
      <c r="E59" s="313" t="s">
        <v>688</v>
      </c>
      <c r="F59" s="309" t="s">
        <v>686</v>
      </c>
      <c r="G59" s="309" t="s">
        <v>687</v>
      </c>
      <c r="H59" s="309" t="s">
        <v>571</v>
      </c>
      <c r="I59" s="311">
        <v>47.529484064378195</v>
      </c>
      <c r="J59" s="338">
        <v>967.38</v>
      </c>
    </row>
    <row r="60" spans="1:10" ht="24">
      <c r="A60" s="334" t="s">
        <v>421</v>
      </c>
      <c r="B60" s="309" t="s">
        <v>591</v>
      </c>
      <c r="C60" s="309" t="s">
        <v>570</v>
      </c>
      <c r="D60" s="309" t="s">
        <v>571</v>
      </c>
      <c r="E60" s="310" t="s">
        <v>689</v>
      </c>
      <c r="F60" s="309" t="s">
        <v>686</v>
      </c>
      <c r="G60" s="309" t="s">
        <v>687</v>
      </c>
      <c r="H60" s="309" t="s">
        <v>571</v>
      </c>
      <c r="I60" s="311">
        <v>139.55287691000001</v>
      </c>
      <c r="J60" s="338">
        <v>112.12</v>
      </c>
    </row>
    <row r="61" spans="1:10" ht="24">
      <c r="A61" s="334" t="s">
        <v>421</v>
      </c>
      <c r="B61" s="309" t="s">
        <v>637</v>
      </c>
      <c r="C61" s="309" t="s">
        <v>570</v>
      </c>
      <c r="D61" s="309" t="s">
        <v>571</v>
      </c>
      <c r="E61" s="310" t="s">
        <v>690</v>
      </c>
      <c r="F61" s="309" t="s">
        <v>686</v>
      </c>
      <c r="G61" s="309" t="s">
        <v>687</v>
      </c>
      <c r="H61" s="309" t="s">
        <v>571</v>
      </c>
      <c r="I61" s="311">
        <v>125.34763811375001</v>
      </c>
      <c r="J61" s="338">
        <v>130.53</v>
      </c>
    </row>
    <row r="62" spans="1:10" ht="24">
      <c r="A62" s="334" t="s">
        <v>421</v>
      </c>
      <c r="B62" s="309" t="s">
        <v>651</v>
      </c>
      <c r="C62" s="309" t="s">
        <v>570</v>
      </c>
      <c r="D62" s="309" t="s">
        <v>571</v>
      </c>
      <c r="E62" s="310" t="s">
        <v>691</v>
      </c>
      <c r="F62" s="309" t="s">
        <v>686</v>
      </c>
      <c r="G62" s="309" t="s">
        <v>687</v>
      </c>
      <c r="H62" s="309" t="s">
        <v>571</v>
      </c>
      <c r="I62" s="311">
        <v>66.84</v>
      </c>
      <c r="J62" s="338">
        <v>42.75</v>
      </c>
    </row>
    <row r="63" spans="1:10" ht="24">
      <c r="A63" s="335" t="s">
        <v>655</v>
      </c>
      <c r="B63" s="314" t="s">
        <v>656</v>
      </c>
      <c r="C63" s="309" t="s">
        <v>570</v>
      </c>
      <c r="D63" s="309" t="s">
        <v>571</v>
      </c>
      <c r="E63" s="315" t="s">
        <v>692</v>
      </c>
      <c r="F63" s="309" t="s">
        <v>686</v>
      </c>
      <c r="G63" s="309" t="s">
        <v>687</v>
      </c>
      <c r="H63" s="309" t="s">
        <v>571</v>
      </c>
      <c r="I63" s="311">
        <v>37.69</v>
      </c>
      <c r="J63" s="338">
        <v>36.559299999999993</v>
      </c>
    </row>
    <row r="64" spans="1:10" ht="24">
      <c r="A64" s="335" t="s">
        <v>655</v>
      </c>
      <c r="B64" s="314" t="s">
        <v>658</v>
      </c>
      <c r="C64" s="309" t="s">
        <v>570</v>
      </c>
      <c r="D64" s="309" t="s">
        <v>571</v>
      </c>
      <c r="E64" s="315" t="s">
        <v>693</v>
      </c>
      <c r="F64" s="309" t="s">
        <v>686</v>
      </c>
      <c r="G64" s="309" t="s">
        <v>687</v>
      </c>
      <c r="H64" s="309" t="s">
        <v>571</v>
      </c>
      <c r="I64" s="311">
        <v>39.369999999999997</v>
      </c>
      <c r="J64" s="338">
        <v>252.75539999999998</v>
      </c>
    </row>
    <row r="65" spans="1:10" ht="24">
      <c r="A65" s="335" t="s">
        <v>655</v>
      </c>
      <c r="B65" s="314" t="s">
        <v>660</v>
      </c>
      <c r="C65" s="309" t="s">
        <v>570</v>
      </c>
      <c r="D65" s="309" t="s">
        <v>571</v>
      </c>
      <c r="E65" s="315" t="s">
        <v>694</v>
      </c>
      <c r="F65" s="309" t="s">
        <v>686</v>
      </c>
      <c r="G65" s="309" t="s">
        <v>687</v>
      </c>
      <c r="H65" s="309" t="s">
        <v>571</v>
      </c>
      <c r="I65" s="311">
        <v>34.799999999999997</v>
      </c>
      <c r="J65" s="338">
        <v>269.7</v>
      </c>
    </row>
    <row r="66" spans="1:10" ht="24">
      <c r="A66" s="335" t="s">
        <v>655</v>
      </c>
      <c r="B66" s="314" t="s">
        <v>662</v>
      </c>
      <c r="C66" s="309" t="s">
        <v>570</v>
      </c>
      <c r="D66" s="309" t="s">
        <v>571</v>
      </c>
      <c r="E66" s="315" t="s">
        <v>695</v>
      </c>
      <c r="F66" s="309" t="s">
        <v>686</v>
      </c>
      <c r="G66" s="309" t="s">
        <v>687</v>
      </c>
      <c r="H66" s="309" t="s">
        <v>571</v>
      </c>
      <c r="I66" s="311">
        <v>39.79</v>
      </c>
      <c r="J66" s="338">
        <v>2332.4897999999998</v>
      </c>
    </row>
    <row r="67" spans="1:10" ht="24">
      <c r="A67" s="335" t="s">
        <v>655</v>
      </c>
      <c r="B67" s="314" t="s">
        <v>664</v>
      </c>
      <c r="C67" s="309" t="s">
        <v>570</v>
      </c>
      <c r="D67" s="309" t="s">
        <v>571</v>
      </c>
      <c r="E67" s="315" t="s">
        <v>696</v>
      </c>
      <c r="F67" s="309" t="s">
        <v>686</v>
      </c>
      <c r="G67" s="309" t="s">
        <v>687</v>
      </c>
      <c r="H67" s="309" t="s">
        <v>571</v>
      </c>
      <c r="I67" s="311">
        <v>37.54</v>
      </c>
      <c r="J67" s="338">
        <v>371192.8922</v>
      </c>
    </row>
    <row r="68" spans="1:10" ht="24">
      <c r="A68" s="335" t="s">
        <v>655</v>
      </c>
      <c r="B68" s="314" t="s">
        <v>666</v>
      </c>
      <c r="C68" s="309" t="s">
        <v>570</v>
      </c>
      <c r="D68" s="309" t="s">
        <v>571</v>
      </c>
      <c r="E68" s="315" t="s">
        <v>697</v>
      </c>
      <c r="F68" s="309" t="s">
        <v>686</v>
      </c>
      <c r="G68" s="309" t="s">
        <v>687</v>
      </c>
      <c r="H68" s="309" t="s">
        <v>571</v>
      </c>
      <c r="I68" s="311">
        <v>38.35</v>
      </c>
      <c r="J68" s="338">
        <v>43784.962</v>
      </c>
    </row>
    <row r="69" spans="1:10" ht="24">
      <c r="A69" s="335" t="s">
        <v>655</v>
      </c>
      <c r="B69" s="314" t="s">
        <v>668</v>
      </c>
      <c r="C69" s="309" t="s">
        <v>570</v>
      </c>
      <c r="D69" s="309" t="s">
        <v>571</v>
      </c>
      <c r="E69" s="315" t="s">
        <v>698</v>
      </c>
      <c r="F69" s="309" t="s">
        <v>686</v>
      </c>
      <c r="G69" s="309" t="s">
        <v>687</v>
      </c>
      <c r="H69" s="309" t="s">
        <v>571</v>
      </c>
      <c r="I69" s="311">
        <v>34.590000000000003</v>
      </c>
      <c r="J69" s="338">
        <v>109.30440000000002</v>
      </c>
    </row>
    <row r="70" spans="1:10" ht="24">
      <c r="A70" s="335" t="s">
        <v>655</v>
      </c>
      <c r="B70" s="314" t="s">
        <v>670</v>
      </c>
      <c r="C70" s="309" t="s">
        <v>570</v>
      </c>
      <c r="D70" s="309" t="s">
        <v>571</v>
      </c>
      <c r="E70" s="315" t="s">
        <v>699</v>
      </c>
      <c r="F70" s="309" t="s">
        <v>686</v>
      </c>
      <c r="G70" s="309" t="s">
        <v>687</v>
      </c>
      <c r="H70" s="309" t="s">
        <v>571</v>
      </c>
      <c r="I70" s="311">
        <v>38.11</v>
      </c>
      <c r="J70" s="338">
        <v>1602.9066</v>
      </c>
    </row>
    <row r="71" spans="1:10" ht="24">
      <c r="A71" s="335" t="s">
        <v>655</v>
      </c>
      <c r="B71" s="314" t="s">
        <v>672</v>
      </c>
      <c r="C71" s="309" t="s">
        <v>570</v>
      </c>
      <c r="D71" s="309" t="s">
        <v>571</v>
      </c>
      <c r="E71" s="315" t="s">
        <v>700</v>
      </c>
      <c r="F71" s="309" t="s">
        <v>686</v>
      </c>
      <c r="G71" s="309" t="s">
        <v>687</v>
      </c>
      <c r="H71" s="309" t="s">
        <v>571</v>
      </c>
      <c r="I71" s="311">
        <v>36.659999999999997</v>
      </c>
      <c r="J71" s="338">
        <v>45.458399999999997</v>
      </c>
    </row>
    <row r="72" spans="1:10" ht="24">
      <c r="A72" s="335" t="s">
        <v>655</v>
      </c>
      <c r="B72" s="314" t="s">
        <v>674</v>
      </c>
      <c r="C72" s="309" t="s">
        <v>570</v>
      </c>
      <c r="D72" s="309" t="s">
        <v>571</v>
      </c>
      <c r="E72" s="315" t="s">
        <v>701</v>
      </c>
      <c r="F72" s="309" t="s">
        <v>686</v>
      </c>
      <c r="G72" s="309" t="s">
        <v>687</v>
      </c>
      <c r="H72" s="309" t="s">
        <v>571</v>
      </c>
      <c r="I72" s="311">
        <v>37</v>
      </c>
      <c r="J72" s="338">
        <v>1095.94</v>
      </c>
    </row>
    <row r="73" spans="1:10" ht="24">
      <c r="A73" s="335" t="s">
        <v>655</v>
      </c>
      <c r="B73" s="314" t="s">
        <v>676</v>
      </c>
      <c r="C73" s="309" t="s">
        <v>570</v>
      </c>
      <c r="D73" s="309" t="s">
        <v>571</v>
      </c>
      <c r="E73" s="315" t="s">
        <v>702</v>
      </c>
      <c r="F73" s="309" t="s">
        <v>686</v>
      </c>
      <c r="G73" s="309" t="s">
        <v>687</v>
      </c>
      <c r="H73" s="309" t="s">
        <v>571</v>
      </c>
      <c r="I73" s="311">
        <v>37.1</v>
      </c>
      <c r="J73" s="338">
        <v>1187.5709999999999</v>
      </c>
    </row>
    <row r="74" spans="1:10" ht="24">
      <c r="A74" s="334" t="s">
        <v>655</v>
      </c>
      <c r="B74" s="309" t="s">
        <v>678</v>
      </c>
      <c r="C74" s="309" t="s">
        <v>570</v>
      </c>
      <c r="D74" s="309" t="s">
        <v>571</v>
      </c>
      <c r="E74" s="310" t="s">
        <v>703</v>
      </c>
      <c r="F74" s="309" t="s">
        <v>686</v>
      </c>
      <c r="G74" s="309" t="s">
        <v>687</v>
      </c>
      <c r="H74" s="309" t="s">
        <v>571</v>
      </c>
      <c r="I74" s="311">
        <v>33.450000000000003</v>
      </c>
      <c r="J74" s="338">
        <v>757568.57550000004</v>
      </c>
    </row>
    <row r="75" spans="1:10">
      <c r="A75" s="335" t="s">
        <v>655</v>
      </c>
      <c r="B75" s="312" t="s">
        <v>666</v>
      </c>
      <c r="C75" s="309" t="s">
        <v>570</v>
      </c>
      <c r="D75" s="309" t="s">
        <v>571</v>
      </c>
      <c r="E75" s="315" t="s">
        <v>704</v>
      </c>
      <c r="F75" s="314" t="s">
        <v>705</v>
      </c>
      <c r="G75" s="317" t="s">
        <v>706</v>
      </c>
      <c r="H75" s="309" t="s">
        <v>98</v>
      </c>
      <c r="I75" s="311">
        <v>0.6</v>
      </c>
      <c r="J75" s="338">
        <v>685.03200000000004</v>
      </c>
    </row>
    <row r="76" spans="1:10">
      <c r="A76" s="335" t="s">
        <v>655</v>
      </c>
      <c r="B76" s="312"/>
      <c r="C76" s="309" t="s">
        <v>570</v>
      </c>
      <c r="D76" s="309" t="s">
        <v>571</v>
      </c>
      <c r="E76" s="315" t="s">
        <v>707</v>
      </c>
      <c r="F76" s="314" t="s">
        <v>705</v>
      </c>
      <c r="G76" s="317" t="s">
        <v>706</v>
      </c>
      <c r="H76" s="309" t="s">
        <v>98</v>
      </c>
      <c r="I76" s="311">
        <v>0.6</v>
      </c>
      <c r="J76" s="338" t="s">
        <v>36</v>
      </c>
    </row>
    <row r="77" spans="1:10">
      <c r="A77" s="335" t="s">
        <v>655</v>
      </c>
      <c r="B77" s="312"/>
      <c r="C77" s="309" t="s">
        <v>570</v>
      </c>
      <c r="D77" s="309" t="s">
        <v>571</v>
      </c>
      <c r="E77" s="315" t="s">
        <v>708</v>
      </c>
      <c r="F77" s="314" t="s">
        <v>709</v>
      </c>
      <c r="G77" s="317" t="s">
        <v>706</v>
      </c>
      <c r="H77" s="309" t="s">
        <v>98</v>
      </c>
      <c r="I77" s="311">
        <v>0.6</v>
      </c>
      <c r="J77" s="338" t="s">
        <v>36</v>
      </c>
    </row>
    <row r="78" spans="1:10" ht="24">
      <c r="A78" s="334" t="s">
        <v>423</v>
      </c>
      <c r="B78" s="309"/>
      <c r="C78" s="309" t="s">
        <v>570</v>
      </c>
      <c r="D78" s="309" t="s">
        <v>571</v>
      </c>
      <c r="E78" s="310" t="s">
        <v>710</v>
      </c>
      <c r="F78" s="309" t="s">
        <v>711</v>
      </c>
      <c r="G78" s="309" t="s">
        <v>712</v>
      </c>
      <c r="H78" s="309" t="s">
        <v>571</v>
      </c>
      <c r="I78" s="311">
        <v>38</v>
      </c>
      <c r="J78" s="338">
        <v>38</v>
      </c>
    </row>
    <row r="79" spans="1:10" ht="24">
      <c r="A79" s="335" t="s">
        <v>421</v>
      </c>
      <c r="B79" s="312" t="s">
        <v>575</v>
      </c>
      <c r="C79" s="309" t="s">
        <v>570</v>
      </c>
      <c r="D79" s="309" t="s">
        <v>571</v>
      </c>
      <c r="E79" s="310" t="s">
        <v>713</v>
      </c>
      <c r="F79" s="309" t="s">
        <v>711</v>
      </c>
      <c r="G79" s="309" t="s">
        <v>712</v>
      </c>
      <c r="H79" s="309" t="s">
        <v>571</v>
      </c>
      <c r="I79" s="311">
        <v>76.809555462600002</v>
      </c>
      <c r="J79" s="338">
        <v>5691.38</v>
      </c>
    </row>
    <row r="80" spans="1:10" ht="24">
      <c r="A80" s="335" t="s">
        <v>421</v>
      </c>
      <c r="B80" s="312" t="s">
        <v>577</v>
      </c>
      <c r="C80" s="309" t="s">
        <v>570</v>
      </c>
      <c r="D80" s="309" t="s">
        <v>571</v>
      </c>
      <c r="E80" s="310" t="s">
        <v>714</v>
      </c>
      <c r="F80" s="309" t="s">
        <v>711</v>
      </c>
      <c r="G80" s="309" t="s">
        <v>712</v>
      </c>
      <c r="H80" s="309" t="s">
        <v>571</v>
      </c>
      <c r="I80" s="311">
        <v>100.36</v>
      </c>
      <c r="J80" s="338">
        <v>100.36</v>
      </c>
    </row>
    <row r="81" spans="1:10" ht="24">
      <c r="A81" s="335" t="s">
        <v>421</v>
      </c>
      <c r="B81" s="312" t="s">
        <v>579</v>
      </c>
      <c r="C81" s="309" t="s">
        <v>570</v>
      </c>
      <c r="D81" s="309" t="s">
        <v>571</v>
      </c>
      <c r="E81" s="310" t="s">
        <v>715</v>
      </c>
      <c r="F81" s="309" t="s">
        <v>711</v>
      </c>
      <c r="G81" s="309" t="s">
        <v>712</v>
      </c>
      <c r="H81" s="309" t="s">
        <v>571</v>
      </c>
      <c r="I81" s="311">
        <v>39.070324707500006</v>
      </c>
      <c r="J81" s="338">
        <v>31.39</v>
      </c>
    </row>
    <row r="82" spans="1:10" ht="24">
      <c r="A82" s="335" t="s">
        <v>421</v>
      </c>
      <c r="B82" s="312" t="s">
        <v>581</v>
      </c>
      <c r="C82" s="309" t="s">
        <v>570</v>
      </c>
      <c r="D82" s="309" t="s">
        <v>571</v>
      </c>
      <c r="E82" s="310" t="s">
        <v>716</v>
      </c>
      <c r="F82" s="309" t="s">
        <v>711</v>
      </c>
      <c r="G82" s="309" t="s">
        <v>712</v>
      </c>
      <c r="H82" s="309" t="s">
        <v>571</v>
      </c>
      <c r="I82" s="311">
        <v>45.433831053187703</v>
      </c>
      <c r="J82" s="338">
        <v>72.709999999999994</v>
      </c>
    </row>
    <row r="83" spans="1:10" ht="24">
      <c r="A83" s="335" t="s">
        <v>421</v>
      </c>
      <c r="B83" s="312" t="s">
        <v>583</v>
      </c>
      <c r="C83" s="309" t="s">
        <v>570</v>
      </c>
      <c r="D83" s="309" t="s">
        <v>571</v>
      </c>
      <c r="E83" s="310" t="s">
        <v>717</v>
      </c>
      <c r="F83" s="309" t="s">
        <v>711</v>
      </c>
      <c r="G83" s="309" t="s">
        <v>712</v>
      </c>
      <c r="H83" s="309" t="s">
        <v>571</v>
      </c>
      <c r="I83" s="311">
        <v>117.44591353639997</v>
      </c>
      <c r="J83" s="338">
        <v>61418.62</v>
      </c>
    </row>
    <row r="84" spans="1:10" ht="24">
      <c r="A84" s="335" t="s">
        <v>421</v>
      </c>
      <c r="B84" s="312" t="s">
        <v>585</v>
      </c>
      <c r="C84" s="309" t="s">
        <v>570</v>
      </c>
      <c r="D84" s="309" t="s">
        <v>571</v>
      </c>
      <c r="E84" s="310" t="s">
        <v>718</v>
      </c>
      <c r="F84" s="309" t="s">
        <v>711</v>
      </c>
      <c r="G84" s="309" t="s">
        <v>712</v>
      </c>
      <c r="H84" s="309" t="s">
        <v>571</v>
      </c>
      <c r="I84" s="311">
        <v>209.55</v>
      </c>
      <c r="J84" s="338">
        <v>209.55</v>
      </c>
    </row>
    <row r="85" spans="1:10" ht="24">
      <c r="A85" s="335" t="s">
        <v>421</v>
      </c>
      <c r="B85" s="312" t="s">
        <v>719</v>
      </c>
      <c r="C85" s="309" t="s">
        <v>570</v>
      </c>
      <c r="D85" s="309" t="s">
        <v>571</v>
      </c>
      <c r="E85" s="310" t="s">
        <v>720</v>
      </c>
      <c r="F85" s="309" t="s">
        <v>711</v>
      </c>
      <c r="G85" s="309" t="s">
        <v>712</v>
      </c>
      <c r="H85" s="309" t="s">
        <v>571</v>
      </c>
      <c r="I85" s="311">
        <v>276.31682259879994</v>
      </c>
      <c r="J85" s="338">
        <v>144500.54</v>
      </c>
    </row>
    <row r="86" spans="1:10" ht="24">
      <c r="A86" s="335" t="s">
        <v>421</v>
      </c>
      <c r="B86" s="312" t="s">
        <v>587</v>
      </c>
      <c r="C86" s="309" t="s">
        <v>570</v>
      </c>
      <c r="D86" s="309" t="s">
        <v>571</v>
      </c>
      <c r="E86" s="310" t="s">
        <v>721</v>
      </c>
      <c r="F86" s="309" t="s">
        <v>711</v>
      </c>
      <c r="G86" s="309" t="s">
        <v>712</v>
      </c>
      <c r="H86" s="309" t="s">
        <v>571</v>
      </c>
      <c r="I86" s="311">
        <v>13.34</v>
      </c>
      <c r="J86" s="338">
        <v>271.37</v>
      </c>
    </row>
    <row r="87" spans="1:10" ht="24">
      <c r="A87" s="335" t="s">
        <v>421</v>
      </c>
      <c r="B87" s="312" t="s">
        <v>589</v>
      </c>
      <c r="C87" s="309" t="s">
        <v>570</v>
      </c>
      <c r="D87" s="309" t="s">
        <v>571</v>
      </c>
      <c r="E87" s="310" t="s">
        <v>722</v>
      </c>
      <c r="F87" s="309" t="s">
        <v>711</v>
      </c>
      <c r="G87" s="309" t="s">
        <v>712</v>
      </c>
      <c r="H87" s="309" t="s">
        <v>571</v>
      </c>
      <c r="I87" s="311">
        <v>35.313682400699996</v>
      </c>
      <c r="J87" s="338">
        <v>251.61</v>
      </c>
    </row>
    <row r="88" spans="1:10" ht="24">
      <c r="A88" s="335" t="s">
        <v>421</v>
      </c>
      <c r="B88" s="312" t="s">
        <v>591</v>
      </c>
      <c r="C88" s="309" t="s">
        <v>570</v>
      </c>
      <c r="D88" s="309" t="s">
        <v>571</v>
      </c>
      <c r="E88" s="310" t="s">
        <v>723</v>
      </c>
      <c r="F88" s="309" t="s">
        <v>711</v>
      </c>
      <c r="G88" s="309" t="s">
        <v>712</v>
      </c>
      <c r="H88" s="309" t="s">
        <v>571</v>
      </c>
      <c r="I88" s="311">
        <v>120.3724467175</v>
      </c>
      <c r="J88" s="338">
        <v>96.71</v>
      </c>
    </row>
    <row r="89" spans="1:10" ht="24">
      <c r="A89" s="335" t="s">
        <v>421</v>
      </c>
      <c r="B89" s="312" t="s">
        <v>724</v>
      </c>
      <c r="C89" s="309" t="s">
        <v>570</v>
      </c>
      <c r="D89" s="309" t="s">
        <v>571</v>
      </c>
      <c r="E89" s="310" t="s">
        <v>725</v>
      </c>
      <c r="F89" s="309" t="s">
        <v>711</v>
      </c>
      <c r="G89" s="309" t="s">
        <v>712</v>
      </c>
      <c r="H89" s="309" t="s">
        <v>571</v>
      </c>
      <c r="I89" s="311">
        <v>120.05672486899996</v>
      </c>
      <c r="J89" s="338">
        <v>62783.95</v>
      </c>
    </row>
    <row r="90" spans="1:10" ht="24">
      <c r="A90" s="335" t="s">
        <v>421</v>
      </c>
      <c r="B90" s="312" t="s">
        <v>593</v>
      </c>
      <c r="C90" s="309" t="s">
        <v>570</v>
      </c>
      <c r="D90" s="309" t="s">
        <v>571</v>
      </c>
      <c r="E90" s="310" t="s">
        <v>726</v>
      </c>
      <c r="F90" s="309" t="s">
        <v>711</v>
      </c>
      <c r="G90" s="309" t="s">
        <v>712</v>
      </c>
      <c r="H90" s="309" t="s">
        <v>571</v>
      </c>
      <c r="I90" s="311">
        <v>170.14696997499999</v>
      </c>
      <c r="J90" s="338">
        <v>136.69999999999999</v>
      </c>
    </row>
    <row r="91" spans="1:10" ht="24">
      <c r="A91" s="335" t="s">
        <v>421</v>
      </c>
      <c r="B91" s="312" t="s">
        <v>595</v>
      </c>
      <c r="C91" s="309" t="s">
        <v>570</v>
      </c>
      <c r="D91" s="309" t="s">
        <v>571</v>
      </c>
      <c r="E91" s="310" t="s">
        <v>727</v>
      </c>
      <c r="F91" s="309" t="s">
        <v>711</v>
      </c>
      <c r="G91" s="309" t="s">
        <v>712</v>
      </c>
      <c r="H91" s="309" t="s">
        <v>571</v>
      </c>
      <c r="I91" s="311">
        <v>18.052907951060515</v>
      </c>
      <c r="J91" s="338">
        <v>4201.91</v>
      </c>
    </row>
    <row r="92" spans="1:10" ht="24">
      <c r="A92" s="335" t="s">
        <v>421</v>
      </c>
      <c r="B92" s="312" t="s">
        <v>597</v>
      </c>
      <c r="C92" s="309" t="s">
        <v>570</v>
      </c>
      <c r="D92" s="309" t="s">
        <v>571</v>
      </c>
      <c r="E92" s="310" t="s">
        <v>728</v>
      </c>
      <c r="F92" s="309" t="s">
        <v>711</v>
      </c>
      <c r="G92" s="309" t="s">
        <v>712</v>
      </c>
      <c r="H92" s="309" t="s">
        <v>571</v>
      </c>
      <c r="I92" s="311">
        <v>14.164392965000003</v>
      </c>
      <c r="J92" s="338">
        <v>11.38</v>
      </c>
    </row>
    <row r="93" spans="1:10" ht="24">
      <c r="A93" s="335" t="s">
        <v>421</v>
      </c>
      <c r="B93" s="312" t="s">
        <v>599</v>
      </c>
      <c r="C93" s="309" t="s">
        <v>570</v>
      </c>
      <c r="D93" s="309" t="s">
        <v>571</v>
      </c>
      <c r="E93" s="310" t="s">
        <v>729</v>
      </c>
      <c r="F93" s="309" t="s">
        <v>711</v>
      </c>
      <c r="G93" s="309" t="s">
        <v>712</v>
      </c>
      <c r="H93" s="309" t="s">
        <v>571</v>
      </c>
      <c r="I93" s="311">
        <v>162.48200732043429</v>
      </c>
      <c r="J93" s="338">
        <v>651.4</v>
      </c>
    </row>
    <row r="94" spans="1:10" ht="24">
      <c r="A94" s="335" t="s">
        <v>421</v>
      </c>
      <c r="B94" s="312" t="s">
        <v>601</v>
      </c>
      <c r="C94" s="309" t="s">
        <v>570</v>
      </c>
      <c r="D94" s="309" t="s">
        <v>571</v>
      </c>
      <c r="E94" s="310" t="s">
        <v>730</v>
      </c>
      <c r="F94" s="309" t="s">
        <v>711</v>
      </c>
      <c r="G94" s="309" t="s">
        <v>712</v>
      </c>
      <c r="H94" s="309" t="s">
        <v>571</v>
      </c>
      <c r="I94" s="311">
        <v>137.07597515250001</v>
      </c>
      <c r="J94" s="338">
        <v>110.13</v>
      </c>
    </row>
    <row r="95" spans="1:10" ht="24">
      <c r="A95" s="335" t="s">
        <v>421</v>
      </c>
      <c r="B95" s="312" t="s">
        <v>603</v>
      </c>
      <c r="C95" s="309" t="s">
        <v>570</v>
      </c>
      <c r="D95" s="309" t="s">
        <v>571</v>
      </c>
      <c r="E95" s="310" t="s">
        <v>731</v>
      </c>
      <c r="F95" s="309" t="s">
        <v>711</v>
      </c>
      <c r="G95" s="309" t="s">
        <v>712</v>
      </c>
      <c r="H95" s="309" t="s">
        <v>571</v>
      </c>
      <c r="I95" s="311">
        <v>104.41540957000001</v>
      </c>
      <c r="J95" s="338">
        <v>76.040000000000006</v>
      </c>
    </row>
    <row r="96" spans="1:10" ht="24">
      <c r="A96" s="335" t="s">
        <v>421</v>
      </c>
      <c r="B96" s="312" t="s">
        <v>605</v>
      </c>
      <c r="C96" s="309" t="s">
        <v>570</v>
      </c>
      <c r="D96" s="309" t="s">
        <v>571</v>
      </c>
      <c r="E96" s="310" t="s">
        <v>732</v>
      </c>
      <c r="F96" s="309" t="s">
        <v>711</v>
      </c>
      <c r="G96" s="309" t="s">
        <v>712</v>
      </c>
      <c r="H96" s="309" t="s">
        <v>571</v>
      </c>
      <c r="I96" s="311">
        <v>73.391123584000013</v>
      </c>
      <c r="J96" s="338">
        <v>10905.2</v>
      </c>
    </row>
    <row r="97" spans="1:10" ht="24">
      <c r="A97" s="335" t="s">
        <v>421</v>
      </c>
      <c r="B97" s="312" t="s">
        <v>607</v>
      </c>
      <c r="C97" s="309" t="s">
        <v>570</v>
      </c>
      <c r="D97" s="309" t="s">
        <v>571</v>
      </c>
      <c r="E97" s="310" t="s">
        <v>733</v>
      </c>
      <c r="F97" s="309" t="s">
        <v>711</v>
      </c>
      <c r="G97" s="309" t="s">
        <v>712</v>
      </c>
      <c r="H97" s="309" t="s">
        <v>571</v>
      </c>
      <c r="I97" s="311">
        <v>191.1457848645</v>
      </c>
      <c r="J97" s="338">
        <v>17465.95</v>
      </c>
    </row>
    <row r="98" spans="1:10" ht="24">
      <c r="A98" s="335" t="s">
        <v>421</v>
      </c>
      <c r="B98" s="312" t="s">
        <v>609</v>
      </c>
      <c r="C98" s="309" t="s">
        <v>570</v>
      </c>
      <c r="D98" s="309" t="s">
        <v>571</v>
      </c>
      <c r="E98" s="310" t="s">
        <v>734</v>
      </c>
      <c r="F98" s="309" t="s">
        <v>711</v>
      </c>
      <c r="G98" s="309" t="s">
        <v>712</v>
      </c>
      <c r="H98" s="309" t="s">
        <v>571</v>
      </c>
      <c r="I98" s="311">
        <v>215.39124497800003</v>
      </c>
      <c r="J98" s="338">
        <v>59.98</v>
      </c>
    </row>
    <row r="99" spans="1:10" ht="24">
      <c r="A99" s="335" t="s">
        <v>421</v>
      </c>
      <c r="B99" s="312" t="s">
        <v>735</v>
      </c>
      <c r="C99" s="309" t="s">
        <v>570</v>
      </c>
      <c r="D99" s="309" t="s">
        <v>571</v>
      </c>
      <c r="E99" s="310" t="s">
        <v>736</v>
      </c>
      <c r="F99" s="309" t="s">
        <v>711</v>
      </c>
      <c r="G99" s="309" t="s">
        <v>712</v>
      </c>
      <c r="H99" s="309" t="s">
        <v>571</v>
      </c>
      <c r="I99" s="311">
        <v>57.462267172800004</v>
      </c>
      <c r="J99" s="338">
        <v>91541.24</v>
      </c>
    </row>
    <row r="100" spans="1:10" ht="24">
      <c r="A100" s="335" t="s">
        <v>421</v>
      </c>
      <c r="B100" s="312" t="s">
        <v>611</v>
      </c>
      <c r="C100" s="309" t="s">
        <v>570</v>
      </c>
      <c r="D100" s="309" t="s">
        <v>571</v>
      </c>
      <c r="E100" s="310" t="s">
        <v>737</v>
      </c>
      <c r="F100" s="309" t="s">
        <v>711</v>
      </c>
      <c r="G100" s="309" t="s">
        <v>712</v>
      </c>
      <c r="H100" s="309" t="s">
        <v>571</v>
      </c>
      <c r="I100" s="311">
        <v>44.770932772500004</v>
      </c>
      <c r="J100" s="338">
        <v>35.97</v>
      </c>
    </row>
    <row r="101" spans="1:10" ht="24">
      <c r="A101" s="335" t="s">
        <v>421</v>
      </c>
      <c r="B101" s="312" t="s">
        <v>613</v>
      </c>
      <c r="C101" s="309" t="s">
        <v>570</v>
      </c>
      <c r="D101" s="309" t="s">
        <v>571</v>
      </c>
      <c r="E101" s="310" t="s">
        <v>738</v>
      </c>
      <c r="F101" s="309" t="s">
        <v>711</v>
      </c>
      <c r="G101" s="309" t="s">
        <v>712</v>
      </c>
      <c r="H101" s="309" t="s">
        <v>571</v>
      </c>
      <c r="I101" s="311">
        <v>189.54364834560005</v>
      </c>
      <c r="J101" s="338">
        <v>1659.36</v>
      </c>
    </row>
    <row r="102" spans="1:10" ht="24">
      <c r="A102" s="335" t="s">
        <v>421</v>
      </c>
      <c r="B102" s="312" t="s">
        <v>615</v>
      </c>
      <c r="C102" s="309" t="s">
        <v>570</v>
      </c>
      <c r="D102" s="309" t="s">
        <v>571</v>
      </c>
      <c r="E102" s="310" t="s">
        <v>739</v>
      </c>
      <c r="F102" s="309" t="s">
        <v>711</v>
      </c>
      <c r="G102" s="309" t="s">
        <v>712</v>
      </c>
      <c r="H102" s="309" t="s">
        <v>571</v>
      </c>
      <c r="I102" s="311">
        <v>46.189861417500005</v>
      </c>
      <c r="J102" s="338">
        <v>37.11</v>
      </c>
    </row>
    <row r="103" spans="1:10" ht="24">
      <c r="A103" s="335" t="s">
        <v>421</v>
      </c>
      <c r="B103" s="312" t="s">
        <v>617</v>
      </c>
      <c r="C103" s="309" t="s">
        <v>570</v>
      </c>
      <c r="D103" s="309" t="s">
        <v>571</v>
      </c>
      <c r="E103" s="310" t="s">
        <v>740</v>
      </c>
      <c r="F103" s="309" t="s">
        <v>711</v>
      </c>
      <c r="G103" s="309" t="s">
        <v>712</v>
      </c>
      <c r="H103" s="309" t="s">
        <v>571</v>
      </c>
      <c r="I103" s="311">
        <v>65.683681950600018</v>
      </c>
      <c r="J103" s="338">
        <v>11346.86</v>
      </c>
    </row>
    <row r="104" spans="1:10" ht="24">
      <c r="A104" s="335" t="s">
        <v>421</v>
      </c>
      <c r="B104" s="312" t="s">
        <v>619</v>
      </c>
      <c r="C104" s="309" t="s">
        <v>570</v>
      </c>
      <c r="D104" s="309" t="s">
        <v>571</v>
      </c>
      <c r="E104" s="310" t="s">
        <v>741</v>
      </c>
      <c r="F104" s="309" t="s">
        <v>711</v>
      </c>
      <c r="G104" s="309" t="s">
        <v>712</v>
      </c>
      <c r="H104" s="309" t="s">
        <v>571</v>
      </c>
      <c r="I104" s="311">
        <v>14.301451701049041</v>
      </c>
      <c r="J104" s="338">
        <v>1460.24</v>
      </c>
    </row>
    <row r="105" spans="1:10" ht="24">
      <c r="A105" s="335" t="s">
        <v>421</v>
      </c>
      <c r="B105" s="312" t="s">
        <v>621</v>
      </c>
      <c r="C105" s="309" t="s">
        <v>570</v>
      </c>
      <c r="D105" s="309" t="s">
        <v>571</v>
      </c>
      <c r="E105" s="310" t="s">
        <v>742</v>
      </c>
      <c r="F105" s="309" t="s">
        <v>711</v>
      </c>
      <c r="G105" s="309" t="s">
        <v>712</v>
      </c>
      <c r="H105" s="309" t="s">
        <v>571</v>
      </c>
      <c r="I105" s="311">
        <v>18.476623842001924</v>
      </c>
      <c r="J105" s="338">
        <v>62.69</v>
      </c>
    </row>
    <row r="106" spans="1:10" ht="24">
      <c r="A106" s="335" t="s">
        <v>421</v>
      </c>
      <c r="B106" s="312" t="s">
        <v>743</v>
      </c>
      <c r="C106" s="309" t="s">
        <v>570</v>
      </c>
      <c r="D106" s="309" t="s">
        <v>571</v>
      </c>
      <c r="E106" s="310" t="s">
        <v>744</v>
      </c>
      <c r="F106" s="309" t="s">
        <v>711</v>
      </c>
      <c r="G106" s="309" t="s">
        <v>712</v>
      </c>
      <c r="H106" s="309" t="s">
        <v>571</v>
      </c>
      <c r="I106" s="311">
        <v>111.82153462000001</v>
      </c>
      <c r="J106" s="338">
        <v>89.84</v>
      </c>
    </row>
    <row r="107" spans="1:10" ht="24">
      <c r="A107" s="335" t="s">
        <v>421</v>
      </c>
      <c r="B107" s="312" t="s">
        <v>745</v>
      </c>
      <c r="C107" s="309" t="s">
        <v>570</v>
      </c>
      <c r="D107" s="309" t="s">
        <v>571</v>
      </c>
      <c r="E107" s="310" t="s">
        <v>746</v>
      </c>
      <c r="F107" s="309" t="s">
        <v>711</v>
      </c>
      <c r="G107" s="309" t="s">
        <v>712</v>
      </c>
      <c r="H107" s="309" t="s">
        <v>571</v>
      </c>
      <c r="I107" s="311">
        <v>236.31</v>
      </c>
      <c r="J107" s="338">
        <v>236.31</v>
      </c>
    </row>
    <row r="108" spans="1:10" ht="24">
      <c r="A108" s="335" t="s">
        <v>421</v>
      </c>
      <c r="B108" s="312" t="s">
        <v>623</v>
      </c>
      <c r="C108" s="309" t="s">
        <v>570</v>
      </c>
      <c r="D108" s="309" t="s">
        <v>571</v>
      </c>
      <c r="E108" s="310" t="s">
        <v>747</v>
      </c>
      <c r="F108" s="309" t="s">
        <v>711</v>
      </c>
      <c r="G108" s="309" t="s">
        <v>712</v>
      </c>
      <c r="H108" s="309" t="s">
        <v>571</v>
      </c>
      <c r="I108" s="311">
        <v>19.82453231357864</v>
      </c>
      <c r="J108" s="338">
        <v>77.17</v>
      </c>
    </row>
    <row r="109" spans="1:10" ht="24">
      <c r="A109" s="335" t="s">
        <v>421</v>
      </c>
      <c r="B109" s="312" t="s">
        <v>625</v>
      </c>
      <c r="C109" s="309" t="s">
        <v>570</v>
      </c>
      <c r="D109" s="309" t="s">
        <v>571</v>
      </c>
      <c r="E109" s="310" t="s">
        <v>748</v>
      </c>
      <c r="F109" s="309" t="s">
        <v>711</v>
      </c>
      <c r="G109" s="309" t="s">
        <v>712</v>
      </c>
      <c r="H109" s="309" t="s">
        <v>571</v>
      </c>
      <c r="I109" s="311">
        <v>15.126173694993362</v>
      </c>
      <c r="J109" s="338">
        <v>511.72</v>
      </c>
    </row>
    <row r="110" spans="1:10" ht="24">
      <c r="A110" s="335" t="s">
        <v>421</v>
      </c>
      <c r="B110" s="314" t="s">
        <v>627</v>
      </c>
      <c r="C110" s="309" t="s">
        <v>570</v>
      </c>
      <c r="D110" s="309" t="s">
        <v>571</v>
      </c>
      <c r="E110" s="313" t="s">
        <v>749</v>
      </c>
      <c r="F110" s="309" t="s">
        <v>711</v>
      </c>
      <c r="G110" s="309" t="s">
        <v>712</v>
      </c>
      <c r="H110" s="309" t="s">
        <v>571</v>
      </c>
      <c r="I110" s="311">
        <v>209.46966530519995</v>
      </c>
      <c r="J110" s="338">
        <v>109542.66</v>
      </c>
    </row>
    <row r="111" spans="1:10" ht="24">
      <c r="A111" s="335" t="s">
        <v>421</v>
      </c>
      <c r="B111" s="312" t="s">
        <v>629</v>
      </c>
      <c r="C111" s="309" t="s">
        <v>570</v>
      </c>
      <c r="D111" s="309" t="s">
        <v>571</v>
      </c>
      <c r="E111" s="310" t="s">
        <v>750</v>
      </c>
      <c r="F111" s="309" t="s">
        <v>711</v>
      </c>
      <c r="G111" s="309" t="s">
        <v>712</v>
      </c>
      <c r="H111" s="309" t="s">
        <v>571</v>
      </c>
      <c r="I111" s="311">
        <v>25.814543945</v>
      </c>
      <c r="J111" s="338">
        <v>20.74</v>
      </c>
    </row>
    <row r="112" spans="1:10" ht="24">
      <c r="A112" s="335" t="s">
        <v>421</v>
      </c>
      <c r="B112" s="312" t="s">
        <v>631</v>
      </c>
      <c r="C112" s="309" t="s">
        <v>570</v>
      </c>
      <c r="D112" s="309" t="s">
        <v>571</v>
      </c>
      <c r="E112" s="310" t="s">
        <v>751</v>
      </c>
      <c r="F112" s="309" t="s">
        <v>711</v>
      </c>
      <c r="G112" s="309" t="s">
        <v>712</v>
      </c>
      <c r="H112" s="309" t="s">
        <v>571</v>
      </c>
      <c r="I112" s="311">
        <v>115.05645854344186</v>
      </c>
      <c r="J112" s="338">
        <v>978.98</v>
      </c>
    </row>
    <row r="113" spans="1:10" ht="24">
      <c r="A113" s="335" t="s">
        <v>421</v>
      </c>
      <c r="B113" s="312" t="s">
        <v>633</v>
      </c>
      <c r="C113" s="309" t="s">
        <v>570</v>
      </c>
      <c r="D113" s="309" t="s">
        <v>571</v>
      </c>
      <c r="E113" s="310" t="s">
        <v>752</v>
      </c>
      <c r="F113" s="309" t="s">
        <v>711</v>
      </c>
      <c r="G113" s="309" t="s">
        <v>712</v>
      </c>
      <c r="H113" s="309" t="s">
        <v>571</v>
      </c>
      <c r="I113" s="311">
        <v>122.51328642750002</v>
      </c>
      <c r="J113" s="338">
        <v>98.43</v>
      </c>
    </row>
    <row r="114" spans="1:10" ht="24">
      <c r="A114" s="335" t="s">
        <v>421</v>
      </c>
      <c r="B114" s="312" t="s">
        <v>635</v>
      </c>
      <c r="C114" s="309" t="s">
        <v>570</v>
      </c>
      <c r="D114" s="309" t="s">
        <v>571</v>
      </c>
      <c r="E114" s="310" t="s">
        <v>753</v>
      </c>
      <c r="F114" s="309" t="s">
        <v>711</v>
      </c>
      <c r="G114" s="309" t="s">
        <v>712</v>
      </c>
      <c r="H114" s="309" t="s">
        <v>571</v>
      </c>
      <c r="I114" s="311">
        <v>80.343722837499996</v>
      </c>
      <c r="J114" s="338">
        <v>64.55</v>
      </c>
    </row>
    <row r="115" spans="1:10" ht="24">
      <c r="A115" s="335" t="s">
        <v>421</v>
      </c>
      <c r="B115" s="312" t="s">
        <v>637</v>
      </c>
      <c r="C115" s="309" t="s">
        <v>570</v>
      </c>
      <c r="D115" s="309" t="s">
        <v>571</v>
      </c>
      <c r="E115" s="310" t="s">
        <v>754</v>
      </c>
      <c r="F115" s="309" t="s">
        <v>711</v>
      </c>
      <c r="G115" s="309" t="s">
        <v>712</v>
      </c>
      <c r="H115" s="309" t="s">
        <v>571</v>
      </c>
      <c r="I115" s="311">
        <v>117.14669710791667</v>
      </c>
      <c r="J115" s="338">
        <v>121.99</v>
      </c>
    </row>
    <row r="116" spans="1:10" ht="24">
      <c r="A116" s="335" t="s">
        <v>421</v>
      </c>
      <c r="B116" s="312" t="s">
        <v>639</v>
      </c>
      <c r="C116" s="309" t="s">
        <v>570</v>
      </c>
      <c r="D116" s="309" t="s">
        <v>571</v>
      </c>
      <c r="E116" s="310" t="s">
        <v>755</v>
      </c>
      <c r="F116" s="309" t="s">
        <v>711</v>
      </c>
      <c r="G116" s="309" t="s">
        <v>712</v>
      </c>
      <c r="H116" s="309" t="s">
        <v>571</v>
      </c>
      <c r="I116" s="311">
        <v>202.1335545933</v>
      </c>
      <c r="J116" s="338">
        <v>348885.09</v>
      </c>
    </row>
    <row r="117" spans="1:10" ht="24">
      <c r="A117" s="335" t="s">
        <v>421</v>
      </c>
      <c r="B117" s="312" t="s">
        <v>641</v>
      </c>
      <c r="C117" s="309" t="s">
        <v>570</v>
      </c>
      <c r="D117" s="309" t="s">
        <v>571</v>
      </c>
      <c r="E117" s="310" t="s">
        <v>756</v>
      </c>
      <c r="F117" s="309" t="s">
        <v>711</v>
      </c>
      <c r="G117" s="309" t="s">
        <v>712</v>
      </c>
      <c r="H117" s="309" t="s">
        <v>571</v>
      </c>
      <c r="I117" s="311">
        <v>159.7727702052</v>
      </c>
      <c r="J117" s="338">
        <v>248.91</v>
      </c>
    </row>
    <row r="118" spans="1:10" ht="24">
      <c r="A118" s="335" t="s">
        <v>421</v>
      </c>
      <c r="B118" s="312" t="s">
        <v>643</v>
      </c>
      <c r="C118" s="309" t="s">
        <v>570</v>
      </c>
      <c r="D118" s="309" t="s">
        <v>571</v>
      </c>
      <c r="E118" s="310" t="s">
        <v>757</v>
      </c>
      <c r="F118" s="309" t="s">
        <v>711</v>
      </c>
      <c r="G118" s="309" t="s">
        <v>712</v>
      </c>
      <c r="H118" s="309" t="s">
        <v>571</v>
      </c>
      <c r="I118" s="311">
        <v>26.96790276303917</v>
      </c>
      <c r="J118" s="338">
        <v>50.51</v>
      </c>
    </row>
    <row r="119" spans="1:10" ht="24">
      <c r="A119" s="335" t="s">
        <v>421</v>
      </c>
      <c r="B119" s="312" t="s">
        <v>645</v>
      </c>
      <c r="C119" s="309" t="s">
        <v>570</v>
      </c>
      <c r="D119" s="309" t="s">
        <v>571</v>
      </c>
      <c r="E119" s="310" t="s">
        <v>758</v>
      </c>
      <c r="F119" s="309" t="s">
        <v>711</v>
      </c>
      <c r="G119" s="309" t="s">
        <v>712</v>
      </c>
      <c r="H119" s="309" t="s">
        <v>571</v>
      </c>
      <c r="I119" s="311">
        <v>61.804641601499988</v>
      </c>
      <c r="J119" s="338">
        <v>227.01</v>
      </c>
    </row>
    <row r="120" spans="1:10" ht="24">
      <c r="A120" s="335" t="s">
        <v>421</v>
      </c>
      <c r="B120" s="312" t="s">
        <v>647</v>
      </c>
      <c r="C120" s="309" t="s">
        <v>570</v>
      </c>
      <c r="D120" s="309" t="s">
        <v>571</v>
      </c>
      <c r="E120" s="310" t="s">
        <v>759</v>
      </c>
      <c r="F120" s="309" t="s">
        <v>711</v>
      </c>
      <c r="G120" s="309" t="s">
        <v>712</v>
      </c>
      <c r="H120" s="309" t="s">
        <v>571</v>
      </c>
      <c r="I120" s="311">
        <v>147.72754451520001</v>
      </c>
      <c r="J120" s="338">
        <v>410685.12</v>
      </c>
    </row>
    <row r="121" spans="1:10" ht="24">
      <c r="A121" s="335" t="s">
        <v>421</v>
      </c>
      <c r="B121" s="312" t="s">
        <v>649</v>
      </c>
      <c r="C121" s="309" t="s">
        <v>570</v>
      </c>
      <c r="D121" s="309" t="s">
        <v>571</v>
      </c>
      <c r="E121" s="310" t="s">
        <v>760</v>
      </c>
      <c r="F121" s="309" t="s">
        <v>711</v>
      </c>
      <c r="G121" s="309" t="s">
        <v>712</v>
      </c>
      <c r="H121" s="309" t="s">
        <v>571</v>
      </c>
      <c r="I121" s="311">
        <v>43.893035103399995</v>
      </c>
      <c r="J121" s="338">
        <v>393.94</v>
      </c>
    </row>
    <row r="122" spans="1:10" ht="24">
      <c r="A122" s="335" t="s">
        <v>421</v>
      </c>
      <c r="B122" s="312" t="s">
        <v>651</v>
      </c>
      <c r="C122" s="309" t="s">
        <v>570</v>
      </c>
      <c r="D122" s="309" t="s">
        <v>571</v>
      </c>
      <c r="E122" s="310" t="s">
        <v>761</v>
      </c>
      <c r="F122" s="309" t="s">
        <v>711</v>
      </c>
      <c r="G122" s="309" t="s">
        <v>712</v>
      </c>
      <c r="H122" s="309" t="s">
        <v>571</v>
      </c>
      <c r="I122" s="311">
        <v>31.2697425</v>
      </c>
      <c r="J122" s="338">
        <v>20</v>
      </c>
    </row>
    <row r="123" spans="1:10" ht="24">
      <c r="A123" s="335" t="s">
        <v>421</v>
      </c>
      <c r="B123" s="312" t="s">
        <v>653</v>
      </c>
      <c r="C123" s="309" t="s">
        <v>570</v>
      </c>
      <c r="D123" s="309" t="s">
        <v>571</v>
      </c>
      <c r="E123" s="310" t="s">
        <v>762</v>
      </c>
      <c r="F123" s="309" t="s">
        <v>711</v>
      </c>
      <c r="G123" s="309" t="s">
        <v>712</v>
      </c>
      <c r="H123" s="309" t="s">
        <v>571</v>
      </c>
      <c r="I123" s="311">
        <v>285.5764630777</v>
      </c>
      <c r="J123" s="338">
        <v>1586447.77</v>
      </c>
    </row>
    <row r="124" spans="1:10" ht="24">
      <c r="A124" s="335" t="s">
        <v>655</v>
      </c>
      <c r="B124" s="314" t="s">
        <v>656</v>
      </c>
      <c r="C124" s="309" t="s">
        <v>570</v>
      </c>
      <c r="D124" s="309" t="s">
        <v>571</v>
      </c>
      <c r="E124" s="315" t="s">
        <v>763</v>
      </c>
      <c r="F124" s="309" t="s">
        <v>711</v>
      </c>
      <c r="G124" s="309" t="s">
        <v>712</v>
      </c>
      <c r="H124" s="309" t="s">
        <v>571</v>
      </c>
      <c r="I124" s="311">
        <v>14.72</v>
      </c>
      <c r="J124" s="338">
        <v>14.2784</v>
      </c>
    </row>
    <row r="125" spans="1:10" ht="24">
      <c r="A125" s="335" t="s">
        <v>655</v>
      </c>
      <c r="B125" s="314" t="s">
        <v>658</v>
      </c>
      <c r="C125" s="309" t="s">
        <v>570</v>
      </c>
      <c r="D125" s="309" t="s">
        <v>571</v>
      </c>
      <c r="E125" s="315" t="s">
        <v>764</v>
      </c>
      <c r="F125" s="309" t="s">
        <v>711</v>
      </c>
      <c r="G125" s="309" t="s">
        <v>712</v>
      </c>
      <c r="H125" s="309" t="s">
        <v>571</v>
      </c>
      <c r="I125" s="311">
        <v>14.48</v>
      </c>
      <c r="J125" s="338">
        <v>92.961600000000004</v>
      </c>
    </row>
    <row r="126" spans="1:10" ht="24">
      <c r="A126" s="335" t="s">
        <v>655</v>
      </c>
      <c r="B126" s="314" t="s">
        <v>660</v>
      </c>
      <c r="C126" s="309" t="s">
        <v>570</v>
      </c>
      <c r="D126" s="309" t="s">
        <v>571</v>
      </c>
      <c r="E126" s="315" t="s">
        <v>765</v>
      </c>
      <c r="F126" s="309" t="s">
        <v>711</v>
      </c>
      <c r="G126" s="309" t="s">
        <v>712</v>
      </c>
      <c r="H126" s="309" t="s">
        <v>571</v>
      </c>
      <c r="I126" s="311">
        <v>13.41</v>
      </c>
      <c r="J126" s="338">
        <v>103.92749999999999</v>
      </c>
    </row>
    <row r="127" spans="1:10" ht="24">
      <c r="A127" s="335" t="s">
        <v>655</v>
      </c>
      <c r="B127" s="314" t="s">
        <v>662</v>
      </c>
      <c r="C127" s="309" t="s">
        <v>570</v>
      </c>
      <c r="D127" s="309" t="s">
        <v>571</v>
      </c>
      <c r="E127" s="315" t="s">
        <v>766</v>
      </c>
      <c r="F127" s="309" t="s">
        <v>711</v>
      </c>
      <c r="G127" s="309" t="s">
        <v>712</v>
      </c>
      <c r="H127" s="309" t="s">
        <v>571</v>
      </c>
      <c r="I127" s="311">
        <v>17.16</v>
      </c>
      <c r="J127" s="338">
        <v>1005.9191999999999</v>
      </c>
    </row>
    <row r="128" spans="1:10" ht="24">
      <c r="A128" s="335" t="s">
        <v>655</v>
      </c>
      <c r="B128" s="314" t="s">
        <v>664</v>
      </c>
      <c r="C128" s="309" t="s">
        <v>570</v>
      </c>
      <c r="D128" s="309" t="s">
        <v>571</v>
      </c>
      <c r="E128" s="315" t="s">
        <v>767</v>
      </c>
      <c r="F128" s="309" t="s">
        <v>711</v>
      </c>
      <c r="G128" s="309" t="s">
        <v>712</v>
      </c>
      <c r="H128" s="309" t="s">
        <v>571</v>
      </c>
      <c r="I128" s="311">
        <v>16.18</v>
      </c>
      <c r="J128" s="338">
        <v>159986.70740000001</v>
      </c>
    </row>
    <row r="129" spans="1:10" ht="24">
      <c r="A129" s="335" t="s">
        <v>655</v>
      </c>
      <c r="B129" s="314" t="s">
        <v>666</v>
      </c>
      <c r="C129" s="309" t="s">
        <v>570</v>
      </c>
      <c r="D129" s="309" t="s">
        <v>571</v>
      </c>
      <c r="E129" s="315" t="s">
        <v>768</v>
      </c>
      <c r="F129" s="309" t="s">
        <v>711</v>
      </c>
      <c r="G129" s="309" t="s">
        <v>712</v>
      </c>
      <c r="H129" s="309" t="s">
        <v>571</v>
      </c>
      <c r="I129" s="311">
        <v>14.27</v>
      </c>
      <c r="J129" s="338">
        <v>16292.3444</v>
      </c>
    </row>
    <row r="130" spans="1:10" ht="24">
      <c r="A130" s="335" t="s">
        <v>655</v>
      </c>
      <c r="B130" s="314" t="s">
        <v>668</v>
      </c>
      <c r="C130" s="309" t="s">
        <v>570</v>
      </c>
      <c r="D130" s="309" t="s">
        <v>571</v>
      </c>
      <c r="E130" s="315" t="s">
        <v>769</v>
      </c>
      <c r="F130" s="309" t="s">
        <v>711</v>
      </c>
      <c r="G130" s="309" t="s">
        <v>712</v>
      </c>
      <c r="H130" s="309" t="s">
        <v>571</v>
      </c>
      <c r="I130" s="311">
        <v>14.08</v>
      </c>
      <c r="J130" s="338">
        <v>44.492800000000003</v>
      </c>
    </row>
    <row r="131" spans="1:10" ht="24">
      <c r="A131" s="335" t="s">
        <v>655</v>
      </c>
      <c r="B131" s="314" t="s">
        <v>670</v>
      </c>
      <c r="C131" s="309" t="s">
        <v>570</v>
      </c>
      <c r="D131" s="309" t="s">
        <v>571</v>
      </c>
      <c r="E131" s="315" t="s">
        <v>770</v>
      </c>
      <c r="F131" s="309" t="s">
        <v>711</v>
      </c>
      <c r="G131" s="309" t="s">
        <v>712</v>
      </c>
      <c r="H131" s="309" t="s">
        <v>571</v>
      </c>
      <c r="I131" s="311">
        <v>16.05</v>
      </c>
      <c r="J131" s="338">
        <v>675.0630000000001</v>
      </c>
    </row>
    <row r="132" spans="1:10" ht="24">
      <c r="A132" s="335" t="s">
        <v>655</v>
      </c>
      <c r="B132" s="314" t="s">
        <v>672</v>
      </c>
      <c r="C132" s="309" t="s">
        <v>570</v>
      </c>
      <c r="D132" s="309" t="s">
        <v>571</v>
      </c>
      <c r="E132" s="315" t="s">
        <v>771</v>
      </c>
      <c r="F132" s="309" t="s">
        <v>711</v>
      </c>
      <c r="G132" s="309" t="s">
        <v>712</v>
      </c>
      <c r="H132" s="309" t="s">
        <v>571</v>
      </c>
      <c r="I132" s="311">
        <v>14.61</v>
      </c>
      <c r="J132" s="338">
        <v>18.116399999999999</v>
      </c>
    </row>
    <row r="133" spans="1:10" ht="24">
      <c r="A133" s="335" t="s">
        <v>655</v>
      </c>
      <c r="B133" s="314" t="s">
        <v>674</v>
      </c>
      <c r="C133" s="309" t="s">
        <v>570</v>
      </c>
      <c r="D133" s="309" t="s">
        <v>571</v>
      </c>
      <c r="E133" s="315" t="s">
        <v>772</v>
      </c>
      <c r="F133" s="309" t="s">
        <v>711</v>
      </c>
      <c r="G133" s="309" t="s">
        <v>712</v>
      </c>
      <c r="H133" s="309" t="s">
        <v>571</v>
      </c>
      <c r="I133" s="311">
        <v>14.33</v>
      </c>
      <c r="J133" s="338">
        <v>424.45460000000003</v>
      </c>
    </row>
    <row r="134" spans="1:10" ht="24">
      <c r="A134" s="335" t="s">
        <v>655</v>
      </c>
      <c r="B134" s="314" t="s">
        <v>676</v>
      </c>
      <c r="C134" s="309" t="s">
        <v>570</v>
      </c>
      <c r="D134" s="309" t="s">
        <v>571</v>
      </c>
      <c r="E134" s="315" t="s">
        <v>773</v>
      </c>
      <c r="F134" s="309" t="s">
        <v>711</v>
      </c>
      <c r="G134" s="309" t="s">
        <v>712</v>
      </c>
      <c r="H134" s="309" t="s">
        <v>571</v>
      </c>
      <c r="I134" s="311">
        <v>14.64</v>
      </c>
      <c r="J134" s="338">
        <v>468.62639999999999</v>
      </c>
    </row>
    <row r="135" spans="1:10" ht="24">
      <c r="A135" s="334" t="s">
        <v>655</v>
      </c>
      <c r="B135" s="309" t="s">
        <v>678</v>
      </c>
      <c r="C135" s="309" t="s">
        <v>570</v>
      </c>
      <c r="D135" s="309" t="s">
        <v>571</v>
      </c>
      <c r="E135" s="310" t="s">
        <v>774</v>
      </c>
      <c r="F135" s="309" t="s">
        <v>711</v>
      </c>
      <c r="G135" s="309" t="s">
        <v>712</v>
      </c>
      <c r="H135" s="309" t="s">
        <v>571</v>
      </c>
      <c r="I135" s="311">
        <v>13.33</v>
      </c>
      <c r="J135" s="338">
        <v>301895.04070000001</v>
      </c>
    </row>
    <row r="136" spans="1:10" ht="24">
      <c r="A136" s="335" t="s">
        <v>680</v>
      </c>
      <c r="B136" s="314"/>
      <c r="C136" s="309" t="s">
        <v>570</v>
      </c>
      <c r="D136" s="309" t="s">
        <v>571</v>
      </c>
      <c r="E136" s="316" t="s">
        <v>775</v>
      </c>
      <c r="F136" s="309" t="s">
        <v>711</v>
      </c>
      <c r="G136" s="309" t="s">
        <v>712</v>
      </c>
      <c r="H136" s="309" t="s">
        <v>571</v>
      </c>
      <c r="I136" s="311">
        <v>32.24</v>
      </c>
      <c r="J136" s="339">
        <v>2516</v>
      </c>
    </row>
    <row r="137" spans="1:10">
      <c r="A137" s="334" t="s">
        <v>423</v>
      </c>
      <c r="B137" s="309"/>
      <c r="C137" s="309" t="s">
        <v>570</v>
      </c>
      <c r="D137" s="309" t="s">
        <v>571</v>
      </c>
      <c r="E137" s="310" t="s">
        <v>776</v>
      </c>
      <c r="F137" s="309" t="s">
        <v>777</v>
      </c>
      <c r="G137" s="309" t="s">
        <v>778</v>
      </c>
      <c r="H137" s="309" t="s">
        <v>571</v>
      </c>
      <c r="I137" s="311">
        <v>2.8</v>
      </c>
      <c r="J137" s="338">
        <v>2.8</v>
      </c>
    </row>
    <row r="138" spans="1:10">
      <c r="A138" s="335" t="s">
        <v>421</v>
      </c>
      <c r="B138" s="314" t="s">
        <v>581</v>
      </c>
      <c r="C138" s="309" t="s">
        <v>570</v>
      </c>
      <c r="D138" s="309" t="s">
        <v>571</v>
      </c>
      <c r="E138" s="313" t="s">
        <v>779</v>
      </c>
      <c r="F138" s="309" t="s">
        <v>777</v>
      </c>
      <c r="G138" s="309" t="s">
        <v>778</v>
      </c>
      <c r="H138" s="309" t="s">
        <v>571</v>
      </c>
      <c r="I138" s="311">
        <v>2.9993451939939622</v>
      </c>
      <c r="J138" s="338">
        <v>4.8</v>
      </c>
    </row>
    <row r="139" spans="1:10">
      <c r="A139" s="335" t="s">
        <v>421</v>
      </c>
      <c r="B139" s="314" t="s">
        <v>587</v>
      </c>
      <c r="C139" s="309" t="s">
        <v>570</v>
      </c>
      <c r="D139" s="309" t="s">
        <v>571</v>
      </c>
      <c r="E139" s="313" t="s">
        <v>780</v>
      </c>
      <c r="F139" s="309" t="s">
        <v>777</v>
      </c>
      <c r="G139" s="309" t="s">
        <v>778</v>
      </c>
      <c r="H139" s="309" t="s">
        <v>571</v>
      </c>
      <c r="I139" s="311">
        <v>0.66819758861620393</v>
      </c>
      <c r="J139" s="338">
        <v>13.6</v>
      </c>
    </row>
    <row r="140" spans="1:10">
      <c r="A140" s="335" t="s">
        <v>421</v>
      </c>
      <c r="B140" s="314" t="s">
        <v>595</v>
      </c>
      <c r="C140" s="309" t="s">
        <v>570</v>
      </c>
      <c r="D140" s="309" t="s">
        <v>571</v>
      </c>
      <c r="E140" s="313" t="s">
        <v>781</v>
      </c>
      <c r="F140" s="309" t="s">
        <v>777</v>
      </c>
      <c r="G140" s="309" t="s">
        <v>778</v>
      </c>
      <c r="H140" s="309" t="s">
        <v>571</v>
      </c>
      <c r="I140" s="311">
        <v>3</v>
      </c>
      <c r="J140" s="338">
        <v>3</v>
      </c>
    </row>
    <row r="141" spans="1:10">
      <c r="A141" s="335" t="s">
        <v>421</v>
      </c>
      <c r="B141" s="314" t="s">
        <v>595</v>
      </c>
      <c r="C141" s="309" t="s">
        <v>570</v>
      </c>
      <c r="D141" s="309" t="s">
        <v>571</v>
      </c>
      <c r="E141" s="313" t="s">
        <v>782</v>
      </c>
      <c r="F141" s="309" t="s">
        <v>777</v>
      </c>
      <c r="G141" s="309" t="s">
        <v>778</v>
      </c>
      <c r="H141" s="309" t="s">
        <v>571</v>
      </c>
      <c r="I141" s="311">
        <v>1.4919961027639299</v>
      </c>
      <c r="J141" s="338">
        <v>347.27</v>
      </c>
    </row>
    <row r="142" spans="1:10">
      <c r="A142" s="335" t="s">
        <v>421</v>
      </c>
      <c r="B142" s="318" t="s">
        <v>597</v>
      </c>
      <c r="C142" s="309" t="s">
        <v>570</v>
      </c>
      <c r="D142" s="309" t="s">
        <v>571</v>
      </c>
      <c r="E142" s="313" t="s">
        <v>783</v>
      </c>
      <c r="F142" s="309" t="s">
        <v>777</v>
      </c>
      <c r="G142" s="309" t="s">
        <v>778</v>
      </c>
      <c r="H142" s="309" t="s">
        <v>571</v>
      </c>
      <c r="I142" s="311">
        <v>2.7631768350000003</v>
      </c>
      <c r="J142" s="338">
        <v>2.2200000000000002</v>
      </c>
    </row>
    <row r="143" spans="1:10">
      <c r="A143" s="335" t="s">
        <v>421</v>
      </c>
      <c r="B143" s="314" t="s">
        <v>623</v>
      </c>
      <c r="C143" s="309" t="s">
        <v>570</v>
      </c>
      <c r="D143" s="309" t="s">
        <v>571</v>
      </c>
      <c r="E143" s="313" t="s">
        <v>784</v>
      </c>
      <c r="F143" s="309" t="s">
        <v>777</v>
      </c>
      <c r="G143" s="309" t="s">
        <v>778</v>
      </c>
      <c r="H143" s="309" t="s">
        <v>571</v>
      </c>
      <c r="I143" s="311">
        <v>0.22863591757269652</v>
      </c>
      <c r="J143" s="338">
        <v>0.89</v>
      </c>
    </row>
    <row r="144" spans="1:10">
      <c r="A144" s="335" t="s">
        <v>421</v>
      </c>
      <c r="B144" s="314" t="s">
        <v>625</v>
      </c>
      <c r="C144" s="309" t="s">
        <v>570</v>
      </c>
      <c r="D144" s="309" t="s">
        <v>571</v>
      </c>
      <c r="E144" s="313" t="s">
        <v>785</v>
      </c>
      <c r="F144" s="309" t="s">
        <v>777</v>
      </c>
      <c r="G144" s="309" t="s">
        <v>778</v>
      </c>
      <c r="H144" s="309" t="s">
        <v>571</v>
      </c>
      <c r="I144" s="311">
        <v>2.5294041332771475</v>
      </c>
      <c r="J144" s="338">
        <v>85.57</v>
      </c>
    </row>
    <row r="145" spans="1:10">
      <c r="A145" s="335" t="s">
        <v>421</v>
      </c>
      <c r="B145" s="314" t="s">
        <v>629</v>
      </c>
      <c r="C145" s="309" t="s">
        <v>570</v>
      </c>
      <c r="D145" s="309" t="s">
        <v>571</v>
      </c>
      <c r="E145" s="313" t="s">
        <v>786</v>
      </c>
      <c r="F145" s="309" t="s">
        <v>777</v>
      </c>
      <c r="G145" s="309" t="s">
        <v>778</v>
      </c>
      <c r="H145" s="309" t="s">
        <v>571</v>
      </c>
      <c r="I145" s="311">
        <v>2.9996649425000004</v>
      </c>
      <c r="J145" s="338">
        <v>2.41</v>
      </c>
    </row>
    <row r="146" spans="1:10">
      <c r="A146" s="335" t="s">
        <v>421</v>
      </c>
      <c r="B146" s="314" t="s">
        <v>651</v>
      </c>
      <c r="C146" s="309" t="s">
        <v>570</v>
      </c>
      <c r="D146" s="309" t="s">
        <v>571</v>
      </c>
      <c r="E146" s="313" t="s">
        <v>787</v>
      </c>
      <c r="F146" s="309" t="s">
        <v>777</v>
      </c>
      <c r="G146" s="309" t="s">
        <v>778</v>
      </c>
      <c r="H146" s="309" t="s">
        <v>571</v>
      </c>
      <c r="I146" s="311">
        <v>7.4578335862499996</v>
      </c>
      <c r="J146" s="338">
        <v>4.7699999999999996</v>
      </c>
    </row>
    <row r="147" spans="1:10">
      <c r="A147" s="335" t="s">
        <v>655</v>
      </c>
      <c r="B147" s="314" t="s">
        <v>656</v>
      </c>
      <c r="C147" s="309" t="s">
        <v>570</v>
      </c>
      <c r="D147" s="309" t="s">
        <v>571</v>
      </c>
      <c r="E147" s="315" t="s">
        <v>788</v>
      </c>
      <c r="F147" s="309" t="s">
        <v>777</v>
      </c>
      <c r="G147" s="309" t="s">
        <v>778</v>
      </c>
      <c r="H147" s="309" t="s">
        <v>571</v>
      </c>
      <c r="I147" s="311">
        <v>2.56</v>
      </c>
      <c r="J147" s="338">
        <v>2.4832000000000001</v>
      </c>
    </row>
    <row r="148" spans="1:10">
      <c r="A148" s="335" t="s">
        <v>655</v>
      </c>
      <c r="B148" s="314" t="s">
        <v>658</v>
      </c>
      <c r="C148" s="309" t="s">
        <v>570</v>
      </c>
      <c r="D148" s="309" t="s">
        <v>571</v>
      </c>
      <c r="E148" s="315" t="s">
        <v>789</v>
      </c>
      <c r="F148" s="309" t="s">
        <v>777</v>
      </c>
      <c r="G148" s="309" t="s">
        <v>778</v>
      </c>
      <c r="H148" s="309" t="s">
        <v>571</v>
      </c>
      <c r="I148" s="311">
        <v>2.4700000000000002</v>
      </c>
      <c r="J148" s="338">
        <v>15.857400000000002</v>
      </c>
    </row>
    <row r="149" spans="1:10">
      <c r="A149" s="335" t="s">
        <v>655</v>
      </c>
      <c r="B149" s="314" t="s">
        <v>660</v>
      </c>
      <c r="C149" s="309" t="s">
        <v>570</v>
      </c>
      <c r="D149" s="309" t="s">
        <v>571</v>
      </c>
      <c r="E149" s="315" t="s">
        <v>790</v>
      </c>
      <c r="F149" s="309" t="s">
        <v>777</v>
      </c>
      <c r="G149" s="309" t="s">
        <v>778</v>
      </c>
      <c r="H149" s="309" t="s">
        <v>571</v>
      </c>
      <c r="I149" s="311">
        <v>2.44</v>
      </c>
      <c r="J149" s="338">
        <v>18.91</v>
      </c>
    </row>
    <row r="150" spans="1:10">
      <c r="A150" s="335" t="s">
        <v>655</v>
      </c>
      <c r="B150" s="314" t="s">
        <v>662</v>
      </c>
      <c r="C150" s="309" t="s">
        <v>570</v>
      </c>
      <c r="D150" s="309" t="s">
        <v>571</v>
      </c>
      <c r="E150" s="315" t="s">
        <v>791</v>
      </c>
      <c r="F150" s="309" t="s">
        <v>777</v>
      </c>
      <c r="G150" s="309" t="s">
        <v>778</v>
      </c>
      <c r="H150" s="309" t="s">
        <v>571</v>
      </c>
      <c r="I150" s="311">
        <v>2.87</v>
      </c>
      <c r="J150" s="338">
        <v>168.23939999999999</v>
      </c>
    </row>
    <row r="151" spans="1:10">
      <c r="A151" s="335" t="s">
        <v>655</v>
      </c>
      <c r="B151" s="314" t="s">
        <v>664</v>
      </c>
      <c r="C151" s="309" t="s">
        <v>570</v>
      </c>
      <c r="D151" s="309" t="s">
        <v>571</v>
      </c>
      <c r="E151" s="315" t="s">
        <v>792</v>
      </c>
      <c r="F151" s="309" t="s">
        <v>777</v>
      </c>
      <c r="G151" s="309" t="s">
        <v>778</v>
      </c>
      <c r="H151" s="309" t="s">
        <v>571</v>
      </c>
      <c r="I151" s="311">
        <v>2.19</v>
      </c>
      <c r="J151" s="338">
        <v>21654.566699999999</v>
      </c>
    </row>
    <row r="152" spans="1:10">
      <c r="A152" s="335" t="s">
        <v>655</v>
      </c>
      <c r="B152" s="314" t="s">
        <v>666</v>
      </c>
      <c r="C152" s="309" t="s">
        <v>570</v>
      </c>
      <c r="D152" s="309" t="s">
        <v>571</v>
      </c>
      <c r="E152" s="315" t="s">
        <v>793</v>
      </c>
      <c r="F152" s="309" t="s">
        <v>777</v>
      </c>
      <c r="G152" s="309" t="s">
        <v>778</v>
      </c>
      <c r="H152" s="309" t="s">
        <v>571</v>
      </c>
      <c r="I152" s="311">
        <v>2.56</v>
      </c>
      <c r="J152" s="338">
        <v>2922.8032000000003</v>
      </c>
    </row>
    <row r="153" spans="1:10">
      <c r="A153" s="335" t="s">
        <v>655</v>
      </c>
      <c r="B153" s="314" t="s">
        <v>668</v>
      </c>
      <c r="C153" s="309" t="s">
        <v>570</v>
      </c>
      <c r="D153" s="309" t="s">
        <v>571</v>
      </c>
      <c r="E153" s="315" t="s">
        <v>794</v>
      </c>
      <c r="F153" s="309" t="s">
        <v>777</v>
      </c>
      <c r="G153" s="309" t="s">
        <v>778</v>
      </c>
      <c r="H153" s="309" t="s">
        <v>571</v>
      </c>
      <c r="I153" s="311">
        <v>2.34</v>
      </c>
      <c r="J153" s="338">
        <v>7.3944000000000001</v>
      </c>
    </row>
    <row r="154" spans="1:10">
      <c r="A154" s="335" t="s">
        <v>655</v>
      </c>
      <c r="B154" s="314" t="s">
        <v>670</v>
      </c>
      <c r="C154" s="309" t="s">
        <v>570</v>
      </c>
      <c r="D154" s="309" t="s">
        <v>571</v>
      </c>
      <c r="E154" s="315" t="s">
        <v>795</v>
      </c>
      <c r="F154" s="309" t="s">
        <v>777</v>
      </c>
      <c r="G154" s="309" t="s">
        <v>778</v>
      </c>
      <c r="H154" s="309" t="s">
        <v>571</v>
      </c>
      <c r="I154" s="311">
        <v>3.67</v>
      </c>
      <c r="J154" s="338">
        <v>154.36019999999999</v>
      </c>
    </row>
    <row r="155" spans="1:10">
      <c r="A155" s="335" t="s">
        <v>655</v>
      </c>
      <c r="B155" s="314" t="s">
        <v>672</v>
      </c>
      <c r="C155" s="309" t="s">
        <v>570</v>
      </c>
      <c r="D155" s="309" t="s">
        <v>571</v>
      </c>
      <c r="E155" s="315" t="s">
        <v>796</v>
      </c>
      <c r="F155" s="309" t="s">
        <v>777</v>
      </c>
      <c r="G155" s="309" t="s">
        <v>778</v>
      </c>
      <c r="H155" s="309" t="s">
        <v>571</v>
      </c>
      <c r="I155" s="311">
        <v>2.44</v>
      </c>
      <c r="J155" s="338">
        <v>3.0255999999999998</v>
      </c>
    </row>
    <row r="156" spans="1:10">
      <c r="A156" s="335" t="s">
        <v>655</v>
      </c>
      <c r="B156" s="314" t="s">
        <v>674</v>
      </c>
      <c r="C156" s="309" t="s">
        <v>570</v>
      </c>
      <c r="D156" s="309" t="s">
        <v>571</v>
      </c>
      <c r="E156" s="315" t="s">
        <v>797</v>
      </c>
      <c r="F156" s="309" t="s">
        <v>777</v>
      </c>
      <c r="G156" s="309" t="s">
        <v>778</v>
      </c>
      <c r="H156" s="309" t="s">
        <v>571</v>
      </c>
      <c r="I156" s="311">
        <v>2.54</v>
      </c>
      <c r="J156" s="338">
        <v>75.234800000000007</v>
      </c>
    </row>
    <row r="157" spans="1:10">
      <c r="A157" s="335" t="s">
        <v>655</v>
      </c>
      <c r="B157" s="314" t="s">
        <v>676</v>
      </c>
      <c r="C157" s="309" t="s">
        <v>570</v>
      </c>
      <c r="D157" s="309" t="s">
        <v>571</v>
      </c>
      <c r="E157" s="315" t="s">
        <v>798</v>
      </c>
      <c r="F157" s="309" t="s">
        <v>777</v>
      </c>
      <c r="G157" s="309" t="s">
        <v>778</v>
      </c>
      <c r="H157" s="309" t="s">
        <v>571</v>
      </c>
      <c r="I157" s="311">
        <v>2.75</v>
      </c>
      <c r="J157" s="338">
        <v>88.027499999999989</v>
      </c>
    </row>
    <row r="158" spans="1:10">
      <c r="A158" s="334" t="s">
        <v>655</v>
      </c>
      <c r="B158" s="309" t="s">
        <v>678</v>
      </c>
      <c r="C158" s="309" t="s">
        <v>570</v>
      </c>
      <c r="D158" s="309" t="s">
        <v>571</v>
      </c>
      <c r="E158" s="310" t="s">
        <v>799</v>
      </c>
      <c r="F158" s="309" t="s">
        <v>777</v>
      </c>
      <c r="G158" s="309" t="s">
        <v>778</v>
      </c>
      <c r="H158" s="309" t="s">
        <v>571</v>
      </c>
      <c r="I158" s="311">
        <v>3.47</v>
      </c>
      <c r="J158" s="338">
        <v>78587.831300000005</v>
      </c>
    </row>
    <row r="159" spans="1:10">
      <c r="A159" s="335" t="s">
        <v>680</v>
      </c>
      <c r="B159" s="314"/>
      <c r="C159" s="309" t="s">
        <v>570</v>
      </c>
      <c r="D159" s="309" t="s">
        <v>571</v>
      </c>
      <c r="E159" s="316" t="s">
        <v>800</v>
      </c>
      <c r="F159" s="309" t="s">
        <v>777</v>
      </c>
      <c r="G159" s="309" t="s">
        <v>778</v>
      </c>
      <c r="H159" s="309" t="s">
        <v>571</v>
      </c>
      <c r="I159" s="311">
        <v>3.29</v>
      </c>
      <c r="J159" s="339">
        <v>257</v>
      </c>
    </row>
    <row r="160" spans="1:10" ht="24">
      <c r="A160" s="334" t="s">
        <v>423</v>
      </c>
      <c r="B160" s="309"/>
      <c r="C160" s="309" t="s">
        <v>570</v>
      </c>
      <c r="D160" s="309" t="s">
        <v>571</v>
      </c>
      <c r="E160" s="310" t="s">
        <v>801</v>
      </c>
      <c r="F160" s="309" t="s">
        <v>802</v>
      </c>
      <c r="G160" s="309" t="s">
        <v>803</v>
      </c>
      <c r="H160" s="309" t="s">
        <v>571</v>
      </c>
      <c r="I160" s="311">
        <v>9</v>
      </c>
      <c r="J160" s="338">
        <v>9</v>
      </c>
    </row>
    <row r="161" spans="1:10" ht="24">
      <c r="A161" s="335" t="s">
        <v>421</v>
      </c>
      <c r="B161" s="314"/>
      <c r="C161" s="309" t="s">
        <v>570</v>
      </c>
      <c r="D161" s="309" t="s">
        <v>571</v>
      </c>
      <c r="E161" s="313" t="s">
        <v>804</v>
      </c>
      <c r="F161" s="309" t="s">
        <v>802</v>
      </c>
      <c r="G161" s="309" t="s">
        <v>803</v>
      </c>
      <c r="H161" s="309" t="s">
        <v>571</v>
      </c>
      <c r="I161" s="311">
        <v>11.69</v>
      </c>
      <c r="J161" s="338" t="s">
        <v>36</v>
      </c>
    </row>
    <row r="162" spans="1:10" ht="24">
      <c r="A162" s="335" t="s">
        <v>655</v>
      </c>
      <c r="B162" s="314" t="s">
        <v>656</v>
      </c>
      <c r="C162" s="309" t="s">
        <v>570</v>
      </c>
      <c r="D162" s="309" t="s">
        <v>571</v>
      </c>
      <c r="E162" s="315" t="s">
        <v>805</v>
      </c>
      <c r="F162" s="309" t="s">
        <v>802</v>
      </c>
      <c r="G162" s="309" t="s">
        <v>803</v>
      </c>
      <c r="H162" s="309" t="s">
        <v>571</v>
      </c>
      <c r="I162" s="311">
        <v>7.38</v>
      </c>
      <c r="J162" s="338">
        <v>7.1585999999999999</v>
      </c>
    </row>
    <row r="163" spans="1:10" ht="24">
      <c r="A163" s="335" t="s">
        <v>655</v>
      </c>
      <c r="B163" s="314" t="s">
        <v>658</v>
      </c>
      <c r="C163" s="309" t="s">
        <v>570</v>
      </c>
      <c r="D163" s="309" t="s">
        <v>571</v>
      </c>
      <c r="E163" s="315" t="s">
        <v>806</v>
      </c>
      <c r="F163" s="309" t="s">
        <v>802</v>
      </c>
      <c r="G163" s="309" t="s">
        <v>803</v>
      </c>
      <c r="H163" s="309" t="s">
        <v>571</v>
      </c>
      <c r="I163" s="311">
        <v>8.5299999999999994</v>
      </c>
      <c r="J163" s="338">
        <v>54.762599999999992</v>
      </c>
    </row>
    <row r="164" spans="1:10" ht="24">
      <c r="A164" s="335" t="s">
        <v>655</v>
      </c>
      <c r="B164" s="314" t="s">
        <v>660</v>
      </c>
      <c r="C164" s="309" t="s">
        <v>570</v>
      </c>
      <c r="D164" s="309" t="s">
        <v>571</v>
      </c>
      <c r="E164" s="315" t="s">
        <v>807</v>
      </c>
      <c r="F164" s="309" t="s">
        <v>802</v>
      </c>
      <c r="G164" s="309" t="s">
        <v>803</v>
      </c>
      <c r="H164" s="309" t="s">
        <v>571</v>
      </c>
      <c r="I164" s="311">
        <v>7.78</v>
      </c>
      <c r="J164" s="338">
        <v>60.295000000000002</v>
      </c>
    </row>
    <row r="165" spans="1:10" ht="24">
      <c r="A165" s="335" t="s">
        <v>655</v>
      </c>
      <c r="B165" s="314" t="s">
        <v>662</v>
      </c>
      <c r="C165" s="309" t="s">
        <v>570</v>
      </c>
      <c r="D165" s="309" t="s">
        <v>571</v>
      </c>
      <c r="E165" s="315" t="s">
        <v>808</v>
      </c>
      <c r="F165" s="309" t="s">
        <v>802</v>
      </c>
      <c r="G165" s="309" t="s">
        <v>803</v>
      </c>
      <c r="H165" s="309" t="s">
        <v>571</v>
      </c>
      <c r="I165" s="311">
        <v>9.08</v>
      </c>
      <c r="J165" s="338">
        <v>532.26959999999997</v>
      </c>
    </row>
    <row r="166" spans="1:10" ht="24">
      <c r="A166" s="335" t="s">
        <v>655</v>
      </c>
      <c r="B166" s="314" t="s">
        <v>664</v>
      </c>
      <c r="C166" s="309" t="s">
        <v>570</v>
      </c>
      <c r="D166" s="309" t="s">
        <v>571</v>
      </c>
      <c r="E166" s="315" t="s">
        <v>809</v>
      </c>
      <c r="F166" s="309" t="s">
        <v>802</v>
      </c>
      <c r="G166" s="309" t="s">
        <v>803</v>
      </c>
      <c r="H166" s="309" t="s">
        <v>571</v>
      </c>
      <c r="I166" s="311">
        <v>7.87</v>
      </c>
      <c r="J166" s="338">
        <v>77818.00910000001</v>
      </c>
    </row>
    <row r="167" spans="1:10" ht="24">
      <c r="A167" s="335" t="s">
        <v>655</v>
      </c>
      <c r="B167" s="314" t="s">
        <v>666</v>
      </c>
      <c r="C167" s="309" t="s">
        <v>570</v>
      </c>
      <c r="D167" s="309" t="s">
        <v>571</v>
      </c>
      <c r="E167" s="315" t="s">
        <v>810</v>
      </c>
      <c r="F167" s="309" t="s">
        <v>802</v>
      </c>
      <c r="G167" s="309" t="s">
        <v>803</v>
      </c>
      <c r="H167" s="309" t="s">
        <v>571</v>
      </c>
      <c r="I167" s="311">
        <v>7.39</v>
      </c>
      <c r="J167" s="338">
        <v>8437.3107999999993</v>
      </c>
    </row>
    <row r="168" spans="1:10" ht="24">
      <c r="A168" s="335" t="s">
        <v>655</v>
      </c>
      <c r="B168" s="314" t="s">
        <v>668</v>
      </c>
      <c r="C168" s="309" t="s">
        <v>570</v>
      </c>
      <c r="D168" s="309" t="s">
        <v>571</v>
      </c>
      <c r="E168" s="315" t="s">
        <v>811</v>
      </c>
      <c r="F168" s="309" t="s">
        <v>802</v>
      </c>
      <c r="G168" s="309" t="s">
        <v>803</v>
      </c>
      <c r="H168" s="309" t="s">
        <v>571</v>
      </c>
      <c r="I168" s="311">
        <v>7.16</v>
      </c>
      <c r="J168" s="338">
        <v>22.625600000000002</v>
      </c>
    </row>
    <row r="169" spans="1:10" ht="24">
      <c r="A169" s="335" t="s">
        <v>655</v>
      </c>
      <c r="B169" s="314" t="s">
        <v>670</v>
      </c>
      <c r="C169" s="309" t="s">
        <v>570</v>
      </c>
      <c r="D169" s="309" t="s">
        <v>571</v>
      </c>
      <c r="E169" s="315" t="s">
        <v>812</v>
      </c>
      <c r="F169" s="309" t="s">
        <v>802</v>
      </c>
      <c r="G169" s="309" t="s">
        <v>803</v>
      </c>
      <c r="H169" s="309" t="s">
        <v>571</v>
      </c>
      <c r="I169" s="311">
        <v>6.91</v>
      </c>
      <c r="J169" s="338">
        <v>290.63460000000003</v>
      </c>
    </row>
    <row r="170" spans="1:10" ht="24">
      <c r="A170" s="335" t="s">
        <v>655</v>
      </c>
      <c r="B170" s="314" t="s">
        <v>672</v>
      </c>
      <c r="C170" s="309" t="s">
        <v>570</v>
      </c>
      <c r="D170" s="309" t="s">
        <v>571</v>
      </c>
      <c r="E170" s="315" t="s">
        <v>813</v>
      </c>
      <c r="F170" s="309" t="s">
        <v>802</v>
      </c>
      <c r="G170" s="309" t="s">
        <v>803</v>
      </c>
      <c r="H170" s="309" t="s">
        <v>571</v>
      </c>
      <c r="I170" s="311">
        <v>8.82</v>
      </c>
      <c r="J170" s="338">
        <v>10.9368</v>
      </c>
    </row>
    <row r="171" spans="1:10" ht="24">
      <c r="A171" s="335" t="s">
        <v>655</v>
      </c>
      <c r="B171" s="314" t="s">
        <v>674</v>
      </c>
      <c r="C171" s="309" t="s">
        <v>570</v>
      </c>
      <c r="D171" s="309" t="s">
        <v>571</v>
      </c>
      <c r="E171" s="315" t="s">
        <v>814</v>
      </c>
      <c r="F171" s="309" t="s">
        <v>802</v>
      </c>
      <c r="G171" s="309" t="s">
        <v>803</v>
      </c>
      <c r="H171" s="309" t="s">
        <v>571</v>
      </c>
      <c r="I171" s="311">
        <v>7.36</v>
      </c>
      <c r="J171" s="338">
        <v>218.00320000000002</v>
      </c>
    </row>
    <row r="172" spans="1:10" ht="24">
      <c r="A172" s="335" t="s">
        <v>655</v>
      </c>
      <c r="B172" s="314" t="s">
        <v>676</v>
      </c>
      <c r="C172" s="309" t="s">
        <v>570</v>
      </c>
      <c r="D172" s="309" t="s">
        <v>571</v>
      </c>
      <c r="E172" s="315" t="s">
        <v>815</v>
      </c>
      <c r="F172" s="309" t="s">
        <v>802</v>
      </c>
      <c r="G172" s="309" t="s">
        <v>803</v>
      </c>
      <c r="H172" s="309" t="s">
        <v>571</v>
      </c>
      <c r="I172" s="311">
        <v>9.07</v>
      </c>
      <c r="J172" s="338">
        <v>290.33069999999998</v>
      </c>
    </row>
    <row r="173" spans="1:10" ht="24">
      <c r="A173" s="334" t="s">
        <v>655</v>
      </c>
      <c r="B173" s="309" t="s">
        <v>678</v>
      </c>
      <c r="C173" s="309" t="s">
        <v>570</v>
      </c>
      <c r="D173" s="309" t="s">
        <v>571</v>
      </c>
      <c r="E173" s="310" t="s">
        <v>816</v>
      </c>
      <c r="F173" s="309" t="s">
        <v>802</v>
      </c>
      <c r="G173" s="309" t="s">
        <v>803</v>
      </c>
      <c r="H173" s="309" t="s">
        <v>571</v>
      </c>
      <c r="I173" s="311">
        <v>7.65</v>
      </c>
      <c r="J173" s="338">
        <v>173255.59350000002</v>
      </c>
    </row>
    <row r="174" spans="1:10" ht="24">
      <c r="A174" s="335" t="s">
        <v>680</v>
      </c>
      <c r="B174" s="314"/>
      <c r="C174" s="309" t="s">
        <v>570</v>
      </c>
      <c r="D174" s="309" t="s">
        <v>571</v>
      </c>
      <c r="E174" s="316" t="s">
        <v>817</v>
      </c>
      <c r="F174" s="309" t="s">
        <v>818</v>
      </c>
      <c r="G174" s="309" t="s">
        <v>819</v>
      </c>
      <c r="H174" s="309" t="s">
        <v>571</v>
      </c>
      <c r="I174" s="311">
        <v>96.04</v>
      </c>
      <c r="J174" s="339">
        <v>7496</v>
      </c>
    </row>
    <row r="175" spans="1:10" ht="24">
      <c r="A175" s="334" t="s">
        <v>423</v>
      </c>
      <c r="B175" s="309"/>
      <c r="C175" s="309" t="s">
        <v>570</v>
      </c>
      <c r="D175" s="309" t="s">
        <v>820</v>
      </c>
      <c r="E175" s="310" t="s">
        <v>821</v>
      </c>
      <c r="F175" s="309" t="s">
        <v>822</v>
      </c>
      <c r="G175" s="309" t="s">
        <v>823</v>
      </c>
      <c r="H175" s="309" t="s">
        <v>571</v>
      </c>
      <c r="I175" s="311">
        <v>19.36</v>
      </c>
      <c r="J175" s="338">
        <v>19.36</v>
      </c>
    </row>
    <row r="176" spans="1:10" ht="24">
      <c r="A176" s="334" t="s">
        <v>421</v>
      </c>
      <c r="B176" s="309"/>
      <c r="C176" s="309" t="s">
        <v>570</v>
      </c>
      <c r="D176" s="309" t="s">
        <v>820</v>
      </c>
      <c r="E176" s="310" t="s">
        <v>824</v>
      </c>
      <c r="F176" s="309" t="s">
        <v>822</v>
      </c>
      <c r="G176" s="309" t="s">
        <v>823</v>
      </c>
      <c r="H176" s="309" t="s">
        <v>571</v>
      </c>
      <c r="I176" s="311">
        <v>53.550000000000004</v>
      </c>
      <c r="J176" s="338" t="s">
        <v>36</v>
      </c>
    </row>
    <row r="177" spans="1:10" ht="24">
      <c r="A177" s="334" t="s">
        <v>655</v>
      </c>
      <c r="B177" s="309"/>
      <c r="C177" s="309" t="s">
        <v>570</v>
      </c>
      <c r="D177" s="309" t="s">
        <v>820</v>
      </c>
      <c r="E177" s="310" t="s">
        <v>425</v>
      </c>
      <c r="F177" s="309" t="s">
        <v>822</v>
      </c>
      <c r="G177" s="309" t="s">
        <v>823</v>
      </c>
      <c r="H177" s="309" t="s">
        <v>571</v>
      </c>
      <c r="I177" s="311">
        <v>2.64</v>
      </c>
      <c r="J177" s="338" t="s">
        <v>36</v>
      </c>
    </row>
    <row r="178" spans="1:10" ht="24">
      <c r="A178" s="334" t="s">
        <v>680</v>
      </c>
      <c r="B178" s="309"/>
      <c r="C178" s="309" t="s">
        <v>570</v>
      </c>
      <c r="D178" s="309" t="s">
        <v>820</v>
      </c>
      <c r="E178" s="310" t="s">
        <v>425</v>
      </c>
      <c r="F178" s="309" t="s">
        <v>822</v>
      </c>
      <c r="G178" s="309" t="s">
        <v>823</v>
      </c>
      <c r="H178" s="309" t="s">
        <v>571</v>
      </c>
      <c r="I178" s="311">
        <v>39.719248973065227</v>
      </c>
      <c r="J178" s="339">
        <v>3100</v>
      </c>
    </row>
    <row r="179" spans="1:10">
      <c r="A179" s="335" t="s">
        <v>421</v>
      </c>
      <c r="B179" s="314" t="s">
        <v>587</v>
      </c>
      <c r="C179" s="309" t="s">
        <v>570</v>
      </c>
      <c r="D179" s="309" t="s">
        <v>820</v>
      </c>
      <c r="E179" s="313" t="s">
        <v>825</v>
      </c>
      <c r="F179" s="309" t="s">
        <v>826</v>
      </c>
      <c r="G179" s="309" t="s">
        <v>827</v>
      </c>
      <c r="H179" s="309" t="s">
        <v>828</v>
      </c>
      <c r="I179" s="311">
        <v>4298.5431518667619</v>
      </c>
      <c r="J179" s="338">
        <v>87489.371199999994</v>
      </c>
    </row>
    <row r="180" spans="1:10">
      <c r="A180" s="335" t="s">
        <v>421</v>
      </c>
      <c r="B180" s="314" t="s">
        <v>591</v>
      </c>
      <c r="C180" s="309" t="s">
        <v>570</v>
      </c>
      <c r="D180" s="309" t="s">
        <v>820</v>
      </c>
      <c r="E180" s="313" t="s">
        <v>829</v>
      </c>
      <c r="F180" s="309" t="s">
        <v>826</v>
      </c>
      <c r="G180" s="309" t="s">
        <v>827</v>
      </c>
      <c r="H180" s="309" t="s">
        <v>828</v>
      </c>
      <c r="I180" s="311">
        <v>185.2612983276</v>
      </c>
      <c r="J180" s="338">
        <v>148.8432</v>
      </c>
    </row>
    <row r="181" spans="1:10">
      <c r="A181" s="335" t="s">
        <v>421</v>
      </c>
      <c r="B181" s="314" t="s">
        <v>593</v>
      </c>
      <c r="C181" s="309" t="s">
        <v>570</v>
      </c>
      <c r="D181" s="309" t="s">
        <v>820</v>
      </c>
      <c r="E181" s="313" t="s">
        <v>830</v>
      </c>
      <c r="F181" s="309" t="s">
        <v>826</v>
      </c>
      <c r="G181" s="309" t="s">
        <v>827</v>
      </c>
      <c r="H181" s="309" t="s">
        <v>828</v>
      </c>
      <c r="I181" s="311">
        <v>222.26098295280002</v>
      </c>
      <c r="J181" s="338">
        <v>178.56960000000001</v>
      </c>
    </row>
    <row r="182" spans="1:10">
      <c r="A182" s="335" t="s">
        <v>421</v>
      </c>
      <c r="B182" s="314" t="s">
        <v>599</v>
      </c>
      <c r="C182" s="309" t="s">
        <v>570</v>
      </c>
      <c r="D182" s="309" t="s">
        <v>820</v>
      </c>
      <c r="E182" s="313" t="s">
        <v>831</v>
      </c>
      <c r="F182" s="309" t="s">
        <v>826</v>
      </c>
      <c r="G182" s="309" t="s">
        <v>827</v>
      </c>
      <c r="H182" s="309" t="s">
        <v>828</v>
      </c>
      <c r="I182" s="311">
        <v>6726.6477462100538</v>
      </c>
      <c r="J182" s="338">
        <v>26967.529600000002</v>
      </c>
    </row>
    <row r="183" spans="1:10">
      <c r="A183" s="335" t="s">
        <v>421</v>
      </c>
      <c r="B183" s="314" t="s">
        <v>601</v>
      </c>
      <c r="C183" s="309" t="s">
        <v>570</v>
      </c>
      <c r="D183" s="309" t="s">
        <v>820</v>
      </c>
      <c r="E183" s="313" t="s">
        <v>832</v>
      </c>
      <c r="F183" s="309" t="s">
        <v>826</v>
      </c>
      <c r="G183" s="309" t="s">
        <v>827</v>
      </c>
      <c r="H183" s="309" t="s">
        <v>828</v>
      </c>
      <c r="I183" s="311">
        <v>306.35914119800003</v>
      </c>
      <c r="J183" s="338">
        <v>246.136</v>
      </c>
    </row>
    <row r="184" spans="1:10">
      <c r="A184" s="335" t="s">
        <v>421</v>
      </c>
      <c r="B184" s="314" t="s">
        <v>625</v>
      </c>
      <c r="C184" s="309" t="s">
        <v>570</v>
      </c>
      <c r="D184" s="309" t="s">
        <v>820</v>
      </c>
      <c r="E184" s="313" t="s">
        <v>833</v>
      </c>
      <c r="F184" s="309" t="s">
        <v>826</v>
      </c>
      <c r="G184" s="309" t="s">
        <v>827</v>
      </c>
      <c r="H184" s="309" t="s">
        <v>828</v>
      </c>
      <c r="I184" s="311" t="s">
        <v>36</v>
      </c>
      <c r="J184" s="338" t="s">
        <v>36</v>
      </c>
    </row>
    <row r="185" spans="1:10">
      <c r="A185" s="335" t="s">
        <v>421</v>
      </c>
      <c r="B185" s="314" t="s">
        <v>631</v>
      </c>
      <c r="C185" s="309" t="s">
        <v>570</v>
      </c>
      <c r="D185" s="309" t="s">
        <v>820</v>
      </c>
      <c r="E185" s="313" t="s">
        <v>834</v>
      </c>
      <c r="F185" s="309" t="s">
        <v>826</v>
      </c>
      <c r="G185" s="309" t="s">
        <v>827</v>
      </c>
      <c r="H185" s="309" t="s">
        <v>828</v>
      </c>
      <c r="I185" s="311">
        <v>141.35840868646957</v>
      </c>
      <c r="J185" s="338">
        <v>1202.7752</v>
      </c>
    </row>
    <row r="186" spans="1:10">
      <c r="A186" s="335" t="s">
        <v>421</v>
      </c>
      <c r="B186" s="314" t="s">
        <v>637</v>
      </c>
      <c r="C186" s="309" t="s">
        <v>570</v>
      </c>
      <c r="D186" s="309" t="s">
        <v>820</v>
      </c>
      <c r="E186" s="313" t="s">
        <v>835</v>
      </c>
      <c r="F186" s="309" t="s">
        <v>826</v>
      </c>
      <c r="G186" s="309" t="s">
        <v>827</v>
      </c>
      <c r="H186" s="309" t="s">
        <v>828</v>
      </c>
      <c r="I186" s="311">
        <v>471.11352332330006</v>
      </c>
      <c r="J186" s="338">
        <v>490.59120000000001</v>
      </c>
    </row>
    <row r="187" spans="1:10" ht="24">
      <c r="A187" s="336" t="s">
        <v>423</v>
      </c>
      <c r="B187" s="319"/>
      <c r="C187" s="319" t="s">
        <v>570</v>
      </c>
      <c r="D187" s="319" t="s">
        <v>820</v>
      </c>
      <c r="E187" s="320" t="s">
        <v>425</v>
      </c>
      <c r="F187" s="319" t="s">
        <v>836</v>
      </c>
      <c r="G187" s="319" t="s">
        <v>837</v>
      </c>
      <c r="H187" s="319" t="s">
        <v>838</v>
      </c>
      <c r="I187" s="321">
        <v>30</v>
      </c>
      <c r="J187" s="340">
        <v>30</v>
      </c>
    </row>
    <row r="188" spans="1:10" ht="24">
      <c r="A188" s="334" t="s">
        <v>423</v>
      </c>
      <c r="B188" s="309"/>
      <c r="C188" s="309" t="s">
        <v>570</v>
      </c>
      <c r="D188" s="309" t="s">
        <v>820</v>
      </c>
      <c r="E188" s="310" t="s">
        <v>839</v>
      </c>
      <c r="F188" s="309" t="s">
        <v>840</v>
      </c>
      <c r="G188" s="309" t="s">
        <v>837</v>
      </c>
      <c r="H188" s="309" t="s">
        <v>838</v>
      </c>
      <c r="I188" s="311">
        <v>61.6</v>
      </c>
      <c r="J188" s="338">
        <v>61.6</v>
      </c>
    </row>
    <row r="189" spans="1:10" ht="24">
      <c r="A189" s="334" t="s">
        <v>421</v>
      </c>
      <c r="B189" s="314" t="s">
        <v>587</v>
      </c>
      <c r="C189" s="309" t="s">
        <v>570</v>
      </c>
      <c r="D189" s="309" t="s">
        <v>820</v>
      </c>
      <c r="E189" s="313" t="s">
        <v>841</v>
      </c>
      <c r="F189" s="309" t="s">
        <v>840</v>
      </c>
      <c r="G189" s="309" t="s">
        <v>837</v>
      </c>
      <c r="H189" s="309" t="s">
        <v>838</v>
      </c>
      <c r="I189" s="311">
        <v>22.588812540575844</v>
      </c>
      <c r="J189" s="338">
        <v>459.75599999999997</v>
      </c>
    </row>
    <row r="190" spans="1:10" ht="24">
      <c r="A190" s="334" t="s">
        <v>421</v>
      </c>
      <c r="B190" s="314" t="s">
        <v>593</v>
      </c>
      <c r="C190" s="309" t="s">
        <v>570</v>
      </c>
      <c r="D190" s="309" t="s">
        <v>820</v>
      </c>
      <c r="E190" s="313" t="s">
        <v>842</v>
      </c>
      <c r="F190" s="309" t="s">
        <v>840</v>
      </c>
      <c r="G190" s="309" t="s">
        <v>837</v>
      </c>
      <c r="H190" s="309" t="s">
        <v>838</v>
      </c>
      <c r="I190" s="311">
        <v>45.499316143600005</v>
      </c>
      <c r="J190" s="338">
        <v>36.555199999999999</v>
      </c>
    </row>
    <row r="191" spans="1:10" ht="24">
      <c r="A191" s="334" t="s">
        <v>421</v>
      </c>
      <c r="B191" s="309" t="s">
        <v>595</v>
      </c>
      <c r="C191" s="309" t="s">
        <v>570</v>
      </c>
      <c r="D191" s="309" t="s">
        <v>820</v>
      </c>
      <c r="E191" s="310" t="s">
        <v>843</v>
      </c>
      <c r="F191" s="309" t="s">
        <v>840</v>
      </c>
      <c r="G191" s="309" t="s">
        <v>837</v>
      </c>
      <c r="H191" s="309" t="s">
        <v>838</v>
      </c>
      <c r="I191" s="311">
        <v>39.950031699923365</v>
      </c>
      <c r="J191" s="338">
        <v>9298.5815999999995</v>
      </c>
    </row>
    <row r="192" spans="1:10" ht="24">
      <c r="A192" s="334" t="s">
        <v>421</v>
      </c>
      <c r="B192" s="309" t="s">
        <v>597</v>
      </c>
      <c r="C192" s="309" t="s">
        <v>570</v>
      </c>
      <c r="D192" s="309" t="s">
        <v>820</v>
      </c>
      <c r="E192" s="310" t="s">
        <v>844</v>
      </c>
      <c r="F192" s="309" t="s">
        <v>840</v>
      </c>
      <c r="G192" s="309" t="s">
        <v>837</v>
      </c>
      <c r="H192" s="309" t="s">
        <v>838</v>
      </c>
      <c r="I192" s="311">
        <v>26.418957760800001</v>
      </c>
      <c r="J192" s="338">
        <v>21.2256</v>
      </c>
    </row>
    <row r="193" spans="1:10" ht="24">
      <c r="A193" s="334" t="s">
        <v>421</v>
      </c>
      <c r="B193" s="309" t="s">
        <v>621</v>
      </c>
      <c r="C193" s="309" t="s">
        <v>570</v>
      </c>
      <c r="D193" s="309" t="s">
        <v>820</v>
      </c>
      <c r="E193" s="310" t="s">
        <v>845</v>
      </c>
      <c r="F193" s="309" t="s">
        <v>840</v>
      </c>
      <c r="G193" s="309" t="s">
        <v>837</v>
      </c>
      <c r="H193" s="309" t="s">
        <v>838</v>
      </c>
      <c r="I193" s="311">
        <v>14.669537456742598</v>
      </c>
      <c r="J193" s="338">
        <v>49.772799999999997</v>
      </c>
    </row>
    <row r="194" spans="1:10" ht="24">
      <c r="A194" s="334" t="s">
        <v>421</v>
      </c>
      <c r="B194" s="309" t="s">
        <v>625</v>
      </c>
      <c r="C194" s="309" t="s">
        <v>570</v>
      </c>
      <c r="D194" s="309" t="s">
        <v>820</v>
      </c>
      <c r="E194" s="310" t="s">
        <v>846</v>
      </c>
      <c r="F194" s="309" t="s">
        <v>840</v>
      </c>
      <c r="G194" s="309" t="s">
        <v>837</v>
      </c>
      <c r="H194" s="309" t="s">
        <v>838</v>
      </c>
      <c r="I194" s="311">
        <v>38.715721204953262</v>
      </c>
      <c r="J194" s="338">
        <v>1309.7568000000001</v>
      </c>
    </row>
    <row r="195" spans="1:10" ht="24">
      <c r="A195" s="334" t="s">
        <v>421</v>
      </c>
      <c r="B195" s="309" t="s">
        <v>637</v>
      </c>
      <c r="C195" s="309" t="s">
        <v>570</v>
      </c>
      <c r="D195" s="309" t="s">
        <v>820</v>
      </c>
      <c r="E195" s="310" t="s">
        <v>847</v>
      </c>
      <c r="F195" s="309" t="s">
        <v>840</v>
      </c>
      <c r="G195" s="309" t="s">
        <v>837</v>
      </c>
      <c r="H195" s="309" t="s">
        <v>838</v>
      </c>
      <c r="I195" s="311">
        <v>200.89655043076669</v>
      </c>
      <c r="J195" s="338">
        <v>209.20240000000001</v>
      </c>
    </row>
    <row r="196" spans="1:10" ht="24">
      <c r="A196" s="334" t="s">
        <v>421</v>
      </c>
      <c r="B196" s="309" t="s">
        <v>651</v>
      </c>
      <c r="C196" s="309" t="s">
        <v>570</v>
      </c>
      <c r="D196" s="309" t="s">
        <v>820</v>
      </c>
      <c r="E196" s="310" t="s">
        <v>848</v>
      </c>
      <c r="F196" s="309" t="s">
        <v>840</v>
      </c>
      <c r="G196" s="309" t="s">
        <v>837</v>
      </c>
      <c r="H196" s="309" t="s">
        <v>838</v>
      </c>
      <c r="I196" s="311">
        <v>36.584347935300002</v>
      </c>
      <c r="J196" s="338">
        <v>23.3992</v>
      </c>
    </row>
    <row r="197" spans="1:10" ht="24">
      <c r="A197" s="334" t="s">
        <v>423</v>
      </c>
      <c r="B197" s="309"/>
      <c r="C197" s="309" t="s">
        <v>570</v>
      </c>
      <c r="D197" s="309" t="s">
        <v>820</v>
      </c>
      <c r="E197" s="310" t="s">
        <v>849</v>
      </c>
      <c r="F197" s="309" t="s">
        <v>850</v>
      </c>
      <c r="G197" s="309" t="s">
        <v>851</v>
      </c>
      <c r="H197" s="309" t="s">
        <v>838</v>
      </c>
      <c r="I197" s="311">
        <v>105.6</v>
      </c>
      <c r="J197" s="338">
        <v>105.6</v>
      </c>
    </row>
    <row r="198" spans="1:10" ht="24">
      <c r="A198" s="334" t="s">
        <v>421</v>
      </c>
      <c r="B198" s="309" t="s">
        <v>651</v>
      </c>
      <c r="C198" s="309" t="s">
        <v>570</v>
      </c>
      <c r="D198" s="309" t="s">
        <v>820</v>
      </c>
      <c r="E198" s="310" t="s">
        <v>852</v>
      </c>
      <c r="F198" s="309" t="s">
        <v>850</v>
      </c>
      <c r="G198" s="309" t="s">
        <v>851</v>
      </c>
      <c r="H198" s="309" t="s">
        <v>838</v>
      </c>
      <c r="I198" s="311">
        <v>104.57977760670001</v>
      </c>
      <c r="J198" s="338">
        <v>66.888800000000003</v>
      </c>
    </row>
    <row r="199" spans="1:10" ht="24">
      <c r="A199" s="334" t="s">
        <v>423</v>
      </c>
      <c r="B199" s="309"/>
      <c r="C199" s="309" t="s">
        <v>570</v>
      </c>
      <c r="D199" s="309" t="s">
        <v>820</v>
      </c>
      <c r="E199" s="310" t="s">
        <v>853</v>
      </c>
      <c r="F199" s="309" t="s">
        <v>854</v>
      </c>
      <c r="G199" s="309" t="s">
        <v>855</v>
      </c>
      <c r="H199" s="309" t="s">
        <v>838</v>
      </c>
      <c r="I199" s="311">
        <v>320</v>
      </c>
      <c r="J199" s="338">
        <v>320</v>
      </c>
    </row>
    <row r="200" spans="1:10" ht="24">
      <c r="A200" s="334" t="s">
        <v>421</v>
      </c>
      <c r="B200" s="309" t="s">
        <v>651</v>
      </c>
      <c r="C200" s="309" t="s">
        <v>570</v>
      </c>
      <c r="D200" s="309" t="s">
        <v>820</v>
      </c>
      <c r="E200" s="310" t="s">
        <v>856</v>
      </c>
      <c r="F200" s="309" t="s">
        <v>854</v>
      </c>
      <c r="G200" s="309" t="s">
        <v>855</v>
      </c>
      <c r="H200" s="309" t="s">
        <v>838</v>
      </c>
      <c r="I200" s="311">
        <v>187.27279999999999</v>
      </c>
      <c r="J200" s="338">
        <v>119.77892046920437</v>
      </c>
    </row>
    <row r="201" spans="1:10">
      <c r="A201" s="336" t="s">
        <v>423</v>
      </c>
      <c r="B201" s="319"/>
      <c r="C201" s="319" t="s">
        <v>570</v>
      </c>
      <c r="D201" s="319" t="s">
        <v>820</v>
      </c>
      <c r="E201" s="320" t="s">
        <v>425</v>
      </c>
      <c r="F201" s="319" t="s">
        <v>857</v>
      </c>
      <c r="G201" s="319" t="s">
        <v>858</v>
      </c>
      <c r="H201" s="319" t="s">
        <v>838</v>
      </c>
      <c r="I201" s="321">
        <v>30</v>
      </c>
      <c r="J201" s="340">
        <v>30</v>
      </c>
    </row>
    <row r="202" spans="1:10">
      <c r="A202" s="334" t="s">
        <v>423</v>
      </c>
      <c r="B202" s="309"/>
      <c r="C202" s="309" t="s">
        <v>570</v>
      </c>
      <c r="D202" s="309" t="s">
        <v>820</v>
      </c>
      <c r="E202" s="310" t="s">
        <v>859</v>
      </c>
      <c r="F202" s="309" t="s">
        <v>860</v>
      </c>
      <c r="G202" s="309" t="s">
        <v>861</v>
      </c>
      <c r="H202" s="309" t="s">
        <v>838</v>
      </c>
      <c r="I202" s="311">
        <v>61.6</v>
      </c>
      <c r="J202" s="338">
        <v>61.6</v>
      </c>
    </row>
    <row r="203" spans="1:10">
      <c r="A203" s="334" t="s">
        <v>423</v>
      </c>
      <c r="B203" s="309"/>
      <c r="C203" s="309" t="s">
        <v>570</v>
      </c>
      <c r="D203" s="309" t="s">
        <v>820</v>
      </c>
      <c r="E203" s="310" t="s">
        <v>862</v>
      </c>
      <c r="F203" s="309" t="s">
        <v>863</v>
      </c>
      <c r="G203" s="309" t="s">
        <v>858</v>
      </c>
      <c r="H203" s="309" t="s">
        <v>838</v>
      </c>
      <c r="I203" s="311">
        <v>105.6</v>
      </c>
      <c r="J203" s="338">
        <v>105.6</v>
      </c>
    </row>
    <row r="204" spans="1:10">
      <c r="A204" s="334" t="s">
        <v>423</v>
      </c>
      <c r="B204" s="309"/>
      <c r="C204" s="309" t="s">
        <v>570</v>
      </c>
      <c r="D204" s="309" t="s">
        <v>820</v>
      </c>
      <c r="E204" s="310" t="s">
        <v>864</v>
      </c>
      <c r="F204" s="309" t="s">
        <v>865</v>
      </c>
      <c r="G204" s="309" t="s">
        <v>866</v>
      </c>
      <c r="H204" s="309" t="s">
        <v>838</v>
      </c>
      <c r="I204" s="311">
        <v>320</v>
      </c>
      <c r="J204" s="338">
        <v>320</v>
      </c>
    </row>
    <row r="205" spans="1:10" ht="24">
      <c r="A205" s="334" t="s">
        <v>423</v>
      </c>
      <c r="B205" s="309"/>
      <c r="C205" s="309" t="s">
        <v>570</v>
      </c>
      <c r="D205" s="309" t="s">
        <v>820</v>
      </c>
      <c r="E205" s="310" t="s">
        <v>867</v>
      </c>
      <c r="F205" s="309" t="s">
        <v>868</v>
      </c>
      <c r="G205" s="309" t="s">
        <v>869</v>
      </c>
      <c r="H205" s="309" t="s">
        <v>571</v>
      </c>
      <c r="I205" s="311">
        <v>95.04</v>
      </c>
      <c r="J205" s="338">
        <v>95.04</v>
      </c>
    </row>
    <row r="206" spans="1:10" ht="24">
      <c r="A206" s="335" t="s">
        <v>655</v>
      </c>
      <c r="B206" s="314" t="s">
        <v>656</v>
      </c>
      <c r="C206" s="309" t="s">
        <v>570</v>
      </c>
      <c r="D206" s="309" t="s">
        <v>820</v>
      </c>
      <c r="E206" s="315" t="s">
        <v>870</v>
      </c>
      <c r="F206" s="309" t="s">
        <v>868</v>
      </c>
      <c r="G206" s="309" t="s">
        <v>869</v>
      </c>
      <c r="H206" s="309" t="s">
        <v>571</v>
      </c>
      <c r="I206" s="311">
        <v>130.8912</v>
      </c>
      <c r="J206" s="338">
        <v>126.96446399999999</v>
      </c>
    </row>
    <row r="207" spans="1:10" ht="24">
      <c r="A207" s="335" t="s">
        <v>655</v>
      </c>
      <c r="B207" s="314" t="s">
        <v>660</v>
      </c>
      <c r="C207" s="309" t="s">
        <v>570</v>
      </c>
      <c r="D207" s="309" t="s">
        <v>820</v>
      </c>
      <c r="E207" s="315" t="s">
        <v>871</v>
      </c>
      <c r="F207" s="309" t="s">
        <v>868</v>
      </c>
      <c r="G207" s="309" t="s">
        <v>869</v>
      </c>
      <c r="H207" s="309" t="s">
        <v>571</v>
      </c>
      <c r="I207" s="311">
        <v>64.380799999999994</v>
      </c>
      <c r="J207" s="338">
        <v>498.95119999999997</v>
      </c>
    </row>
    <row r="208" spans="1:10" ht="24">
      <c r="A208" s="335" t="s">
        <v>655</v>
      </c>
      <c r="B208" s="314" t="s">
        <v>672</v>
      </c>
      <c r="C208" s="309" t="s">
        <v>570</v>
      </c>
      <c r="D208" s="309" t="s">
        <v>820</v>
      </c>
      <c r="E208" s="315" t="s">
        <v>872</v>
      </c>
      <c r="F208" s="309" t="s">
        <v>868</v>
      </c>
      <c r="G208" s="309" t="s">
        <v>869</v>
      </c>
      <c r="H208" s="309" t="s">
        <v>571</v>
      </c>
      <c r="I208" s="311">
        <v>59.998399999999997</v>
      </c>
      <c r="J208" s="338">
        <v>74.398015999999998</v>
      </c>
    </row>
    <row r="209" spans="1:10" ht="24">
      <c r="A209" s="335" t="s">
        <v>655</v>
      </c>
      <c r="B209" s="314"/>
      <c r="C209" s="309" t="s">
        <v>570</v>
      </c>
      <c r="D209" s="309" t="s">
        <v>820</v>
      </c>
      <c r="E209" s="315" t="s">
        <v>873</v>
      </c>
      <c r="F209" s="309" t="s">
        <v>868</v>
      </c>
      <c r="G209" s="309" t="s">
        <v>869</v>
      </c>
      <c r="H209" s="309" t="s">
        <v>571</v>
      </c>
      <c r="I209" s="311">
        <v>6.1688000000000001</v>
      </c>
      <c r="J209" s="338" t="s">
        <v>36</v>
      </c>
    </row>
    <row r="210" spans="1:10" ht="24">
      <c r="A210" s="335" t="s">
        <v>680</v>
      </c>
      <c r="B210" s="314"/>
      <c r="C210" s="309" t="s">
        <v>570</v>
      </c>
      <c r="D210" s="309" t="s">
        <v>820</v>
      </c>
      <c r="E210" s="316" t="s">
        <v>874</v>
      </c>
      <c r="F210" s="309" t="s">
        <v>868</v>
      </c>
      <c r="G210" s="309" t="s">
        <v>869</v>
      </c>
      <c r="H210" s="309" t="s">
        <v>571</v>
      </c>
      <c r="I210" s="311">
        <v>146.56556622992579</v>
      </c>
      <c r="J210" s="339">
        <v>11439.12</v>
      </c>
    </row>
    <row r="211" spans="1:10">
      <c r="A211" s="335" t="s">
        <v>421</v>
      </c>
      <c r="B211" s="312" t="s">
        <v>575</v>
      </c>
      <c r="C211" s="309" t="s">
        <v>570</v>
      </c>
      <c r="D211" s="309" t="s">
        <v>820</v>
      </c>
      <c r="E211" s="313" t="s">
        <v>875</v>
      </c>
      <c r="F211" s="314" t="s">
        <v>876</v>
      </c>
      <c r="G211" s="317" t="s">
        <v>877</v>
      </c>
      <c r="H211" s="312" t="s">
        <v>878</v>
      </c>
      <c r="I211" s="311">
        <v>25.491620122199997</v>
      </c>
      <c r="J211" s="338">
        <v>1888.86</v>
      </c>
    </row>
    <row r="212" spans="1:10">
      <c r="A212" s="335" t="s">
        <v>421</v>
      </c>
      <c r="B212" s="312" t="s">
        <v>577</v>
      </c>
      <c r="C212" s="309" t="s">
        <v>570</v>
      </c>
      <c r="D212" s="309" t="s">
        <v>820</v>
      </c>
      <c r="E212" s="313" t="s">
        <v>879</v>
      </c>
      <c r="F212" s="314" t="s">
        <v>876</v>
      </c>
      <c r="G212" s="317" t="s">
        <v>877</v>
      </c>
      <c r="H212" s="312" t="s">
        <v>878</v>
      </c>
      <c r="I212" s="311">
        <v>253.05</v>
      </c>
      <c r="J212" s="338">
        <v>253.05</v>
      </c>
    </row>
    <row r="213" spans="1:10">
      <c r="A213" s="335" t="s">
        <v>421</v>
      </c>
      <c r="B213" s="312" t="s">
        <v>583</v>
      </c>
      <c r="C213" s="309" t="s">
        <v>570</v>
      </c>
      <c r="D213" s="309" t="s">
        <v>820</v>
      </c>
      <c r="E213" s="313" t="s">
        <v>880</v>
      </c>
      <c r="F213" s="314" t="s">
        <v>876</v>
      </c>
      <c r="G213" s="317" t="s">
        <v>877</v>
      </c>
      <c r="H213" s="312" t="s">
        <v>878</v>
      </c>
      <c r="I213" s="311">
        <v>50.896966951799982</v>
      </c>
      <c r="J213" s="338">
        <v>26616.69</v>
      </c>
    </row>
    <row r="214" spans="1:10">
      <c r="A214" s="335" t="s">
        <v>421</v>
      </c>
      <c r="B214" s="312" t="s">
        <v>585</v>
      </c>
      <c r="C214" s="309" t="s">
        <v>570</v>
      </c>
      <c r="D214" s="309" t="s">
        <v>820</v>
      </c>
      <c r="E214" s="313" t="s">
        <v>881</v>
      </c>
      <c r="F214" s="314" t="s">
        <v>876</v>
      </c>
      <c r="G214" s="317" t="s">
        <v>877</v>
      </c>
      <c r="H214" s="312" t="s">
        <v>878</v>
      </c>
      <c r="I214" s="311">
        <v>68.290000000000006</v>
      </c>
      <c r="J214" s="338">
        <v>68.290000000000006</v>
      </c>
    </row>
    <row r="215" spans="1:10">
      <c r="A215" s="335" t="s">
        <v>421</v>
      </c>
      <c r="B215" s="312" t="s">
        <v>719</v>
      </c>
      <c r="C215" s="309" t="s">
        <v>570</v>
      </c>
      <c r="D215" s="309" t="s">
        <v>820</v>
      </c>
      <c r="E215" s="313" t="s">
        <v>882</v>
      </c>
      <c r="F215" s="314" t="s">
        <v>876</v>
      </c>
      <c r="G215" s="317" t="s">
        <v>877</v>
      </c>
      <c r="H215" s="312" t="s">
        <v>878</v>
      </c>
      <c r="I215" s="311">
        <v>163.78867996959994</v>
      </c>
      <c r="J215" s="338">
        <v>85653.68</v>
      </c>
    </row>
    <row r="216" spans="1:10">
      <c r="A216" s="335" t="s">
        <v>421</v>
      </c>
      <c r="B216" s="312" t="s">
        <v>589</v>
      </c>
      <c r="C216" s="309" t="s">
        <v>570</v>
      </c>
      <c r="D216" s="309" t="s">
        <v>820</v>
      </c>
      <c r="E216" s="313" t="s">
        <v>883</v>
      </c>
      <c r="F216" s="314" t="s">
        <v>876</v>
      </c>
      <c r="G216" s="317" t="s">
        <v>877</v>
      </c>
      <c r="H216" s="312" t="s">
        <v>878</v>
      </c>
      <c r="I216" s="311">
        <v>3.2884208840999998</v>
      </c>
      <c r="J216" s="338">
        <v>23.43</v>
      </c>
    </row>
    <row r="217" spans="1:10">
      <c r="A217" s="335" t="s">
        <v>421</v>
      </c>
      <c r="B217" s="312" t="s">
        <v>724</v>
      </c>
      <c r="C217" s="309" t="s">
        <v>570</v>
      </c>
      <c r="D217" s="309" t="s">
        <v>820</v>
      </c>
      <c r="E217" s="313" t="s">
        <v>884</v>
      </c>
      <c r="F217" s="314" t="s">
        <v>876</v>
      </c>
      <c r="G217" s="317" t="s">
        <v>877</v>
      </c>
      <c r="H217" s="312" t="s">
        <v>878</v>
      </c>
      <c r="I217" s="311">
        <v>43.802076207999988</v>
      </c>
      <c r="J217" s="338">
        <v>22906.400000000001</v>
      </c>
    </row>
    <row r="218" spans="1:10">
      <c r="A218" s="335" t="s">
        <v>421</v>
      </c>
      <c r="B218" s="312" t="s">
        <v>597</v>
      </c>
      <c r="C218" s="309" t="s">
        <v>570</v>
      </c>
      <c r="D218" s="309" t="s">
        <v>820</v>
      </c>
      <c r="E218" s="313" t="s">
        <v>885</v>
      </c>
      <c r="F218" s="314" t="s">
        <v>876</v>
      </c>
      <c r="G218" s="317" t="s">
        <v>877</v>
      </c>
      <c r="H218" s="312" t="s">
        <v>878</v>
      </c>
      <c r="I218" s="311">
        <v>42.294031015000002</v>
      </c>
      <c r="J218" s="338">
        <v>33.979999999999997</v>
      </c>
    </row>
    <row r="219" spans="1:10">
      <c r="A219" s="335" t="s">
        <v>421</v>
      </c>
      <c r="B219" s="312" t="s">
        <v>599</v>
      </c>
      <c r="C219" s="309" t="s">
        <v>570</v>
      </c>
      <c r="D219" s="309" t="s">
        <v>820</v>
      </c>
      <c r="E219" s="313" t="s">
        <v>886</v>
      </c>
      <c r="F219" s="314" t="s">
        <v>876</v>
      </c>
      <c r="G219" s="317" t="s">
        <v>877</v>
      </c>
      <c r="H219" s="312" t="s">
        <v>878</v>
      </c>
      <c r="I219" s="311">
        <v>187.8495543644751</v>
      </c>
      <c r="J219" s="338">
        <v>753.1</v>
      </c>
    </row>
    <row r="220" spans="1:10">
      <c r="A220" s="335" t="s">
        <v>421</v>
      </c>
      <c r="B220" s="312" t="s">
        <v>603</v>
      </c>
      <c r="C220" s="309" t="s">
        <v>570</v>
      </c>
      <c r="D220" s="309" t="s">
        <v>820</v>
      </c>
      <c r="E220" s="313" t="s">
        <v>887</v>
      </c>
      <c r="F220" s="314" t="s">
        <v>876</v>
      </c>
      <c r="G220" s="317" t="s">
        <v>877</v>
      </c>
      <c r="H220" s="312" t="s">
        <v>878</v>
      </c>
      <c r="I220" s="311">
        <v>20.803438387500002</v>
      </c>
      <c r="J220" s="338">
        <v>15.15</v>
      </c>
    </row>
    <row r="221" spans="1:10">
      <c r="A221" s="335" t="s">
        <v>421</v>
      </c>
      <c r="B221" s="312" t="s">
        <v>605</v>
      </c>
      <c r="C221" s="309" t="s">
        <v>570</v>
      </c>
      <c r="D221" s="309" t="s">
        <v>820</v>
      </c>
      <c r="E221" s="313" t="s">
        <v>888</v>
      </c>
      <c r="F221" s="314" t="s">
        <v>876</v>
      </c>
      <c r="G221" s="317" t="s">
        <v>877</v>
      </c>
      <c r="H221" s="312" t="s">
        <v>878</v>
      </c>
      <c r="I221" s="311">
        <v>12.5833352192</v>
      </c>
      <c r="J221" s="338">
        <v>1869.76</v>
      </c>
    </row>
    <row r="222" spans="1:10">
      <c r="A222" s="335" t="s">
        <v>421</v>
      </c>
      <c r="B222" s="312" t="s">
        <v>607</v>
      </c>
      <c r="C222" s="309" t="s">
        <v>570</v>
      </c>
      <c r="D222" s="309" t="s">
        <v>820</v>
      </c>
      <c r="E222" s="313" t="s">
        <v>889</v>
      </c>
      <c r="F222" s="314" t="s">
        <v>876</v>
      </c>
      <c r="G222" s="317" t="s">
        <v>877</v>
      </c>
      <c r="H222" s="312" t="s">
        <v>878</v>
      </c>
      <c r="I222" s="311">
        <v>39.515613593399998</v>
      </c>
      <c r="J222" s="338">
        <v>3610.74</v>
      </c>
    </row>
    <row r="223" spans="1:10">
      <c r="A223" s="335" t="s">
        <v>421</v>
      </c>
      <c r="B223" s="312" t="s">
        <v>609</v>
      </c>
      <c r="C223" s="309" t="s">
        <v>570</v>
      </c>
      <c r="D223" s="309" t="s">
        <v>820</v>
      </c>
      <c r="E223" s="313" t="s">
        <v>890</v>
      </c>
      <c r="F223" s="314" t="s">
        <v>876</v>
      </c>
      <c r="G223" s="317" t="s">
        <v>877</v>
      </c>
      <c r="H223" s="312" t="s">
        <v>878</v>
      </c>
      <c r="I223" s="311">
        <v>59.503716727000018</v>
      </c>
      <c r="J223" s="338">
        <v>16.57</v>
      </c>
    </row>
    <row r="224" spans="1:10">
      <c r="A224" s="335" t="s">
        <v>421</v>
      </c>
      <c r="B224" s="312" t="s">
        <v>613</v>
      </c>
      <c r="C224" s="309" t="s">
        <v>570</v>
      </c>
      <c r="D224" s="309" t="s">
        <v>820</v>
      </c>
      <c r="E224" s="313" t="s">
        <v>891</v>
      </c>
      <c r="F224" s="314" t="s">
        <v>876</v>
      </c>
      <c r="G224" s="317" t="s">
        <v>877</v>
      </c>
      <c r="H224" s="312" t="s">
        <v>878</v>
      </c>
      <c r="I224" s="311">
        <v>25.570847265600008</v>
      </c>
      <c r="J224" s="338">
        <v>223.86</v>
      </c>
    </row>
    <row r="225" spans="1:10">
      <c r="A225" s="335" t="s">
        <v>421</v>
      </c>
      <c r="B225" s="312" t="s">
        <v>617</v>
      </c>
      <c r="C225" s="309" t="s">
        <v>570</v>
      </c>
      <c r="D225" s="309" t="s">
        <v>820</v>
      </c>
      <c r="E225" s="313" t="s">
        <v>892</v>
      </c>
      <c r="F225" s="314" t="s">
        <v>876</v>
      </c>
      <c r="G225" s="317" t="s">
        <v>877</v>
      </c>
      <c r="H225" s="312" t="s">
        <v>878</v>
      </c>
      <c r="I225" s="311">
        <v>101.79631773720003</v>
      </c>
      <c r="J225" s="338">
        <v>17585.32</v>
      </c>
    </row>
    <row r="226" spans="1:10">
      <c r="A226" s="335" t="s">
        <v>421</v>
      </c>
      <c r="B226" s="312" t="s">
        <v>619</v>
      </c>
      <c r="C226" s="309" t="s">
        <v>570</v>
      </c>
      <c r="D226" s="309" t="s">
        <v>820</v>
      </c>
      <c r="E226" s="313" t="s">
        <v>893</v>
      </c>
      <c r="F226" s="314" t="s">
        <v>876</v>
      </c>
      <c r="G226" s="317" t="s">
        <v>877</v>
      </c>
      <c r="H226" s="312" t="s">
        <v>878</v>
      </c>
      <c r="I226" s="311">
        <v>5.0376908668907818</v>
      </c>
      <c r="J226" s="338">
        <v>514.37</v>
      </c>
    </row>
    <row r="227" spans="1:10">
      <c r="A227" s="335" t="s">
        <v>421</v>
      </c>
      <c r="B227" s="312" t="s">
        <v>743</v>
      </c>
      <c r="C227" s="309" t="s">
        <v>570</v>
      </c>
      <c r="D227" s="309" t="s">
        <v>820</v>
      </c>
      <c r="E227" s="313" t="s">
        <v>894</v>
      </c>
      <c r="F227" s="314" t="s">
        <v>876</v>
      </c>
      <c r="G227" s="317" t="s">
        <v>877</v>
      </c>
      <c r="H227" s="312" t="s">
        <v>878</v>
      </c>
      <c r="I227" s="311">
        <v>42.16956359000001</v>
      </c>
      <c r="J227" s="338">
        <v>33.880000000000003</v>
      </c>
    </row>
    <row r="228" spans="1:10">
      <c r="A228" s="335" t="s">
        <v>421</v>
      </c>
      <c r="B228" s="312" t="s">
        <v>745</v>
      </c>
      <c r="C228" s="309" t="s">
        <v>570</v>
      </c>
      <c r="D228" s="309" t="s">
        <v>820</v>
      </c>
      <c r="E228" s="313" t="s">
        <v>895</v>
      </c>
      <c r="F228" s="314" t="s">
        <v>876</v>
      </c>
      <c r="G228" s="317" t="s">
        <v>877</v>
      </c>
      <c r="H228" s="312" t="s">
        <v>878</v>
      </c>
      <c r="I228" s="311">
        <v>173.93</v>
      </c>
      <c r="J228" s="338">
        <v>173.93</v>
      </c>
    </row>
    <row r="229" spans="1:10">
      <c r="A229" s="335" t="s">
        <v>421</v>
      </c>
      <c r="B229" s="312" t="s">
        <v>627</v>
      </c>
      <c r="C229" s="309" t="s">
        <v>570</v>
      </c>
      <c r="D229" s="309" t="s">
        <v>820</v>
      </c>
      <c r="E229" s="313" t="s">
        <v>896</v>
      </c>
      <c r="F229" s="314" t="s">
        <v>876</v>
      </c>
      <c r="G229" s="317" t="s">
        <v>877</v>
      </c>
      <c r="H229" s="312" t="s">
        <v>878</v>
      </c>
      <c r="I229" s="311">
        <v>106.84548372199997</v>
      </c>
      <c r="J229" s="338">
        <v>55875.1</v>
      </c>
    </row>
    <row r="230" spans="1:10">
      <c r="A230" s="335" t="s">
        <v>421</v>
      </c>
      <c r="B230" s="312" t="s">
        <v>629</v>
      </c>
      <c r="C230" s="309" t="s">
        <v>570</v>
      </c>
      <c r="D230" s="309" t="s">
        <v>820</v>
      </c>
      <c r="E230" s="313" t="s">
        <v>897</v>
      </c>
      <c r="F230" s="314" t="s">
        <v>876</v>
      </c>
      <c r="G230" s="317" t="s">
        <v>877</v>
      </c>
      <c r="H230" s="312" t="s">
        <v>878</v>
      </c>
      <c r="I230" s="311">
        <v>18.246924505000003</v>
      </c>
      <c r="J230" s="338">
        <v>14.66</v>
      </c>
    </row>
    <row r="231" spans="1:10">
      <c r="A231" s="335" t="s">
        <v>421</v>
      </c>
      <c r="B231" s="312" t="s">
        <v>631</v>
      </c>
      <c r="C231" s="309" t="s">
        <v>570</v>
      </c>
      <c r="D231" s="309" t="s">
        <v>820</v>
      </c>
      <c r="E231" s="313" t="s">
        <v>898</v>
      </c>
      <c r="F231" s="314" t="s">
        <v>876</v>
      </c>
      <c r="G231" s="317" t="s">
        <v>877</v>
      </c>
      <c r="H231" s="312" t="s">
        <v>878</v>
      </c>
      <c r="I231" s="311">
        <v>3.8090459676325872</v>
      </c>
      <c r="J231" s="338">
        <v>32.409999999999997</v>
      </c>
    </row>
    <row r="232" spans="1:10">
      <c r="A232" s="335" t="s">
        <v>421</v>
      </c>
      <c r="B232" s="312" t="s">
        <v>639</v>
      </c>
      <c r="C232" s="309" t="s">
        <v>570</v>
      </c>
      <c r="D232" s="309" t="s">
        <v>820</v>
      </c>
      <c r="E232" s="313" t="s">
        <v>899</v>
      </c>
      <c r="F232" s="314" t="s">
        <v>876</v>
      </c>
      <c r="G232" s="317" t="s">
        <v>877</v>
      </c>
      <c r="H232" s="312" t="s">
        <v>878</v>
      </c>
      <c r="I232" s="311">
        <v>42.39912509909999</v>
      </c>
      <c r="J232" s="338">
        <v>73181.429999999993</v>
      </c>
    </row>
    <row r="233" spans="1:10">
      <c r="A233" s="335" t="s">
        <v>421</v>
      </c>
      <c r="B233" s="312" t="s">
        <v>641</v>
      </c>
      <c r="C233" s="309" t="s">
        <v>570</v>
      </c>
      <c r="D233" s="309" t="s">
        <v>820</v>
      </c>
      <c r="E233" s="313" t="s">
        <v>900</v>
      </c>
      <c r="F233" s="314" t="s">
        <v>876</v>
      </c>
      <c r="G233" s="317" t="s">
        <v>877</v>
      </c>
      <c r="H233" s="312" t="s">
        <v>878</v>
      </c>
      <c r="I233" s="311">
        <v>14.917517092799999</v>
      </c>
      <c r="J233" s="338">
        <v>23.24</v>
      </c>
    </row>
    <row r="234" spans="1:10">
      <c r="A234" s="335" t="s">
        <v>421</v>
      </c>
      <c r="B234" s="312" t="s">
        <v>643</v>
      </c>
      <c r="C234" s="309" t="s">
        <v>570</v>
      </c>
      <c r="D234" s="309" t="s">
        <v>820</v>
      </c>
      <c r="E234" s="313" t="s">
        <v>901</v>
      </c>
      <c r="F234" s="314" t="s">
        <v>876</v>
      </c>
      <c r="G234" s="317" t="s">
        <v>877</v>
      </c>
      <c r="H234" s="312" t="s">
        <v>878</v>
      </c>
      <c r="I234" s="311">
        <v>64.950413207755204</v>
      </c>
      <c r="J234" s="338">
        <v>121.65</v>
      </c>
    </row>
    <row r="235" spans="1:10">
      <c r="A235" s="335" t="s">
        <v>421</v>
      </c>
      <c r="B235" s="312" t="s">
        <v>647</v>
      </c>
      <c r="C235" s="309" t="s">
        <v>570</v>
      </c>
      <c r="D235" s="309" t="s">
        <v>820</v>
      </c>
      <c r="E235" s="313" t="s">
        <v>902</v>
      </c>
      <c r="F235" s="314" t="s">
        <v>876</v>
      </c>
      <c r="G235" s="317" t="s">
        <v>877</v>
      </c>
      <c r="H235" s="312" t="s">
        <v>878</v>
      </c>
      <c r="I235" s="311">
        <v>75.928572405400004</v>
      </c>
      <c r="J235" s="338">
        <v>211082.74</v>
      </c>
    </row>
    <row r="236" spans="1:10">
      <c r="A236" s="335" t="s">
        <v>421</v>
      </c>
      <c r="B236" s="312" t="s">
        <v>649</v>
      </c>
      <c r="C236" s="309" t="s">
        <v>570</v>
      </c>
      <c r="D236" s="309" t="s">
        <v>820</v>
      </c>
      <c r="E236" s="313" t="s">
        <v>903</v>
      </c>
      <c r="F236" s="314" t="s">
        <v>876</v>
      </c>
      <c r="G236" s="317" t="s">
        <v>877</v>
      </c>
      <c r="H236" s="312" t="s">
        <v>878</v>
      </c>
      <c r="I236" s="311">
        <v>42.079107572600002</v>
      </c>
      <c r="J236" s="338">
        <v>377.66</v>
      </c>
    </row>
    <row r="237" spans="1:10">
      <c r="A237" s="335" t="s">
        <v>421</v>
      </c>
      <c r="B237" s="312" t="s">
        <v>653</v>
      </c>
      <c r="C237" s="309" t="s">
        <v>570</v>
      </c>
      <c r="D237" s="309" t="s">
        <v>820</v>
      </c>
      <c r="E237" s="313" t="s">
        <v>904</v>
      </c>
      <c r="F237" s="314" t="s">
        <v>876</v>
      </c>
      <c r="G237" s="317" t="s">
        <v>877</v>
      </c>
      <c r="H237" s="312" t="s">
        <v>878</v>
      </c>
      <c r="I237" s="311">
        <v>243.2055562692</v>
      </c>
      <c r="J237" s="338">
        <v>1351066.92</v>
      </c>
    </row>
    <row r="238" spans="1:10">
      <c r="A238" s="335" t="s">
        <v>421</v>
      </c>
      <c r="B238" s="312" t="s">
        <v>597</v>
      </c>
      <c r="C238" s="309" t="s">
        <v>570</v>
      </c>
      <c r="D238" s="309" t="s">
        <v>820</v>
      </c>
      <c r="E238" s="313" t="s">
        <v>905</v>
      </c>
      <c r="F238" s="314" t="s">
        <v>906</v>
      </c>
      <c r="G238" s="317" t="s">
        <v>907</v>
      </c>
      <c r="H238" s="312" t="s">
        <v>908</v>
      </c>
      <c r="I238" s="311">
        <v>30.12111685</v>
      </c>
      <c r="J238" s="338">
        <v>24.2</v>
      </c>
    </row>
    <row r="239" spans="1:10" ht="24">
      <c r="A239" s="334" t="s">
        <v>423</v>
      </c>
      <c r="B239" s="309"/>
      <c r="C239" s="309" t="s">
        <v>570</v>
      </c>
      <c r="D239" s="309" t="s">
        <v>820</v>
      </c>
      <c r="E239" s="310" t="s">
        <v>909</v>
      </c>
      <c r="F239" s="309" t="s">
        <v>910</v>
      </c>
      <c r="G239" s="309" t="s">
        <v>911</v>
      </c>
      <c r="H239" s="309" t="s">
        <v>571</v>
      </c>
      <c r="I239" s="311">
        <v>35.200000000000003</v>
      </c>
      <c r="J239" s="338">
        <v>35.200000000000003</v>
      </c>
    </row>
    <row r="240" spans="1:10" ht="24">
      <c r="A240" s="335" t="s">
        <v>421</v>
      </c>
      <c r="B240" s="314" t="s">
        <v>575</v>
      </c>
      <c r="C240" s="309" t="s">
        <v>570</v>
      </c>
      <c r="D240" s="309" t="s">
        <v>820</v>
      </c>
      <c r="E240" s="313" t="s">
        <v>912</v>
      </c>
      <c r="F240" s="309" t="s">
        <v>910</v>
      </c>
      <c r="G240" s="309" t="s">
        <v>911</v>
      </c>
      <c r="H240" s="309" t="s">
        <v>571</v>
      </c>
      <c r="I240" s="311">
        <v>45.675332310167995</v>
      </c>
      <c r="J240" s="338">
        <v>3384.4184</v>
      </c>
    </row>
    <row r="241" spans="1:10" ht="24">
      <c r="A241" s="335" t="s">
        <v>421</v>
      </c>
      <c r="B241" s="314" t="s">
        <v>577</v>
      </c>
      <c r="C241" s="309" t="s">
        <v>570</v>
      </c>
      <c r="D241" s="309" t="s">
        <v>820</v>
      </c>
      <c r="E241" s="313" t="s">
        <v>913</v>
      </c>
      <c r="F241" s="309" t="s">
        <v>910</v>
      </c>
      <c r="G241" s="309" t="s">
        <v>911</v>
      </c>
      <c r="H241" s="309" t="s">
        <v>571</v>
      </c>
      <c r="I241" s="311">
        <v>54.384</v>
      </c>
      <c r="J241" s="338">
        <v>54.384</v>
      </c>
    </row>
    <row r="242" spans="1:10" ht="24">
      <c r="A242" s="335" t="s">
        <v>421</v>
      </c>
      <c r="B242" s="314" t="s">
        <v>579</v>
      </c>
      <c r="C242" s="309" t="s">
        <v>570</v>
      </c>
      <c r="D242" s="309" t="s">
        <v>820</v>
      </c>
      <c r="E242" s="313" t="s">
        <v>914</v>
      </c>
      <c r="F242" s="309" t="s">
        <v>910</v>
      </c>
      <c r="G242" s="309" t="s">
        <v>911</v>
      </c>
      <c r="H242" s="309" t="s">
        <v>571</v>
      </c>
      <c r="I242" s="311">
        <v>43.987783734400004</v>
      </c>
      <c r="J242" s="338">
        <v>35.340800000000002</v>
      </c>
    </row>
    <row r="243" spans="1:10" ht="24">
      <c r="A243" s="335" t="s">
        <v>421</v>
      </c>
      <c r="B243" s="314" t="s">
        <v>581</v>
      </c>
      <c r="C243" s="309" t="s">
        <v>570</v>
      </c>
      <c r="D243" s="309" t="s">
        <v>820</v>
      </c>
      <c r="E243" s="313" t="s">
        <v>915</v>
      </c>
      <c r="F243" s="309" t="s">
        <v>910</v>
      </c>
      <c r="G243" s="309" t="s">
        <v>911</v>
      </c>
      <c r="H243" s="309" t="s">
        <v>571</v>
      </c>
      <c r="I243" s="311">
        <v>38.123177088260256</v>
      </c>
      <c r="J243" s="338">
        <v>61.010399999999997</v>
      </c>
    </row>
    <row r="244" spans="1:10" ht="24">
      <c r="A244" s="335" t="s">
        <v>421</v>
      </c>
      <c r="B244" s="314" t="s">
        <v>583</v>
      </c>
      <c r="C244" s="309" t="s">
        <v>570</v>
      </c>
      <c r="D244" s="309" t="s">
        <v>820</v>
      </c>
      <c r="E244" s="313" t="s">
        <v>916</v>
      </c>
      <c r="F244" s="309" t="s">
        <v>910</v>
      </c>
      <c r="G244" s="309" t="s">
        <v>911</v>
      </c>
      <c r="H244" s="309" t="s">
        <v>571</v>
      </c>
      <c r="I244" s="311">
        <v>162.02172596878395</v>
      </c>
      <c r="J244" s="338">
        <v>84729.647200000007</v>
      </c>
    </row>
    <row r="245" spans="1:10" ht="24">
      <c r="A245" s="335" t="s">
        <v>421</v>
      </c>
      <c r="B245" s="314" t="s">
        <v>585</v>
      </c>
      <c r="C245" s="309" t="s">
        <v>570</v>
      </c>
      <c r="D245" s="309" t="s">
        <v>820</v>
      </c>
      <c r="E245" s="313" t="s">
        <v>917</v>
      </c>
      <c r="F245" s="309" t="s">
        <v>910</v>
      </c>
      <c r="G245" s="309" t="s">
        <v>911</v>
      </c>
      <c r="H245" s="309" t="s">
        <v>571</v>
      </c>
      <c r="I245" s="311">
        <v>236.35040000000001</v>
      </c>
      <c r="J245" s="338">
        <v>236.35040000000001</v>
      </c>
    </row>
    <row r="246" spans="1:10" ht="24">
      <c r="A246" s="335" t="s">
        <v>421</v>
      </c>
      <c r="B246" s="314" t="s">
        <v>719</v>
      </c>
      <c r="C246" s="309" t="s">
        <v>570</v>
      </c>
      <c r="D246" s="309" t="s">
        <v>820</v>
      </c>
      <c r="E246" s="313" t="s">
        <v>918</v>
      </c>
      <c r="F246" s="309" t="s">
        <v>910</v>
      </c>
      <c r="G246" s="309" t="s">
        <v>911</v>
      </c>
      <c r="H246" s="309" t="s">
        <v>571</v>
      </c>
      <c r="I246" s="311">
        <v>114.41194856977597</v>
      </c>
      <c r="J246" s="338">
        <v>59832.000800000002</v>
      </c>
    </row>
    <row r="247" spans="1:10" ht="24">
      <c r="A247" s="335" t="s">
        <v>421</v>
      </c>
      <c r="B247" s="314" t="s">
        <v>587</v>
      </c>
      <c r="C247" s="309" t="s">
        <v>570</v>
      </c>
      <c r="D247" s="309" t="s">
        <v>820</v>
      </c>
      <c r="E247" s="313" t="s">
        <v>919</v>
      </c>
      <c r="F247" s="309" t="s">
        <v>910</v>
      </c>
      <c r="G247" s="309" t="s">
        <v>911</v>
      </c>
      <c r="H247" s="309" t="s">
        <v>571</v>
      </c>
      <c r="I247" s="311">
        <v>35.958778091197473</v>
      </c>
      <c r="J247" s="338">
        <v>731.87840000000006</v>
      </c>
    </row>
    <row r="248" spans="1:10" ht="24">
      <c r="A248" s="335" t="s">
        <v>421</v>
      </c>
      <c r="B248" s="314" t="s">
        <v>589</v>
      </c>
      <c r="C248" s="309" t="s">
        <v>570</v>
      </c>
      <c r="D248" s="309" t="s">
        <v>820</v>
      </c>
      <c r="E248" s="313" t="s">
        <v>920</v>
      </c>
      <c r="F248" s="309" t="s">
        <v>910</v>
      </c>
      <c r="G248" s="309" t="s">
        <v>911</v>
      </c>
      <c r="H248" s="309" t="s">
        <v>571</v>
      </c>
      <c r="I248" s="311">
        <v>40.660320723175992</v>
      </c>
      <c r="J248" s="338">
        <v>289.70479999999998</v>
      </c>
    </row>
    <row r="249" spans="1:10" ht="24">
      <c r="A249" s="335" t="s">
        <v>421</v>
      </c>
      <c r="B249" s="314" t="s">
        <v>591</v>
      </c>
      <c r="C249" s="309" t="s">
        <v>570</v>
      </c>
      <c r="D249" s="309" t="s">
        <v>820</v>
      </c>
      <c r="E249" s="313" t="s">
        <v>921</v>
      </c>
      <c r="F249" s="309" t="s">
        <v>910</v>
      </c>
      <c r="G249" s="309" t="s">
        <v>911</v>
      </c>
      <c r="H249" s="309" t="s">
        <v>571</v>
      </c>
      <c r="I249" s="311">
        <v>101.95176568720001</v>
      </c>
      <c r="J249" s="338">
        <v>81.910399999999996</v>
      </c>
    </row>
    <row r="250" spans="1:10" ht="24">
      <c r="A250" s="335" t="s">
        <v>421</v>
      </c>
      <c r="B250" s="314" t="s">
        <v>724</v>
      </c>
      <c r="C250" s="309" t="s">
        <v>570</v>
      </c>
      <c r="D250" s="309" t="s">
        <v>820</v>
      </c>
      <c r="E250" s="313" t="s">
        <v>922</v>
      </c>
      <c r="F250" s="309" t="s">
        <v>910</v>
      </c>
      <c r="G250" s="309" t="s">
        <v>911</v>
      </c>
      <c r="H250" s="309" t="s">
        <v>571</v>
      </c>
      <c r="I250" s="311">
        <v>157.13410082743997</v>
      </c>
      <c r="J250" s="338">
        <v>82173.652000000002</v>
      </c>
    </row>
    <row r="251" spans="1:10" ht="24">
      <c r="A251" s="335" t="s">
        <v>421</v>
      </c>
      <c r="B251" s="314" t="s">
        <v>593</v>
      </c>
      <c r="C251" s="309" t="s">
        <v>570</v>
      </c>
      <c r="D251" s="309" t="s">
        <v>820</v>
      </c>
      <c r="E251" s="313" t="s">
        <v>923</v>
      </c>
      <c r="F251" s="309" t="s">
        <v>910</v>
      </c>
      <c r="G251" s="309" t="s">
        <v>911</v>
      </c>
      <c r="H251" s="309" t="s">
        <v>571</v>
      </c>
      <c r="I251" s="311">
        <v>58.785466957800004</v>
      </c>
      <c r="J251" s="338">
        <v>47.229599999999998</v>
      </c>
    </row>
    <row r="252" spans="1:10" ht="24">
      <c r="A252" s="335" t="s">
        <v>421</v>
      </c>
      <c r="B252" s="314" t="s">
        <v>595</v>
      </c>
      <c r="C252" s="309" t="s">
        <v>570</v>
      </c>
      <c r="D252" s="309" t="s">
        <v>820</v>
      </c>
      <c r="E252" s="313" t="s">
        <v>924</v>
      </c>
      <c r="F252" s="309" t="s">
        <v>910</v>
      </c>
      <c r="G252" s="309" t="s">
        <v>911</v>
      </c>
      <c r="H252" s="309" t="s">
        <v>571</v>
      </c>
      <c r="I252" s="311">
        <v>25.243572148174039</v>
      </c>
      <c r="J252" s="338">
        <v>5875.5752000000002</v>
      </c>
    </row>
    <row r="253" spans="1:10" ht="24">
      <c r="A253" s="335" t="s">
        <v>421</v>
      </c>
      <c r="B253" s="314" t="s">
        <v>597</v>
      </c>
      <c r="C253" s="309" t="s">
        <v>570</v>
      </c>
      <c r="D253" s="309" t="s">
        <v>820</v>
      </c>
      <c r="E253" s="313" t="s">
        <v>925</v>
      </c>
      <c r="F253" s="309" t="s">
        <v>910</v>
      </c>
      <c r="G253" s="309" t="s">
        <v>911</v>
      </c>
      <c r="H253" s="309" t="s">
        <v>571</v>
      </c>
      <c r="I253" s="311">
        <v>51.151132978</v>
      </c>
      <c r="J253" s="338">
        <v>41.095999999999997</v>
      </c>
    </row>
    <row r="254" spans="1:10" ht="24">
      <c r="A254" s="335" t="s">
        <v>421</v>
      </c>
      <c r="B254" s="314" t="s">
        <v>599</v>
      </c>
      <c r="C254" s="309" t="s">
        <v>570</v>
      </c>
      <c r="D254" s="309" t="s">
        <v>820</v>
      </c>
      <c r="E254" s="313" t="s">
        <v>926</v>
      </c>
      <c r="F254" s="309" t="s">
        <v>910</v>
      </c>
      <c r="G254" s="309" t="s">
        <v>911</v>
      </c>
      <c r="H254" s="309" t="s">
        <v>571</v>
      </c>
      <c r="I254" s="311">
        <v>90.149826769607117</v>
      </c>
      <c r="J254" s="338">
        <v>361.416</v>
      </c>
    </row>
    <row r="255" spans="1:10" ht="24">
      <c r="A255" s="335" t="s">
        <v>421</v>
      </c>
      <c r="B255" s="314" t="s">
        <v>601</v>
      </c>
      <c r="C255" s="309" t="s">
        <v>570</v>
      </c>
      <c r="D255" s="309" t="s">
        <v>820</v>
      </c>
      <c r="E255" s="313" t="s">
        <v>927</v>
      </c>
      <c r="F255" s="309" t="s">
        <v>910</v>
      </c>
      <c r="G255" s="309" t="s">
        <v>911</v>
      </c>
      <c r="H255" s="309" t="s">
        <v>571</v>
      </c>
      <c r="I255" s="311">
        <v>53.002212522600004</v>
      </c>
      <c r="J255" s="338">
        <v>42.583199999999998</v>
      </c>
    </row>
    <row r="256" spans="1:10" ht="24">
      <c r="A256" s="335" t="s">
        <v>421</v>
      </c>
      <c r="B256" s="314" t="s">
        <v>603</v>
      </c>
      <c r="C256" s="309" t="s">
        <v>570</v>
      </c>
      <c r="D256" s="309" t="s">
        <v>820</v>
      </c>
      <c r="E256" s="313" t="s">
        <v>928</v>
      </c>
      <c r="F256" s="309" t="s">
        <v>910</v>
      </c>
      <c r="G256" s="309" t="s">
        <v>911</v>
      </c>
      <c r="H256" s="309" t="s">
        <v>571</v>
      </c>
      <c r="I256" s="311">
        <v>43.381004986000001</v>
      </c>
      <c r="J256" s="338">
        <v>31.591999999999999</v>
      </c>
    </row>
    <row r="257" spans="1:10" ht="24">
      <c r="A257" s="335" t="s">
        <v>421</v>
      </c>
      <c r="B257" s="314" t="s">
        <v>605</v>
      </c>
      <c r="C257" s="309" t="s">
        <v>570</v>
      </c>
      <c r="D257" s="309" t="s">
        <v>820</v>
      </c>
      <c r="E257" s="313" t="s">
        <v>929</v>
      </c>
      <c r="F257" s="309" t="s">
        <v>910</v>
      </c>
      <c r="G257" s="309" t="s">
        <v>911</v>
      </c>
      <c r="H257" s="309" t="s">
        <v>571</v>
      </c>
      <c r="I257" s="311">
        <v>28.182885983999999</v>
      </c>
      <c r="J257" s="338">
        <v>4187.7</v>
      </c>
    </row>
    <row r="258" spans="1:10" ht="24">
      <c r="A258" s="335" t="s">
        <v>421</v>
      </c>
      <c r="B258" s="314" t="s">
        <v>607</v>
      </c>
      <c r="C258" s="309" t="s">
        <v>570</v>
      </c>
      <c r="D258" s="309" t="s">
        <v>820</v>
      </c>
      <c r="E258" s="313" t="s">
        <v>930</v>
      </c>
      <c r="F258" s="309" t="s">
        <v>910</v>
      </c>
      <c r="G258" s="309" t="s">
        <v>911</v>
      </c>
      <c r="H258" s="309" t="s">
        <v>571</v>
      </c>
      <c r="I258" s="311">
        <v>70.224513972623996</v>
      </c>
      <c r="J258" s="338">
        <v>6416.7664000000004</v>
      </c>
    </row>
    <row r="259" spans="1:10" ht="24">
      <c r="A259" s="335" t="s">
        <v>421</v>
      </c>
      <c r="B259" s="314" t="s">
        <v>609</v>
      </c>
      <c r="C259" s="309" t="s">
        <v>570</v>
      </c>
      <c r="D259" s="309" t="s">
        <v>820</v>
      </c>
      <c r="E259" s="313" t="s">
        <v>931</v>
      </c>
      <c r="F259" s="309" t="s">
        <v>910</v>
      </c>
      <c r="G259" s="309" t="s">
        <v>911</v>
      </c>
      <c r="H259" s="309" t="s">
        <v>571</v>
      </c>
      <c r="I259" s="311">
        <v>200.38352422088005</v>
      </c>
      <c r="J259" s="338">
        <v>55.800800000000002</v>
      </c>
    </row>
    <row r="260" spans="1:10" ht="24">
      <c r="A260" s="335" t="s">
        <v>421</v>
      </c>
      <c r="B260" s="314" t="s">
        <v>735</v>
      </c>
      <c r="C260" s="309" t="s">
        <v>570</v>
      </c>
      <c r="D260" s="309" t="s">
        <v>820</v>
      </c>
      <c r="E260" s="313" t="s">
        <v>932</v>
      </c>
      <c r="F260" s="309" t="s">
        <v>910</v>
      </c>
      <c r="G260" s="309" t="s">
        <v>911</v>
      </c>
      <c r="H260" s="309" t="s">
        <v>571</v>
      </c>
      <c r="I260" s="311">
        <v>90.627699204767993</v>
      </c>
      <c r="J260" s="338">
        <v>144375.9944</v>
      </c>
    </row>
    <row r="261" spans="1:10" ht="24">
      <c r="A261" s="335" t="s">
        <v>421</v>
      </c>
      <c r="B261" s="314" t="s">
        <v>611</v>
      </c>
      <c r="C261" s="309" t="s">
        <v>570</v>
      </c>
      <c r="D261" s="309" t="s">
        <v>820</v>
      </c>
      <c r="E261" s="313" t="s">
        <v>933</v>
      </c>
      <c r="F261" s="309" t="s">
        <v>910</v>
      </c>
      <c r="G261" s="309" t="s">
        <v>911</v>
      </c>
      <c r="H261" s="309" t="s">
        <v>571</v>
      </c>
      <c r="I261" s="311">
        <v>88.435599071599995</v>
      </c>
      <c r="J261" s="338">
        <v>71.051199999999994</v>
      </c>
    </row>
    <row r="262" spans="1:10" ht="24">
      <c r="A262" s="335" t="s">
        <v>421</v>
      </c>
      <c r="B262" s="314" t="s">
        <v>613</v>
      </c>
      <c r="C262" s="309" t="s">
        <v>570</v>
      </c>
      <c r="D262" s="309" t="s">
        <v>820</v>
      </c>
      <c r="E262" s="313" t="s">
        <v>934</v>
      </c>
      <c r="F262" s="309" t="s">
        <v>910</v>
      </c>
      <c r="G262" s="309" t="s">
        <v>911</v>
      </c>
      <c r="H262" s="309" t="s">
        <v>571</v>
      </c>
      <c r="I262" s="311">
        <v>107.44854943046403</v>
      </c>
      <c r="J262" s="338">
        <v>940.65840000000003</v>
      </c>
    </row>
    <row r="263" spans="1:10" ht="24">
      <c r="A263" s="335" t="s">
        <v>421</v>
      </c>
      <c r="B263" s="314" t="s">
        <v>615</v>
      </c>
      <c r="C263" s="309" t="s">
        <v>570</v>
      </c>
      <c r="D263" s="309" t="s">
        <v>820</v>
      </c>
      <c r="E263" s="313" t="s">
        <v>935</v>
      </c>
      <c r="F263" s="309" t="s">
        <v>910</v>
      </c>
      <c r="G263" s="309" t="s">
        <v>911</v>
      </c>
      <c r="H263" s="309" t="s">
        <v>571</v>
      </c>
      <c r="I263" s="311">
        <v>193.37757017700002</v>
      </c>
      <c r="J263" s="338">
        <v>155.364</v>
      </c>
    </row>
    <row r="264" spans="1:10" ht="24">
      <c r="A264" s="335" t="s">
        <v>421</v>
      </c>
      <c r="B264" s="314" t="s">
        <v>617</v>
      </c>
      <c r="C264" s="309" t="s">
        <v>570</v>
      </c>
      <c r="D264" s="309" t="s">
        <v>820</v>
      </c>
      <c r="E264" s="313" t="s">
        <v>936</v>
      </c>
      <c r="F264" s="309" t="s">
        <v>910</v>
      </c>
      <c r="G264" s="309" t="s">
        <v>911</v>
      </c>
      <c r="H264" s="309" t="s">
        <v>571</v>
      </c>
      <c r="I264" s="311">
        <v>68.91841772956802</v>
      </c>
      <c r="J264" s="338">
        <v>11905.6608</v>
      </c>
    </row>
    <row r="265" spans="1:10" ht="24">
      <c r="A265" s="335" t="s">
        <v>421</v>
      </c>
      <c r="B265" s="314" t="s">
        <v>619</v>
      </c>
      <c r="C265" s="309" t="s">
        <v>570</v>
      </c>
      <c r="D265" s="309" t="s">
        <v>820</v>
      </c>
      <c r="E265" s="313" t="s">
        <v>937</v>
      </c>
      <c r="F265" s="309" t="s">
        <v>910</v>
      </c>
      <c r="G265" s="309" t="s">
        <v>911</v>
      </c>
      <c r="H265" s="309" t="s">
        <v>571</v>
      </c>
      <c r="I265" s="311">
        <v>19.947316639715957</v>
      </c>
      <c r="J265" s="338">
        <v>2036.7072000000001</v>
      </c>
    </row>
    <row r="266" spans="1:10" ht="24">
      <c r="A266" s="335" t="s">
        <v>421</v>
      </c>
      <c r="B266" s="314" t="s">
        <v>621</v>
      </c>
      <c r="C266" s="309" t="s">
        <v>570</v>
      </c>
      <c r="D266" s="309" t="s">
        <v>820</v>
      </c>
      <c r="E266" s="313" t="s">
        <v>938</v>
      </c>
      <c r="F266" s="309" t="s">
        <v>910</v>
      </c>
      <c r="G266" s="309" t="s">
        <v>911</v>
      </c>
      <c r="H266" s="309" t="s">
        <v>571</v>
      </c>
      <c r="I266" s="311">
        <v>31.803017732421811</v>
      </c>
      <c r="J266" s="338">
        <v>107.90560000000001</v>
      </c>
    </row>
    <row r="267" spans="1:10" ht="24">
      <c r="A267" s="335" t="s">
        <v>421</v>
      </c>
      <c r="B267" s="314" t="s">
        <v>743</v>
      </c>
      <c r="C267" s="309" t="s">
        <v>570</v>
      </c>
      <c r="D267" s="309" t="s">
        <v>820</v>
      </c>
      <c r="E267" s="313" t="s">
        <v>939</v>
      </c>
      <c r="F267" s="309" t="s">
        <v>910</v>
      </c>
      <c r="G267" s="309" t="s">
        <v>911</v>
      </c>
      <c r="H267" s="309" t="s">
        <v>571</v>
      </c>
      <c r="I267" s="311">
        <v>168.86445762780002</v>
      </c>
      <c r="J267" s="338">
        <v>135.6696</v>
      </c>
    </row>
    <row r="268" spans="1:10" ht="24">
      <c r="A268" s="335" t="s">
        <v>421</v>
      </c>
      <c r="B268" s="314" t="s">
        <v>745</v>
      </c>
      <c r="C268" s="309" t="s">
        <v>570</v>
      </c>
      <c r="D268" s="309" t="s">
        <v>820</v>
      </c>
      <c r="E268" s="313" t="s">
        <v>940</v>
      </c>
      <c r="F268" s="309" t="s">
        <v>910</v>
      </c>
      <c r="G268" s="309" t="s">
        <v>911</v>
      </c>
      <c r="H268" s="309" t="s">
        <v>571</v>
      </c>
      <c r="I268" s="311">
        <v>211.3408</v>
      </c>
      <c r="J268" s="338">
        <v>211.3408</v>
      </c>
    </row>
    <row r="269" spans="1:10" ht="24">
      <c r="A269" s="335" t="s">
        <v>421</v>
      </c>
      <c r="B269" s="314" t="s">
        <v>623</v>
      </c>
      <c r="C269" s="309" t="s">
        <v>570</v>
      </c>
      <c r="D269" s="309" t="s">
        <v>820</v>
      </c>
      <c r="E269" s="313" t="s">
        <v>941</v>
      </c>
      <c r="F269" s="309" t="s">
        <v>910</v>
      </c>
      <c r="G269" s="309" t="s">
        <v>911</v>
      </c>
      <c r="H269" s="309" t="s">
        <v>571</v>
      </c>
      <c r="I269" s="311">
        <v>45.884813850519755</v>
      </c>
      <c r="J269" s="338">
        <v>178.61359999999999</v>
      </c>
    </row>
    <row r="270" spans="1:10" ht="24">
      <c r="A270" s="335" t="s">
        <v>421</v>
      </c>
      <c r="B270" s="314" t="s">
        <v>625</v>
      </c>
      <c r="C270" s="309" t="s">
        <v>570</v>
      </c>
      <c r="D270" s="309" t="s">
        <v>820</v>
      </c>
      <c r="E270" s="313" t="s">
        <v>942</v>
      </c>
      <c r="F270" s="309" t="s">
        <v>910</v>
      </c>
      <c r="G270" s="309" t="s">
        <v>911</v>
      </c>
      <c r="H270" s="309" t="s">
        <v>571</v>
      </c>
      <c r="I270" s="311">
        <v>29.453248411637286</v>
      </c>
      <c r="J270" s="338">
        <v>996.40639999999996</v>
      </c>
    </row>
    <row r="271" spans="1:10" ht="24">
      <c r="A271" s="335" t="s">
        <v>421</v>
      </c>
      <c r="B271" s="314" t="s">
        <v>625</v>
      </c>
      <c r="C271" s="309" t="s">
        <v>570</v>
      </c>
      <c r="D271" s="309" t="s">
        <v>820</v>
      </c>
      <c r="E271" s="313" t="s">
        <v>943</v>
      </c>
      <c r="F271" s="309" t="s">
        <v>910</v>
      </c>
      <c r="G271" s="309" t="s">
        <v>911</v>
      </c>
      <c r="H271" s="309" t="s">
        <v>571</v>
      </c>
      <c r="I271" s="311">
        <v>35.17</v>
      </c>
      <c r="J271" s="338">
        <v>1189.8046897317411</v>
      </c>
    </row>
    <row r="272" spans="1:10" ht="24">
      <c r="A272" s="335" t="s">
        <v>421</v>
      </c>
      <c r="B272" s="314" t="s">
        <v>627</v>
      </c>
      <c r="C272" s="309" t="s">
        <v>570</v>
      </c>
      <c r="D272" s="309" t="s">
        <v>820</v>
      </c>
      <c r="E272" s="313" t="s">
        <v>944</v>
      </c>
      <c r="F272" s="309" t="s">
        <v>910</v>
      </c>
      <c r="G272" s="309" t="s">
        <v>911</v>
      </c>
      <c r="H272" s="309" t="s">
        <v>571</v>
      </c>
      <c r="I272" s="311">
        <v>142.43578661259195</v>
      </c>
      <c r="J272" s="338">
        <v>74487.133600000001</v>
      </c>
    </row>
    <row r="273" spans="1:10" ht="24">
      <c r="A273" s="335" t="s">
        <v>421</v>
      </c>
      <c r="B273" s="314" t="s">
        <v>629</v>
      </c>
      <c r="C273" s="309" t="s">
        <v>570</v>
      </c>
      <c r="D273" s="309" t="s">
        <v>820</v>
      </c>
      <c r="E273" s="313" t="s">
        <v>945</v>
      </c>
      <c r="F273" s="309" t="s">
        <v>910</v>
      </c>
      <c r="G273" s="309" t="s">
        <v>911</v>
      </c>
      <c r="H273" s="309" t="s">
        <v>571</v>
      </c>
      <c r="I273" s="311">
        <v>49.223381499600002</v>
      </c>
      <c r="J273" s="338">
        <v>39.547199999999997</v>
      </c>
    </row>
    <row r="274" spans="1:10" ht="24">
      <c r="A274" s="335" t="s">
        <v>421</v>
      </c>
      <c r="B274" s="314" t="s">
        <v>631</v>
      </c>
      <c r="C274" s="309" t="s">
        <v>570</v>
      </c>
      <c r="D274" s="309" t="s">
        <v>820</v>
      </c>
      <c r="E274" s="313" t="s">
        <v>946</v>
      </c>
      <c r="F274" s="309" t="s">
        <v>910</v>
      </c>
      <c r="G274" s="309" t="s">
        <v>911</v>
      </c>
      <c r="H274" s="309" t="s">
        <v>571</v>
      </c>
      <c r="I274" s="311">
        <v>65.672982632168299</v>
      </c>
      <c r="J274" s="338">
        <v>558.7912</v>
      </c>
    </row>
    <row r="275" spans="1:10" ht="24">
      <c r="A275" s="335" t="s">
        <v>421</v>
      </c>
      <c r="B275" s="314" t="s">
        <v>633</v>
      </c>
      <c r="C275" s="309" t="s">
        <v>570</v>
      </c>
      <c r="D275" s="309" t="s">
        <v>820</v>
      </c>
      <c r="E275" s="313" t="s">
        <v>947</v>
      </c>
      <c r="F275" s="309" t="s">
        <v>910</v>
      </c>
      <c r="G275" s="309" t="s">
        <v>911</v>
      </c>
      <c r="H275" s="309" t="s">
        <v>571</v>
      </c>
      <c r="I275" s="311">
        <v>184.01264112000001</v>
      </c>
      <c r="J275" s="338">
        <v>147.84</v>
      </c>
    </row>
    <row r="276" spans="1:10" ht="24">
      <c r="A276" s="335" t="s">
        <v>421</v>
      </c>
      <c r="B276" s="314" t="s">
        <v>635</v>
      </c>
      <c r="C276" s="309" t="s">
        <v>570</v>
      </c>
      <c r="D276" s="309" t="s">
        <v>820</v>
      </c>
      <c r="E276" s="313" t="s">
        <v>948</v>
      </c>
      <c r="F276" s="309" t="s">
        <v>910</v>
      </c>
      <c r="G276" s="309" t="s">
        <v>911</v>
      </c>
      <c r="H276" s="309" t="s">
        <v>571</v>
      </c>
      <c r="I276" s="311">
        <v>47.175145553800007</v>
      </c>
      <c r="J276" s="338">
        <v>37.901600000000002</v>
      </c>
    </row>
    <row r="277" spans="1:10" ht="24">
      <c r="A277" s="335" t="s">
        <v>421</v>
      </c>
      <c r="B277" s="314" t="s">
        <v>637</v>
      </c>
      <c r="C277" s="309" t="s">
        <v>570</v>
      </c>
      <c r="D277" s="309" t="s">
        <v>820</v>
      </c>
      <c r="E277" s="313" t="s">
        <v>949</v>
      </c>
      <c r="F277" s="309" t="s">
        <v>910</v>
      </c>
      <c r="G277" s="309" t="s">
        <v>911</v>
      </c>
      <c r="H277" s="309" t="s">
        <v>571</v>
      </c>
      <c r="I277" s="311">
        <v>90.244153537633338</v>
      </c>
      <c r="J277" s="338">
        <v>93.975200000000001</v>
      </c>
    </row>
    <row r="278" spans="1:10" ht="24">
      <c r="A278" s="335" t="s">
        <v>421</v>
      </c>
      <c r="B278" s="314" t="s">
        <v>639</v>
      </c>
      <c r="C278" s="309" t="s">
        <v>570</v>
      </c>
      <c r="D278" s="309" t="s">
        <v>820</v>
      </c>
      <c r="E278" s="313" t="s">
        <v>950</v>
      </c>
      <c r="F278" s="309" t="s">
        <v>910</v>
      </c>
      <c r="G278" s="309" t="s">
        <v>911</v>
      </c>
      <c r="H278" s="309" t="s">
        <v>571</v>
      </c>
      <c r="I278" s="311">
        <v>100.26849941046399</v>
      </c>
      <c r="J278" s="338">
        <v>173064.7072</v>
      </c>
    </row>
    <row r="279" spans="1:10" ht="24">
      <c r="A279" s="335" t="s">
        <v>421</v>
      </c>
      <c r="B279" s="314" t="s">
        <v>641</v>
      </c>
      <c r="C279" s="309" t="s">
        <v>570</v>
      </c>
      <c r="D279" s="309" t="s">
        <v>820</v>
      </c>
      <c r="E279" s="313" t="s">
        <v>951</v>
      </c>
      <c r="F279" s="309" t="s">
        <v>910</v>
      </c>
      <c r="G279" s="309" t="s">
        <v>911</v>
      </c>
      <c r="H279" s="309" t="s">
        <v>571</v>
      </c>
      <c r="I279" s="311">
        <v>82.419153559776007</v>
      </c>
      <c r="J279" s="338">
        <v>128.4008</v>
      </c>
    </row>
    <row r="280" spans="1:10" ht="24">
      <c r="A280" s="335" t="s">
        <v>421</v>
      </c>
      <c r="B280" s="314" t="s">
        <v>643</v>
      </c>
      <c r="C280" s="309" t="s">
        <v>570</v>
      </c>
      <c r="D280" s="309" t="s">
        <v>820</v>
      </c>
      <c r="E280" s="313" t="s">
        <v>952</v>
      </c>
      <c r="F280" s="309" t="s">
        <v>910</v>
      </c>
      <c r="G280" s="309" t="s">
        <v>911</v>
      </c>
      <c r="H280" s="309" t="s">
        <v>571</v>
      </c>
      <c r="I280" s="311">
        <v>31.042506737032632</v>
      </c>
      <c r="J280" s="338">
        <v>58.141599999999997</v>
      </c>
    </row>
    <row r="281" spans="1:10" ht="24">
      <c r="A281" s="335" t="s">
        <v>421</v>
      </c>
      <c r="B281" s="314" t="s">
        <v>645</v>
      </c>
      <c r="C281" s="309" t="s">
        <v>570</v>
      </c>
      <c r="D281" s="309" t="s">
        <v>820</v>
      </c>
      <c r="E281" s="313" t="s">
        <v>953</v>
      </c>
      <c r="F281" s="309" t="s">
        <v>910</v>
      </c>
      <c r="G281" s="309" t="s">
        <v>911</v>
      </c>
      <c r="H281" s="309" t="s">
        <v>571</v>
      </c>
      <c r="I281" s="311">
        <v>29.672544288199994</v>
      </c>
      <c r="J281" s="338">
        <v>108.988</v>
      </c>
    </row>
    <row r="282" spans="1:10" ht="24">
      <c r="A282" s="335" t="s">
        <v>421</v>
      </c>
      <c r="B282" s="314" t="s">
        <v>647</v>
      </c>
      <c r="C282" s="309" t="s">
        <v>570</v>
      </c>
      <c r="D282" s="309" t="s">
        <v>820</v>
      </c>
      <c r="E282" s="313" t="s">
        <v>954</v>
      </c>
      <c r="F282" s="309" t="s">
        <v>910</v>
      </c>
      <c r="G282" s="309" t="s">
        <v>911</v>
      </c>
      <c r="H282" s="309" t="s">
        <v>571</v>
      </c>
      <c r="I282" s="311">
        <v>91.895782185064007</v>
      </c>
      <c r="J282" s="338">
        <v>255471.8584</v>
      </c>
    </row>
    <row r="283" spans="1:10" ht="24">
      <c r="A283" s="335" t="s">
        <v>421</v>
      </c>
      <c r="B283" s="314" t="s">
        <v>955</v>
      </c>
      <c r="C283" s="309" t="s">
        <v>570</v>
      </c>
      <c r="D283" s="309" t="s">
        <v>820</v>
      </c>
      <c r="E283" s="313" t="s">
        <v>956</v>
      </c>
      <c r="F283" s="309" t="s">
        <v>910</v>
      </c>
      <c r="G283" s="309" t="s">
        <v>911</v>
      </c>
      <c r="H283" s="309" t="s">
        <v>571</v>
      </c>
      <c r="I283" s="311">
        <v>175.285668558</v>
      </c>
      <c r="J283" s="338">
        <v>112.11199999999999</v>
      </c>
    </row>
    <row r="284" spans="1:10" ht="24">
      <c r="A284" s="335" t="s">
        <v>421</v>
      </c>
      <c r="B284" s="314" t="s">
        <v>649</v>
      </c>
      <c r="C284" s="309" t="s">
        <v>570</v>
      </c>
      <c r="D284" s="309" t="s">
        <v>820</v>
      </c>
      <c r="E284" s="313" t="s">
        <v>957</v>
      </c>
      <c r="F284" s="309" t="s">
        <v>910</v>
      </c>
      <c r="G284" s="309" t="s">
        <v>911</v>
      </c>
      <c r="H284" s="309" t="s">
        <v>571</v>
      </c>
      <c r="I284" s="311">
        <v>31.723141260271994</v>
      </c>
      <c r="J284" s="338">
        <v>284.71519999999998</v>
      </c>
    </row>
    <row r="285" spans="1:10" ht="24">
      <c r="A285" s="335" t="s">
        <v>421</v>
      </c>
      <c r="B285" s="314" t="s">
        <v>651</v>
      </c>
      <c r="C285" s="309" t="s">
        <v>570</v>
      </c>
      <c r="D285" s="309" t="s">
        <v>820</v>
      </c>
      <c r="E285" s="313" t="s">
        <v>958</v>
      </c>
      <c r="F285" s="309" t="s">
        <v>910</v>
      </c>
      <c r="G285" s="309" t="s">
        <v>911</v>
      </c>
      <c r="H285" s="309" t="s">
        <v>571</v>
      </c>
      <c r="I285" s="311">
        <v>62.835922158899997</v>
      </c>
      <c r="J285" s="338">
        <v>40.189599999999999</v>
      </c>
    </row>
    <row r="286" spans="1:10" ht="24">
      <c r="A286" s="335" t="s">
        <v>421</v>
      </c>
      <c r="B286" s="314" t="s">
        <v>653</v>
      </c>
      <c r="C286" s="309" t="s">
        <v>570</v>
      </c>
      <c r="D286" s="309" t="s">
        <v>820</v>
      </c>
      <c r="E286" s="313" t="s">
        <v>959</v>
      </c>
      <c r="F286" s="309" t="s">
        <v>910</v>
      </c>
      <c r="G286" s="309" t="s">
        <v>911</v>
      </c>
      <c r="H286" s="309" t="s">
        <v>571</v>
      </c>
      <c r="I286" s="311">
        <v>279.64669786460001</v>
      </c>
      <c r="J286" s="338">
        <v>1553506.46</v>
      </c>
    </row>
    <row r="287" spans="1:10" ht="24">
      <c r="A287" s="335" t="s">
        <v>655</v>
      </c>
      <c r="B287" s="314" t="s">
        <v>656</v>
      </c>
      <c r="C287" s="309" t="s">
        <v>570</v>
      </c>
      <c r="D287" s="309" t="s">
        <v>820</v>
      </c>
      <c r="E287" s="315" t="s">
        <v>960</v>
      </c>
      <c r="F287" s="309" t="s">
        <v>910</v>
      </c>
      <c r="G287" s="309" t="s">
        <v>911</v>
      </c>
      <c r="H287" s="309" t="s">
        <v>571</v>
      </c>
      <c r="I287" s="311">
        <v>50.98</v>
      </c>
      <c r="J287" s="338">
        <v>49.450599999999994</v>
      </c>
    </row>
    <row r="288" spans="1:10" ht="24">
      <c r="A288" s="335" t="s">
        <v>655</v>
      </c>
      <c r="B288" s="314" t="s">
        <v>658</v>
      </c>
      <c r="C288" s="309" t="s">
        <v>570</v>
      </c>
      <c r="D288" s="309" t="s">
        <v>820</v>
      </c>
      <c r="E288" s="315" t="s">
        <v>961</v>
      </c>
      <c r="F288" s="309" t="s">
        <v>910</v>
      </c>
      <c r="G288" s="309" t="s">
        <v>911</v>
      </c>
      <c r="H288" s="309" t="s">
        <v>571</v>
      </c>
      <c r="I288" s="311">
        <v>19</v>
      </c>
      <c r="J288" s="338">
        <v>121.98</v>
      </c>
    </row>
    <row r="289" spans="1:10" ht="24">
      <c r="A289" s="335" t="s">
        <v>655</v>
      </c>
      <c r="B289" s="314" t="s">
        <v>660</v>
      </c>
      <c r="C289" s="309" t="s">
        <v>570</v>
      </c>
      <c r="D289" s="309" t="s">
        <v>820</v>
      </c>
      <c r="E289" s="315" t="s">
        <v>962</v>
      </c>
      <c r="F289" s="309" t="s">
        <v>910</v>
      </c>
      <c r="G289" s="309" t="s">
        <v>911</v>
      </c>
      <c r="H289" s="309" t="s">
        <v>571</v>
      </c>
      <c r="I289" s="311">
        <v>11.65</v>
      </c>
      <c r="J289" s="338">
        <v>90.287500000000009</v>
      </c>
    </row>
    <row r="290" spans="1:10" ht="24">
      <c r="A290" s="335" t="s">
        <v>655</v>
      </c>
      <c r="B290" s="314" t="s">
        <v>662</v>
      </c>
      <c r="C290" s="309" t="s">
        <v>570</v>
      </c>
      <c r="D290" s="309" t="s">
        <v>820</v>
      </c>
      <c r="E290" s="315" t="s">
        <v>963</v>
      </c>
      <c r="F290" s="309" t="s">
        <v>910</v>
      </c>
      <c r="G290" s="309" t="s">
        <v>911</v>
      </c>
      <c r="H290" s="309" t="s">
        <v>571</v>
      </c>
      <c r="I290" s="311">
        <v>11.37</v>
      </c>
      <c r="J290" s="338">
        <v>666.50939999999991</v>
      </c>
    </row>
    <row r="291" spans="1:10" ht="24">
      <c r="A291" s="335" t="s">
        <v>655</v>
      </c>
      <c r="B291" s="314" t="s">
        <v>664</v>
      </c>
      <c r="C291" s="309" t="s">
        <v>570</v>
      </c>
      <c r="D291" s="309" t="s">
        <v>820</v>
      </c>
      <c r="E291" s="315" t="s">
        <v>964</v>
      </c>
      <c r="F291" s="309" t="s">
        <v>910</v>
      </c>
      <c r="G291" s="309" t="s">
        <v>911</v>
      </c>
      <c r="H291" s="309" t="s">
        <v>571</v>
      </c>
      <c r="I291" s="311">
        <v>8.64</v>
      </c>
      <c r="J291" s="338">
        <v>85431.715200000006</v>
      </c>
    </row>
    <row r="292" spans="1:10" ht="24">
      <c r="A292" s="335" t="s">
        <v>655</v>
      </c>
      <c r="B292" s="314" t="s">
        <v>666</v>
      </c>
      <c r="C292" s="309" t="s">
        <v>570</v>
      </c>
      <c r="D292" s="309" t="s">
        <v>820</v>
      </c>
      <c r="E292" s="315" t="s">
        <v>965</v>
      </c>
      <c r="F292" s="309" t="s">
        <v>910</v>
      </c>
      <c r="G292" s="309" t="s">
        <v>911</v>
      </c>
      <c r="H292" s="309" t="s">
        <v>571</v>
      </c>
      <c r="I292" s="311">
        <v>26.69</v>
      </c>
      <c r="J292" s="338">
        <v>30472.506800000003</v>
      </c>
    </row>
    <row r="293" spans="1:10" ht="24">
      <c r="A293" s="335" t="s">
        <v>655</v>
      </c>
      <c r="B293" s="314" t="s">
        <v>668</v>
      </c>
      <c r="C293" s="309" t="s">
        <v>570</v>
      </c>
      <c r="D293" s="309" t="s">
        <v>820</v>
      </c>
      <c r="E293" s="315" t="s">
        <v>966</v>
      </c>
      <c r="F293" s="309" t="s">
        <v>910</v>
      </c>
      <c r="G293" s="309" t="s">
        <v>911</v>
      </c>
      <c r="H293" s="309" t="s">
        <v>571</v>
      </c>
      <c r="I293" s="311">
        <v>8.0399999999999991</v>
      </c>
      <c r="J293" s="338">
        <v>25.406399999999998</v>
      </c>
    </row>
    <row r="294" spans="1:10" ht="24">
      <c r="A294" s="335" t="s">
        <v>655</v>
      </c>
      <c r="B294" s="314" t="s">
        <v>670</v>
      </c>
      <c r="C294" s="309" t="s">
        <v>570</v>
      </c>
      <c r="D294" s="309" t="s">
        <v>820</v>
      </c>
      <c r="E294" s="315" t="s">
        <v>967</v>
      </c>
      <c r="F294" s="309" t="s">
        <v>910</v>
      </c>
      <c r="G294" s="309" t="s">
        <v>911</v>
      </c>
      <c r="H294" s="309" t="s">
        <v>571</v>
      </c>
      <c r="I294" s="311">
        <v>3.27</v>
      </c>
      <c r="J294" s="338">
        <v>137.53620000000001</v>
      </c>
    </row>
    <row r="295" spans="1:10" ht="24">
      <c r="A295" s="335" t="s">
        <v>655</v>
      </c>
      <c r="B295" s="314" t="s">
        <v>672</v>
      </c>
      <c r="C295" s="309" t="s">
        <v>570</v>
      </c>
      <c r="D295" s="309" t="s">
        <v>820</v>
      </c>
      <c r="E295" s="315" t="s">
        <v>968</v>
      </c>
      <c r="F295" s="309" t="s">
        <v>910</v>
      </c>
      <c r="G295" s="309" t="s">
        <v>911</v>
      </c>
      <c r="H295" s="309" t="s">
        <v>571</v>
      </c>
      <c r="I295" s="311">
        <v>7.78</v>
      </c>
      <c r="J295" s="338">
        <v>9.6471999999999998</v>
      </c>
    </row>
    <row r="296" spans="1:10" ht="24">
      <c r="A296" s="335" t="s">
        <v>655</v>
      </c>
      <c r="B296" s="314" t="s">
        <v>674</v>
      </c>
      <c r="C296" s="309" t="s">
        <v>570</v>
      </c>
      <c r="D296" s="309" t="s">
        <v>820</v>
      </c>
      <c r="E296" s="315" t="s">
        <v>969</v>
      </c>
      <c r="F296" s="309" t="s">
        <v>910</v>
      </c>
      <c r="G296" s="309" t="s">
        <v>911</v>
      </c>
      <c r="H296" s="309" t="s">
        <v>571</v>
      </c>
      <c r="I296" s="311">
        <v>13.51</v>
      </c>
      <c r="J296" s="338">
        <v>400.1662</v>
      </c>
    </row>
    <row r="297" spans="1:10" ht="24">
      <c r="A297" s="335" t="s">
        <v>655</v>
      </c>
      <c r="B297" s="314" t="s">
        <v>676</v>
      </c>
      <c r="C297" s="309" t="s">
        <v>570</v>
      </c>
      <c r="D297" s="309" t="s">
        <v>820</v>
      </c>
      <c r="E297" s="315" t="s">
        <v>970</v>
      </c>
      <c r="F297" s="309" t="s">
        <v>910</v>
      </c>
      <c r="G297" s="309" t="s">
        <v>911</v>
      </c>
      <c r="H297" s="309" t="s">
        <v>571</v>
      </c>
      <c r="I297" s="311">
        <v>10.39</v>
      </c>
      <c r="J297" s="338">
        <v>332.58389999999997</v>
      </c>
    </row>
    <row r="298" spans="1:10" ht="24">
      <c r="A298" s="334" t="s">
        <v>655</v>
      </c>
      <c r="B298" s="309" t="s">
        <v>678</v>
      </c>
      <c r="C298" s="309" t="s">
        <v>570</v>
      </c>
      <c r="D298" s="309" t="s">
        <v>820</v>
      </c>
      <c r="E298" s="310" t="s">
        <v>971</v>
      </c>
      <c r="F298" s="309" t="s">
        <v>910</v>
      </c>
      <c r="G298" s="309" t="s">
        <v>911</v>
      </c>
      <c r="H298" s="309" t="s">
        <v>571</v>
      </c>
      <c r="I298" s="311">
        <v>33.07</v>
      </c>
      <c r="J298" s="338">
        <f>33.07/0.0000441544185989008</f>
        <v>748962.41530000034</v>
      </c>
    </row>
    <row r="299" spans="1:10" ht="24">
      <c r="A299" s="335" t="s">
        <v>655</v>
      </c>
      <c r="B299" s="314"/>
      <c r="C299" s="309" t="s">
        <v>570</v>
      </c>
      <c r="D299" s="309" t="s">
        <v>820</v>
      </c>
      <c r="E299" s="315" t="s">
        <v>972</v>
      </c>
      <c r="F299" s="309" t="s">
        <v>910</v>
      </c>
      <c r="G299" s="309" t="s">
        <v>911</v>
      </c>
      <c r="H299" s="309" t="s">
        <v>571</v>
      </c>
      <c r="I299" s="311">
        <v>7.1368</v>
      </c>
      <c r="J299" s="338" t="s">
        <v>36</v>
      </c>
    </row>
    <row r="300" spans="1:10" ht="24">
      <c r="A300" s="335" t="s">
        <v>680</v>
      </c>
      <c r="B300" s="314"/>
      <c r="C300" s="309" t="s">
        <v>570</v>
      </c>
      <c r="D300" s="309" t="s">
        <v>820</v>
      </c>
      <c r="E300" s="316" t="s">
        <v>973</v>
      </c>
      <c r="F300" s="309" t="s">
        <v>910</v>
      </c>
      <c r="G300" s="309" t="s">
        <v>911</v>
      </c>
      <c r="H300" s="309" t="s">
        <v>571</v>
      </c>
      <c r="I300" s="311">
        <v>73.716876068255601</v>
      </c>
      <c r="J300" s="339">
        <v>5753.44</v>
      </c>
    </row>
    <row r="301" spans="1:10">
      <c r="A301" s="335" t="s">
        <v>680</v>
      </c>
      <c r="B301" s="312"/>
      <c r="C301" s="309" t="s">
        <v>570</v>
      </c>
      <c r="D301" s="309" t="s">
        <v>820</v>
      </c>
      <c r="E301" s="316" t="s">
        <v>974</v>
      </c>
      <c r="F301" s="322" t="s">
        <v>975</v>
      </c>
      <c r="G301" s="317" t="s">
        <v>976</v>
      </c>
      <c r="H301" s="312" t="s">
        <v>977</v>
      </c>
      <c r="I301" s="311">
        <v>11.478094193558308</v>
      </c>
      <c r="J301" s="339">
        <v>895.84</v>
      </c>
    </row>
    <row r="302" spans="1:10" ht="24">
      <c r="A302" s="334" t="s">
        <v>423</v>
      </c>
      <c r="B302" s="309"/>
      <c r="C302" s="309" t="s">
        <v>570</v>
      </c>
      <c r="D302" s="309" t="s">
        <v>978</v>
      </c>
      <c r="E302" s="310" t="s">
        <v>979</v>
      </c>
      <c r="F302" s="309" t="s">
        <v>980</v>
      </c>
      <c r="G302" s="309" t="s">
        <v>981</v>
      </c>
      <c r="H302" s="309" t="s">
        <v>982</v>
      </c>
      <c r="I302" s="311">
        <v>20</v>
      </c>
      <c r="J302" s="338">
        <v>20</v>
      </c>
    </row>
    <row r="303" spans="1:10" ht="24">
      <c r="A303" s="335" t="s">
        <v>421</v>
      </c>
      <c r="B303" s="312"/>
      <c r="C303" s="309" t="s">
        <v>570</v>
      </c>
      <c r="D303" s="309" t="s">
        <v>978</v>
      </c>
      <c r="E303" s="310" t="s">
        <v>983</v>
      </c>
      <c r="F303" s="309" t="s">
        <v>980</v>
      </c>
      <c r="G303" s="309" t="s">
        <v>981</v>
      </c>
      <c r="H303" s="309" t="s">
        <v>982</v>
      </c>
      <c r="I303" s="311">
        <v>26.16</v>
      </c>
      <c r="J303" s="338" t="s">
        <v>36</v>
      </c>
    </row>
    <row r="304" spans="1:10" ht="24">
      <c r="A304" s="335" t="s">
        <v>655</v>
      </c>
      <c r="B304" s="312" t="s">
        <v>656</v>
      </c>
      <c r="C304" s="309" t="s">
        <v>570</v>
      </c>
      <c r="D304" s="309" t="s">
        <v>978</v>
      </c>
      <c r="E304" s="315" t="s">
        <v>984</v>
      </c>
      <c r="F304" s="309" t="s">
        <v>980</v>
      </c>
      <c r="G304" s="309" t="s">
        <v>981</v>
      </c>
      <c r="H304" s="309" t="s">
        <v>982</v>
      </c>
      <c r="I304" s="311">
        <v>20.84</v>
      </c>
      <c r="J304" s="338">
        <v>20.2148</v>
      </c>
    </row>
    <row r="305" spans="1:10" ht="24">
      <c r="A305" s="335" t="s">
        <v>655</v>
      </c>
      <c r="B305" s="312"/>
      <c r="C305" s="309" t="s">
        <v>570</v>
      </c>
      <c r="D305" s="309" t="s">
        <v>978</v>
      </c>
      <c r="E305" s="315" t="s">
        <v>985</v>
      </c>
      <c r="F305" s="309" t="s">
        <v>980</v>
      </c>
      <c r="G305" s="309" t="s">
        <v>981</v>
      </c>
      <c r="H305" s="309" t="s">
        <v>982</v>
      </c>
      <c r="I305" s="311">
        <v>21.4</v>
      </c>
      <c r="J305" s="338" t="s">
        <v>36</v>
      </c>
    </row>
    <row r="306" spans="1:10" ht="24">
      <c r="A306" s="335" t="s">
        <v>680</v>
      </c>
      <c r="B306" s="312"/>
      <c r="C306" s="309" t="s">
        <v>570</v>
      </c>
      <c r="D306" s="309" t="s">
        <v>978</v>
      </c>
      <c r="E306" s="316" t="s">
        <v>986</v>
      </c>
      <c r="F306" s="309" t="s">
        <v>980</v>
      </c>
      <c r="G306" s="309" t="s">
        <v>981</v>
      </c>
      <c r="H306" s="309" t="s">
        <v>982</v>
      </c>
      <c r="I306" s="311">
        <v>45.83</v>
      </c>
      <c r="J306" s="339">
        <v>3577</v>
      </c>
    </row>
    <row r="307" spans="1:10" ht="24">
      <c r="A307" s="334" t="s">
        <v>423</v>
      </c>
      <c r="B307" s="309"/>
      <c r="C307" s="309" t="s">
        <v>570</v>
      </c>
      <c r="D307" s="309" t="s">
        <v>978</v>
      </c>
      <c r="E307" s="310" t="s">
        <v>987</v>
      </c>
      <c r="F307" s="309" t="s">
        <v>988</v>
      </c>
      <c r="G307" s="309" t="s">
        <v>989</v>
      </c>
      <c r="H307" s="309" t="s">
        <v>990</v>
      </c>
      <c r="I307" s="311">
        <v>74</v>
      </c>
      <c r="J307" s="338">
        <v>74</v>
      </c>
    </row>
    <row r="308" spans="1:10" ht="24">
      <c r="A308" s="335" t="s">
        <v>655</v>
      </c>
      <c r="B308" s="312"/>
      <c r="C308" s="309" t="s">
        <v>570</v>
      </c>
      <c r="D308" s="309" t="s">
        <v>978</v>
      </c>
      <c r="E308" s="315" t="s">
        <v>991</v>
      </c>
      <c r="F308" s="309" t="s">
        <v>988</v>
      </c>
      <c r="G308" s="309" t="s">
        <v>989</v>
      </c>
      <c r="H308" s="309" t="s">
        <v>990</v>
      </c>
      <c r="I308" s="311">
        <v>69.44</v>
      </c>
      <c r="J308" s="338" t="s">
        <v>36</v>
      </c>
    </row>
    <row r="309" spans="1:10" ht="24">
      <c r="A309" s="334" t="s">
        <v>423</v>
      </c>
      <c r="B309" s="309"/>
      <c r="C309" s="309" t="s">
        <v>570</v>
      </c>
      <c r="D309" s="309" t="s">
        <v>978</v>
      </c>
      <c r="E309" s="310" t="s">
        <v>992</v>
      </c>
      <c r="F309" s="309" t="s">
        <v>993</v>
      </c>
      <c r="G309" s="309" t="s">
        <v>994</v>
      </c>
      <c r="H309" s="309" t="s">
        <v>990</v>
      </c>
      <c r="I309" s="311">
        <v>45</v>
      </c>
      <c r="J309" s="338">
        <v>45</v>
      </c>
    </row>
    <row r="310" spans="1:10" ht="24">
      <c r="A310" s="335" t="s">
        <v>421</v>
      </c>
      <c r="B310" s="312" t="s">
        <v>651</v>
      </c>
      <c r="C310" s="309" t="s">
        <v>570</v>
      </c>
      <c r="D310" s="309" t="s">
        <v>978</v>
      </c>
      <c r="E310" s="310" t="s">
        <v>995</v>
      </c>
      <c r="F310" s="309" t="s">
        <v>993</v>
      </c>
      <c r="G310" s="309" t="s">
        <v>994</v>
      </c>
      <c r="H310" s="309" t="s">
        <v>990</v>
      </c>
      <c r="I310" s="311">
        <v>93.84</v>
      </c>
      <c r="J310" s="338">
        <v>60.02</v>
      </c>
    </row>
    <row r="311" spans="1:10" ht="24">
      <c r="A311" s="335" t="s">
        <v>655</v>
      </c>
      <c r="B311" s="312" t="s">
        <v>662</v>
      </c>
      <c r="C311" s="309" t="s">
        <v>570</v>
      </c>
      <c r="D311" s="309" t="s">
        <v>978</v>
      </c>
      <c r="E311" s="315" t="s">
        <v>996</v>
      </c>
      <c r="F311" s="309" t="s">
        <v>993</v>
      </c>
      <c r="G311" s="309" t="s">
        <v>994</v>
      </c>
      <c r="H311" s="309" t="s">
        <v>990</v>
      </c>
      <c r="I311" s="311">
        <v>38.68</v>
      </c>
      <c r="J311" s="338">
        <v>2267.4215999999997</v>
      </c>
    </row>
    <row r="312" spans="1:10" ht="24">
      <c r="A312" s="335" t="s">
        <v>655</v>
      </c>
      <c r="B312" s="312"/>
      <c r="C312" s="309" t="s">
        <v>570</v>
      </c>
      <c r="D312" s="309" t="s">
        <v>978</v>
      </c>
      <c r="E312" s="315" t="s">
        <v>997</v>
      </c>
      <c r="F312" s="309" t="s">
        <v>993</v>
      </c>
      <c r="G312" s="309" t="s">
        <v>994</v>
      </c>
      <c r="H312" s="309" t="s">
        <v>990</v>
      </c>
      <c r="I312" s="311">
        <v>53.96</v>
      </c>
      <c r="J312" s="338" t="s">
        <v>36</v>
      </c>
    </row>
    <row r="313" spans="1:10">
      <c r="A313" s="335" t="s">
        <v>655</v>
      </c>
      <c r="B313" s="312" t="s">
        <v>662</v>
      </c>
      <c r="C313" s="309" t="s">
        <v>570</v>
      </c>
      <c r="D313" s="309" t="s">
        <v>978</v>
      </c>
      <c r="E313" s="315" t="s">
        <v>998</v>
      </c>
      <c r="F313" s="314" t="s">
        <v>999</v>
      </c>
      <c r="G313" s="309" t="s">
        <v>1000</v>
      </c>
      <c r="H313" s="309" t="s">
        <v>1001</v>
      </c>
      <c r="I313" s="311">
        <v>2.94</v>
      </c>
      <c r="J313" s="338">
        <v>172.34279999999998</v>
      </c>
    </row>
    <row r="314" spans="1:10">
      <c r="A314" s="335" t="s">
        <v>655</v>
      </c>
      <c r="B314" s="312"/>
      <c r="C314" s="309" t="s">
        <v>570</v>
      </c>
      <c r="D314" s="309" t="s">
        <v>978</v>
      </c>
      <c r="E314" s="315" t="s">
        <v>1002</v>
      </c>
      <c r="F314" s="314" t="s">
        <v>1003</v>
      </c>
      <c r="G314" s="314" t="s">
        <v>1003</v>
      </c>
      <c r="H314" s="309" t="s">
        <v>1001</v>
      </c>
      <c r="I314" s="311">
        <v>0.55000000000000004</v>
      </c>
      <c r="J314" s="338" t="s">
        <v>36</v>
      </c>
    </row>
    <row r="315" spans="1:10">
      <c r="A315" s="334" t="s">
        <v>423</v>
      </c>
      <c r="B315" s="309"/>
      <c r="C315" s="309" t="s">
        <v>1004</v>
      </c>
      <c r="D315" s="309" t="s">
        <v>1005</v>
      </c>
      <c r="E315" s="313" t="s">
        <v>1006</v>
      </c>
      <c r="F315" s="314" t="s">
        <v>1007</v>
      </c>
      <c r="G315" s="309" t="s">
        <v>1008</v>
      </c>
      <c r="H315" s="309" t="s">
        <v>1009</v>
      </c>
      <c r="I315" s="311">
        <v>200</v>
      </c>
      <c r="J315" s="338">
        <v>200</v>
      </c>
    </row>
    <row r="316" spans="1:10">
      <c r="A316" s="335" t="s">
        <v>421</v>
      </c>
      <c r="B316" s="314" t="s">
        <v>1010</v>
      </c>
      <c r="C316" s="309" t="s">
        <v>1004</v>
      </c>
      <c r="D316" s="309" t="s">
        <v>1005</v>
      </c>
      <c r="E316" s="313" t="s">
        <v>1011</v>
      </c>
      <c r="F316" s="314" t="s">
        <v>1007</v>
      </c>
      <c r="G316" s="314" t="s">
        <v>1008</v>
      </c>
      <c r="H316" s="309" t="s">
        <v>1009</v>
      </c>
      <c r="I316" s="311">
        <v>200</v>
      </c>
      <c r="J316" s="338" t="s">
        <v>36</v>
      </c>
    </row>
    <row r="317" spans="1:10">
      <c r="A317" s="335" t="s">
        <v>655</v>
      </c>
      <c r="B317" s="314" t="s">
        <v>666</v>
      </c>
      <c r="C317" s="309" t="s">
        <v>1004</v>
      </c>
      <c r="D317" s="309" t="s">
        <v>1005</v>
      </c>
      <c r="E317" s="315" t="s">
        <v>1012</v>
      </c>
      <c r="F317" s="314" t="s">
        <v>1007</v>
      </c>
      <c r="G317" s="314" t="s">
        <v>1008</v>
      </c>
      <c r="H317" s="309" t="s">
        <v>1009</v>
      </c>
      <c r="I317" s="311">
        <v>200</v>
      </c>
      <c r="J317" s="338">
        <v>228344</v>
      </c>
    </row>
    <row r="318" spans="1:10">
      <c r="A318" s="335" t="s">
        <v>655</v>
      </c>
      <c r="B318" s="314"/>
      <c r="C318" s="309" t="s">
        <v>1004</v>
      </c>
      <c r="D318" s="309" t="s">
        <v>1005</v>
      </c>
      <c r="E318" s="315" t="s">
        <v>1013</v>
      </c>
      <c r="F318" s="314" t="s">
        <v>1007</v>
      </c>
      <c r="G318" s="314" t="s">
        <v>1008</v>
      </c>
      <c r="H318" s="309" t="s">
        <v>1009</v>
      </c>
      <c r="I318" s="311">
        <v>200</v>
      </c>
      <c r="J318" s="338" t="s">
        <v>36</v>
      </c>
    </row>
    <row r="319" spans="1:10">
      <c r="A319" s="335" t="s">
        <v>655</v>
      </c>
      <c r="B319" s="314" t="s">
        <v>666</v>
      </c>
      <c r="C319" s="309" t="s">
        <v>1004</v>
      </c>
      <c r="D319" s="309" t="s">
        <v>1005</v>
      </c>
      <c r="E319" s="315" t="s">
        <v>1014</v>
      </c>
      <c r="F319" s="314" t="s">
        <v>1015</v>
      </c>
      <c r="G319" s="314" t="s">
        <v>1016</v>
      </c>
      <c r="H319" s="309" t="s">
        <v>1009</v>
      </c>
      <c r="I319" s="311">
        <v>100</v>
      </c>
      <c r="J319" s="338">
        <v>114172</v>
      </c>
    </row>
    <row r="320" spans="1:10">
      <c r="A320" s="335" t="s">
        <v>655</v>
      </c>
      <c r="B320" s="314"/>
      <c r="C320" s="309" t="s">
        <v>1004</v>
      </c>
      <c r="D320" s="309" t="s">
        <v>1005</v>
      </c>
      <c r="E320" s="315" t="s">
        <v>1017</v>
      </c>
      <c r="F320" s="314" t="s">
        <v>1015</v>
      </c>
      <c r="G320" s="314" t="s">
        <v>1016</v>
      </c>
      <c r="H320" s="309" t="s">
        <v>1009</v>
      </c>
      <c r="I320" s="311">
        <v>100</v>
      </c>
      <c r="J320" s="338" t="s">
        <v>36</v>
      </c>
    </row>
    <row r="321" spans="1:10" ht="24">
      <c r="A321" s="334" t="s">
        <v>423</v>
      </c>
      <c r="B321" s="309"/>
      <c r="C321" s="309" t="s">
        <v>1004</v>
      </c>
      <c r="D321" s="309" t="s">
        <v>1005</v>
      </c>
      <c r="E321" s="313" t="s">
        <v>1018</v>
      </c>
      <c r="F321" s="314" t="s">
        <v>1019</v>
      </c>
      <c r="G321" s="309" t="s">
        <v>1020</v>
      </c>
      <c r="H321" s="309" t="s">
        <v>1009</v>
      </c>
      <c r="I321" s="311">
        <v>100</v>
      </c>
      <c r="J321" s="338">
        <v>100</v>
      </c>
    </row>
    <row r="322" spans="1:10">
      <c r="A322" s="335" t="s">
        <v>421</v>
      </c>
      <c r="B322" s="314" t="s">
        <v>651</v>
      </c>
      <c r="C322" s="309" t="s">
        <v>1004</v>
      </c>
      <c r="D322" s="309" t="s">
        <v>1005</v>
      </c>
      <c r="E322" s="313" t="s">
        <v>1021</v>
      </c>
      <c r="F322" s="314" t="s">
        <v>1019</v>
      </c>
      <c r="G322" s="314" t="s">
        <v>1020</v>
      </c>
      <c r="H322" s="309" t="s">
        <v>1009</v>
      </c>
      <c r="I322" s="311">
        <v>100.000636515</v>
      </c>
      <c r="J322" s="338">
        <v>63.96</v>
      </c>
    </row>
    <row r="323" spans="1:10">
      <c r="A323" s="335" t="s">
        <v>421</v>
      </c>
      <c r="B323" s="314" t="s">
        <v>1010</v>
      </c>
      <c r="C323" s="309" t="s">
        <v>1004</v>
      </c>
      <c r="D323" s="309" t="s">
        <v>1005</v>
      </c>
      <c r="E323" s="313" t="s">
        <v>1022</v>
      </c>
      <c r="F323" s="314" t="s">
        <v>1019</v>
      </c>
      <c r="G323" s="314" t="s">
        <v>1020</v>
      </c>
      <c r="H323" s="309" t="s">
        <v>1009</v>
      </c>
      <c r="I323" s="311">
        <v>100</v>
      </c>
      <c r="J323" s="338" t="s">
        <v>36</v>
      </c>
    </row>
    <row r="324" spans="1:10" ht="24">
      <c r="A324" s="334" t="s">
        <v>423</v>
      </c>
      <c r="B324" s="309"/>
      <c r="C324" s="309" t="s">
        <v>1004</v>
      </c>
      <c r="D324" s="309" t="s">
        <v>1005</v>
      </c>
      <c r="E324" s="313" t="s">
        <v>1023</v>
      </c>
      <c r="F324" s="314" t="s">
        <v>1024</v>
      </c>
      <c r="G324" s="309" t="s">
        <v>1020</v>
      </c>
      <c r="H324" s="309" t="s">
        <v>1009</v>
      </c>
      <c r="I324" s="311">
        <v>375</v>
      </c>
      <c r="J324" s="338">
        <v>375</v>
      </c>
    </row>
    <row r="325" spans="1:10">
      <c r="A325" s="335" t="s">
        <v>421</v>
      </c>
      <c r="B325" s="314" t="s">
        <v>651</v>
      </c>
      <c r="C325" s="309" t="s">
        <v>1004</v>
      </c>
      <c r="D325" s="309" t="s">
        <v>1005</v>
      </c>
      <c r="E325" s="313" t="s">
        <v>1025</v>
      </c>
      <c r="F325" s="314" t="s">
        <v>1024</v>
      </c>
      <c r="G325" s="314" t="s">
        <v>1020</v>
      </c>
      <c r="H325" s="309" t="s">
        <v>1009</v>
      </c>
      <c r="I325" s="311">
        <v>586.30767187499998</v>
      </c>
      <c r="J325" s="338">
        <v>375</v>
      </c>
    </row>
    <row r="326" spans="1:10">
      <c r="A326" s="335" t="s">
        <v>421</v>
      </c>
      <c r="B326" s="314" t="s">
        <v>1010</v>
      </c>
      <c r="C326" s="309" t="s">
        <v>1004</v>
      </c>
      <c r="D326" s="309" t="s">
        <v>1005</v>
      </c>
      <c r="E326" s="313" t="s">
        <v>1026</v>
      </c>
      <c r="F326" s="314" t="s">
        <v>1024</v>
      </c>
      <c r="G326" s="314" t="s">
        <v>1020</v>
      </c>
      <c r="H326" s="309" t="s">
        <v>1009</v>
      </c>
      <c r="I326" s="311">
        <v>375</v>
      </c>
      <c r="J326" s="338" t="s">
        <v>36</v>
      </c>
    </row>
    <row r="327" spans="1:10" ht="24">
      <c r="A327" s="334" t="s">
        <v>423</v>
      </c>
      <c r="B327" s="309"/>
      <c r="C327" s="309" t="s">
        <v>1004</v>
      </c>
      <c r="D327" s="309" t="s">
        <v>1005</v>
      </c>
      <c r="E327" s="313" t="s">
        <v>1027</v>
      </c>
      <c r="F327" s="314" t="s">
        <v>1028</v>
      </c>
      <c r="G327" s="309" t="s">
        <v>1020</v>
      </c>
      <c r="H327" s="309" t="s">
        <v>1009</v>
      </c>
      <c r="I327" s="311">
        <v>500</v>
      </c>
      <c r="J327" s="338">
        <v>500</v>
      </c>
    </row>
    <row r="328" spans="1:10">
      <c r="A328" s="335" t="s">
        <v>421</v>
      </c>
      <c r="B328" s="314" t="s">
        <v>651</v>
      </c>
      <c r="C328" s="309" t="s">
        <v>1004</v>
      </c>
      <c r="D328" s="309" t="s">
        <v>1005</v>
      </c>
      <c r="E328" s="313" t="s">
        <v>1029</v>
      </c>
      <c r="F328" s="314" t="s">
        <v>1028</v>
      </c>
      <c r="G328" s="314" t="s">
        <v>1020</v>
      </c>
      <c r="H328" s="309" t="s">
        <v>1009</v>
      </c>
      <c r="I328" s="311">
        <v>781.74356249999994</v>
      </c>
      <c r="J328" s="338">
        <v>500</v>
      </c>
    </row>
    <row r="329" spans="1:10">
      <c r="A329" s="335" t="s">
        <v>421</v>
      </c>
      <c r="B329" s="314" t="s">
        <v>1010</v>
      </c>
      <c r="C329" s="309" t="s">
        <v>1004</v>
      </c>
      <c r="D329" s="309" t="s">
        <v>1005</v>
      </c>
      <c r="E329" s="313" t="s">
        <v>1030</v>
      </c>
      <c r="F329" s="314" t="s">
        <v>1028</v>
      </c>
      <c r="G329" s="314" t="s">
        <v>1020</v>
      </c>
      <c r="H329" s="309" t="s">
        <v>1009</v>
      </c>
      <c r="I329" s="311">
        <v>500</v>
      </c>
      <c r="J329" s="338" t="s">
        <v>36</v>
      </c>
    </row>
    <row r="330" spans="1:10" ht="24">
      <c r="A330" s="334" t="s">
        <v>423</v>
      </c>
      <c r="B330" s="309"/>
      <c r="C330" s="309" t="s">
        <v>1004</v>
      </c>
      <c r="D330" s="309" t="s">
        <v>1005</v>
      </c>
      <c r="E330" s="313" t="s">
        <v>1031</v>
      </c>
      <c r="F330" s="314" t="s">
        <v>1032</v>
      </c>
      <c r="G330" s="309" t="s">
        <v>1020</v>
      </c>
      <c r="H330" s="309" t="s">
        <v>1009</v>
      </c>
      <c r="I330" s="311">
        <v>1000</v>
      </c>
      <c r="J330" s="338">
        <v>1000</v>
      </c>
    </row>
    <row r="331" spans="1:10" ht="24">
      <c r="A331" s="334" t="s">
        <v>423</v>
      </c>
      <c r="B331" s="309"/>
      <c r="C331" s="309" t="s">
        <v>1004</v>
      </c>
      <c r="D331" s="309" t="s">
        <v>1005</v>
      </c>
      <c r="E331" s="313" t="s">
        <v>1033</v>
      </c>
      <c r="F331" s="314" t="s">
        <v>1034</v>
      </c>
      <c r="G331" s="309" t="s">
        <v>1020</v>
      </c>
      <c r="H331" s="309" t="s">
        <v>1009</v>
      </c>
      <c r="I331" s="311">
        <v>1000</v>
      </c>
      <c r="J331" s="338">
        <v>1000</v>
      </c>
    </row>
    <row r="332" spans="1:10">
      <c r="A332" s="335" t="s">
        <v>655</v>
      </c>
      <c r="B332" s="314" t="s">
        <v>666</v>
      </c>
      <c r="C332" s="309" t="s">
        <v>1004</v>
      </c>
      <c r="D332" s="309" t="s">
        <v>1005</v>
      </c>
      <c r="E332" s="315" t="s">
        <v>1035</v>
      </c>
      <c r="F332" s="314" t="s">
        <v>1036</v>
      </c>
      <c r="G332" s="314" t="s">
        <v>1020</v>
      </c>
      <c r="H332" s="309" t="s">
        <v>1009</v>
      </c>
      <c r="I332" s="311">
        <v>375</v>
      </c>
      <c r="J332" s="338">
        <v>428145</v>
      </c>
    </row>
    <row r="333" spans="1:10">
      <c r="A333" s="335" t="s">
        <v>655</v>
      </c>
      <c r="B333" s="314"/>
      <c r="C333" s="309" t="s">
        <v>1004</v>
      </c>
      <c r="D333" s="309" t="s">
        <v>1005</v>
      </c>
      <c r="E333" s="315" t="s">
        <v>1037</v>
      </c>
      <c r="F333" s="314" t="s">
        <v>1036</v>
      </c>
      <c r="G333" s="314" t="s">
        <v>1020</v>
      </c>
      <c r="H333" s="309" t="s">
        <v>1009</v>
      </c>
      <c r="I333" s="311">
        <v>375</v>
      </c>
      <c r="J333" s="338" t="s">
        <v>36</v>
      </c>
    </row>
    <row r="334" spans="1:10">
      <c r="A334" s="335" t="s">
        <v>655</v>
      </c>
      <c r="B334" s="314" t="s">
        <v>666</v>
      </c>
      <c r="C334" s="309" t="s">
        <v>1004</v>
      </c>
      <c r="D334" s="309" t="s">
        <v>1005</v>
      </c>
      <c r="E334" s="315" t="s">
        <v>1038</v>
      </c>
      <c r="F334" s="314" t="s">
        <v>1039</v>
      </c>
      <c r="G334" s="314" t="s">
        <v>1020</v>
      </c>
      <c r="H334" s="309" t="s">
        <v>1009</v>
      </c>
      <c r="I334" s="311">
        <v>500</v>
      </c>
      <c r="J334" s="338">
        <v>570860</v>
      </c>
    </row>
    <row r="335" spans="1:10">
      <c r="A335" s="335" t="s">
        <v>655</v>
      </c>
      <c r="B335" s="314"/>
      <c r="C335" s="309" t="s">
        <v>1004</v>
      </c>
      <c r="D335" s="309" t="s">
        <v>1005</v>
      </c>
      <c r="E335" s="315" t="s">
        <v>1040</v>
      </c>
      <c r="F335" s="314" t="s">
        <v>1039</v>
      </c>
      <c r="G335" s="314" t="s">
        <v>1020</v>
      </c>
      <c r="H335" s="309" t="s">
        <v>1009</v>
      </c>
      <c r="I335" s="311">
        <v>500</v>
      </c>
      <c r="J335" s="338" t="s">
        <v>36</v>
      </c>
    </row>
    <row r="336" spans="1:10" ht="24">
      <c r="A336" s="334" t="s">
        <v>423</v>
      </c>
      <c r="B336" s="309"/>
      <c r="C336" s="309" t="s">
        <v>1004</v>
      </c>
      <c r="D336" s="309" t="s">
        <v>1041</v>
      </c>
      <c r="E336" s="310" t="s">
        <v>1042</v>
      </c>
      <c r="F336" s="309" t="s">
        <v>1043</v>
      </c>
      <c r="G336" s="309" t="s">
        <v>1044</v>
      </c>
      <c r="H336" s="311" t="s">
        <v>1045</v>
      </c>
      <c r="I336" s="311" t="s">
        <v>36</v>
      </c>
      <c r="J336" s="338" t="s">
        <v>36</v>
      </c>
    </row>
    <row r="337" spans="1:10" ht="24">
      <c r="A337" s="334" t="s">
        <v>421</v>
      </c>
      <c r="B337" s="309" t="s">
        <v>651</v>
      </c>
      <c r="C337" s="309" t="s">
        <v>1004</v>
      </c>
      <c r="D337" s="309" t="s">
        <v>1041</v>
      </c>
      <c r="E337" s="310" t="s">
        <v>1046</v>
      </c>
      <c r="F337" s="309" t="s">
        <v>1043</v>
      </c>
      <c r="G337" s="309" t="s">
        <v>1047</v>
      </c>
      <c r="H337" s="311" t="s">
        <v>1045</v>
      </c>
      <c r="I337" s="311" t="s">
        <v>36</v>
      </c>
      <c r="J337" s="338" t="s">
        <v>36</v>
      </c>
    </row>
    <row r="338" spans="1:10" ht="36">
      <c r="A338" s="335" t="s">
        <v>680</v>
      </c>
      <c r="B338" s="314"/>
      <c r="C338" s="309" t="s">
        <v>1004</v>
      </c>
      <c r="D338" s="309" t="s">
        <v>1048</v>
      </c>
      <c r="E338" s="316" t="s">
        <v>1049</v>
      </c>
      <c r="F338" s="322" t="s">
        <v>1050</v>
      </c>
      <c r="G338" s="314" t="s">
        <v>1051</v>
      </c>
      <c r="H338" s="309" t="s">
        <v>1052</v>
      </c>
      <c r="I338" s="311">
        <v>431.59</v>
      </c>
      <c r="J338" s="339">
        <v>33685</v>
      </c>
    </row>
    <row r="339" spans="1:10" ht="24">
      <c r="A339" s="334" t="s">
        <v>680</v>
      </c>
      <c r="B339" s="309"/>
      <c r="C339" s="309" t="s">
        <v>1004</v>
      </c>
      <c r="D339" s="309" t="s">
        <v>1048</v>
      </c>
      <c r="E339" s="316" t="s">
        <v>1053</v>
      </c>
      <c r="F339" s="322" t="s">
        <v>1054</v>
      </c>
      <c r="G339" s="309" t="s">
        <v>1055</v>
      </c>
      <c r="H339" s="309" t="s">
        <v>1056</v>
      </c>
      <c r="I339" s="311">
        <v>100.44998065288195</v>
      </c>
      <c r="J339" s="339">
        <v>7839.9</v>
      </c>
    </row>
    <row r="340" spans="1:10">
      <c r="A340" s="334" t="s">
        <v>680</v>
      </c>
      <c r="B340" s="309"/>
      <c r="C340" s="309" t="s">
        <v>1004</v>
      </c>
      <c r="D340" s="309" t="s">
        <v>1048</v>
      </c>
      <c r="E340" s="316" t="s">
        <v>1057</v>
      </c>
      <c r="F340" s="322" t="s">
        <v>1058</v>
      </c>
      <c r="G340" s="309" t="s">
        <v>1059</v>
      </c>
      <c r="H340" s="309" t="s">
        <v>1060</v>
      </c>
      <c r="I340" s="311">
        <v>911.89181501592611</v>
      </c>
      <c r="J340" s="339">
        <v>71171.149999999994</v>
      </c>
    </row>
    <row r="341" spans="1:10">
      <c r="A341" s="335" t="s">
        <v>421</v>
      </c>
      <c r="B341" s="314" t="s">
        <v>651</v>
      </c>
      <c r="C341" s="309" t="s">
        <v>1004</v>
      </c>
      <c r="D341" s="309" t="s">
        <v>1048</v>
      </c>
      <c r="E341" s="313" t="s">
        <v>1061</v>
      </c>
      <c r="F341" s="314" t="s">
        <v>1062</v>
      </c>
      <c r="G341" s="314" t="s">
        <v>1063</v>
      </c>
      <c r="H341" s="309" t="s">
        <v>1064</v>
      </c>
      <c r="I341" s="311">
        <v>63.32</v>
      </c>
      <c r="J341" s="338">
        <v>40.5</v>
      </c>
    </row>
    <row r="342" spans="1:10" ht="24">
      <c r="A342" s="335" t="s">
        <v>421</v>
      </c>
      <c r="B342" s="314" t="s">
        <v>651</v>
      </c>
      <c r="C342" s="309" t="s">
        <v>1004</v>
      </c>
      <c r="D342" s="309" t="s">
        <v>1048</v>
      </c>
      <c r="E342" s="313" t="s">
        <v>1065</v>
      </c>
      <c r="F342" s="314" t="s">
        <v>1066</v>
      </c>
      <c r="G342" s="314" t="s">
        <v>1067</v>
      </c>
      <c r="H342" s="309" t="s">
        <v>1068</v>
      </c>
      <c r="I342" s="311">
        <v>22.753428130125002</v>
      </c>
      <c r="J342" s="338">
        <v>14.553000000000001</v>
      </c>
    </row>
    <row r="343" spans="1:10">
      <c r="A343" s="334" t="s">
        <v>423</v>
      </c>
      <c r="B343" s="309"/>
      <c r="C343" s="309" t="s">
        <v>1004</v>
      </c>
      <c r="D343" s="309" t="s">
        <v>1048</v>
      </c>
      <c r="E343" s="313" t="s">
        <v>1069</v>
      </c>
      <c r="F343" s="309" t="s">
        <v>94</v>
      </c>
      <c r="G343" s="309" t="s">
        <v>1070</v>
      </c>
      <c r="H343" s="309" t="s">
        <v>98</v>
      </c>
      <c r="I343" s="380">
        <v>22.57</v>
      </c>
      <c r="J343" s="338">
        <v>22.57</v>
      </c>
    </row>
    <row r="344" spans="1:10" ht="24">
      <c r="A344" s="334" t="s">
        <v>421</v>
      </c>
      <c r="B344" s="309" t="s">
        <v>651</v>
      </c>
      <c r="C344" s="309" t="s">
        <v>1004</v>
      </c>
      <c r="D344" s="309" t="s">
        <v>1048</v>
      </c>
      <c r="E344" s="313" t="s">
        <v>1071</v>
      </c>
      <c r="F344" s="309" t="s">
        <v>94</v>
      </c>
      <c r="G344" s="309" t="s">
        <v>1072</v>
      </c>
      <c r="H344" s="309" t="s">
        <v>98</v>
      </c>
      <c r="I344" s="311">
        <v>31.42</v>
      </c>
      <c r="J344" s="338">
        <v>20.096104085283084</v>
      </c>
    </row>
    <row r="345" spans="1:10">
      <c r="A345" s="334" t="s">
        <v>655</v>
      </c>
      <c r="B345" s="309"/>
      <c r="C345" s="309" t="s">
        <v>1004</v>
      </c>
      <c r="D345" s="309" t="s">
        <v>1048</v>
      </c>
      <c r="E345" s="315" t="s">
        <v>1073</v>
      </c>
      <c r="F345" s="314" t="s">
        <v>94</v>
      </c>
      <c r="G345" s="309" t="s">
        <v>1074</v>
      </c>
      <c r="H345" s="309" t="s">
        <v>98</v>
      </c>
      <c r="I345" s="311">
        <v>13.78</v>
      </c>
      <c r="J345" s="338" t="s">
        <v>36</v>
      </c>
    </row>
    <row r="346" spans="1:10" ht="24">
      <c r="A346" s="334" t="s">
        <v>423</v>
      </c>
      <c r="B346" s="309"/>
      <c r="C346" s="309" t="s">
        <v>1004</v>
      </c>
      <c r="D346" s="309" t="s">
        <v>1048</v>
      </c>
      <c r="E346" s="313" t="s">
        <v>1075</v>
      </c>
      <c r="F346" s="314" t="s">
        <v>1076</v>
      </c>
      <c r="G346" s="309" t="s">
        <v>1077</v>
      </c>
      <c r="H346" s="309" t="s">
        <v>98</v>
      </c>
      <c r="I346" s="380">
        <v>9</v>
      </c>
      <c r="J346" s="338">
        <v>9</v>
      </c>
    </row>
    <row r="347" spans="1:10">
      <c r="A347" s="334" t="s">
        <v>423</v>
      </c>
      <c r="B347" s="309"/>
      <c r="C347" s="309" t="s">
        <v>1004</v>
      </c>
      <c r="D347" s="309" t="s">
        <v>1048</v>
      </c>
      <c r="E347" s="313" t="s">
        <v>1078</v>
      </c>
      <c r="F347" s="314" t="s">
        <v>1079</v>
      </c>
      <c r="G347" s="309" t="s">
        <v>1080</v>
      </c>
      <c r="H347" s="309" t="s">
        <v>98</v>
      </c>
      <c r="I347" s="380">
        <v>22</v>
      </c>
      <c r="J347" s="338">
        <v>22</v>
      </c>
    </row>
    <row r="348" spans="1:10">
      <c r="A348" s="335" t="s">
        <v>421</v>
      </c>
      <c r="B348" s="314" t="s">
        <v>651</v>
      </c>
      <c r="C348" s="309" t="s">
        <v>1004</v>
      </c>
      <c r="D348" s="309" t="s">
        <v>1048</v>
      </c>
      <c r="E348" s="313" t="s">
        <v>1081</v>
      </c>
      <c r="F348" s="314" t="s">
        <v>1082</v>
      </c>
      <c r="G348" s="309" t="s">
        <v>1083</v>
      </c>
      <c r="H348" s="309" t="s">
        <v>98</v>
      </c>
      <c r="I348" s="311">
        <v>31.42</v>
      </c>
      <c r="J348" s="338">
        <v>20.096104085283084</v>
      </c>
    </row>
    <row r="349" spans="1:10">
      <c r="A349" s="334" t="s">
        <v>423</v>
      </c>
      <c r="B349" s="309"/>
      <c r="C349" s="309" t="s">
        <v>1004</v>
      </c>
      <c r="D349" s="309" t="s">
        <v>1048</v>
      </c>
      <c r="E349" s="313" t="s">
        <v>1084</v>
      </c>
      <c r="F349" s="309" t="s">
        <v>1085</v>
      </c>
      <c r="G349" s="309" t="s">
        <v>1086</v>
      </c>
      <c r="H349" s="309" t="s">
        <v>98</v>
      </c>
      <c r="I349" s="380">
        <v>6.8</v>
      </c>
      <c r="J349" s="338">
        <v>6.8</v>
      </c>
    </row>
    <row r="350" spans="1:10">
      <c r="A350" s="335" t="s">
        <v>421</v>
      </c>
      <c r="B350" s="314" t="s">
        <v>651</v>
      </c>
      <c r="C350" s="309" t="s">
        <v>1004</v>
      </c>
      <c r="D350" s="309" t="s">
        <v>1048</v>
      </c>
      <c r="E350" s="313" t="s">
        <v>1087</v>
      </c>
      <c r="F350" s="314" t="s">
        <v>1085</v>
      </c>
      <c r="G350" s="309" t="s">
        <v>1086</v>
      </c>
      <c r="H350" s="309" t="s">
        <v>98</v>
      </c>
      <c r="I350" s="311">
        <v>0.82864817624999998</v>
      </c>
      <c r="J350" s="338">
        <v>0.53</v>
      </c>
    </row>
    <row r="351" spans="1:10">
      <c r="A351" s="335" t="s">
        <v>421</v>
      </c>
      <c r="B351" s="314" t="s">
        <v>1010</v>
      </c>
      <c r="C351" s="309" t="s">
        <v>1004</v>
      </c>
      <c r="D351" s="309" t="s">
        <v>1048</v>
      </c>
      <c r="E351" s="313" t="s">
        <v>1088</v>
      </c>
      <c r="F351" s="314" t="s">
        <v>1085</v>
      </c>
      <c r="G351" s="309" t="s">
        <v>1086</v>
      </c>
      <c r="H351" s="309" t="s">
        <v>98</v>
      </c>
      <c r="I351" s="311">
        <v>0.82</v>
      </c>
      <c r="J351" s="338" t="s">
        <v>36</v>
      </c>
    </row>
    <row r="352" spans="1:10">
      <c r="A352" s="336" t="s">
        <v>655</v>
      </c>
      <c r="B352" s="319"/>
      <c r="C352" s="319" t="s">
        <v>1004</v>
      </c>
      <c r="D352" s="319" t="s">
        <v>1048</v>
      </c>
      <c r="E352" s="323" t="s">
        <v>1089</v>
      </c>
      <c r="F352" s="324" t="s">
        <v>1085</v>
      </c>
      <c r="G352" s="309" t="s">
        <v>1086</v>
      </c>
      <c r="H352" s="319" t="s">
        <v>98</v>
      </c>
      <c r="I352" s="321">
        <v>2.5099999999999998</v>
      </c>
      <c r="J352" s="340" t="s">
        <v>36</v>
      </c>
    </row>
    <row r="353" spans="1:10">
      <c r="A353" s="335" t="s">
        <v>655</v>
      </c>
      <c r="B353" s="314" t="s">
        <v>666</v>
      </c>
      <c r="C353" s="309" t="s">
        <v>1004</v>
      </c>
      <c r="D353" s="309" t="s">
        <v>1048</v>
      </c>
      <c r="E353" s="315" t="s">
        <v>1090</v>
      </c>
      <c r="F353" s="314" t="s">
        <v>1091</v>
      </c>
      <c r="G353" s="309" t="s">
        <v>1092</v>
      </c>
      <c r="H353" s="309" t="s">
        <v>1093</v>
      </c>
      <c r="I353" s="311">
        <v>1901.18</v>
      </c>
      <c r="J353" s="338">
        <v>2170615.2296000002</v>
      </c>
    </row>
    <row r="354" spans="1:10">
      <c r="A354" s="335" t="s">
        <v>655</v>
      </c>
      <c r="B354" s="314"/>
      <c r="C354" s="309" t="s">
        <v>1004</v>
      </c>
      <c r="D354" s="309" t="s">
        <v>1048</v>
      </c>
      <c r="E354" s="315" t="s">
        <v>1094</v>
      </c>
      <c r="F354" s="314" t="s">
        <v>1091</v>
      </c>
      <c r="G354" s="309" t="s">
        <v>1092</v>
      </c>
      <c r="H354" s="309" t="s">
        <v>1093</v>
      </c>
      <c r="I354" s="311">
        <v>2152.12</v>
      </c>
      <c r="J354" s="338" t="s">
        <v>36</v>
      </c>
    </row>
    <row r="355" spans="1:10">
      <c r="A355" s="335" t="s">
        <v>655</v>
      </c>
      <c r="B355" s="314" t="s">
        <v>666</v>
      </c>
      <c r="C355" s="309" t="s">
        <v>1004</v>
      </c>
      <c r="D355" s="309" t="s">
        <v>1048</v>
      </c>
      <c r="E355" s="315" t="s">
        <v>1095</v>
      </c>
      <c r="F355" s="314" t="s">
        <v>1096</v>
      </c>
      <c r="G355" s="309" t="s">
        <v>1097</v>
      </c>
      <c r="H355" s="309" t="s">
        <v>1093</v>
      </c>
      <c r="I355" s="311">
        <v>612.71</v>
      </c>
      <c r="J355" s="338">
        <v>699543.26120000007</v>
      </c>
    </row>
    <row r="356" spans="1:10" ht="24">
      <c r="A356" s="335" t="s">
        <v>655</v>
      </c>
      <c r="B356" s="314" t="s">
        <v>666</v>
      </c>
      <c r="C356" s="309" t="s">
        <v>1004</v>
      </c>
      <c r="D356" s="309" t="s">
        <v>1048</v>
      </c>
      <c r="E356" s="315" t="s">
        <v>1098</v>
      </c>
      <c r="F356" s="314" t="s">
        <v>1099</v>
      </c>
      <c r="G356" s="309" t="s">
        <v>1100</v>
      </c>
      <c r="H356" s="309" t="s">
        <v>1101</v>
      </c>
      <c r="I356" s="311">
        <v>2287.23</v>
      </c>
      <c r="J356" s="338">
        <v>2611376.2355999998</v>
      </c>
    </row>
    <row r="357" spans="1:10" ht="24">
      <c r="A357" s="335" t="s">
        <v>655</v>
      </c>
      <c r="B357" s="314"/>
      <c r="C357" s="309" t="s">
        <v>1004</v>
      </c>
      <c r="D357" s="309" t="s">
        <v>1048</v>
      </c>
      <c r="E357" s="315" t="s">
        <v>1102</v>
      </c>
      <c r="F357" s="314" t="s">
        <v>1099</v>
      </c>
      <c r="G357" s="309" t="s">
        <v>1100</v>
      </c>
      <c r="H357" s="309" t="s">
        <v>1101</v>
      </c>
      <c r="I357" s="311">
        <v>852.39</v>
      </c>
      <c r="J357" s="338" t="s">
        <v>36</v>
      </c>
    </row>
    <row r="358" spans="1:10" ht="24">
      <c r="A358" s="334" t="s">
        <v>680</v>
      </c>
      <c r="B358" s="309"/>
      <c r="C358" s="309" t="s">
        <v>1004</v>
      </c>
      <c r="D358" s="309" t="s">
        <v>1048</v>
      </c>
      <c r="E358" s="325" t="s">
        <v>1103</v>
      </c>
      <c r="F358" s="322" t="s">
        <v>1099</v>
      </c>
      <c r="G358" s="309" t="s">
        <v>1100</v>
      </c>
      <c r="H358" s="309" t="s">
        <v>1101</v>
      </c>
      <c r="I358" s="311">
        <v>3094.8598166764473</v>
      </c>
      <c r="J358" s="339">
        <v>241547</v>
      </c>
    </row>
    <row r="359" spans="1:10">
      <c r="A359" s="335" t="s">
        <v>655</v>
      </c>
      <c r="B359" s="314" t="s">
        <v>656</v>
      </c>
      <c r="C359" s="309" t="s">
        <v>1004</v>
      </c>
      <c r="D359" s="309" t="s">
        <v>1048</v>
      </c>
      <c r="E359" s="315" t="s">
        <v>1104</v>
      </c>
      <c r="F359" s="314" t="s">
        <v>1105</v>
      </c>
      <c r="G359" s="309" t="s">
        <v>1106</v>
      </c>
      <c r="H359" s="309" t="s">
        <v>1093</v>
      </c>
      <c r="I359" s="311">
        <v>204.09</v>
      </c>
      <c r="J359" s="338">
        <v>197.96729999999999</v>
      </c>
    </row>
    <row r="360" spans="1:10">
      <c r="A360" s="335" t="s">
        <v>655</v>
      </c>
      <c r="B360" s="314" t="s">
        <v>658</v>
      </c>
      <c r="C360" s="309" t="s">
        <v>1004</v>
      </c>
      <c r="D360" s="309" t="s">
        <v>1048</v>
      </c>
      <c r="E360" s="315" t="s">
        <v>1107</v>
      </c>
      <c r="F360" s="314" t="s">
        <v>1105</v>
      </c>
      <c r="G360" s="309" t="s">
        <v>1106</v>
      </c>
      <c r="H360" s="309" t="s">
        <v>1093</v>
      </c>
      <c r="I360" s="311">
        <v>159.37</v>
      </c>
      <c r="J360" s="338">
        <v>1023.1554000000001</v>
      </c>
    </row>
    <row r="361" spans="1:10">
      <c r="A361" s="335" t="s">
        <v>655</v>
      </c>
      <c r="B361" s="314" t="s">
        <v>660</v>
      </c>
      <c r="C361" s="309" t="s">
        <v>1004</v>
      </c>
      <c r="D361" s="309" t="s">
        <v>1048</v>
      </c>
      <c r="E361" s="315" t="s">
        <v>1108</v>
      </c>
      <c r="F361" s="314" t="s">
        <v>1105</v>
      </c>
      <c r="G361" s="309" t="s">
        <v>1106</v>
      </c>
      <c r="H361" s="309" t="s">
        <v>1093</v>
      </c>
      <c r="I361" s="311">
        <v>325.72000000000003</v>
      </c>
      <c r="J361" s="338">
        <v>2524.3300000000004</v>
      </c>
    </row>
    <row r="362" spans="1:10">
      <c r="A362" s="335" t="s">
        <v>655</v>
      </c>
      <c r="B362" s="314" t="s">
        <v>660</v>
      </c>
      <c r="C362" s="309" t="s">
        <v>1004</v>
      </c>
      <c r="D362" s="309" t="s">
        <v>1048</v>
      </c>
      <c r="E362" s="315" t="s">
        <v>1109</v>
      </c>
      <c r="F362" s="314" t="s">
        <v>1105</v>
      </c>
      <c r="G362" s="309" t="s">
        <v>1106</v>
      </c>
      <c r="H362" s="309" t="s">
        <v>1093</v>
      </c>
      <c r="I362" s="311">
        <v>320.77999999999997</v>
      </c>
      <c r="J362" s="338">
        <v>2486.0449999999996</v>
      </c>
    </row>
    <row r="363" spans="1:10">
      <c r="A363" s="335" t="s">
        <v>655</v>
      </c>
      <c r="B363" s="314" t="s">
        <v>662</v>
      </c>
      <c r="C363" s="309" t="s">
        <v>1004</v>
      </c>
      <c r="D363" s="309" t="s">
        <v>1048</v>
      </c>
      <c r="E363" s="315" t="s">
        <v>1110</v>
      </c>
      <c r="F363" s="314" t="s">
        <v>1105</v>
      </c>
      <c r="G363" s="309" t="s">
        <v>1106</v>
      </c>
      <c r="H363" s="309" t="s">
        <v>1093</v>
      </c>
      <c r="I363" s="311">
        <v>195.42</v>
      </c>
      <c r="J363" s="338">
        <v>11455.520399999998</v>
      </c>
    </row>
    <row r="364" spans="1:10">
      <c r="A364" s="335" t="s">
        <v>655</v>
      </c>
      <c r="B364" s="314" t="s">
        <v>664</v>
      </c>
      <c r="C364" s="309" t="s">
        <v>1004</v>
      </c>
      <c r="D364" s="309" t="s">
        <v>1048</v>
      </c>
      <c r="E364" s="315" t="s">
        <v>1111</v>
      </c>
      <c r="F364" s="314" t="s">
        <v>1105</v>
      </c>
      <c r="G364" s="309" t="s">
        <v>1106</v>
      </c>
      <c r="H364" s="309" t="s">
        <v>1093</v>
      </c>
      <c r="I364" s="311">
        <v>227.94</v>
      </c>
      <c r="J364" s="338">
        <v>2253854.7642000001</v>
      </c>
    </row>
    <row r="365" spans="1:10">
      <c r="A365" s="335" t="s">
        <v>655</v>
      </c>
      <c r="B365" s="314" t="s">
        <v>666</v>
      </c>
      <c r="C365" s="309" t="s">
        <v>1004</v>
      </c>
      <c r="D365" s="309" t="s">
        <v>1048</v>
      </c>
      <c r="E365" s="315" t="s">
        <v>1112</v>
      </c>
      <c r="F365" s="314" t="s">
        <v>1105</v>
      </c>
      <c r="G365" s="309" t="s">
        <v>1106</v>
      </c>
      <c r="H365" s="309" t="s">
        <v>1093</v>
      </c>
      <c r="I365" s="311">
        <v>195.42</v>
      </c>
      <c r="J365" s="338">
        <v>223114.92239999998</v>
      </c>
    </row>
    <row r="366" spans="1:10">
      <c r="A366" s="335" t="s">
        <v>655</v>
      </c>
      <c r="B366" s="314" t="s">
        <v>668</v>
      </c>
      <c r="C366" s="309" t="s">
        <v>1004</v>
      </c>
      <c r="D366" s="309" t="s">
        <v>1048</v>
      </c>
      <c r="E366" s="315" t="s">
        <v>1113</v>
      </c>
      <c r="F366" s="314" t="s">
        <v>1105</v>
      </c>
      <c r="G366" s="309" t="s">
        <v>1106</v>
      </c>
      <c r="H366" s="309" t="s">
        <v>1093</v>
      </c>
      <c r="I366" s="311">
        <v>208.44</v>
      </c>
      <c r="J366" s="338">
        <v>658.67040000000009</v>
      </c>
    </row>
    <row r="367" spans="1:10">
      <c r="A367" s="335" t="s">
        <v>655</v>
      </c>
      <c r="B367" s="314" t="s">
        <v>670</v>
      </c>
      <c r="C367" s="309" t="s">
        <v>1004</v>
      </c>
      <c r="D367" s="309" t="s">
        <v>1048</v>
      </c>
      <c r="E367" s="315" t="s">
        <v>1114</v>
      </c>
      <c r="F367" s="314" t="s">
        <v>1105</v>
      </c>
      <c r="G367" s="309" t="s">
        <v>1106</v>
      </c>
      <c r="H367" s="309" t="s">
        <v>1093</v>
      </c>
      <c r="I367" s="311">
        <v>247.59</v>
      </c>
      <c r="J367" s="338">
        <v>10413.635400000001</v>
      </c>
    </row>
    <row r="368" spans="1:10">
      <c r="A368" s="335" t="s">
        <v>655</v>
      </c>
      <c r="B368" s="314" t="s">
        <v>672</v>
      </c>
      <c r="C368" s="309" t="s">
        <v>1004</v>
      </c>
      <c r="D368" s="309" t="s">
        <v>1048</v>
      </c>
      <c r="E368" s="315" t="s">
        <v>1115</v>
      </c>
      <c r="F368" s="314" t="s">
        <v>1105</v>
      </c>
      <c r="G368" s="309" t="s">
        <v>1106</v>
      </c>
      <c r="H368" s="309" t="s">
        <v>1093</v>
      </c>
      <c r="I368" s="311">
        <v>320.77999999999997</v>
      </c>
      <c r="J368" s="338">
        <v>397.76719999999995</v>
      </c>
    </row>
    <row r="369" spans="1:10">
      <c r="A369" s="335" t="s">
        <v>655</v>
      </c>
      <c r="B369" s="314" t="s">
        <v>674</v>
      </c>
      <c r="C369" s="309" t="s">
        <v>1004</v>
      </c>
      <c r="D369" s="309" t="s">
        <v>1048</v>
      </c>
      <c r="E369" s="315" t="s">
        <v>1116</v>
      </c>
      <c r="F369" s="314" t="s">
        <v>1105</v>
      </c>
      <c r="G369" s="309" t="s">
        <v>1106</v>
      </c>
      <c r="H369" s="309" t="s">
        <v>1093</v>
      </c>
      <c r="I369" s="311">
        <v>195.42</v>
      </c>
      <c r="J369" s="338">
        <v>5788.3404</v>
      </c>
    </row>
    <row r="370" spans="1:10">
      <c r="A370" s="335" t="s">
        <v>655</v>
      </c>
      <c r="B370" s="314" t="s">
        <v>674</v>
      </c>
      <c r="C370" s="309" t="s">
        <v>1004</v>
      </c>
      <c r="D370" s="309" t="s">
        <v>1048</v>
      </c>
      <c r="E370" s="315" t="s">
        <v>1117</v>
      </c>
      <c r="F370" s="314" t="s">
        <v>1105</v>
      </c>
      <c r="G370" s="309" t="s">
        <v>1106</v>
      </c>
      <c r="H370" s="309" t="s">
        <v>1093</v>
      </c>
      <c r="I370" s="311">
        <v>691.23</v>
      </c>
      <c r="J370" s="338">
        <v>20474.232600000003</v>
      </c>
    </row>
    <row r="371" spans="1:10">
      <c r="A371" s="335" t="s">
        <v>655</v>
      </c>
      <c r="B371" s="314" t="s">
        <v>676</v>
      </c>
      <c r="C371" s="309" t="s">
        <v>1004</v>
      </c>
      <c r="D371" s="309" t="s">
        <v>1048</v>
      </c>
      <c r="E371" s="315" t="s">
        <v>1118</v>
      </c>
      <c r="F371" s="314" t="s">
        <v>1105</v>
      </c>
      <c r="G371" s="309" t="s">
        <v>1106</v>
      </c>
      <c r="H371" s="309" t="s">
        <v>1093</v>
      </c>
      <c r="I371" s="311">
        <v>397.93</v>
      </c>
      <c r="J371" s="338">
        <v>12737.739299999999</v>
      </c>
    </row>
    <row r="372" spans="1:10">
      <c r="A372" s="335" t="s">
        <v>655</v>
      </c>
      <c r="B372" s="314" t="s">
        <v>660</v>
      </c>
      <c r="C372" s="309" t="s">
        <v>1004</v>
      </c>
      <c r="D372" s="309" t="s">
        <v>1048</v>
      </c>
      <c r="E372" s="315" t="s">
        <v>1119</v>
      </c>
      <c r="F372" s="314" t="s">
        <v>1120</v>
      </c>
      <c r="G372" s="309" t="s">
        <v>1106</v>
      </c>
      <c r="H372" s="309" t="s">
        <v>1093</v>
      </c>
      <c r="I372" s="311">
        <v>130.31</v>
      </c>
      <c r="J372" s="338">
        <v>1009.9025</v>
      </c>
    </row>
    <row r="373" spans="1:10">
      <c r="A373" s="335" t="s">
        <v>655</v>
      </c>
      <c r="B373" s="314" t="s">
        <v>672</v>
      </c>
      <c r="C373" s="309" t="s">
        <v>1004</v>
      </c>
      <c r="D373" s="309" t="s">
        <v>1048</v>
      </c>
      <c r="E373" s="315" t="s">
        <v>1121</v>
      </c>
      <c r="F373" s="314" t="s">
        <v>1120</v>
      </c>
      <c r="G373" s="309" t="s">
        <v>1106</v>
      </c>
      <c r="H373" s="309" t="s">
        <v>1093</v>
      </c>
      <c r="I373" s="311">
        <v>227.54</v>
      </c>
      <c r="J373" s="338">
        <v>282.14959999999996</v>
      </c>
    </row>
    <row r="374" spans="1:10" ht="36">
      <c r="A374" s="334" t="s">
        <v>680</v>
      </c>
      <c r="B374" s="309"/>
      <c r="C374" s="309" t="s">
        <v>1004</v>
      </c>
      <c r="D374" s="309" t="s">
        <v>1048</v>
      </c>
      <c r="E374" s="316" t="s">
        <v>1122</v>
      </c>
      <c r="F374" s="322" t="s">
        <v>1123</v>
      </c>
      <c r="G374" s="309" t="s">
        <v>1124</v>
      </c>
      <c r="H374" s="309" t="s">
        <v>1125</v>
      </c>
      <c r="I374" s="311">
        <v>688.14239478883451</v>
      </c>
      <c r="J374" s="339">
        <v>53708</v>
      </c>
    </row>
    <row r="375" spans="1:10">
      <c r="A375" s="336" t="s">
        <v>655</v>
      </c>
      <c r="B375" s="319"/>
      <c r="C375" s="319" t="s">
        <v>1004</v>
      </c>
      <c r="D375" s="319" t="s">
        <v>1048</v>
      </c>
      <c r="E375" s="323" t="s">
        <v>1126</v>
      </c>
      <c r="F375" s="324" t="s">
        <v>1127</v>
      </c>
      <c r="G375" s="309" t="s">
        <v>1128</v>
      </c>
      <c r="H375" s="309" t="s">
        <v>1093</v>
      </c>
      <c r="I375" s="321">
        <v>260.14999999999998</v>
      </c>
      <c r="J375" s="340" t="s">
        <v>36</v>
      </c>
    </row>
    <row r="376" spans="1:10">
      <c r="A376" s="336" t="s">
        <v>655</v>
      </c>
      <c r="B376" s="319"/>
      <c r="C376" s="319" t="s">
        <v>1004</v>
      </c>
      <c r="D376" s="319" t="s">
        <v>1048</v>
      </c>
      <c r="E376" s="323" t="s">
        <v>1129</v>
      </c>
      <c r="F376" s="324" t="s">
        <v>1130</v>
      </c>
      <c r="G376" s="309" t="s">
        <v>1128</v>
      </c>
      <c r="H376" s="319" t="s">
        <v>1093</v>
      </c>
      <c r="I376" s="321">
        <v>647.77</v>
      </c>
      <c r="J376" s="340" t="s">
        <v>36</v>
      </c>
    </row>
    <row r="377" spans="1:10">
      <c r="A377" s="335" t="s">
        <v>655</v>
      </c>
      <c r="B377" s="314" t="s">
        <v>658</v>
      </c>
      <c r="C377" s="309" t="s">
        <v>1004</v>
      </c>
      <c r="D377" s="309" t="s">
        <v>1048</v>
      </c>
      <c r="E377" s="315" t="s">
        <v>1131</v>
      </c>
      <c r="F377" s="314" t="s">
        <v>1132</v>
      </c>
      <c r="G377" s="309" t="s">
        <v>1106</v>
      </c>
      <c r="H377" s="309" t="s">
        <v>1093</v>
      </c>
      <c r="I377" s="311">
        <v>130.91</v>
      </c>
      <c r="J377" s="338">
        <v>840.44220000000007</v>
      </c>
    </row>
    <row r="378" spans="1:10">
      <c r="A378" s="335" t="s">
        <v>655</v>
      </c>
      <c r="B378" s="314" t="s">
        <v>660</v>
      </c>
      <c r="C378" s="309" t="s">
        <v>1004</v>
      </c>
      <c r="D378" s="309" t="s">
        <v>1048</v>
      </c>
      <c r="E378" s="315" t="s">
        <v>1133</v>
      </c>
      <c r="F378" s="314" t="s">
        <v>1132</v>
      </c>
      <c r="G378" s="309" t="s">
        <v>1106</v>
      </c>
      <c r="H378" s="309" t="s">
        <v>1093</v>
      </c>
      <c r="I378" s="311">
        <v>460.74</v>
      </c>
      <c r="J378" s="338">
        <v>3570.7350000000001</v>
      </c>
    </row>
    <row r="379" spans="1:10">
      <c r="A379" s="335" t="s">
        <v>655</v>
      </c>
      <c r="B379" s="314" t="s">
        <v>660</v>
      </c>
      <c r="C379" s="309" t="s">
        <v>1004</v>
      </c>
      <c r="D379" s="309" t="s">
        <v>1048</v>
      </c>
      <c r="E379" s="315" t="s">
        <v>1134</v>
      </c>
      <c r="F379" s="314" t="s">
        <v>1132</v>
      </c>
      <c r="G379" s="309" t="s">
        <v>1106</v>
      </c>
      <c r="H379" s="309" t="s">
        <v>1093</v>
      </c>
      <c r="I379" s="311">
        <v>164.04</v>
      </c>
      <c r="J379" s="338">
        <v>1271.31</v>
      </c>
    </row>
    <row r="380" spans="1:10">
      <c r="A380" s="335" t="s">
        <v>655</v>
      </c>
      <c r="B380" s="314" t="s">
        <v>662</v>
      </c>
      <c r="C380" s="309" t="s">
        <v>1004</v>
      </c>
      <c r="D380" s="309" t="s">
        <v>1048</v>
      </c>
      <c r="E380" s="315" t="s">
        <v>1135</v>
      </c>
      <c r="F380" s="314" t="s">
        <v>1132</v>
      </c>
      <c r="G380" s="309" t="s">
        <v>1106</v>
      </c>
      <c r="H380" s="309" t="s">
        <v>1093</v>
      </c>
      <c r="I380" s="311">
        <v>197.12</v>
      </c>
      <c r="J380" s="338">
        <v>11555.174399999998</v>
      </c>
    </row>
    <row r="381" spans="1:10">
      <c r="A381" s="335" t="s">
        <v>655</v>
      </c>
      <c r="B381" s="314" t="s">
        <v>664</v>
      </c>
      <c r="C381" s="309" t="s">
        <v>1004</v>
      </c>
      <c r="D381" s="309" t="s">
        <v>1048</v>
      </c>
      <c r="E381" s="315" t="s">
        <v>1136</v>
      </c>
      <c r="F381" s="314" t="s">
        <v>1132</v>
      </c>
      <c r="G381" s="309" t="s">
        <v>1106</v>
      </c>
      <c r="H381" s="309" t="s">
        <v>1093</v>
      </c>
      <c r="I381" s="311">
        <v>459.67</v>
      </c>
      <c r="J381" s="338">
        <v>4545184.7831000006</v>
      </c>
    </row>
    <row r="382" spans="1:10">
      <c r="A382" s="335" t="s">
        <v>655</v>
      </c>
      <c r="B382" s="314" t="s">
        <v>666</v>
      </c>
      <c r="C382" s="309" t="s">
        <v>1004</v>
      </c>
      <c r="D382" s="309" t="s">
        <v>1048</v>
      </c>
      <c r="E382" s="315" t="s">
        <v>1137</v>
      </c>
      <c r="F382" s="314" t="s">
        <v>1132</v>
      </c>
      <c r="G382" s="309" t="s">
        <v>1106</v>
      </c>
      <c r="H382" s="309" t="s">
        <v>1093</v>
      </c>
      <c r="I382" s="311">
        <v>197.12</v>
      </c>
      <c r="J382" s="338">
        <v>225055.84640000001</v>
      </c>
    </row>
    <row r="383" spans="1:10">
      <c r="A383" s="335" t="s">
        <v>655</v>
      </c>
      <c r="B383" s="314" t="s">
        <v>668</v>
      </c>
      <c r="C383" s="309" t="s">
        <v>1004</v>
      </c>
      <c r="D383" s="309" t="s">
        <v>1048</v>
      </c>
      <c r="E383" s="315" t="s">
        <v>1138</v>
      </c>
      <c r="F383" s="314" t="s">
        <v>1132</v>
      </c>
      <c r="G383" s="309" t="s">
        <v>1106</v>
      </c>
      <c r="H383" s="309" t="s">
        <v>1093</v>
      </c>
      <c r="I383" s="311">
        <v>212.06</v>
      </c>
      <c r="J383" s="338">
        <v>670.10960000000011</v>
      </c>
    </row>
    <row r="384" spans="1:10">
      <c r="A384" s="335" t="s">
        <v>655</v>
      </c>
      <c r="B384" s="314" t="s">
        <v>670</v>
      </c>
      <c r="C384" s="309" t="s">
        <v>1004</v>
      </c>
      <c r="D384" s="309" t="s">
        <v>1048</v>
      </c>
      <c r="E384" s="315" t="s">
        <v>1139</v>
      </c>
      <c r="F384" s="314" t="s">
        <v>1132</v>
      </c>
      <c r="G384" s="309" t="s">
        <v>1106</v>
      </c>
      <c r="H384" s="309" t="s">
        <v>1093</v>
      </c>
      <c r="I384" s="311">
        <v>205.3</v>
      </c>
      <c r="J384" s="338">
        <v>8634.9180000000015</v>
      </c>
    </row>
    <row r="385" spans="1:10">
      <c r="A385" s="335" t="s">
        <v>655</v>
      </c>
      <c r="B385" s="314" t="s">
        <v>672</v>
      </c>
      <c r="C385" s="309" t="s">
        <v>1004</v>
      </c>
      <c r="D385" s="309" t="s">
        <v>1048</v>
      </c>
      <c r="E385" s="315" t="s">
        <v>1140</v>
      </c>
      <c r="F385" s="314" t="s">
        <v>1132</v>
      </c>
      <c r="G385" s="309" t="s">
        <v>1106</v>
      </c>
      <c r="H385" s="309" t="s">
        <v>1093</v>
      </c>
      <c r="I385" s="311">
        <v>273.29000000000002</v>
      </c>
      <c r="J385" s="338">
        <v>338.87959999999998</v>
      </c>
    </row>
    <row r="386" spans="1:10">
      <c r="A386" s="335" t="s">
        <v>655</v>
      </c>
      <c r="B386" s="314" t="s">
        <v>672</v>
      </c>
      <c r="C386" s="309" t="s">
        <v>1004</v>
      </c>
      <c r="D386" s="309" t="s">
        <v>1048</v>
      </c>
      <c r="E386" s="315" t="s">
        <v>1141</v>
      </c>
      <c r="F386" s="314" t="s">
        <v>1132</v>
      </c>
      <c r="G386" s="309" t="s">
        <v>1106</v>
      </c>
      <c r="H386" s="309" t="s">
        <v>1093</v>
      </c>
      <c r="I386" s="311">
        <v>164.04</v>
      </c>
      <c r="J386" s="338">
        <v>203.40959999999998</v>
      </c>
    </row>
    <row r="387" spans="1:10">
      <c r="A387" s="335" t="s">
        <v>655</v>
      </c>
      <c r="B387" s="314" t="s">
        <v>674</v>
      </c>
      <c r="C387" s="309" t="s">
        <v>1004</v>
      </c>
      <c r="D387" s="309" t="s">
        <v>1048</v>
      </c>
      <c r="E387" s="315" t="s">
        <v>1142</v>
      </c>
      <c r="F387" s="314" t="s">
        <v>1132</v>
      </c>
      <c r="G387" s="309" t="s">
        <v>1106</v>
      </c>
      <c r="H387" s="309" t="s">
        <v>1093</v>
      </c>
      <c r="I387" s="311">
        <v>333.12</v>
      </c>
      <c r="J387" s="338">
        <v>9867.0144000000018</v>
      </c>
    </row>
    <row r="388" spans="1:10">
      <c r="A388" s="335" t="s">
        <v>655</v>
      </c>
      <c r="B388" s="314" t="s">
        <v>674</v>
      </c>
      <c r="C388" s="309" t="s">
        <v>1004</v>
      </c>
      <c r="D388" s="309" t="s">
        <v>1048</v>
      </c>
      <c r="E388" s="315" t="s">
        <v>1143</v>
      </c>
      <c r="F388" s="314" t="s">
        <v>1132</v>
      </c>
      <c r="G388" s="309" t="s">
        <v>1106</v>
      </c>
      <c r="H388" s="309" t="s">
        <v>1093</v>
      </c>
      <c r="I388" s="311">
        <v>197.12</v>
      </c>
      <c r="J388" s="338">
        <v>5838.6944000000012</v>
      </c>
    </row>
    <row r="389" spans="1:10">
      <c r="A389" s="335" t="s">
        <v>655</v>
      </c>
      <c r="B389" s="314" t="s">
        <v>676</v>
      </c>
      <c r="C389" s="309" t="s">
        <v>1004</v>
      </c>
      <c r="D389" s="309" t="s">
        <v>1048</v>
      </c>
      <c r="E389" s="315" t="s">
        <v>1144</v>
      </c>
      <c r="F389" s="314" t="s">
        <v>1132</v>
      </c>
      <c r="G389" s="309" t="s">
        <v>1106</v>
      </c>
      <c r="H389" s="309" t="s">
        <v>1093</v>
      </c>
      <c r="I389" s="311">
        <v>514.51</v>
      </c>
      <c r="J389" s="338">
        <v>16469.465099999998</v>
      </c>
    </row>
    <row r="390" spans="1:10">
      <c r="A390" s="335" t="s">
        <v>655</v>
      </c>
      <c r="B390" s="314" t="s">
        <v>656</v>
      </c>
      <c r="C390" s="309" t="s">
        <v>1004</v>
      </c>
      <c r="D390" s="309" t="s">
        <v>1048</v>
      </c>
      <c r="E390" s="315" t="s">
        <v>1145</v>
      </c>
      <c r="F390" s="314" t="s">
        <v>1146</v>
      </c>
      <c r="G390" s="309" t="s">
        <v>1106</v>
      </c>
      <c r="H390" s="309" t="s">
        <v>1093</v>
      </c>
      <c r="I390" s="311">
        <v>246.4</v>
      </c>
      <c r="J390" s="338">
        <v>239.00799999999998</v>
      </c>
    </row>
    <row r="391" spans="1:10">
      <c r="A391" s="335" t="s">
        <v>655</v>
      </c>
      <c r="B391" s="314" t="s">
        <v>660</v>
      </c>
      <c r="C391" s="309" t="s">
        <v>1004</v>
      </c>
      <c r="D391" s="309" t="s">
        <v>1048</v>
      </c>
      <c r="E391" s="315" t="s">
        <v>1147</v>
      </c>
      <c r="F391" s="314" t="s">
        <v>1146</v>
      </c>
      <c r="G391" s="309" t="s">
        <v>1106</v>
      </c>
      <c r="H391" s="309" t="s">
        <v>1093</v>
      </c>
      <c r="I391" s="311">
        <v>263.62</v>
      </c>
      <c r="J391" s="338">
        <v>2043.0550000000001</v>
      </c>
    </row>
    <row r="392" spans="1:10">
      <c r="A392" s="335" t="s">
        <v>655</v>
      </c>
      <c r="B392" s="314" t="s">
        <v>672</v>
      </c>
      <c r="C392" s="309" t="s">
        <v>1004</v>
      </c>
      <c r="D392" s="309" t="s">
        <v>1048</v>
      </c>
      <c r="E392" s="315" t="s">
        <v>1148</v>
      </c>
      <c r="F392" s="314" t="s">
        <v>1146</v>
      </c>
      <c r="G392" s="309" t="s">
        <v>1106</v>
      </c>
      <c r="H392" s="309" t="s">
        <v>1093</v>
      </c>
      <c r="I392" s="311">
        <v>103.51</v>
      </c>
      <c r="J392" s="338">
        <v>128.35240000000002</v>
      </c>
    </row>
    <row r="393" spans="1:10">
      <c r="A393" s="334" t="s">
        <v>680</v>
      </c>
      <c r="B393" s="309"/>
      <c r="C393" s="309" t="s">
        <v>1004</v>
      </c>
      <c r="D393" s="309" t="s">
        <v>1048</v>
      </c>
      <c r="E393" s="316" t="s">
        <v>1149</v>
      </c>
      <c r="F393" s="322" t="s">
        <v>1150</v>
      </c>
      <c r="G393" s="309" t="s">
        <v>1106</v>
      </c>
      <c r="H393" s="309" t="s">
        <v>1093</v>
      </c>
      <c r="I393" s="311">
        <v>541.39898882479713</v>
      </c>
      <c r="J393" s="339">
        <v>42255</v>
      </c>
    </row>
    <row r="394" spans="1:10" ht="24">
      <c r="A394" s="334" t="s">
        <v>423</v>
      </c>
      <c r="B394" s="309"/>
      <c r="C394" s="309" t="s">
        <v>1004</v>
      </c>
      <c r="D394" s="309" t="s">
        <v>1048</v>
      </c>
      <c r="E394" s="310" t="s">
        <v>1151</v>
      </c>
      <c r="F394" s="309" t="s">
        <v>1152</v>
      </c>
      <c r="G394" s="309" t="s">
        <v>1153</v>
      </c>
      <c r="H394" s="309" t="s">
        <v>90</v>
      </c>
      <c r="I394" s="380">
        <v>527</v>
      </c>
      <c r="J394" s="338">
        <v>527</v>
      </c>
    </row>
    <row r="395" spans="1:10" ht="24">
      <c r="A395" s="335" t="s">
        <v>421</v>
      </c>
      <c r="B395" s="314" t="s">
        <v>651</v>
      </c>
      <c r="C395" s="309" t="s">
        <v>1004</v>
      </c>
      <c r="D395" s="309" t="s">
        <v>1048</v>
      </c>
      <c r="E395" s="313" t="s">
        <v>1154</v>
      </c>
      <c r="F395" s="309" t="s">
        <v>1152</v>
      </c>
      <c r="G395" s="309" t="s">
        <v>1153</v>
      </c>
      <c r="H395" s="309" t="s">
        <v>90</v>
      </c>
      <c r="I395" s="311">
        <v>592.4052716624999</v>
      </c>
      <c r="J395" s="338">
        <v>378.9</v>
      </c>
    </row>
    <row r="396" spans="1:10" ht="24">
      <c r="A396" s="334" t="s">
        <v>655</v>
      </c>
      <c r="B396" s="309"/>
      <c r="C396" s="309" t="s">
        <v>1004</v>
      </c>
      <c r="D396" s="309" t="s">
        <v>1048</v>
      </c>
      <c r="E396" s="315" t="s">
        <v>1155</v>
      </c>
      <c r="F396" s="309" t="s">
        <v>1152</v>
      </c>
      <c r="G396" s="309" t="s">
        <v>1153</v>
      </c>
      <c r="H396" s="309" t="s">
        <v>90</v>
      </c>
      <c r="I396" s="311">
        <v>477.06</v>
      </c>
      <c r="J396" s="338" t="s">
        <v>36</v>
      </c>
    </row>
    <row r="397" spans="1:10" ht="24">
      <c r="A397" s="334" t="s">
        <v>423</v>
      </c>
      <c r="B397" s="309"/>
      <c r="C397" s="309" t="s">
        <v>1004</v>
      </c>
      <c r="D397" s="309" t="s">
        <v>1048</v>
      </c>
      <c r="E397" s="310" t="s">
        <v>1156</v>
      </c>
      <c r="F397" s="309" t="s">
        <v>1157</v>
      </c>
      <c r="G397" s="309" t="s">
        <v>91</v>
      </c>
      <c r="H397" s="309" t="s">
        <v>90</v>
      </c>
      <c r="I397" s="380">
        <v>717</v>
      </c>
      <c r="J397" s="338">
        <v>717</v>
      </c>
    </row>
    <row r="398" spans="1:10" ht="24">
      <c r="A398" s="335" t="s">
        <v>421</v>
      </c>
      <c r="B398" s="314" t="s">
        <v>651</v>
      </c>
      <c r="C398" s="309" t="s">
        <v>1004</v>
      </c>
      <c r="D398" s="309" t="s">
        <v>1048</v>
      </c>
      <c r="E398" s="313" t="s">
        <v>1158</v>
      </c>
      <c r="F398" s="309" t="s">
        <v>1157</v>
      </c>
      <c r="G398" s="309" t="s">
        <v>91</v>
      </c>
      <c r="H398" s="309" t="s">
        <v>90</v>
      </c>
      <c r="I398" s="311">
        <v>805.9776129375</v>
      </c>
      <c r="J398" s="338">
        <v>515.5</v>
      </c>
    </row>
    <row r="399" spans="1:10" ht="24">
      <c r="A399" s="334" t="s">
        <v>655</v>
      </c>
      <c r="B399" s="309"/>
      <c r="C399" s="309" t="s">
        <v>1004</v>
      </c>
      <c r="D399" s="309" t="s">
        <v>1048</v>
      </c>
      <c r="E399" s="315" t="s">
        <v>1159</v>
      </c>
      <c r="F399" s="309" t="s">
        <v>1157</v>
      </c>
      <c r="G399" s="309" t="s">
        <v>91</v>
      </c>
      <c r="H399" s="309" t="s">
        <v>90</v>
      </c>
      <c r="I399" s="311">
        <v>644.03</v>
      </c>
      <c r="J399" s="338" t="s">
        <v>36</v>
      </c>
    </row>
    <row r="400" spans="1:10" ht="24">
      <c r="A400" s="334" t="s">
        <v>423</v>
      </c>
      <c r="B400" s="309"/>
      <c r="C400" s="309" t="s">
        <v>1004</v>
      </c>
      <c r="D400" s="309" t="s">
        <v>1048</v>
      </c>
      <c r="E400" s="310" t="s">
        <v>1160</v>
      </c>
      <c r="F400" s="309" t="s">
        <v>1161</v>
      </c>
      <c r="G400" s="309" t="s">
        <v>1162</v>
      </c>
      <c r="H400" s="309" t="s">
        <v>90</v>
      </c>
      <c r="I400" s="380">
        <v>757</v>
      </c>
      <c r="J400" s="338">
        <v>757</v>
      </c>
    </row>
    <row r="401" spans="1:10" ht="24">
      <c r="A401" s="335" t="s">
        <v>421</v>
      </c>
      <c r="B401" s="314" t="s">
        <v>651</v>
      </c>
      <c r="C401" s="309" t="s">
        <v>1004</v>
      </c>
      <c r="D401" s="309" t="s">
        <v>1048</v>
      </c>
      <c r="E401" s="313" t="s">
        <v>1163</v>
      </c>
      <c r="F401" s="309" t="s">
        <v>1161</v>
      </c>
      <c r="G401" s="309" t="s">
        <v>1162</v>
      </c>
      <c r="H401" s="309" t="s">
        <v>90</v>
      </c>
      <c r="I401" s="311">
        <v>850.9435026525</v>
      </c>
      <c r="J401" s="338">
        <v>544.26</v>
      </c>
    </row>
    <row r="402" spans="1:10">
      <c r="A402" s="335" t="s">
        <v>680</v>
      </c>
      <c r="B402" s="314"/>
      <c r="C402" s="309" t="s">
        <v>1004</v>
      </c>
      <c r="D402" s="309" t="s">
        <v>1048</v>
      </c>
      <c r="E402" s="316" t="s">
        <v>1164</v>
      </c>
      <c r="F402" s="322" t="s">
        <v>1165</v>
      </c>
      <c r="G402" s="314" t="s">
        <v>1166</v>
      </c>
      <c r="H402" s="309" t="s">
        <v>1167</v>
      </c>
      <c r="I402" s="311">
        <v>94.153839057603165</v>
      </c>
      <c r="J402" s="339">
        <v>7348.5</v>
      </c>
    </row>
    <row r="403" spans="1:10">
      <c r="A403" s="334" t="s">
        <v>680</v>
      </c>
      <c r="B403" s="309"/>
      <c r="C403" s="309" t="s">
        <v>1004</v>
      </c>
      <c r="D403" s="309" t="s">
        <v>1048</v>
      </c>
      <c r="E403" s="316" t="s">
        <v>1168</v>
      </c>
      <c r="F403" s="322" t="s">
        <v>1169</v>
      </c>
      <c r="G403" s="309" t="s">
        <v>1170</v>
      </c>
      <c r="H403" s="309" t="s">
        <v>1167</v>
      </c>
      <c r="I403" s="311">
        <v>642.97904617426752</v>
      </c>
      <c r="J403" s="339">
        <v>50183.1</v>
      </c>
    </row>
    <row r="404" spans="1:10">
      <c r="A404" s="334" t="s">
        <v>655</v>
      </c>
      <c r="B404" s="309" t="s">
        <v>666</v>
      </c>
      <c r="C404" s="309" t="s">
        <v>1004</v>
      </c>
      <c r="D404" s="309" t="s">
        <v>1048</v>
      </c>
      <c r="E404" s="315" t="s">
        <v>1171</v>
      </c>
      <c r="F404" s="309" t="s">
        <v>1172</v>
      </c>
      <c r="G404" s="309" t="s">
        <v>1128</v>
      </c>
      <c r="H404" s="309" t="s">
        <v>1093</v>
      </c>
      <c r="I404" s="311">
        <v>102.37</v>
      </c>
      <c r="J404" s="338">
        <v>116877.87640000001</v>
      </c>
    </row>
    <row r="405" spans="1:10">
      <c r="A405" s="334" t="s">
        <v>423</v>
      </c>
      <c r="B405" s="309"/>
      <c r="C405" s="309" t="s">
        <v>1004</v>
      </c>
      <c r="D405" s="309" t="s">
        <v>1048</v>
      </c>
      <c r="E405" s="310" t="s">
        <v>1173</v>
      </c>
      <c r="F405" s="309" t="s">
        <v>1174</v>
      </c>
      <c r="G405" s="309" t="s">
        <v>1128</v>
      </c>
      <c r="H405" s="309" t="s">
        <v>1093</v>
      </c>
      <c r="I405" s="380">
        <v>262</v>
      </c>
      <c r="J405" s="338">
        <v>262</v>
      </c>
    </row>
    <row r="406" spans="1:10">
      <c r="A406" s="335" t="s">
        <v>421</v>
      </c>
      <c r="B406" s="314" t="s">
        <v>651</v>
      </c>
      <c r="C406" s="309" t="s">
        <v>1004</v>
      </c>
      <c r="D406" s="309" t="s">
        <v>1048</v>
      </c>
      <c r="E406" s="313" t="s">
        <v>1175</v>
      </c>
      <c r="F406" s="314" t="s">
        <v>1174</v>
      </c>
      <c r="G406" s="309" t="s">
        <v>1128</v>
      </c>
      <c r="H406" s="309" t="s">
        <v>1093</v>
      </c>
      <c r="I406" s="311">
        <v>268.90415062875002</v>
      </c>
      <c r="J406" s="338">
        <v>171.99</v>
      </c>
    </row>
    <row r="407" spans="1:10">
      <c r="A407" s="334" t="s">
        <v>423</v>
      </c>
      <c r="B407" s="309"/>
      <c r="C407" s="309" t="s">
        <v>1004</v>
      </c>
      <c r="D407" s="309" t="s">
        <v>1048</v>
      </c>
      <c r="E407" s="310" t="s">
        <v>1176</v>
      </c>
      <c r="F407" s="309" t="s">
        <v>1177</v>
      </c>
      <c r="G407" s="309" t="s">
        <v>1128</v>
      </c>
      <c r="H407" s="309" t="s">
        <v>1093</v>
      </c>
      <c r="I407" s="380">
        <v>330</v>
      </c>
      <c r="J407" s="338">
        <v>330</v>
      </c>
    </row>
    <row r="408" spans="1:10">
      <c r="A408" s="335" t="s">
        <v>421</v>
      </c>
      <c r="B408" s="314" t="s">
        <v>651</v>
      </c>
      <c r="C408" s="309" t="s">
        <v>1004</v>
      </c>
      <c r="D408" s="309" t="s">
        <v>1048</v>
      </c>
      <c r="E408" s="313" t="s">
        <v>1178</v>
      </c>
      <c r="F408" s="314" t="s">
        <v>1177</v>
      </c>
      <c r="G408" s="309" t="s">
        <v>1128</v>
      </c>
      <c r="H408" s="309" t="s">
        <v>1093</v>
      </c>
      <c r="I408" s="311">
        <v>338.69821588874998</v>
      </c>
      <c r="J408" s="338">
        <v>216.63</v>
      </c>
    </row>
    <row r="409" spans="1:10">
      <c r="A409" s="334" t="s">
        <v>423</v>
      </c>
      <c r="B409" s="309"/>
      <c r="C409" s="309" t="s">
        <v>1004</v>
      </c>
      <c r="D409" s="309" t="s">
        <v>1048</v>
      </c>
      <c r="E409" s="310" t="s">
        <v>1179</v>
      </c>
      <c r="F409" s="309" t="s">
        <v>1180</v>
      </c>
      <c r="G409" s="309" t="s">
        <v>1128</v>
      </c>
      <c r="H409" s="309" t="s">
        <v>1093</v>
      </c>
      <c r="I409" s="380">
        <v>880</v>
      </c>
      <c r="J409" s="338">
        <v>880</v>
      </c>
    </row>
    <row r="410" spans="1:10">
      <c r="A410" s="335" t="s">
        <v>421</v>
      </c>
      <c r="B410" s="314" t="s">
        <v>651</v>
      </c>
      <c r="C410" s="309" t="s">
        <v>1004</v>
      </c>
      <c r="D410" s="309" t="s">
        <v>1048</v>
      </c>
      <c r="E410" s="313" t="s">
        <v>1181</v>
      </c>
      <c r="F410" s="314" t="s">
        <v>1180</v>
      </c>
      <c r="G410" s="309" t="s">
        <v>1128</v>
      </c>
      <c r="H410" s="309" t="s">
        <v>1093</v>
      </c>
      <c r="I410" s="311">
        <v>903.19524236999996</v>
      </c>
      <c r="J410" s="338">
        <v>577.67999999999995</v>
      </c>
    </row>
    <row r="411" spans="1:10">
      <c r="A411" s="335" t="s">
        <v>655</v>
      </c>
      <c r="B411" s="314" t="s">
        <v>666</v>
      </c>
      <c r="C411" s="309" t="s">
        <v>1004</v>
      </c>
      <c r="D411" s="309" t="s">
        <v>1048</v>
      </c>
      <c r="E411" s="315" t="s">
        <v>1182</v>
      </c>
      <c r="F411" s="314" t="s">
        <v>1183</v>
      </c>
      <c r="G411" s="309" t="s">
        <v>96</v>
      </c>
      <c r="H411" s="309" t="s">
        <v>1093</v>
      </c>
      <c r="I411" s="311">
        <v>506.81</v>
      </c>
      <c r="J411" s="338">
        <v>578635.11320000002</v>
      </c>
    </row>
    <row r="412" spans="1:10">
      <c r="A412" s="335" t="s">
        <v>655</v>
      </c>
      <c r="B412" s="314"/>
      <c r="C412" s="309" t="s">
        <v>1004</v>
      </c>
      <c r="D412" s="309" t="s">
        <v>1048</v>
      </c>
      <c r="E412" s="315" t="s">
        <v>1184</v>
      </c>
      <c r="F412" s="314" t="s">
        <v>1183</v>
      </c>
      <c r="G412" s="309" t="s">
        <v>96</v>
      </c>
      <c r="H412" s="309" t="s">
        <v>1093</v>
      </c>
      <c r="I412" s="311">
        <v>164.04</v>
      </c>
      <c r="J412" s="338" t="s">
        <v>36</v>
      </c>
    </row>
    <row r="413" spans="1:10">
      <c r="A413" s="334" t="s">
        <v>423</v>
      </c>
      <c r="B413" s="309"/>
      <c r="C413" s="309" t="s">
        <v>1004</v>
      </c>
      <c r="D413" s="309" t="s">
        <v>1048</v>
      </c>
      <c r="E413" s="310" t="s">
        <v>1185</v>
      </c>
      <c r="F413" s="314" t="s">
        <v>1186</v>
      </c>
      <c r="G413" s="309" t="s">
        <v>96</v>
      </c>
      <c r="H413" s="309" t="s">
        <v>90</v>
      </c>
      <c r="I413" s="380">
        <v>165</v>
      </c>
      <c r="J413" s="338">
        <v>165</v>
      </c>
    </row>
    <row r="414" spans="1:10">
      <c r="A414" s="335" t="s">
        <v>421</v>
      </c>
      <c r="B414" s="314" t="s">
        <v>651</v>
      </c>
      <c r="C414" s="309" t="s">
        <v>1004</v>
      </c>
      <c r="D414" s="309" t="s">
        <v>1048</v>
      </c>
      <c r="E414" s="313" t="s">
        <v>1187</v>
      </c>
      <c r="F414" s="314" t="s">
        <v>1186</v>
      </c>
      <c r="G414" s="309" t="s">
        <v>96</v>
      </c>
      <c r="H414" s="309" t="s">
        <v>90</v>
      </c>
      <c r="I414" s="311">
        <v>156.75521915250002</v>
      </c>
      <c r="J414" s="338">
        <v>100.26</v>
      </c>
    </row>
    <row r="415" spans="1:10">
      <c r="A415" s="335" t="s">
        <v>421</v>
      </c>
      <c r="B415" s="314" t="s">
        <v>1010</v>
      </c>
      <c r="C415" s="309" t="s">
        <v>1004</v>
      </c>
      <c r="D415" s="309" t="s">
        <v>1048</v>
      </c>
      <c r="E415" s="313" t="s">
        <v>1188</v>
      </c>
      <c r="F415" s="314" t="s">
        <v>1186</v>
      </c>
      <c r="G415" s="309" t="s">
        <v>96</v>
      </c>
      <c r="H415" s="309" t="s">
        <v>90</v>
      </c>
      <c r="I415" s="311">
        <v>156.75</v>
      </c>
      <c r="J415" s="338" t="s">
        <v>36</v>
      </c>
    </row>
    <row r="416" spans="1:10">
      <c r="A416" s="334" t="s">
        <v>655</v>
      </c>
      <c r="B416" s="309"/>
      <c r="C416" s="309" t="s">
        <v>1004</v>
      </c>
      <c r="D416" s="309" t="s">
        <v>1048</v>
      </c>
      <c r="E416" s="315" t="s">
        <v>1189</v>
      </c>
      <c r="F416" s="314" t="s">
        <v>1186</v>
      </c>
      <c r="G416" s="309" t="s">
        <v>96</v>
      </c>
      <c r="H416" s="309" t="s">
        <v>90</v>
      </c>
      <c r="I416" s="311">
        <v>175.83</v>
      </c>
      <c r="J416" s="338" t="s">
        <v>36</v>
      </c>
    </row>
    <row r="417" spans="1:10">
      <c r="A417" s="334" t="s">
        <v>423</v>
      </c>
      <c r="B417" s="309"/>
      <c r="C417" s="309" t="s">
        <v>1004</v>
      </c>
      <c r="D417" s="309" t="s">
        <v>1048</v>
      </c>
      <c r="E417" s="310" t="s">
        <v>1190</v>
      </c>
      <c r="F417" s="314" t="s">
        <v>1191</v>
      </c>
      <c r="G417" s="309" t="s">
        <v>96</v>
      </c>
      <c r="H417" s="309" t="s">
        <v>90</v>
      </c>
      <c r="I417" s="380">
        <v>205</v>
      </c>
      <c r="J417" s="338">
        <v>205</v>
      </c>
    </row>
    <row r="418" spans="1:10">
      <c r="A418" s="335" t="s">
        <v>421</v>
      </c>
      <c r="B418" s="314" t="s">
        <v>651</v>
      </c>
      <c r="C418" s="309" t="s">
        <v>1004</v>
      </c>
      <c r="D418" s="309" t="s">
        <v>1048</v>
      </c>
      <c r="E418" s="313" t="s">
        <v>1192</v>
      </c>
      <c r="F418" s="314" t="s">
        <v>1191</v>
      </c>
      <c r="G418" s="309" t="s">
        <v>96</v>
      </c>
      <c r="H418" s="309" t="s">
        <v>90</v>
      </c>
      <c r="I418" s="311">
        <v>194.74795628999999</v>
      </c>
      <c r="J418" s="338">
        <v>124.56</v>
      </c>
    </row>
    <row r="419" spans="1:10">
      <c r="A419" s="335" t="s">
        <v>421</v>
      </c>
      <c r="B419" s="314" t="s">
        <v>1010</v>
      </c>
      <c r="C419" s="309" t="s">
        <v>1004</v>
      </c>
      <c r="D419" s="309" t="s">
        <v>1048</v>
      </c>
      <c r="E419" s="313" t="s">
        <v>1193</v>
      </c>
      <c r="F419" s="314" t="s">
        <v>1191</v>
      </c>
      <c r="G419" s="309" t="s">
        <v>96</v>
      </c>
      <c r="H419" s="309" t="s">
        <v>90</v>
      </c>
      <c r="I419" s="311">
        <v>194.75</v>
      </c>
      <c r="J419" s="338" t="s">
        <v>36</v>
      </c>
    </row>
    <row r="420" spans="1:10">
      <c r="A420" s="334" t="s">
        <v>655</v>
      </c>
      <c r="B420" s="309"/>
      <c r="C420" s="309" t="s">
        <v>1004</v>
      </c>
      <c r="D420" s="309" t="s">
        <v>1048</v>
      </c>
      <c r="E420" s="315" t="s">
        <v>1194</v>
      </c>
      <c r="F420" s="314" t="s">
        <v>1191</v>
      </c>
      <c r="G420" s="309" t="s">
        <v>96</v>
      </c>
      <c r="H420" s="309" t="s">
        <v>90</v>
      </c>
      <c r="I420" s="311">
        <v>218.46</v>
      </c>
      <c r="J420" s="338" t="s">
        <v>36</v>
      </c>
    </row>
    <row r="421" spans="1:10">
      <c r="A421" s="334" t="s">
        <v>423</v>
      </c>
      <c r="B421" s="309"/>
      <c r="C421" s="309" t="s">
        <v>1004</v>
      </c>
      <c r="D421" s="309" t="s">
        <v>1048</v>
      </c>
      <c r="E421" s="310" t="s">
        <v>1195</v>
      </c>
      <c r="F421" s="314" t="s">
        <v>1196</v>
      </c>
      <c r="G421" s="309" t="s">
        <v>96</v>
      </c>
      <c r="H421" s="309" t="s">
        <v>90</v>
      </c>
      <c r="I421" s="380">
        <v>292</v>
      </c>
      <c r="J421" s="338">
        <v>292</v>
      </c>
    </row>
    <row r="422" spans="1:10">
      <c r="A422" s="335" t="s">
        <v>421</v>
      </c>
      <c r="B422" s="314" t="s">
        <v>651</v>
      </c>
      <c r="C422" s="309" t="s">
        <v>1004</v>
      </c>
      <c r="D422" s="309" t="s">
        <v>1048</v>
      </c>
      <c r="E422" s="313" t="s">
        <v>1197</v>
      </c>
      <c r="F422" s="314" t="s">
        <v>1196</v>
      </c>
      <c r="G422" s="309" t="s">
        <v>96</v>
      </c>
      <c r="H422" s="309" t="s">
        <v>90</v>
      </c>
      <c r="I422" s="311">
        <v>277.39388571749998</v>
      </c>
      <c r="J422" s="338">
        <v>177.42</v>
      </c>
    </row>
    <row r="423" spans="1:10">
      <c r="A423" s="335" t="s">
        <v>421</v>
      </c>
      <c r="B423" s="314" t="s">
        <v>1010</v>
      </c>
      <c r="C423" s="309" t="s">
        <v>1004</v>
      </c>
      <c r="D423" s="309" t="s">
        <v>1048</v>
      </c>
      <c r="E423" s="313" t="s">
        <v>1198</v>
      </c>
      <c r="F423" s="314" t="s">
        <v>1196</v>
      </c>
      <c r="G423" s="309" t="s">
        <v>96</v>
      </c>
      <c r="H423" s="309" t="s">
        <v>90</v>
      </c>
      <c r="I423" s="311">
        <v>277.39999999999998</v>
      </c>
      <c r="J423" s="338" t="s">
        <v>36</v>
      </c>
    </row>
    <row r="424" spans="1:10">
      <c r="A424" s="334" t="s">
        <v>655</v>
      </c>
      <c r="B424" s="309"/>
      <c r="C424" s="309" t="s">
        <v>1004</v>
      </c>
      <c r="D424" s="309" t="s">
        <v>1048</v>
      </c>
      <c r="E424" s="315" t="s">
        <v>1199</v>
      </c>
      <c r="F424" s="314" t="s">
        <v>1196</v>
      </c>
      <c r="G424" s="309" t="s">
        <v>96</v>
      </c>
      <c r="H424" s="309" t="s">
        <v>90</v>
      </c>
      <c r="I424" s="311">
        <v>311.17</v>
      </c>
      <c r="J424" s="338" t="s">
        <v>36</v>
      </c>
    </row>
    <row r="425" spans="1:10">
      <c r="A425" s="335" t="s">
        <v>421</v>
      </c>
      <c r="B425" s="314" t="s">
        <v>651</v>
      </c>
      <c r="C425" s="309" t="s">
        <v>1004</v>
      </c>
      <c r="D425" s="309" t="s">
        <v>820</v>
      </c>
      <c r="E425" s="313" t="s">
        <v>1200</v>
      </c>
      <c r="F425" s="314" t="s">
        <v>1201</v>
      </c>
      <c r="G425" s="314" t="s">
        <v>1202</v>
      </c>
      <c r="H425" s="309" t="s">
        <v>1045</v>
      </c>
      <c r="I425" s="311">
        <v>1.4853127687499998</v>
      </c>
      <c r="J425" s="338">
        <v>0.95</v>
      </c>
    </row>
    <row r="426" spans="1:10" ht="24">
      <c r="A426" s="334" t="s">
        <v>423</v>
      </c>
      <c r="B426" s="309"/>
      <c r="C426" s="309" t="s">
        <v>1004</v>
      </c>
      <c r="D426" s="309" t="s">
        <v>820</v>
      </c>
      <c r="E426" s="310" t="s">
        <v>1203</v>
      </c>
      <c r="F426" s="309" t="s">
        <v>1204</v>
      </c>
      <c r="G426" s="309" t="s">
        <v>1205</v>
      </c>
      <c r="H426" s="309" t="s">
        <v>1206</v>
      </c>
      <c r="I426" s="311" t="s">
        <v>36</v>
      </c>
      <c r="J426" s="338" t="s">
        <v>36</v>
      </c>
    </row>
    <row r="427" spans="1:10">
      <c r="A427" s="334" t="s">
        <v>423</v>
      </c>
      <c r="B427" s="309"/>
      <c r="C427" s="309" t="s">
        <v>1004</v>
      </c>
      <c r="D427" s="309" t="s">
        <v>820</v>
      </c>
      <c r="E427" s="310" t="s">
        <v>1207</v>
      </c>
      <c r="F427" s="309" t="s">
        <v>1208</v>
      </c>
      <c r="G427" s="309" t="s">
        <v>1209</v>
      </c>
      <c r="H427" s="309" t="s">
        <v>1009</v>
      </c>
      <c r="I427" s="311">
        <v>67.45</v>
      </c>
      <c r="J427" s="338">
        <v>67.45</v>
      </c>
    </row>
    <row r="428" spans="1:10">
      <c r="A428" s="334" t="s">
        <v>655</v>
      </c>
      <c r="B428" s="309"/>
      <c r="C428" s="309" t="s">
        <v>1004</v>
      </c>
      <c r="D428" s="309" t="s">
        <v>820</v>
      </c>
      <c r="E428" s="315" t="s">
        <v>1210</v>
      </c>
      <c r="F428" s="309" t="s">
        <v>1208</v>
      </c>
      <c r="G428" s="309" t="s">
        <v>1209</v>
      </c>
      <c r="H428" s="309" t="s">
        <v>1009</v>
      </c>
      <c r="I428" s="311">
        <v>91.5</v>
      </c>
      <c r="J428" s="338" t="s">
        <v>36</v>
      </c>
    </row>
    <row r="429" spans="1:10">
      <c r="A429" s="334" t="s">
        <v>423</v>
      </c>
      <c r="B429" s="309"/>
      <c r="C429" s="309" t="s">
        <v>1004</v>
      </c>
      <c r="D429" s="309" t="s">
        <v>820</v>
      </c>
      <c r="E429" s="313" t="s">
        <v>1211</v>
      </c>
      <c r="F429" s="309" t="s">
        <v>1212</v>
      </c>
      <c r="G429" s="309" t="s">
        <v>1213</v>
      </c>
      <c r="H429" s="309" t="s">
        <v>1214</v>
      </c>
      <c r="I429" s="311">
        <v>95</v>
      </c>
      <c r="J429" s="338">
        <v>95</v>
      </c>
    </row>
    <row r="430" spans="1:10">
      <c r="A430" s="334" t="s">
        <v>655</v>
      </c>
      <c r="B430" s="309" t="s">
        <v>656</v>
      </c>
      <c r="C430" s="309" t="s">
        <v>1004</v>
      </c>
      <c r="D430" s="309" t="s">
        <v>820</v>
      </c>
      <c r="E430" s="315" t="s">
        <v>1215</v>
      </c>
      <c r="F430" s="314" t="s">
        <v>1216</v>
      </c>
      <c r="G430" s="309" t="s">
        <v>1217</v>
      </c>
      <c r="H430" s="309" t="s">
        <v>1009</v>
      </c>
      <c r="I430" s="311">
        <v>92.814999999999998</v>
      </c>
      <c r="J430" s="338">
        <v>90.030549999999991</v>
      </c>
    </row>
    <row r="431" spans="1:10">
      <c r="A431" s="334" t="s">
        <v>423</v>
      </c>
      <c r="B431" s="309"/>
      <c r="C431" s="309" t="s">
        <v>1004</v>
      </c>
      <c r="D431" s="309" t="s">
        <v>820</v>
      </c>
      <c r="E431" s="310" t="s">
        <v>1218</v>
      </c>
      <c r="F431" s="309" t="s">
        <v>1219</v>
      </c>
      <c r="G431" s="309" t="s">
        <v>1220</v>
      </c>
      <c r="H431" s="309" t="s">
        <v>1214</v>
      </c>
      <c r="I431" s="311">
        <v>79.8</v>
      </c>
      <c r="J431" s="338">
        <v>79.8</v>
      </c>
    </row>
    <row r="432" spans="1:10">
      <c r="A432" s="334" t="s">
        <v>655</v>
      </c>
      <c r="B432" s="309"/>
      <c r="C432" s="309" t="s">
        <v>1004</v>
      </c>
      <c r="D432" s="309" t="s">
        <v>820</v>
      </c>
      <c r="E432" s="315" t="s">
        <v>1221</v>
      </c>
      <c r="F432" s="314" t="s">
        <v>1222</v>
      </c>
      <c r="G432" s="309" t="s">
        <v>1220</v>
      </c>
      <c r="H432" s="309" t="s">
        <v>1214</v>
      </c>
      <c r="I432" s="311">
        <v>61.75</v>
      </c>
      <c r="J432" s="338" t="s">
        <v>36</v>
      </c>
    </row>
    <row r="433" spans="1:10">
      <c r="A433" s="334" t="s">
        <v>655</v>
      </c>
      <c r="B433" s="309"/>
      <c r="C433" s="309" t="s">
        <v>1004</v>
      </c>
      <c r="D433" s="309" t="s">
        <v>820</v>
      </c>
      <c r="E433" s="315" t="s">
        <v>1223</v>
      </c>
      <c r="F433" s="314" t="s">
        <v>1224</v>
      </c>
      <c r="G433" s="309" t="s">
        <v>1225</v>
      </c>
      <c r="H433" s="309" t="s">
        <v>1214</v>
      </c>
      <c r="I433" s="311">
        <v>61.75</v>
      </c>
      <c r="J433" s="338" t="s">
        <v>36</v>
      </c>
    </row>
    <row r="434" spans="1:10">
      <c r="A434" s="335" t="s">
        <v>421</v>
      </c>
      <c r="B434" s="314" t="s">
        <v>651</v>
      </c>
      <c r="C434" s="309" t="s">
        <v>1004</v>
      </c>
      <c r="D434" s="309" t="s">
        <v>820</v>
      </c>
      <c r="E434" s="313" t="s">
        <v>1226</v>
      </c>
      <c r="F434" s="312" t="s">
        <v>1227</v>
      </c>
      <c r="G434" s="314" t="s">
        <v>1228</v>
      </c>
      <c r="H434" s="309" t="s">
        <v>1045</v>
      </c>
      <c r="I434" s="311">
        <v>1.4853127687499998</v>
      </c>
      <c r="J434" s="338">
        <v>0.95</v>
      </c>
    </row>
    <row r="435" spans="1:10">
      <c r="A435" s="335" t="s">
        <v>421</v>
      </c>
      <c r="B435" s="314" t="s">
        <v>651</v>
      </c>
      <c r="C435" s="309" t="s">
        <v>1004</v>
      </c>
      <c r="D435" s="309" t="s">
        <v>820</v>
      </c>
      <c r="E435" s="313" t="s">
        <v>1229</v>
      </c>
      <c r="F435" s="312" t="s">
        <v>1230</v>
      </c>
      <c r="G435" s="314" t="s">
        <v>1231</v>
      </c>
      <c r="H435" s="309" t="s">
        <v>1045</v>
      </c>
      <c r="I435" s="311">
        <v>1.4853127687499998</v>
      </c>
      <c r="J435" s="338">
        <v>0.95</v>
      </c>
    </row>
    <row r="436" spans="1:10">
      <c r="A436" s="334" t="s">
        <v>423</v>
      </c>
      <c r="B436" s="309"/>
      <c r="C436" s="309" t="s">
        <v>1004</v>
      </c>
      <c r="D436" s="309" t="s">
        <v>820</v>
      </c>
      <c r="E436" s="310" t="s">
        <v>1232</v>
      </c>
      <c r="F436" s="309" t="s">
        <v>1233</v>
      </c>
      <c r="G436" s="309" t="s">
        <v>1234</v>
      </c>
      <c r="H436" s="309" t="s">
        <v>1009</v>
      </c>
      <c r="I436" s="311">
        <v>101.25</v>
      </c>
      <c r="J436" s="338">
        <v>101.25</v>
      </c>
    </row>
    <row r="437" spans="1:10">
      <c r="A437" s="335" t="s">
        <v>421</v>
      </c>
      <c r="B437" s="314" t="s">
        <v>651</v>
      </c>
      <c r="C437" s="309" t="s">
        <v>1004</v>
      </c>
      <c r="D437" s="309" t="s">
        <v>820</v>
      </c>
      <c r="E437" s="313" t="s">
        <v>1235</v>
      </c>
      <c r="F437" s="314" t="s">
        <v>1233</v>
      </c>
      <c r="G437" s="314" t="s">
        <v>1234</v>
      </c>
      <c r="H437" s="309" t="s">
        <v>1009</v>
      </c>
      <c r="I437" s="311">
        <v>112.5</v>
      </c>
      <c r="J437" s="338">
        <v>71.95</v>
      </c>
    </row>
    <row r="438" spans="1:10">
      <c r="A438" s="335" t="s">
        <v>655</v>
      </c>
      <c r="B438" s="312"/>
      <c r="C438" s="309" t="s">
        <v>1004</v>
      </c>
      <c r="D438" s="309" t="s">
        <v>820</v>
      </c>
      <c r="E438" s="315" t="s">
        <v>1236</v>
      </c>
      <c r="F438" s="314" t="s">
        <v>1233</v>
      </c>
      <c r="G438" s="314" t="s">
        <v>1234</v>
      </c>
      <c r="H438" s="309" t="s">
        <v>1009</v>
      </c>
      <c r="I438" s="311">
        <v>112.5</v>
      </c>
      <c r="J438" s="338" t="s">
        <v>36</v>
      </c>
    </row>
    <row r="439" spans="1:10">
      <c r="A439" s="334" t="s">
        <v>423</v>
      </c>
      <c r="B439" s="309"/>
      <c r="C439" s="309" t="s">
        <v>1004</v>
      </c>
      <c r="D439" s="309" t="s">
        <v>820</v>
      </c>
      <c r="E439" s="310" t="s">
        <v>1237</v>
      </c>
      <c r="F439" s="309" t="s">
        <v>1238</v>
      </c>
      <c r="G439" s="309" t="s">
        <v>1239</v>
      </c>
      <c r="H439" s="309" t="s">
        <v>1009</v>
      </c>
      <c r="I439" s="311">
        <v>66</v>
      </c>
      <c r="J439" s="338">
        <v>66</v>
      </c>
    </row>
    <row r="440" spans="1:10">
      <c r="A440" s="335" t="s">
        <v>421</v>
      </c>
      <c r="B440" s="314" t="s">
        <v>651</v>
      </c>
      <c r="C440" s="309" t="s">
        <v>1004</v>
      </c>
      <c r="D440" s="309" t="s">
        <v>820</v>
      </c>
      <c r="E440" s="313" t="s">
        <v>1240</v>
      </c>
      <c r="F440" s="314" t="s">
        <v>1238</v>
      </c>
      <c r="G440" s="314" t="s">
        <v>1239</v>
      </c>
      <c r="H440" s="309" t="s">
        <v>1009</v>
      </c>
      <c r="I440" s="311">
        <v>85.83</v>
      </c>
      <c r="J440" s="338">
        <v>54.9</v>
      </c>
    </row>
    <row r="441" spans="1:10">
      <c r="A441" s="335" t="s">
        <v>655</v>
      </c>
      <c r="B441" s="312"/>
      <c r="C441" s="309" t="s">
        <v>1004</v>
      </c>
      <c r="D441" s="309" t="s">
        <v>820</v>
      </c>
      <c r="E441" s="315" t="s">
        <v>1241</v>
      </c>
      <c r="F441" s="314" t="s">
        <v>1238</v>
      </c>
      <c r="G441" s="314" t="s">
        <v>1239</v>
      </c>
      <c r="H441" s="309" t="s">
        <v>1009</v>
      </c>
      <c r="I441" s="311">
        <v>63.747</v>
      </c>
      <c r="J441" s="338" t="s">
        <v>36</v>
      </c>
    </row>
    <row r="442" spans="1:10">
      <c r="A442" s="334" t="s">
        <v>423</v>
      </c>
      <c r="B442" s="309"/>
      <c r="C442" s="309" t="s">
        <v>1004</v>
      </c>
      <c r="D442" s="309" t="s">
        <v>820</v>
      </c>
      <c r="E442" s="310" t="s">
        <v>1242</v>
      </c>
      <c r="F442" s="309" t="s">
        <v>1243</v>
      </c>
      <c r="G442" s="309" t="s">
        <v>1244</v>
      </c>
      <c r="H442" s="309" t="s">
        <v>1245</v>
      </c>
      <c r="I442" s="311">
        <v>706.66666669999995</v>
      </c>
      <c r="J442" s="338">
        <v>706.66666669999995</v>
      </c>
    </row>
    <row r="443" spans="1:10">
      <c r="A443" s="335" t="s">
        <v>421</v>
      </c>
      <c r="B443" s="314" t="s">
        <v>651</v>
      </c>
      <c r="C443" s="309" t="s">
        <v>1004</v>
      </c>
      <c r="D443" s="309" t="s">
        <v>820</v>
      </c>
      <c r="E443" s="313" t="s">
        <v>1246</v>
      </c>
      <c r="F443" s="314" t="s">
        <v>1243</v>
      </c>
      <c r="G443" s="314" t="s">
        <v>1244</v>
      </c>
      <c r="H443" s="309" t="s">
        <v>1245</v>
      </c>
      <c r="I443" s="311">
        <v>706.67</v>
      </c>
      <c r="J443" s="338">
        <v>451.98</v>
      </c>
    </row>
    <row r="444" spans="1:10">
      <c r="A444" s="335" t="s">
        <v>655</v>
      </c>
      <c r="B444" s="312"/>
      <c r="C444" s="309" t="s">
        <v>1004</v>
      </c>
      <c r="D444" s="309" t="s">
        <v>820</v>
      </c>
      <c r="E444" s="315" t="s">
        <v>1247</v>
      </c>
      <c r="F444" s="314" t="s">
        <v>1243</v>
      </c>
      <c r="G444" s="314" t="s">
        <v>1244</v>
      </c>
      <c r="H444" s="309" t="s">
        <v>1245</v>
      </c>
      <c r="I444" s="311">
        <v>706.67</v>
      </c>
      <c r="J444" s="338" t="s">
        <v>36</v>
      </c>
    </row>
    <row r="445" spans="1:10">
      <c r="A445" s="334" t="s">
        <v>423</v>
      </c>
      <c r="B445" s="309"/>
      <c r="C445" s="309" t="s">
        <v>1004</v>
      </c>
      <c r="D445" s="309" t="s">
        <v>820</v>
      </c>
      <c r="E445" s="310" t="s">
        <v>1248</v>
      </c>
      <c r="F445" s="309" t="s">
        <v>1249</v>
      </c>
      <c r="G445" s="309" t="s">
        <v>1250</v>
      </c>
      <c r="H445" s="309" t="s">
        <v>1093</v>
      </c>
      <c r="I445" s="311">
        <v>1828.75</v>
      </c>
      <c r="J445" s="338">
        <v>1828.75</v>
      </c>
    </row>
    <row r="446" spans="1:10">
      <c r="A446" s="335" t="s">
        <v>421</v>
      </c>
      <c r="B446" s="314" t="s">
        <v>651</v>
      </c>
      <c r="C446" s="309" t="s">
        <v>1004</v>
      </c>
      <c r="D446" s="309" t="s">
        <v>820</v>
      </c>
      <c r="E446" s="313" t="s">
        <v>1251</v>
      </c>
      <c r="F446" s="314" t="s">
        <v>1249</v>
      </c>
      <c r="G446" s="314" t="s">
        <v>1250</v>
      </c>
      <c r="H446" s="309" t="s">
        <v>1093</v>
      </c>
      <c r="I446" s="311">
        <v>1828.75</v>
      </c>
      <c r="J446" s="338">
        <v>1169.6500000000001</v>
      </c>
    </row>
    <row r="447" spans="1:10">
      <c r="A447" s="335" t="s">
        <v>655</v>
      </c>
      <c r="B447" s="312"/>
      <c r="C447" s="309" t="s">
        <v>1004</v>
      </c>
      <c r="D447" s="309" t="s">
        <v>820</v>
      </c>
      <c r="E447" s="315" t="s">
        <v>1252</v>
      </c>
      <c r="F447" s="314" t="s">
        <v>1249</v>
      </c>
      <c r="G447" s="314" t="s">
        <v>1250</v>
      </c>
      <c r="H447" s="309" t="s">
        <v>1093</v>
      </c>
      <c r="I447" s="311">
        <v>1828.75</v>
      </c>
      <c r="J447" s="338" t="s">
        <v>36</v>
      </c>
    </row>
    <row r="448" spans="1:10">
      <c r="A448" s="334" t="s">
        <v>423</v>
      </c>
      <c r="B448" s="309"/>
      <c r="C448" s="309" t="s">
        <v>1004</v>
      </c>
      <c r="D448" s="309" t="s">
        <v>820</v>
      </c>
      <c r="E448" s="310" t="s">
        <v>1253</v>
      </c>
      <c r="F448" s="309" t="s">
        <v>1254</v>
      </c>
      <c r="G448" s="309" t="s">
        <v>1255</v>
      </c>
      <c r="H448" s="309" t="s">
        <v>1093</v>
      </c>
      <c r="I448" s="311">
        <v>0.01</v>
      </c>
      <c r="J448" s="338">
        <v>0.01</v>
      </c>
    </row>
    <row r="449" spans="1:10">
      <c r="A449" s="335" t="s">
        <v>421</v>
      </c>
      <c r="B449" s="314" t="s">
        <v>651</v>
      </c>
      <c r="C449" s="309" t="s">
        <v>1004</v>
      </c>
      <c r="D449" s="309" t="s">
        <v>820</v>
      </c>
      <c r="E449" s="313" t="s">
        <v>1256</v>
      </c>
      <c r="F449" s="314" t="s">
        <v>1254</v>
      </c>
      <c r="G449" s="314" t="s">
        <v>1255</v>
      </c>
      <c r="H449" s="309" t="s">
        <v>1093</v>
      </c>
      <c r="I449" s="311">
        <v>293.33</v>
      </c>
      <c r="J449" s="338">
        <v>187.61</v>
      </c>
    </row>
    <row r="450" spans="1:10">
      <c r="A450" s="335" t="s">
        <v>655</v>
      </c>
      <c r="B450" s="312"/>
      <c r="C450" s="309" t="s">
        <v>1004</v>
      </c>
      <c r="D450" s="309" t="s">
        <v>820</v>
      </c>
      <c r="E450" s="315" t="s">
        <v>1257</v>
      </c>
      <c r="F450" s="314" t="s">
        <v>1254</v>
      </c>
      <c r="G450" s="314" t="s">
        <v>1255</v>
      </c>
      <c r="H450" s="309" t="s">
        <v>1093</v>
      </c>
      <c r="I450" s="311">
        <v>150</v>
      </c>
      <c r="J450" s="338" t="s">
        <v>36</v>
      </c>
    </row>
    <row r="451" spans="1:10">
      <c r="A451" s="334" t="s">
        <v>423</v>
      </c>
      <c r="B451" s="309"/>
      <c r="C451" s="309" t="s">
        <v>1004</v>
      </c>
      <c r="D451" s="309" t="s">
        <v>820</v>
      </c>
      <c r="E451" s="310" t="s">
        <v>1258</v>
      </c>
      <c r="F451" s="309" t="s">
        <v>1259</v>
      </c>
      <c r="G451" s="309" t="s">
        <v>1260</v>
      </c>
      <c r="H451" s="309" t="s">
        <v>1245</v>
      </c>
      <c r="I451" s="311">
        <v>215.625</v>
      </c>
      <c r="J451" s="338">
        <v>215.625</v>
      </c>
    </row>
    <row r="452" spans="1:10">
      <c r="A452" s="335" t="s">
        <v>421</v>
      </c>
      <c r="B452" s="314" t="s">
        <v>651</v>
      </c>
      <c r="C452" s="309" t="s">
        <v>1004</v>
      </c>
      <c r="D452" s="309" t="s">
        <v>820</v>
      </c>
      <c r="E452" s="313" t="s">
        <v>1261</v>
      </c>
      <c r="F452" s="314" t="s">
        <v>1259</v>
      </c>
      <c r="G452" s="314" t="s">
        <v>1260</v>
      </c>
      <c r="H452" s="309" t="s">
        <v>1245</v>
      </c>
      <c r="I452" s="311">
        <v>239.58</v>
      </c>
      <c r="J452" s="338">
        <v>153.24</v>
      </c>
    </row>
    <row r="453" spans="1:10">
      <c r="A453" s="335" t="s">
        <v>421</v>
      </c>
      <c r="B453" s="314" t="s">
        <v>651</v>
      </c>
      <c r="C453" s="309" t="s">
        <v>1004</v>
      </c>
      <c r="D453" s="309" t="s">
        <v>820</v>
      </c>
      <c r="E453" s="313" t="s">
        <v>1262</v>
      </c>
      <c r="F453" s="314" t="s">
        <v>1263</v>
      </c>
      <c r="G453" s="314" t="s">
        <v>1264</v>
      </c>
      <c r="H453" s="309" t="s">
        <v>1009</v>
      </c>
      <c r="I453" s="311">
        <v>654.70000000000005</v>
      </c>
      <c r="J453" s="338">
        <v>418.74</v>
      </c>
    </row>
    <row r="454" spans="1:10">
      <c r="A454" s="334" t="s">
        <v>423</v>
      </c>
      <c r="B454" s="309"/>
      <c r="C454" s="309" t="s">
        <v>1004</v>
      </c>
      <c r="D454" s="309" t="s">
        <v>820</v>
      </c>
      <c r="E454" s="310" t="s">
        <v>1265</v>
      </c>
      <c r="F454" s="309" t="s">
        <v>1266</v>
      </c>
      <c r="G454" s="309" t="s">
        <v>1267</v>
      </c>
      <c r="H454" s="309" t="s">
        <v>1009</v>
      </c>
      <c r="I454" s="311">
        <v>266.25</v>
      </c>
      <c r="J454" s="338">
        <v>266.25</v>
      </c>
    </row>
    <row r="455" spans="1:10">
      <c r="A455" s="335" t="s">
        <v>421</v>
      </c>
      <c r="B455" s="314" t="s">
        <v>651</v>
      </c>
      <c r="C455" s="309" t="s">
        <v>1004</v>
      </c>
      <c r="D455" s="309" t="s">
        <v>820</v>
      </c>
      <c r="E455" s="313" t="s">
        <v>1268</v>
      </c>
      <c r="F455" s="314" t="s">
        <v>1266</v>
      </c>
      <c r="G455" s="314" t="s">
        <v>1267</v>
      </c>
      <c r="H455" s="309" t="s">
        <v>1009</v>
      </c>
      <c r="I455" s="311">
        <v>295.83</v>
      </c>
      <c r="J455" s="338">
        <v>189.21</v>
      </c>
    </row>
    <row r="456" spans="1:10">
      <c r="A456" s="335" t="s">
        <v>655</v>
      </c>
      <c r="B456" s="312"/>
      <c r="C456" s="309" t="s">
        <v>1004</v>
      </c>
      <c r="D456" s="309" t="s">
        <v>820</v>
      </c>
      <c r="E456" s="315" t="s">
        <v>1269</v>
      </c>
      <c r="F456" s="314" t="s">
        <v>1266</v>
      </c>
      <c r="G456" s="314" t="s">
        <v>1267</v>
      </c>
      <c r="H456" s="309" t="s">
        <v>1009</v>
      </c>
      <c r="I456" s="311">
        <v>295.83</v>
      </c>
      <c r="J456" s="338" t="s">
        <v>36</v>
      </c>
    </row>
    <row r="457" spans="1:10">
      <c r="A457" s="334" t="s">
        <v>423</v>
      </c>
      <c r="B457" s="309"/>
      <c r="C457" s="309" t="s">
        <v>1004</v>
      </c>
      <c r="D457" s="309" t="s">
        <v>820</v>
      </c>
      <c r="E457" s="310" t="s">
        <v>1270</v>
      </c>
      <c r="F457" s="309" t="s">
        <v>1271</v>
      </c>
      <c r="G457" s="309" t="s">
        <v>1272</v>
      </c>
      <c r="H457" s="309" t="s">
        <v>1009</v>
      </c>
      <c r="I457" s="311">
        <v>384.375</v>
      </c>
      <c r="J457" s="338">
        <v>384.375</v>
      </c>
    </row>
    <row r="458" spans="1:10">
      <c r="A458" s="335" t="s">
        <v>421</v>
      </c>
      <c r="B458" s="314" t="s">
        <v>651</v>
      </c>
      <c r="C458" s="309" t="s">
        <v>1004</v>
      </c>
      <c r="D458" s="309" t="s">
        <v>820</v>
      </c>
      <c r="E458" s="313" t="s">
        <v>1273</v>
      </c>
      <c r="F458" s="314" t="s">
        <v>1271</v>
      </c>
      <c r="G458" s="314" t="s">
        <v>1272</v>
      </c>
      <c r="H458" s="309" t="s">
        <v>1009</v>
      </c>
      <c r="I458" s="311">
        <v>427.08</v>
      </c>
      <c r="J458" s="338">
        <v>273.16000000000003</v>
      </c>
    </row>
    <row r="459" spans="1:10">
      <c r="A459" s="335" t="s">
        <v>655</v>
      </c>
      <c r="B459" s="312"/>
      <c r="C459" s="309" t="s">
        <v>1004</v>
      </c>
      <c r="D459" s="309" t="s">
        <v>820</v>
      </c>
      <c r="E459" s="315" t="s">
        <v>1274</v>
      </c>
      <c r="F459" s="314" t="s">
        <v>1271</v>
      </c>
      <c r="G459" s="314" t="s">
        <v>1272</v>
      </c>
      <c r="H459" s="309" t="s">
        <v>1009</v>
      </c>
      <c r="I459" s="311">
        <v>384.37200000000001</v>
      </c>
      <c r="J459" s="338" t="s">
        <v>36</v>
      </c>
    </row>
    <row r="460" spans="1:10">
      <c r="A460" s="334" t="s">
        <v>423</v>
      </c>
      <c r="B460" s="309"/>
      <c r="C460" s="309" t="s">
        <v>1004</v>
      </c>
      <c r="D460" s="309" t="s">
        <v>820</v>
      </c>
      <c r="E460" s="310" t="s">
        <v>1275</v>
      </c>
      <c r="F460" s="309" t="s">
        <v>1276</v>
      </c>
      <c r="G460" s="309" t="s">
        <v>1277</v>
      </c>
      <c r="H460" s="309" t="s">
        <v>1278</v>
      </c>
      <c r="I460" s="311">
        <v>2.5499999999999998</v>
      </c>
      <c r="J460" s="338">
        <v>2.5499999999999998</v>
      </c>
    </row>
    <row r="461" spans="1:10">
      <c r="A461" s="335" t="s">
        <v>421</v>
      </c>
      <c r="B461" s="314" t="s">
        <v>651</v>
      </c>
      <c r="C461" s="309" t="s">
        <v>1004</v>
      </c>
      <c r="D461" s="309" t="s">
        <v>820</v>
      </c>
      <c r="E461" s="313" t="s">
        <v>1279</v>
      </c>
      <c r="F461" s="314" t="s">
        <v>1276</v>
      </c>
      <c r="G461" s="314" t="s">
        <v>1277</v>
      </c>
      <c r="H461" s="309" t="s">
        <v>1278</v>
      </c>
      <c r="I461" s="311">
        <v>4</v>
      </c>
      <c r="J461" s="338">
        <v>2.56</v>
      </c>
    </row>
    <row r="462" spans="1:10">
      <c r="A462" s="335" t="s">
        <v>655</v>
      </c>
      <c r="B462" s="312"/>
      <c r="C462" s="309" t="s">
        <v>1004</v>
      </c>
      <c r="D462" s="309" t="s">
        <v>820</v>
      </c>
      <c r="E462" s="315" t="s">
        <v>1280</v>
      </c>
      <c r="F462" s="314" t="s">
        <v>1276</v>
      </c>
      <c r="G462" s="314" t="s">
        <v>1277</v>
      </c>
      <c r="H462" s="309" t="s">
        <v>1278</v>
      </c>
      <c r="I462" s="311">
        <v>1.83</v>
      </c>
      <c r="J462" s="338" t="s">
        <v>36</v>
      </c>
    </row>
    <row r="463" spans="1:10">
      <c r="A463" s="334" t="s">
        <v>423</v>
      </c>
      <c r="B463" s="309"/>
      <c r="C463" s="309" t="s">
        <v>1004</v>
      </c>
      <c r="D463" s="309" t="s">
        <v>820</v>
      </c>
      <c r="E463" s="310" t="s">
        <v>1281</v>
      </c>
      <c r="F463" s="309" t="s">
        <v>1282</v>
      </c>
      <c r="G463" s="309" t="s">
        <v>1283</v>
      </c>
      <c r="H463" s="309" t="s">
        <v>1278</v>
      </c>
      <c r="I463" s="311">
        <v>4.125</v>
      </c>
      <c r="J463" s="338">
        <v>4.125</v>
      </c>
    </row>
    <row r="464" spans="1:10">
      <c r="A464" s="335" t="s">
        <v>421</v>
      </c>
      <c r="B464" s="314" t="s">
        <v>651</v>
      </c>
      <c r="C464" s="309" t="s">
        <v>1004</v>
      </c>
      <c r="D464" s="309" t="s">
        <v>820</v>
      </c>
      <c r="E464" s="313" t="s">
        <v>1284</v>
      </c>
      <c r="F464" s="314" t="s">
        <v>1282</v>
      </c>
      <c r="G464" s="314" t="s">
        <v>1283</v>
      </c>
      <c r="H464" s="309" t="s">
        <v>1278</v>
      </c>
      <c r="I464" s="311">
        <v>4.17</v>
      </c>
      <c r="J464" s="338">
        <v>2.66</v>
      </c>
    </row>
    <row r="465" spans="1:10">
      <c r="A465" s="335" t="s">
        <v>655</v>
      </c>
      <c r="B465" s="312"/>
      <c r="C465" s="309" t="s">
        <v>1004</v>
      </c>
      <c r="D465" s="309" t="s">
        <v>820</v>
      </c>
      <c r="E465" s="315" t="s">
        <v>1285</v>
      </c>
      <c r="F465" s="314" t="s">
        <v>1282</v>
      </c>
      <c r="G465" s="314" t="s">
        <v>1283</v>
      </c>
      <c r="H465" s="309" t="s">
        <v>1278</v>
      </c>
      <c r="I465" s="311">
        <v>2.6280000000000001</v>
      </c>
      <c r="J465" s="338" t="s">
        <v>36</v>
      </c>
    </row>
    <row r="466" spans="1:10">
      <c r="A466" s="334" t="s">
        <v>423</v>
      </c>
      <c r="B466" s="309"/>
      <c r="C466" s="309" t="s">
        <v>1004</v>
      </c>
      <c r="D466" s="309" t="s">
        <v>820</v>
      </c>
      <c r="E466" s="310" t="s">
        <v>1286</v>
      </c>
      <c r="F466" s="309" t="s">
        <v>1287</v>
      </c>
      <c r="G466" s="309" t="s">
        <v>1288</v>
      </c>
      <c r="H466" s="309" t="s">
        <v>1009</v>
      </c>
      <c r="I466" s="311">
        <v>63.375</v>
      </c>
      <c r="J466" s="338">
        <v>63.375</v>
      </c>
    </row>
    <row r="467" spans="1:10">
      <c r="A467" s="335" t="s">
        <v>421</v>
      </c>
      <c r="B467" s="314" t="s">
        <v>651</v>
      </c>
      <c r="C467" s="309" t="s">
        <v>1004</v>
      </c>
      <c r="D467" s="309" t="s">
        <v>820</v>
      </c>
      <c r="E467" s="313" t="s">
        <v>1289</v>
      </c>
      <c r="F467" s="314" t="s">
        <v>1287</v>
      </c>
      <c r="G467" s="314" t="s">
        <v>1288</v>
      </c>
      <c r="H467" s="309" t="s">
        <v>1009</v>
      </c>
      <c r="I467" s="311">
        <v>146.66999999999999</v>
      </c>
      <c r="J467" s="338">
        <v>93.81</v>
      </c>
    </row>
    <row r="468" spans="1:10">
      <c r="A468" s="335" t="s">
        <v>655</v>
      </c>
      <c r="B468" s="312"/>
      <c r="C468" s="309" t="s">
        <v>1004</v>
      </c>
      <c r="D468" s="309" t="s">
        <v>820</v>
      </c>
      <c r="E468" s="315" t="s">
        <v>1290</v>
      </c>
      <c r="F468" s="314" t="s">
        <v>1287</v>
      </c>
      <c r="G468" s="314" t="s">
        <v>1288</v>
      </c>
      <c r="H468" s="309" t="s">
        <v>1009</v>
      </c>
      <c r="I468" s="311">
        <v>297</v>
      </c>
      <c r="J468" s="338" t="s">
        <v>36</v>
      </c>
    </row>
    <row r="469" spans="1:10">
      <c r="A469" s="334" t="s">
        <v>423</v>
      </c>
      <c r="B469" s="309"/>
      <c r="C469" s="309" t="s">
        <v>1004</v>
      </c>
      <c r="D469" s="309" t="s">
        <v>820</v>
      </c>
      <c r="E469" s="310" t="s">
        <v>1291</v>
      </c>
      <c r="F469" s="309" t="s">
        <v>1292</v>
      </c>
      <c r="G469" s="309" t="s">
        <v>1293</v>
      </c>
      <c r="H469" s="309" t="s">
        <v>1278</v>
      </c>
      <c r="I469" s="311">
        <v>9.3750000030000002</v>
      </c>
      <c r="J469" s="338">
        <v>9.3750000030000002</v>
      </c>
    </row>
    <row r="470" spans="1:10">
      <c r="A470" s="335" t="s">
        <v>421</v>
      </c>
      <c r="B470" s="314" t="s">
        <v>651</v>
      </c>
      <c r="C470" s="309" t="s">
        <v>1004</v>
      </c>
      <c r="D470" s="309" t="s">
        <v>820</v>
      </c>
      <c r="E470" s="313" t="s">
        <v>1294</v>
      </c>
      <c r="F470" s="314" t="s">
        <v>1292</v>
      </c>
      <c r="G470" s="314" t="s">
        <v>1293</v>
      </c>
      <c r="H470" s="309" t="s">
        <v>1278</v>
      </c>
      <c r="I470" s="311">
        <v>24.17</v>
      </c>
      <c r="J470" s="338">
        <v>15.46</v>
      </c>
    </row>
    <row r="471" spans="1:10">
      <c r="A471" s="335" t="s">
        <v>655</v>
      </c>
      <c r="B471" s="312"/>
      <c r="C471" s="309" t="s">
        <v>1004</v>
      </c>
      <c r="D471" s="309" t="s">
        <v>820</v>
      </c>
      <c r="E471" s="315" t="s">
        <v>1295</v>
      </c>
      <c r="F471" s="314" t="s">
        <v>1292</v>
      </c>
      <c r="G471" s="314" t="s">
        <v>1293</v>
      </c>
      <c r="H471" s="309" t="s">
        <v>1278</v>
      </c>
      <c r="I471" s="311">
        <v>9.3780000000000001</v>
      </c>
      <c r="J471" s="338" t="s">
        <v>36</v>
      </c>
    </row>
    <row r="472" spans="1:10">
      <c r="A472" s="334" t="s">
        <v>423</v>
      </c>
      <c r="B472" s="309"/>
      <c r="C472" s="309" t="s">
        <v>1004</v>
      </c>
      <c r="D472" s="309" t="s">
        <v>820</v>
      </c>
      <c r="E472" s="310" t="s">
        <v>1296</v>
      </c>
      <c r="F472" s="309" t="s">
        <v>1297</v>
      </c>
      <c r="G472" s="309" t="s">
        <v>1298</v>
      </c>
      <c r="H472" s="309" t="s">
        <v>1278</v>
      </c>
      <c r="I472" s="311">
        <v>11.692194779999999</v>
      </c>
      <c r="J472" s="338">
        <v>11.692194779999999</v>
      </c>
    </row>
    <row r="473" spans="1:10">
      <c r="A473" s="335" t="s">
        <v>421</v>
      </c>
      <c r="B473" s="314" t="s">
        <v>651</v>
      </c>
      <c r="C473" s="309" t="s">
        <v>1004</v>
      </c>
      <c r="D473" s="309" t="s">
        <v>820</v>
      </c>
      <c r="E473" s="313" t="s">
        <v>1299</v>
      </c>
      <c r="F473" s="314" t="s">
        <v>1297</v>
      </c>
      <c r="G473" s="314" t="s">
        <v>1298</v>
      </c>
      <c r="H473" s="309" t="s">
        <v>1278</v>
      </c>
      <c r="I473" s="311">
        <v>3.28</v>
      </c>
      <c r="J473" s="338">
        <v>2.1</v>
      </c>
    </row>
    <row r="474" spans="1:10">
      <c r="A474" s="335" t="s">
        <v>655</v>
      </c>
      <c r="B474" s="312"/>
      <c r="C474" s="309" t="s">
        <v>1004</v>
      </c>
      <c r="D474" s="309" t="s">
        <v>820</v>
      </c>
      <c r="E474" s="315" t="s">
        <v>1300</v>
      </c>
      <c r="F474" s="314" t="s">
        <v>1297</v>
      </c>
      <c r="G474" s="314" t="s">
        <v>1298</v>
      </c>
      <c r="H474" s="309" t="s">
        <v>1278</v>
      </c>
      <c r="I474" s="311">
        <v>9.6479999999999997</v>
      </c>
      <c r="J474" s="338" t="s">
        <v>36</v>
      </c>
    </row>
    <row r="475" spans="1:10">
      <c r="A475" s="334" t="s">
        <v>423</v>
      </c>
      <c r="B475" s="309"/>
      <c r="C475" s="309" t="s">
        <v>1004</v>
      </c>
      <c r="D475" s="309" t="s">
        <v>820</v>
      </c>
      <c r="E475" s="310" t="s">
        <v>1301</v>
      </c>
      <c r="F475" s="309" t="s">
        <v>1302</v>
      </c>
      <c r="G475" s="309" t="s">
        <v>1303</v>
      </c>
      <c r="H475" s="309" t="s">
        <v>1009</v>
      </c>
      <c r="I475" s="311">
        <v>146.25</v>
      </c>
      <c r="J475" s="338">
        <v>146.25</v>
      </c>
    </row>
    <row r="476" spans="1:10">
      <c r="A476" s="335" t="s">
        <v>421</v>
      </c>
      <c r="B476" s="314" t="s">
        <v>651</v>
      </c>
      <c r="C476" s="309" t="s">
        <v>1004</v>
      </c>
      <c r="D476" s="309" t="s">
        <v>820</v>
      </c>
      <c r="E476" s="313" t="s">
        <v>1304</v>
      </c>
      <c r="F476" s="314" t="s">
        <v>1302</v>
      </c>
      <c r="G476" s="314" t="s">
        <v>1303</v>
      </c>
      <c r="H476" s="309" t="s">
        <v>1009</v>
      </c>
      <c r="I476" s="311">
        <v>66.67</v>
      </c>
      <c r="J476" s="338">
        <v>42.64</v>
      </c>
    </row>
    <row r="477" spans="1:10">
      <c r="A477" s="335" t="s">
        <v>655</v>
      </c>
      <c r="B477" s="312"/>
      <c r="C477" s="309" t="s">
        <v>1004</v>
      </c>
      <c r="D477" s="309" t="s">
        <v>820</v>
      </c>
      <c r="E477" s="315" t="s">
        <v>1305</v>
      </c>
      <c r="F477" s="314" t="s">
        <v>1302</v>
      </c>
      <c r="G477" s="314" t="s">
        <v>1303</v>
      </c>
      <c r="H477" s="309" t="s">
        <v>1009</v>
      </c>
      <c r="I477" s="311">
        <v>19.872</v>
      </c>
      <c r="J477" s="338" t="s">
        <v>36</v>
      </c>
    </row>
    <row r="478" spans="1:10">
      <c r="A478" s="334" t="s">
        <v>423</v>
      </c>
      <c r="B478" s="309"/>
      <c r="C478" s="309" t="s">
        <v>1004</v>
      </c>
      <c r="D478" s="309" t="s">
        <v>820</v>
      </c>
      <c r="E478" s="310" t="s">
        <v>1306</v>
      </c>
      <c r="F478" s="309" t="s">
        <v>1307</v>
      </c>
      <c r="G478" s="309" t="s">
        <v>1308</v>
      </c>
      <c r="H478" s="309" t="s">
        <v>1309</v>
      </c>
      <c r="I478" s="380">
        <v>194.75</v>
      </c>
      <c r="J478" s="338">
        <v>194.75</v>
      </c>
    </row>
    <row r="479" spans="1:10">
      <c r="A479" s="335" t="s">
        <v>421</v>
      </c>
      <c r="B479" s="314" t="s">
        <v>651</v>
      </c>
      <c r="C479" s="309" t="s">
        <v>1004</v>
      </c>
      <c r="D479" s="309" t="s">
        <v>820</v>
      </c>
      <c r="E479" s="313" t="s">
        <v>1310</v>
      </c>
      <c r="F479" s="309" t="s">
        <v>1307</v>
      </c>
      <c r="G479" s="314" t="s">
        <v>1311</v>
      </c>
      <c r="H479" s="309" t="s">
        <v>1309</v>
      </c>
      <c r="I479" s="311">
        <v>249.00095952749999</v>
      </c>
      <c r="J479" s="338">
        <v>159.26</v>
      </c>
    </row>
    <row r="480" spans="1:10">
      <c r="A480" s="334" t="s">
        <v>423</v>
      </c>
      <c r="B480" s="309"/>
      <c r="C480" s="309" t="s">
        <v>1004</v>
      </c>
      <c r="D480" s="309" t="s">
        <v>820</v>
      </c>
      <c r="E480" s="310" t="s">
        <v>1312</v>
      </c>
      <c r="F480" s="309" t="s">
        <v>1313</v>
      </c>
      <c r="G480" s="309" t="s">
        <v>1314</v>
      </c>
      <c r="H480" s="309" t="s">
        <v>1309</v>
      </c>
      <c r="I480" s="380">
        <v>161.5</v>
      </c>
      <c r="J480" s="338">
        <v>161.5</v>
      </c>
    </row>
    <row r="481" spans="1:10">
      <c r="A481" s="335" t="s">
        <v>421</v>
      </c>
      <c r="B481" s="314" t="s">
        <v>651</v>
      </c>
      <c r="C481" s="309" t="s">
        <v>1004</v>
      </c>
      <c r="D481" s="309" t="s">
        <v>820</v>
      </c>
      <c r="E481" s="313" t="s">
        <v>1315</v>
      </c>
      <c r="F481" s="309" t="s">
        <v>1313</v>
      </c>
      <c r="G481" s="314" t="s">
        <v>1316</v>
      </c>
      <c r="H481" s="309" t="s">
        <v>1309</v>
      </c>
      <c r="I481" s="311">
        <v>209.27275168124999</v>
      </c>
      <c r="J481" s="338">
        <v>133.85</v>
      </c>
    </row>
    <row r="482" spans="1:10">
      <c r="A482" s="335" t="s">
        <v>655</v>
      </c>
      <c r="B482" s="314" t="s">
        <v>656</v>
      </c>
      <c r="C482" s="309" t="s">
        <v>1004</v>
      </c>
      <c r="D482" s="309" t="s">
        <v>820</v>
      </c>
      <c r="E482" s="315" t="s">
        <v>1317</v>
      </c>
      <c r="F482" s="314" t="s">
        <v>1318</v>
      </c>
      <c r="G482" s="314" t="s">
        <v>1319</v>
      </c>
      <c r="H482" s="309" t="s">
        <v>1009</v>
      </c>
      <c r="I482" s="311">
        <v>317.95</v>
      </c>
      <c r="J482" s="338">
        <v>308.41149999999999</v>
      </c>
    </row>
    <row r="483" spans="1:10">
      <c r="A483" s="335" t="s">
        <v>655</v>
      </c>
      <c r="B483" s="314" t="s">
        <v>656</v>
      </c>
      <c r="C483" s="309" t="s">
        <v>1004</v>
      </c>
      <c r="D483" s="309" t="s">
        <v>820</v>
      </c>
      <c r="E483" s="315" t="s">
        <v>1320</v>
      </c>
      <c r="F483" s="314" t="s">
        <v>1321</v>
      </c>
      <c r="G483" s="314" t="s">
        <v>1322</v>
      </c>
      <c r="H483" s="309" t="s">
        <v>1009</v>
      </c>
      <c r="I483" s="311">
        <v>307.63</v>
      </c>
      <c r="J483" s="338">
        <v>298.40109999999999</v>
      </c>
    </row>
    <row r="484" spans="1:10">
      <c r="A484" s="334" t="s">
        <v>423</v>
      </c>
      <c r="B484" s="309"/>
      <c r="C484" s="309" t="s">
        <v>1004</v>
      </c>
      <c r="D484" s="309" t="s">
        <v>820</v>
      </c>
      <c r="E484" s="310" t="s">
        <v>1323</v>
      </c>
      <c r="F484" s="309" t="s">
        <v>1324</v>
      </c>
      <c r="G484" s="309" t="s">
        <v>1325</v>
      </c>
      <c r="H484" s="309" t="s">
        <v>1214</v>
      </c>
      <c r="I484" s="311">
        <v>95</v>
      </c>
      <c r="J484" s="338">
        <v>95</v>
      </c>
    </row>
    <row r="485" spans="1:10">
      <c r="A485" s="335" t="s">
        <v>421</v>
      </c>
      <c r="B485" s="314" t="s">
        <v>651</v>
      </c>
      <c r="C485" s="309" t="s">
        <v>1004</v>
      </c>
      <c r="D485" s="309" t="s">
        <v>820</v>
      </c>
      <c r="E485" s="313" t="s">
        <v>1326</v>
      </c>
      <c r="F485" s="314" t="s">
        <v>1327</v>
      </c>
      <c r="G485" s="314" t="s">
        <v>1328</v>
      </c>
      <c r="H485" s="309" t="s">
        <v>1009</v>
      </c>
      <c r="I485" s="311">
        <v>200</v>
      </c>
      <c r="J485" s="338">
        <v>127.92</v>
      </c>
    </row>
    <row r="486" spans="1:10">
      <c r="A486" s="335" t="s">
        <v>421</v>
      </c>
      <c r="B486" s="314" t="s">
        <v>651</v>
      </c>
      <c r="C486" s="309" t="s">
        <v>1004</v>
      </c>
      <c r="D486" s="309" t="s">
        <v>820</v>
      </c>
      <c r="E486" s="313" t="s">
        <v>1329</v>
      </c>
      <c r="F486" s="314" t="s">
        <v>1330</v>
      </c>
      <c r="G486" s="314" t="s">
        <v>1331</v>
      </c>
      <c r="H486" s="309" t="s">
        <v>1045</v>
      </c>
      <c r="I486" s="311">
        <v>1.4071384124999999</v>
      </c>
      <c r="J486" s="338">
        <v>0.9</v>
      </c>
    </row>
    <row r="487" spans="1:10">
      <c r="A487" s="335" t="s">
        <v>421</v>
      </c>
      <c r="B487" s="314" t="s">
        <v>1010</v>
      </c>
      <c r="C487" s="309" t="s">
        <v>1004</v>
      </c>
      <c r="D487" s="309" t="s">
        <v>820</v>
      </c>
      <c r="E487" s="313" t="s">
        <v>1332</v>
      </c>
      <c r="F487" s="314" t="s">
        <v>1330</v>
      </c>
      <c r="G487" s="314" t="s">
        <v>1331</v>
      </c>
      <c r="H487" s="309" t="s">
        <v>1045</v>
      </c>
      <c r="I487" s="311">
        <v>1.4039999999999999</v>
      </c>
      <c r="J487" s="338" t="s">
        <v>36</v>
      </c>
    </row>
    <row r="488" spans="1:10">
      <c r="A488" s="334" t="s">
        <v>423</v>
      </c>
      <c r="B488" s="309"/>
      <c r="C488" s="309" t="s">
        <v>1004</v>
      </c>
      <c r="D488" s="309" t="s">
        <v>820</v>
      </c>
      <c r="E488" s="310" t="s">
        <v>1333</v>
      </c>
      <c r="F488" s="309" t="s">
        <v>1334</v>
      </c>
      <c r="G488" s="309" t="s">
        <v>1225</v>
      </c>
      <c r="H488" s="309" t="s">
        <v>1214</v>
      </c>
      <c r="I488" s="311">
        <v>65.55</v>
      </c>
      <c r="J488" s="338">
        <v>65.55</v>
      </c>
    </row>
    <row r="489" spans="1:10">
      <c r="A489" s="335" t="s">
        <v>680</v>
      </c>
      <c r="B489" s="314"/>
      <c r="C489" s="309" t="s">
        <v>1004</v>
      </c>
      <c r="D489" s="309" t="s">
        <v>820</v>
      </c>
      <c r="E489" s="316" t="s">
        <v>1335</v>
      </c>
      <c r="F489" s="322" t="s">
        <v>1336</v>
      </c>
      <c r="G489" s="314" t="s">
        <v>1337</v>
      </c>
      <c r="H489" s="309" t="s">
        <v>1009</v>
      </c>
      <c r="I489" s="311">
        <v>2355.2752287700614</v>
      </c>
      <c r="J489" s="339">
        <v>183824.05</v>
      </c>
    </row>
    <row r="490" spans="1:10">
      <c r="A490" s="335" t="s">
        <v>680</v>
      </c>
      <c r="B490" s="314"/>
      <c r="C490" s="309" t="s">
        <v>1004</v>
      </c>
      <c r="D490" s="309" t="s">
        <v>820</v>
      </c>
      <c r="E490" s="316" t="s">
        <v>1338</v>
      </c>
      <c r="F490" s="322" t="s">
        <v>1339</v>
      </c>
      <c r="G490" s="314" t="s">
        <v>1340</v>
      </c>
      <c r="H490" s="309" t="s">
        <v>92</v>
      </c>
      <c r="I490" s="311">
        <v>1074.1571190988088</v>
      </c>
      <c r="J490" s="339">
        <v>83835.600000000006</v>
      </c>
    </row>
    <row r="491" spans="1:10">
      <c r="A491" s="335" t="s">
        <v>680</v>
      </c>
      <c r="B491" s="314"/>
      <c r="C491" s="309" t="s">
        <v>1004</v>
      </c>
      <c r="D491" s="309" t="s">
        <v>820</v>
      </c>
      <c r="E491" s="316" t="s">
        <v>1341</v>
      </c>
      <c r="F491" s="322" t="s">
        <v>1342</v>
      </c>
      <c r="G491" s="314" t="s">
        <v>1343</v>
      </c>
      <c r="H491" s="309" t="s">
        <v>92</v>
      </c>
      <c r="I491" s="311">
        <v>464.56978928297792</v>
      </c>
      <c r="J491" s="339">
        <v>36258.65</v>
      </c>
    </row>
    <row r="492" spans="1:10">
      <c r="A492" s="334" t="s">
        <v>655</v>
      </c>
      <c r="B492" s="309"/>
      <c r="C492" s="309" t="s">
        <v>1004</v>
      </c>
      <c r="D492" s="309" t="s">
        <v>820</v>
      </c>
      <c r="E492" s="315" t="s">
        <v>1344</v>
      </c>
      <c r="F492" s="309" t="s">
        <v>1345</v>
      </c>
      <c r="G492" s="309" t="s">
        <v>1346</v>
      </c>
      <c r="H492" s="309" t="s">
        <v>1009</v>
      </c>
      <c r="I492" s="311">
        <v>234.29</v>
      </c>
      <c r="J492" s="338" t="s">
        <v>36</v>
      </c>
    </row>
    <row r="493" spans="1:10">
      <c r="A493" s="334" t="s">
        <v>423</v>
      </c>
      <c r="B493" s="309"/>
      <c r="C493" s="309" t="s">
        <v>1004</v>
      </c>
      <c r="D493" s="309" t="s">
        <v>820</v>
      </c>
      <c r="E493" s="313" t="s">
        <v>1347</v>
      </c>
      <c r="F493" s="309" t="s">
        <v>1348</v>
      </c>
      <c r="G493" s="309" t="s">
        <v>1349</v>
      </c>
      <c r="H493" s="309" t="s">
        <v>1009</v>
      </c>
      <c r="I493" s="380">
        <v>123.5</v>
      </c>
      <c r="J493" s="338">
        <v>123.5</v>
      </c>
    </row>
    <row r="494" spans="1:10">
      <c r="A494" s="334" t="s">
        <v>655</v>
      </c>
      <c r="B494" s="309"/>
      <c r="C494" s="309" t="s">
        <v>1004</v>
      </c>
      <c r="D494" s="309" t="s">
        <v>820</v>
      </c>
      <c r="E494" s="315" t="s">
        <v>1350</v>
      </c>
      <c r="F494" s="309" t="s">
        <v>1351</v>
      </c>
      <c r="G494" s="309" t="s">
        <v>1352</v>
      </c>
      <c r="H494" s="309" t="s">
        <v>1009</v>
      </c>
      <c r="I494" s="311">
        <v>188.33</v>
      </c>
      <c r="J494" s="338" t="s">
        <v>36</v>
      </c>
    </row>
    <row r="495" spans="1:10">
      <c r="A495" s="335" t="s">
        <v>421</v>
      </c>
      <c r="B495" s="314" t="s">
        <v>651</v>
      </c>
      <c r="C495" s="309" t="s">
        <v>1004</v>
      </c>
      <c r="D495" s="309" t="s">
        <v>820</v>
      </c>
      <c r="E495" s="313" t="s">
        <v>1353</v>
      </c>
      <c r="F495" s="314" t="s">
        <v>1354</v>
      </c>
      <c r="G495" s="314" t="s">
        <v>1355</v>
      </c>
      <c r="H495" s="309" t="s">
        <v>1093</v>
      </c>
      <c r="I495" s="311">
        <v>1.563487125</v>
      </c>
      <c r="J495" s="338">
        <v>1</v>
      </c>
    </row>
    <row r="496" spans="1:10">
      <c r="A496" s="334" t="s">
        <v>423</v>
      </c>
      <c r="B496" s="309"/>
      <c r="C496" s="309" t="s">
        <v>1004</v>
      </c>
      <c r="D496" s="309" t="s">
        <v>820</v>
      </c>
      <c r="E496" s="313" t="s">
        <v>1356</v>
      </c>
      <c r="F496" s="309" t="s">
        <v>1357</v>
      </c>
      <c r="G496" s="309" t="s">
        <v>1358</v>
      </c>
      <c r="H496" s="309" t="s">
        <v>97</v>
      </c>
      <c r="I496" s="513">
        <v>100</v>
      </c>
      <c r="J496" s="338">
        <v>100</v>
      </c>
    </row>
    <row r="497" spans="1:10">
      <c r="A497" s="335" t="s">
        <v>655</v>
      </c>
      <c r="B497" s="314" t="s">
        <v>656</v>
      </c>
      <c r="C497" s="309" t="s">
        <v>1004</v>
      </c>
      <c r="D497" s="309" t="s">
        <v>820</v>
      </c>
      <c r="E497" s="315" t="s">
        <v>1359</v>
      </c>
      <c r="F497" s="314" t="s">
        <v>1360</v>
      </c>
      <c r="G497" s="314" t="s">
        <v>1360</v>
      </c>
      <c r="H497" s="309" t="s">
        <v>1093</v>
      </c>
      <c r="I497" s="311">
        <v>226.24</v>
      </c>
      <c r="J497" s="338">
        <v>219.4528</v>
      </c>
    </row>
    <row r="498" spans="1:10">
      <c r="A498" s="334" t="s">
        <v>423</v>
      </c>
      <c r="B498" s="309"/>
      <c r="C498" s="309" t="s">
        <v>1004</v>
      </c>
      <c r="D498" s="309" t="s">
        <v>820</v>
      </c>
      <c r="E498" s="313" t="s">
        <v>1361</v>
      </c>
      <c r="F498" s="314" t="s">
        <v>1362</v>
      </c>
      <c r="G498" s="309" t="s">
        <v>1363</v>
      </c>
      <c r="H498" s="309" t="s">
        <v>1093</v>
      </c>
      <c r="I498" s="513">
        <v>9.6044999999999998</v>
      </c>
      <c r="J498" s="338">
        <v>9.6044999999999998</v>
      </c>
    </row>
    <row r="499" spans="1:10">
      <c r="A499" s="335" t="s">
        <v>680</v>
      </c>
      <c r="B499" s="314"/>
      <c r="C499" s="309" t="s">
        <v>1004</v>
      </c>
      <c r="D499" s="309" t="s">
        <v>820</v>
      </c>
      <c r="E499" s="316" t="s">
        <v>1364</v>
      </c>
      <c r="F499" s="322" t="s">
        <v>1365</v>
      </c>
      <c r="G499" s="322" t="s">
        <v>1365</v>
      </c>
      <c r="H499" s="309" t="s">
        <v>1009</v>
      </c>
      <c r="I499" s="311">
        <v>158.84496423986326</v>
      </c>
      <c r="J499" s="339">
        <v>12397.5</v>
      </c>
    </row>
    <row r="500" spans="1:10">
      <c r="A500" s="335" t="s">
        <v>421</v>
      </c>
      <c r="B500" s="314" t="s">
        <v>651</v>
      </c>
      <c r="C500" s="309" t="s">
        <v>1004</v>
      </c>
      <c r="D500" s="309" t="s">
        <v>820</v>
      </c>
      <c r="E500" s="313" t="s">
        <v>1366</v>
      </c>
      <c r="F500" s="314" t="s">
        <v>1367</v>
      </c>
      <c r="G500" s="314" t="s">
        <v>1368</v>
      </c>
      <c r="H500" s="309" t="s">
        <v>1045</v>
      </c>
      <c r="I500" s="311">
        <v>1.563487125</v>
      </c>
      <c r="J500" s="338">
        <v>1</v>
      </c>
    </row>
    <row r="501" spans="1:10">
      <c r="A501" s="335" t="s">
        <v>655</v>
      </c>
      <c r="B501" s="314" t="s">
        <v>656</v>
      </c>
      <c r="C501" s="309" t="s">
        <v>1004</v>
      </c>
      <c r="D501" s="309" t="s">
        <v>820</v>
      </c>
      <c r="E501" s="315" t="s">
        <v>1369</v>
      </c>
      <c r="F501" s="314" t="s">
        <v>1370</v>
      </c>
      <c r="G501" s="314" t="s">
        <v>93</v>
      </c>
      <c r="H501" s="309" t="s">
        <v>92</v>
      </c>
      <c r="I501" s="311">
        <v>357.41</v>
      </c>
      <c r="J501" s="338">
        <v>346.68770000000001</v>
      </c>
    </row>
    <row r="502" spans="1:10" ht="24">
      <c r="A502" s="334" t="s">
        <v>655</v>
      </c>
      <c r="B502" s="309"/>
      <c r="C502" s="309" t="s">
        <v>1004</v>
      </c>
      <c r="D502" s="309" t="s">
        <v>978</v>
      </c>
      <c r="E502" s="315" t="s">
        <v>1371</v>
      </c>
      <c r="F502" s="314" t="s">
        <v>1372</v>
      </c>
      <c r="G502" s="309" t="s">
        <v>99</v>
      </c>
      <c r="H502" s="309" t="s">
        <v>98</v>
      </c>
      <c r="I502" s="311">
        <v>3.09</v>
      </c>
      <c r="J502" s="338" t="s">
        <v>36</v>
      </c>
    </row>
    <row r="503" spans="1:10" ht="24">
      <c r="A503" s="334" t="s">
        <v>423</v>
      </c>
      <c r="B503" s="309"/>
      <c r="C503" s="309" t="s">
        <v>1004</v>
      </c>
      <c r="D503" s="309" t="s">
        <v>978</v>
      </c>
      <c r="E503" s="313" t="s">
        <v>1373</v>
      </c>
      <c r="F503" s="314" t="s">
        <v>1374</v>
      </c>
      <c r="G503" s="309" t="s">
        <v>99</v>
      </c>
      <c r="H503" s="309" t="s">
        <v>98</v>
      </c>
      <c r="I503" s="380">
        <v>4</v>
      </c>
      <c r="J503" s="338">
        <v>4</v>
      </c>
    </row>
    <row r="504" spans="1:10" ht="24">
      <c r="A504" s="334" t="s">
        <v>423</v>
      </c>
      <c r="B504" s="309"/>
      <c r="C504" s="309" t="s">
        <v>1004</v>
      </c>
      <c r="D504" s="309" t="s">
        <v>978</v>
      </c>
      <c r="E504" s="313" t="s">
        <v>1375</v>
      </c>
      <c r="F504" s="314" t="s">
        <v>1376</v>
      </c>
      <c r="G504" s="309" t="s">
        <v>99</v>
      </c>
      <c r="H504" s="309" t="s">
        <v>98</v>
      </c>
      <c r="I504" s="380">
        <v>0.15</v>
      </c>
      <c r="J504" s="338">
        <v>0.15</v>
      </c>
    </row>
    <row r="505" spans="1:10" ht="24">
      <c r="A505" s="335" t="s">
        <v>421</v>
      </c>
      <c r="B505" s="314" t="s">
        <v>651</v>
      </c>
      <c r="C505" s="309" t="s">
        <v>1004</v>
      </c>
      <c r="D505" s="309" t="s">
        <v>978</v>
      </c>
      <c r="E505" s="313" t="s">
        <v>1377</v>
      </c>
      <c r="F505" s="314" t="s">
        <v>1378</v>
      </c>
      <c r="G505" s="314" t="s">
        <v>1379</v>
      </c>
      <c r="H505" s="309" t="s">
        <v>1380</v>
      </c>
      <c r="I505" s="311">
        <v>351.86277748125002</v>
      </c>
      <c r="J505" s="338">
        <v>225.05</v>
      </c>
    </row>
    <row r="506" spans="1:10" ht="24">
      <c r="A506" s="334" t="s">
        <v>423</v>
      </c>
      <c r="B506" s="309"/>
      <c r="C506" s="309" t="s">
        <v>1004</v>
      </c>
      <c r="D506" s="309" t="s">
        <v>978</v>
      </c>
      <c r="E506" s="313" t="s">
        <v>1381</v>
      </c>
      <c r="F506" s="314" t="s">
        <v>1382</v>
      </c>
      <c r="G506" s="309" t="s">
        <v>1383</v>
      </c>
      <c r="H506" s="309" t="s">
        <v>97</v>
      </c>
      <c r="I506" s="380">
        <v>190</v>
      </c>
      <c r="J506" s="338">
        <v>190</v>
      </c>
    </row>
    <row r="507" spans="1:10">
      <c r="A507" s="334" t="s">
        <v>655</v>
      </c>
      <c r="B507" s="309"/>
      <c r="C507" s="309" t="s">
        <v>1004</v>
      </c>
      <c r="D507" s="309" t="s">
        <v>978</v>
      </c>
      <c r="E507" s="310" t="s">
        <v>1384</v>
      </c>
      <c r="F507" s="309" t="s">
        <v>1382</v>
      </c>
      <c r="G507" s="309" t="s">
        <v>1385</v>
      </c>
      <c r="H507" s="309" t="s">
        <v>1386</v>
      </c>
      <c r="I507" s="311">
        <v>212.86</v>
      </c>
      <c r="J507" s="338" t="s">
        <v>36</v>
      </c>
    </row>
    <row r="508" spans="1:10" ht="24">
      <c r="A508" s="334" t="s">
        <v>423</v>
      </c>
      <c r="B508" s="309"/>
      <c r="C508" s="309" t="s">
        <v>1004</v>
      </c>
      <c r="D508" s="309" t="s">
        <v>978</v>
      </c>
      <c r="E508" s="313" t="s">
        <v>1387</v>
      </c>
      <c r="F508" s="314" t="s">
        <v>1388</v>
      </c>
      <c r="G508" s="309" t="s">
        <v>1389</v>
      </c>
      <c r="H508" s="309" t="s">
        <v>97</v>
      </c>
      <c r="I508" s="380">
        <v>220</v>
      </c>
      <c r="J508" s="338">
        <v>220</v>
      </c>
    </row>
    <row r="509" spans="1:10">
      <c r="A509" s="334" t="s">
        <v>655</v>
      </c>
      <c r="B509" s="309"/>
      <c r="C509" s="309" t="s">
        <v>1004</v>
      </c>
      <c r="D509" s="309" t="s">
        <v>978</v>
      </c>
      <c r="E509" s="310" t="s">
        <v>1390</v>
      </c>
      <c r="F509" s="309" t="s">
        <v>1388</v>
      </c>
      <c r="G509" s="309" t="s">
        <v>1391</v>
      </c>
      <c r="H509" s="309" t="s">
        <v>1386</v>
      </c>
      <c r="I509" s="311">
        <v>270.33</v>
      </c>
      <c r="J509" s="338" t="s">
        <v>36</v>
      </c>
    </row>
    <row r="510" spans="1:10" ht="24">
      <c r="A510" s="334" t="s">
        <v>423</v>
      </c>
      <c r="B510" s="309"/>
      <c r="C510" s="309" t="s">
        <v>1004</v>
      </c>
      <c r="D510" s="309" t="s">
        <v>978</v>
      </c>
      <c r="E510" s="313" t="s">
        <v>1392</v>
      </c>
      <c r="F510" s="314" t="s">
        <v>1393</v>
      </c>
      <c r="G510" s="309" t="s">
        <v>1394</v>
      </c>
      <c r="H510" s="309" t="s">
        <v>97</v>
      </c>
      <c r="I510" s="380">
        <v>320</v>
      </c>
      <c r="J510" s="338">
        <v>320</v>
      </c>
    </row>
    <row r="511" spans="1:10">
      <c r="A511" s="334" t="s">
        <v>655</v>
      </c>
      <c r="B511" s="309"/>
      <c r="C511" s="309" t="s">
        <v>1004</v>
      </c>
      <c r="D511" s="309" t="s">
        <v>978</v>
      </c>
      <c r="E511" s="310" t="s">
        <v>1395</v>
      </c>
      <c r="F511" s="309" t="s">
        <v>1393</v>
      </c>
      <c r="G511" s="309" t="s">
        <v>1396</v>
      </c>
      <c r="H511" s="309" t="s">
        <v>1386</v>
      </c>
      <c r="I511" s="311">
        <v>302.26</v>
      </c>
      <c r="J511" s="338" t="s">
        <v>36</v>
      </c>
    </row>
    <row r="512" spans="1:10" ht="24">
      <c r="A512" s="334" t="s">
        <v>423</v>
      </c>
      <c r="B512" s="309"/>
      <c r="C512" s="309" t="s">
        <v>1004</v>
      </c>
      <c r="D512" s="309" t="s">
        <v>978</v>
      </c>
      <c r="E512" s="313" t="s">
        <v>1397</v>
      </c>
      <c r="F512" s="314" t="s">
        <v>1398</v>
      </c>
      <c r="G512" s="309" t="s">
        <v>1399</v>
      </c>
      <c r="H512" s="309" t="s">
        <v>97</v>
      </c>
      <c r="I512" s="380">
        <v>480</v>
      </c>
      <c r="J512" s="338">
        <v>480</v>
      </c>
    </row>
    <row r="513" spans="1:10">
      <c r="A513" s="334" t="s">
        <v>655</v>
      </c>
      <c r="B513" s="309"/>
      <c r="C513" s="309" t="s">
        <v>1004</v>
      </c>
      <c r="D513" s="309" t="s">
        <v>978</v>
      </c>
      <c r="E513" s="310" t="s">
        <v>1400</v>
      </c>
      <c r="F513" s="309" t="s">
        <v>1398</v>
      </c>
      <c r="G513" s="309" t="s">
        <v>1401</v>
      </c>
      <c r="H513" s="309" t="s">
        <v>1386</v>
      </c>
      <c r="I513" s="311">
        <v>419.34</v>
      </c>
      <c r="J513" s="338" t="s">
        <v>36</v>
      </c>
    </row>
    <row r="514" spans="1:10">
      <c r="A514" s="334" t="s">
        <v>423</v>
      </c>
      <c r="B514" s="309"/>
      <c r="C514" s="309" t="s">
        <v>1004</v>
      </c>
      <c r="D514" s="309" t="s">
        <v>978</v>
      </c>
      <c r="E514" s="313" t="s">
        <v>1402</v>
      </c>
      <c r="F514" s="309" t="s">
        <v>1403</v>
      </c>
      <c r="G514" s="309" t="s">
        <v>2171</v>
      </c>
      <c r="H514" s="309" t="s">
        <v>97</v>
      </c>
      <c r="I514" s="512">
        <v>25.906500000000001</v>
      </c>
      <c r="J514" s="338">
        <v>25.906500000000001</v>
      </c>
    </row>
    <row r="515" spans="1:10">
      <c r="A515" s="334" t="s">
        <v>680</v>
      </c>
      <c r="B515" s="309"/>
      <c r="C515" s="309" t="s">
        <v>1004</v>
      </c>
      <c r="D515" s="309" t="s">
        <v>978</v>
      </c>
      <c r="E515" s="316" t="s">
        <v>1405</v>
      </c>
      <c r="F515" s="314" t="s">
        <v>208</v>
      </c>
      <c r="G515" s="309" t="s">
        <v>1406</v>
      </c>
      <c r="H515" s="309" t="s">
        <v>1407</v>
      </c>
      <c r="I515" s="311">
        <v>227.68098524237712</v>
      </c>
      <c r="J515" s="339">
        <v>17770</v>
      </c>
    </row>
    <row r="516" spans="1:10" ht="24">
      <c r="A516" s="334" t="s">
        <v>423</v>
      </c>
      <c r="B516" s="309"/>
      <c r="C516" s="309" t="s">
        <v>1004</v>
      </c>
      <c r="D516" s="309" t="s">
        <v>978</v>
      </c>
      <c r="E516" s="310" t="s">
        <v>1408</v>
      </c>
      <c r="F516" s="309" t="s">
        <v>1409</v>
      </c>
      <c r="G516" s="309" t="s">
        <v>1410</v>
      </c>
      <c r="H516" s="309" t="s">
        <v>1411</v>
      </c>
      <c r="I516" s="380">
        <v>2.27</v>
      </c>
      <c r="J516" s="338">
        <v>2.27</v>
      </c>
    </row>
    <row r="517" spans="1:10" ht="24">
      <c r="A517" s="334" t="s">
        <v>655</v>
      </c>
      <c r="B517" s="309"/>
      <c r="C517" s="309" t="s">
        <v>1004</v>
      </c>
      <c r="D517" s="309" t="s">
        <v>978</v>
      </c>
      <c r="E517" s="315" t="s">
        <v>1412</v>
      </c>
      <c r="F517" s="314" t="s">
        <v>1409</v>
      </c>
      <c r="G517" s="309" t="s">
        <v>1410</v>
      </c>
      <c r="H517" s="309" t="s">
        <v>1411</v>
      </c>
      <c r="I517" s="311">
        <v>6.02</v>
      </c>
      <c r="J517" s="338" t="s">
        <v>36</v>
      </c>
    </row>
    <row r="518" spans="1:10">
      <c r="A518" s="334" t="s">
        <v>655</v>
      </c>
      <c r="B518" s="309"/>
      <c r="C518" s="309" t="s">
        <v>1004</v>
      </c>
      <c r="D518" s="309" t="s">
        <v>978</v>
      </c>
      <c r="E518" s="315" t="s">
        <v>1413</v>
      </c>
      <c r="F518" s="314" t="s">
        <v>1414</v>
      </c>
      <c r="G518" s="309" t="s">
        <v>1415</v>
      </c>
      <c r="H518" s="309" t="s">
        <v>98</v>
      </c>
      <c r="I518" s="311">
        <v>0.1</v>
      </c>
      <c r="J518" s="338" t="s">
        <v>36</v>
      </c>
    </row>
    <row r="519" spans="1:10">
      <c r="A519" s="334" t="s">
        <v>423</v>
      </c>
      <c r="B519" s="309"/>
      <c r="C519" s="309" t="s">
        <v>1004</v>
      </c>
      <c r="D519" s="309" t="s">
        <v>978</v>
      </c>
      <c r="E519" s="313" t="s">
        <v>1416</v>
      </c>
      <c r="F519" s="309" t="s">
        <v>1417</v>
      </c>
      <c r="G519" s="309" t="s">
        <v>1404</v>
      </c>
      <c r="H519" s="309" t="s">
        <v>1093</v>
      </c>
      <c r="I519" s="512">
        <v>57.417999999999999</v>
      </c>
      <c r="J519" s="338">
        <v>57.417999999999999</v>
      </c>
    </row>
    <row r="520" spans="1:10">
      <c r="A520" s="334" t="s">
        <v>423</v>
      </c>
      <c r="B520" s="309"/>
      <c r="C520" s="309" t="s">
        <v>1418</v>
      </c>
      <c r="D520" s="309" t="s">
        <v>1419</v>
      </c>
      <c r="E520" s="313" t="s">
        <v>1420</v>
      </c>
      <c r="F520" s="309" t="s">
        <v>1421</v>
      </c>
      <c r="G520" s="309" t="s">
        <v>1422</v>
      </c>
      <c r="H520" s="309" t="s">
        <v>98</v>
      </c>
      <c r="I520" s="311">
        <v>0.44</v>
      </c>
      <c r="J520" s="338">
        <v>0.44</v>
      </c>
    </row>
    <row r="521" spans="1:10">
      <c r="A521" s="334" t="s">
        <v>423</v>
      </c>
      <c r="B521" s="309"/>
      <c r="C521" s="309" t="s">
        <v>1418</v>
      </c>
      <c r="D521" s="309" t="s">
        <v>1419</v>
      </c>
      <c r="E521" s="310" t="s">
        <v>1423</v>
      </c>
      <c r="F521" s="309" t="s">
        <v>1424</v>
      </c>
      <c r="G521" s="309" t="s">
        <v>1425</v>
      </c>
      <c r="H521" s="309" t="s">
        <v>1426</v>
      </c>
      <c r="I521" s="311">
        <v>833.33045189999996</v>
      </c>
      <c r="J521" s="338">
        <v>833.33045189999996</v>
      </c>
    </row>
    <row r="522" spans="1:10" ht="24">
      <c r="A522" s="334" t="s">
        <v>423</v>
      </c>
      <c r="B522" s="309"/>
      <c r="C522" s="309" t="s">
        <v>1418</v>
      </c>
      <c r="D522" s="309" t="s">
        <v>1419</v>
      </c>
      <c r="E522" s="310" t="s">
        <v>1427</v>
      </c>
      <c r="F522" s="309" t="s">
        <v>1428</v>
      </c>
      <c r="G522" s="309" t="s">
        <v>1429</v>
      </c>
      <c r="H522" s="309" t="s">
        <v>1430</v>
      </c>
      <c r="I522" s="311">
        <v>5.03</v>
      </c>
      <c r="J522" s="338">
        <v>5.03</v>
      </c>
    </row>
    <row r="523" spans="1:10" ht="24">
      <c r="A523" s="336" t="s">
        <v>421</v>
      </c>
      <c r="B523" s="319"/>
      <c r="C523" s="319" t="s">
        <v>1418</v>
      </c>
      <c r="D523" s="319" t="s">
        <v>1419</v>
      </c>
      <c r="E523" s="320" t="s">
        <v>1431</v>
      </c>
      <c r="F523" s="319" t="s">
        <v>1428</v>
      </c>
      <c r="G523" s="319" t="s">
        <v>1429</v>
      </c>
      <c r="H523" s="319" t="s">
        <v>1045</v>
      </c>
      <c r="I523" s="321" t="s">
        <v>36</v>
      </c>
      <c r="J523" s="340" t="s">
        <v>36</v>
      </c>
    </row>
    <row r="524" spans="1:10">
      <c r="A524" s="334" t="s">
        <v>423</v>
      </c>
      <c r="B524" s="309"/>
      <c r="C524" s="309" t="s">
        <v>1418</v>
      </c>
      <c r="D524" s="309" t="s">
        <v>1419</v>
      </c>
      <c r="E524" s="310" t="s">
        <v>1432</v>
      </c>
      <c r="F524" s="309" t="s">
        <v>1433</v>
      </c>
      <c r="G524" s="309" t="s">
        <v>1434</v>
      </c>
      <c r="H524" s="309" t="s">
        <v>98</v>
      </c>
      <c r="I524" s="311">
        <v>1.57</v>
      </c>
      <c r="J524" s="338">
        <v>1.57</v>
      </c>
    </row>
    <row r="525" spans="1:10">
      <c r="A525" s="336" t="s">
        <v>421</v>
      </c>
      <c r="B525" s="319"/>
      <c r="C525" s="319" t="s">
        <v>1418</v>
      </c>
      <c r="D525" s="319" t="s">
        <v>1419</v>
      </c>
      <c r="E525" s="320" t="s">
        <v>1435</v>
      </c>
      <c r="F525" s="319" t="s">
        <v>1433</v>
      </c>
      <c r="G525" s="319" t="s">
        <v>1434</v>
      </c>
      <c r="H525" s="319" t="s">
        <v>1045</v>
      </c>
      <c r="I525" s="321" t="s">
        <v>36</v>
      </c>
      <c r="J525" s="340" t="s">
        <v>36</v>
      </c>
    </row>
    <row r="526" spans="1:10">
      <c r="A526" s="336" t="s">
        <v>421</v>
      </c>
      <c r="B526" s="319"/>
      <c r="C526" s="319" t="s">
        <v>1418</v>
      </c>
      <c r="D526" s="319" t="s">
        <v>1419</v>
      </c>
      <c r="E526" s="320" t="s">
        <v>1436</v>
      </c>
      <c r="F526" s="319" t="s">
        <v>1437</v>
      </c>
      <c r="G526" s="319" t="s">
        <v>1438</v>
      </c>
      <c r="H526" s="319" t="s">
        <v>1045</v>
      </c>
      <c r="I526" s="321" t="s">
        <v>36</v>
      </c>
      <c r="J526" s="340" t="s">
        <v>36</v>
      </c>
    </row>
    <row r="527" spans="1:10" ht="24">
      <c r="A527" s="334" t="s">
        <v>423</v>
      </c>
      <c r="B527" s="309"/>
      <c r="C527" s="309" t="s">
        <v>1418</v>
      </c>
      <c r="D527" s="309" t="s">
        <v>1439</v>
      </c>
      <c r="E527" s="310" t="s">
        <v>1440</v>
      </c>
      <c r="F527" s="309" t="s">
        <v>1441</v>
      </c>
      <c r="G527" s="309" t="s">
        <v>1205</v>
      </c>
      <c r="H527" s="309" t="s">
        <v>1206</v>
      </c>
      <c r="I527" s="311" t="s">
        <v>36</v>
      </c>
      <c r="J527" s="338" t="s">
        <v>36</v>
      </c>
    </row>
    <row r="528" spans="1:10" ht="24">
      <c r="A528" s="334" t="s">
        <v>423</v>
      </c>
      <c r="B528" s="309"/>
      <c r="C528" s="309" t="s">
        <v>1418</v>
      </c>
      <c r="D528" s="309" t="s">
        <v>1439</v>
      </c>
      <c r="E528" s="310" t="s">
        <v>1442</v>
      </c>
      <c r="F528" s="309" t="s">
        <v>1443</v>
      </c>
      <c r="G528" s="309" t="s">
        <v>1444</v>
      </c>
      <c r="H528" s="309" t="s">
        <v>1445</v>
      </c>
      <c r="I528" s="311" t="s">
        <v>36</v>
      </c>
      <c r="J528" s="338" t="s">
        <v>36</v>
      </c>
    </row>
    <row r="529" spans="1:10">
      <c r="A529" s="334" t="s">
        <v>680</v>
      </c>
      <c r="B529" s="309"/>
      <c r="C529" s="309" t="s">
        <v>1418</v>
      </c>
      <c r="D529" s="309" t="s">
        <v>1439</v>
      </c>
      <c r="E529" s="316" t="s">
        <v>1446</v>
      </c>
      <c r="F529" s="309" t="s">
        <v>1439</v>
      </c>
      <c r="G529" s="309" t="s">
        <v>1447</v>
      </c>
      <c r="H529" s="309" t="s">
        <v>1448</v>
      </c>
      <c r="I529" s="311">
        <v>3478</v>
      </c>
      <c r="J529" s="339">
        <v>271450</v>
      </c>
    </row>
    <row r="530" spans="1:10" ht="24">
      <c r="A530" s="334" t="s">
        <v>421</v>
      </c>
      <c r="B530" s="309" t="s">
        <v>651</v>
      </c>
      <c r="C530" s="309" t="s">
        <v>1418</v>
      </c>
      <c r="D530" s="309" t="s">
        <v>1439</v>
      </c>
      <c r="E530" s="315" t="s">
        <v>1449</v>
      </c>
      <c r="F530" s="309" t="s">
        <v>1450</v>
      </c>
      <c r="G530" s="309" t="s">
        <v>1447</v>
      </c>
      <c r="H530" s="309" t="s">
        <v>1448</v>
      </c>
      <c r="I530" s="311">
        <v>18.28</v>
      </c>
      <c r="J530" s="338">
        <v>11.69</v>
      </c>
    </row>
    <row r="531" spans="1:10">
      <c r="A531" s="334" t="s">
        <v>421</v>
      </c>
      <c r="B531" s="309"/>
      <c r="C531" s="309" t="s">
        <v>1418</v>
      </c>
      <c r="D531" s="309" t="s">
        <v>1439</v>
      </c>
      <c r="E531" s="313" t="s">
        <v>1451</v>
      </c>
      <c r="F531" s="309" t="s">
        <v>1452</v>
      </c>
      <c r="G531" s="309" t="s">
        <v>1447</v>
      </c>
      <c r="H531" s="309" t="s">
        <v>1448</v>
      </c>
      <c r="I531" s="311">
        <v>195.62350907999999</v>
      </c>
      <c r="J531" s="338" t="s">
        <v>36</v>
      </c>
    </row>
    <row r="532" spans="1:10" ht="24">
      <c r="A532" s="334" t="s">
        <v>423</v>
      </c>
      <c r="B532" s="309"/>
      <c r="C532" s="309" t="s">
        <v>1418</v>
      </c>
      <c r="D532" s="309" t="s">
        <v>1439</v>
      </c>
      <c r="E532" s="310" t="s">
        <v>1453</v>
      </c>
      <c r="F532" s="309" t="s">
        <v>1454</v>
      </c>
      <c r="G532" s="309" t="s">
        <v>1455</v>
      </c>
      <c r="H532" s="309" t="s">
        <v>1445</v>
      </c>
      <c r="I532" s="311" t="s">
        <v>36</v>
      </c>
      <c r="J532" s="338" t="s">
        <v>36</v>
      </c>
    </row>
    <row r="533" spans="1:10" ht="24">
      <c r="A533" s="334" t="s">
        <v>680</v>
      </c>
      <c r="B533" s="309"/>
      <c r="C533" s="309" t="s">
        <v>1418</v>
      </c>
      <c r="D533" s="309" t="s">
        <v>1439</v>
      </c>
      <c r="E533" s="310" t="s">
        <v>425</v>
      </c>
      <c r="F533" s="309" t="s">
        <v>1454</v>
      </c>
      <c r="G533" s="309" t="s">
        <v>1455</v>
      </c>
      <c r="H533" s="309" t="s">
        <v>1445</v>
      </c>
      <c r="I533" s="311" t="s">
        <v>36</v>
      </c>
      <c r="J533" s="339" t="s">
        <v>36</v>
      </c>
    </row>
    <row r="534" spans="1:10" ht="24">
      <c r="A534" s="334" t="s">
        <v>423</v>
      </c>
      <c r="B534" s="309"/>
      <c r="C534" s="309" t="s">
        <v>1418</v>
      </c>
      <c r="D534" s="309" t="s">
        <v>1439</v>
      </c>
      <c r="E534" s="310" t="s">
        <v>1456</v>
      </c>
      <c r="F534" s="309" t="s">
        <v>1457</v>
      </c>
      <c r="G534" s="309" t="s">
        <v>1458</v>
      </c>
      <c r="H534" s="309" t="s">
        <v>1459</v>
      </c>
      <c r="I534" s="311">
        <v>105</v>
      </c>
      <c r="J534" s="338">
        <v>105</v>
      </c>
    </row>
    <row r="535" spans="1:10" ht="24">
      <c r="A535" s="334" t="s">
        <v>655</v>
      </c>
      <c r="B535" s="309"/>
      <c r="C535" s="309" t="s">
        <v>1418</v>
      </c>
      <c r="D535" s="309" t="s">
        <v>1439</v>
      </c>
      <c r="E535" s="315" t="s">
        <v>1460</v>
      </c>
      <c r="F535" s="309" t="s">
        <v>1457</v>
      </c>
      <c r="G535" s="309" t="s">
        <v>1458</v>
      </c>
      <c r="H535" s="309" t="s">
        <v>1459</v>
      </c>
      <c r="I535" s="311">
        <v>105.41</v>
      </c>
      <c r="J535" s="338" t="s">
        <v>36</v>
      </c>
    </row>
    <row r="536" spans="1:10">
      <c r="A536" s="334" t="s">
        <v>423</v>
      </c>
      <c r="B536" s="309"/>
      <c r="C536" s="309" t="s">
        <v>1418</v>
      </c>
      <c r="D536" s="309" t="s">
        <v>1439</v>
      </c>
      <c r="E536" s="310" t="s">
        <v>1461</v>
      </c>
      <c r="F536" s="309" t="s">
        <v>1462</v>
      </c>
      <c r="G536" s="309" t="s">
        <v>1447</v>
      </c>
      <c r="H536" s="309" t="s">
        <v>1448</v>
      </c>
      <c r="I536" s="311">
        <v>160</v>
      </c>
      <c r="J536" s="338">
        <v>160</v>
      </c>
    </row>
    <row r="537" spans="1:10">
      <c r="A537" s="334" t="s">
        <v>655</v>
      </c>
      <c r="B537" s="309" t="s">
        <v>666</v>
      </c>
      <c r="C537" s="309" t="s">
        <v>1418</v>
      </c>
      <c r="D537" s="309" t="s">
        <v>1439</v>
      </c>
      <c r="E537" s="315" t="s">
        <v>1463</v>
      </c>
      <c r="F537" s="309" t="s">
        <v>1462</v>
      </c>
      <c r="G537" s="309" t="s">
        <v>1447</v>
      </c>
      <c r="H537" s="309" t="s">
        <v>1448</v>
      </c>
      <c r="I537" s="311">
        <v>224.18</v>
      </c>
      <c r="J537" s="338">
        <v>255950.78960000002</v>
      </c>
    </row>
    <row r="538" spans="1:10">
      <c r="A538" s="334" t="s">
        <v>655</v>
      </c>
      <c r="B538" s="309"/>
      <c r="C538" s="309" t="s">
        <v>1418</v>
      </c>
      <c r="D538" s="309" t="s">
        <v>1439</v>
      </c>
      <c r="E538" s="315" t="s">
        <v>1464</v>
      </c>
      <c r="F538" s="309" t="s">
        <v>1462</v>
      </c>
      <c r="G538" s="309" t="s">
        <v>1447</v>
      </c>
      <c r="H538" s="309" t="s">
        <v>1448</v>
      </c>
      <c r="I538" s="311">
        <v>198.2</v>
      </c>
      <c r="J538" s="338" t="s">
        <v>36</v>
      </c>
    </row>
    <row r="539" spans="1:10">
      <c r="A539" s="334" t="s">
        <v>423</v>
      </c>
      <c r="B539" s="309"/>
      <c r="C539" s="309" t="s">
        <v>1418</v>
      </c>
      <c r="D539" s="309" t="s">
        <v>1439</v>
      </c>
      <c r="E539" s="326" t="s">
        <v>1465</v>
      </c>
      <c r="F539" s="309" t="s">
        <v>1466</v>
      </c>
      <c r="G539" s="309" t="s">
        <v>1447</v>
      </c>
      <c r="H539" s="309" t="s">
        <v>1448</v>
      </c>
      <c r="I539" s="311">
        <v>9</v>
      </c>
      <c r="J539" s="338">
        <v>9</v>
      </c>
    </row>
    <row r="540" spans="1:10">
      <c r="A540" s="334" t="s">
        <v>423</v>
      </c>
      <c r="B540" s="309"/>
      <c r="C540" s="309" t="s">
        <v>1418</v>
      </c>
      <c r="D540" s="309" t="s">
        <v>1439</v>
      </c>
      <c r="E540" s="310" t="s">
        <v>1467</v>
      </c>
      <c r="F540" s="309" t="s">
        <v>1468</v>
      </c>
      <c r="G540" s="309" t="s">
        <v>1447</v>
      </c>
      <c r="H540" s="309" t="s">
        <v>1448</v>
      </c>
      <c r="I540" s="311">
        <v>2.95</v>
      </c>
      <c r="J540" s="338">
        <v>2.95</v>
      </c>
    </row>
    <row r="541" spans="1:10">
      <c r="A541" s="336" t="s">
        <v>655</v>
      </c>
      <c r="B541" s="319"/>
      <c r="C541" s="319" t="s">
        <v>1418</v>
      </c>
      <c r="D541" s="319" t="s">
        <v>1439</v>
      </c>
      <c r="E541" s="327" t="s">
        <v>1469</v>
      </c>
      <c r="F541" s="328" t="s">
        <v>1470</v>
      </c>
      <c r="G541" s="309" t="s">
        <v>1447</v>
      </c>
      <c r="H541" s="309" t="s">
        <v>1448</v>
      </c>
      <c r="I541" s="321">
        <v>3.96</v>
      </c>
      <c r="J541" s="340" t="s">
        <v>36</v>
      </c>
    </row>
    <row r="542" spans="1:10">
      <c r="A542" s="334" t="s">
        <v>655</v>
      </c>
      <c r="B542" s="309"/>
      <c r="C542" s="309" t="s">
        <v>1418</v>
      </c>
      <c r="D542" s="309" t="s">
        <v>1439</v>
      </c>
      <c r="E542" s="315" t="s">
        <v>1471</v>
      </c>
      <c r="F542" s="309" t="s">
        <v>1472</v>
      </c>
      <c r="G542" s="309" t="s">
        <v>1447</v>
      </c>
      <c r="H542" s="309" t="s">
        <v>1448</v>
      </c>
      <c r="I542" s="311">
        <v>14.81</v>
      </c>
      <c r="J542" s="338" t="s">
        <v>36</v>
      </c>
    </row>
    <row r="543" spans="1:10">
      <c r="A543" s="334" t="s">
        <v>655</v>
      </c>
      <c r="B543" s="309"/>
      <c r="C543" s="309" t="s">
        <v>1418</v>
      </c>
      <c r="D543" s="309" t="s">
        <v>1439</v>
      </c>
      <c r="E543" s="315" t="s">
        <v>1473</v>
      </c>
      <c r="F543" s="309" t="s">
        <v>1437</v>
      </c>
      <c r="G543" s="309" t="s">
        <v>1474</v>
      </c>
      <c r="H543" s="309" t="s">
        <v>1475</v>
      </c>
      <c r="I543" s="311">
        <v>5.36</v>
      </c>
      <c r="J543" s="338" t="s">
        <v>36</v>
      </c>
    </row>
    <row r="544" spans="1:10">
      <c r="A544" s="334" t="s">
        <v>680</v>
      </c>
      <c r="B544" s="309"/>
      <c r="C544" s="309" t="s">
        <v>1418</v>
      </c>
      <c r="D544" s="309" t="s">
        <v>1439</v>
      </c>
      <c r="E544" s="316" t="s">
        <v>1476</v>
      </c>
      <c r="F544" s="309" t="s">
        <v>1437</v>
      </c>
      <c r="G544" s="309" t="s">
        <v>1474</v>
      </c>
      <c r="H544" s="309" t="s">
        <v>1475</v>
      </c>
      <c r="I544" s="311">
        <v>133069.06</v>
      </c>
      <c r="J544" s="339">
        <v>10385747</v>
      </c>
    </row>
    <row r="545" spans="1:10">
      <c r="A545" s="334" t="s">
        <v>423</v>
      </c>
      <c r="B545" s="309"/>
      <c r="C545" s="309" t="s">
        <v>1477</v>
      </c>
      <c r="D545" s="309" t="s">
        <v>1478</v>
      </c>
      <c r="E545" s="310" t="s">
        <v>1479</v>
      </c>
      <c r="F545" s="309" t="s">
        <v>1480</v>
      </c>
      <c r="G545" s="309" t="s">
        <v>1481</v>
      </c>
      <c r="H545" s="309" t="s">
        <v>1482</v>
      </c>
      <c r="I545" s="311">
        <v>2.2848000000000002</v>
      </c>
      <c r="J545" s="338">
        <v>2.2848000000000002</v>
      </c>
    </row>
    <row r="546" spans="1:10" ht="36">
      <c r="A546" s="334" t="s">
        <v>421</v>
      </c>
      <c r="B546" s="309"/>
      <c r="C546" s="309" t="s">
        <v>1477</v>
      </c>
      <c r="D546" s="309" t="s">
        <v>1478</v>
      </c>
      <c r="E546" s="310" t="s">
        <v>1483</v>
      </c>
      <c r="F546" s="309" t="s">
        <v>1480</v>
      </c>
      <c r="G546" s="309" t="s">
        <v>1481</v>
      </c>
      <c r="H546" s="309" t="s">
        <v>1482</v>
      </c>
      <c r="I546" s="311">
        <v>2.2848000000000002</v>
      </c>
      <c r="J546" s="338" t="s">
        <v>36</v>
      </c>
    </row>
    <row r="547" spans="1:10" ht="36">
      <c r="A547" s="334" t="s">
        <v>655</v>
      </c>
      <c r="B547" s="309"/>
      <c r="C547" s="309" t="s">
        <v>1477</v>
      </c>
      <c r="D547" s="309" t="s">
        <v>1478</v>
      </c>
      <c r="E547" s="310" t="s">
        <v>1483</v>
      </c>
      <c r="F547" s="309" t="s">
        <v>1480</v>
      </c>
      <c r="G547" s="309" t="s">
        <v>1481</v>
      </c>
      <c r="H547" s="309" t="s">
        <v>1482</v>
      </c>
      <c r="I547" s="311">
        <v>2.2848000000000002</v>
      </c>
      <c r="J547" s="338" t="s">
        <v>36</v>
      </c>
    </row>
    <row r="548" spans="1:10" ht="36">
      <c r="A548" s="334" t="s">
        <v>680</v>
      </c>
      <c r="B548" s="309"/>
      <c r="C548" s="309" t="s">
        <v>1477</v>
      </c>
      <c r="D548" s="309" t="s">
        <v>1478</v>
      </c>
      <c r="E548" s="310" t="s">
        <v>1483</v>
      </c>
      <c r="F548" s="309" t="s">
        <v>1480</v>
      </c>
      <c r="G548" s="309" t="s">
        <v>1481</v>
      </c>
      <c r="H548" s="309" t="s">
        <v>1482</v>
      </c>
      <c r="I548" s="311">
        <v>2.2848000000000002</v>
      </c>
      <c r="J548" s="339">
        <v>178.32361344</v>
      </c>
    </row>
    <row r="549" spans="1:10">
      <c r="A549" s="334" t="s">
        <v>423</v>
      </c>
      <c r="B549" s="309"/>
      <c r="C549" s="309" t="s">
        <v>1477</v>
      </c>
      <c r="D549" s="309" t="s">
        <v>1478</v>
      </c>
      <c r="E549" s="326" t="s">
        <v>1484</v>
      </c>
      <c r="F549" s="309" t="s">
        <v>1485</v>
      </c>
      <c r="G549" s="309" t="s">
        <v>1486</v>
      </c>
      <c r="H549" s="309" t="s">
        <v>1487</v>
      </c>
      <c r="I549" s="311">
        <v>0.8</v>
      </c>
      <c r="J549" s="338">
        <v>0.8</v>
      </c>
    </row>
    <row r="550" spans="1:10" ht="36">
      <c r="A550" s="334" t="s">
        <v>421</v>
      </c>
      <c r="B550" s="309"/>
      <c r="C550" s="309" t="s">
        <v>1477</v>
      </c>
      <c r="D550" s="309" t="s">
        <v>1478</v>
      </c>
      <c r="E550" s="310" t="s">
        <v>1483</v>
      </c>
      <c r="F550" s="309" t="s">
        <v>1485</v>
      </c>
      <c r="G550" s="309" t="s">
        <v>1486</v>
      </c>
      <c r="H550" s="309" t="s">
        <v>1487</v>
      </c>
      <c r="I550" s="311">
        <v>0.8</v>
      </c>
      <c r="J550" s="338" t="s">
        <v>36</v>
      </c>
    </row>
    <row r="551" spans="1:10" ht="36">
      <c r="A551" s="334" t="s">
        <v>655</v>
      </c>
      <c r="B551" s="309"/>
      <c r="C551" s="309" t="s">
        <v>1477</v>
      </c>
      <c r="D551" s="309" t="s">
        <v>1478</v>
      </c>
      <c r="E551" s="310" t="s">
        <v>1483</v>
      </c>
      <c r="F551" s="309" t="s">
        <v>1485</v>
      </c>
      <c r="G551" s="309" t="s">
        <v>1486</v>
      </c>
      <c r="H551" s="309" t="s">
        <v>1487</v>
      </c>
      <c r="I551" s="311">
        <v>0.8</v>
      </c>
      <c r="J551" s="338" t="s">
        <v>36</v>
      </c>
    </row>
    <row r="552" spans="1:10" ht="36">
      <c r="A552" s="334" t="s">
        <v>680</v>
      </c>
      <c r="B552" s="309"/>
      <c r="C552" s="309" t="s">
        <v>1477</v>
      </c>
      <c r="D552" s="309" t="s">
        <v>1478</v>
      </c>
      <c r="E552" s="310" t="s">
        <v>1483</v>
      </c>
      <c r="F552" s="309" t="s">
        <v>1485</v>
      </c>
      <c r="G552" s="309" t="s">
        <v>1486</v>
      </c>
      <c r="H552" s="309" t="s">
        <v>1487</v>
      </c>
      <c r="I552" s="311">
        <v>0.8</v>
      </c>
      <c r="J552" s="339">
        <v>62.43824</v>
      </c>
    </row>
    <row r="553" spans="1:10">
      <c r="A553" s="334" t="s">
        <v>423</v>
      </c>
      <c r="B553" s="309"/>
      <c r="C553" s="309" t="s">
        <v>1477</v>
      </c>
      <c r="D553" s="309" t="s">
        <v>1478</v>
      </c>
      <c r="E553" s="310" t="s">
        <v>1488</v>
      </c>
      <c r="F553" s="309" t="s">
        <v>1489</v>
      </c>
      <c r="G553" s="309" t="s">
        <v>1490</v>
      </c>
      <c r="H553" s="309" t="s">
        <v>1482</v>
      </c>
      <c r="I553" s="311">
        <v>1.8</v>
      </c>
      <c r="J553" s="338">
        <v>1.8</v>
      </c>
    </row>
    <row r="554" spans="1:10" ht="36">
      <c r="A554" s="334" t="s">
        <v>421</v>
      </c>
      <c r="B554" s="309"/>
      <c r="C554" s="309" t="s">
        <v>1477</v>
      </c>
      <c r="D554" s="309" t="s">
        <v>1478</v>
      </c>
      <c r="E554" s="310" t="s">
        <v>1483</v>
      </c>
      <c r="F554" s="309" t="s">
        <v>1489</v>
      </c>
      <c r="G554" s="309" t="s">
        <v>1490</v>
      </c>
      <c r="H554" s="309" t="s">
        <v>1482</v>
      </c>
      <c r="I554" s="311">
        <v>1.8</v>
      </c>
      <c r="J554" s="338" t="s">
        <v>36</v>
      </c>
    </row>
    <row r="555" spans="1:10" ht="36">
      <c r="A555" s="334" t="s">
        <v>655</v>
      </c>
      <c r="B555" s="309"/>
      <c r="C555" s="309" t="s">
        <v>1477</v>
      </c>
      <c r="D555" s="309" t="s">
        <v>1478</v>
      </c>
      <c r="E555" s="310" t="s">
        <v>1483</v>
      </c>
      <c r="F555" s="309" t="s">
        <v>1489</v>
      </c>
      <c r="G555" s="309" t="s">
        <v>1490</v>
      </c>
      <c r="H555" s="309" t="s">
        <v>1482</v>
      </c>
      <c r="I555" s="311">
        <v>1.8</v>
      </c>
      <c r="J555" s="338" t="s">
        <v>36</v>
      </c>
    </row>
    <row r="556" spans="1:10" ht="36">
      <c r="A556" s="334" t="s">
        <v>680</v>
      </c>
      <c r="B556" s="309"/>
      <c r="C556" s="309" t="s">
        <v>1477</v>
      </c>
      <c r="D556" s="309" t="s">
        <v>1478</v>
      </c>
      <c r="E556" s="310" t="s">
        <v>1483</v>
      </c>
      <c r="F556" s="309" t="s">
        <v>1489</v>
      </c>
      <c r="G556" s="309" t="s">
        <v>1490</v>
      </c>
      <c r="H556" s="309" t="s">
        <v>1482</v>
      </c>
      <c r="I556" s="311">
        <v>1.8</v>
      </c>
      <c r="J556" s="339">
        <v>140.48604</v>
      </c>
    </row>
    <row r="557" spans="1:10">
      <c r="A557" s="334" t="s">
        <v>423</v>
      </c>
      <c r="B557" s="309"/>
      <c r="C557" s="309" t="s">
        <v>1477</v>
      </c>
      <c r="D557" s="309" t="s">
        <v>1491</v>
      </c>
      <c r="E557" s="310" t="s">
        <v>1492</v>
      </c>
      <c r="F557" s="309" t="s">
        <v>1493</v>
      </c>
      <c r="G557" s="309" t="s">
        <v>1494</v>
      </c>
      <c r="H557" s="309" t="s">
        <v>1045</v>
      </c>
      <c r="I557" s="311" t="s">
        <v>36</v>
      </c>
      <c r="J557" s="338" t="s">
        <v>36</v>
      </c>
    </row>
    <row r="558" spans="1:10" ht="36">
      <c r="A558" s="334" t="s">
        <v>421</v>
      </c>
      <c r="B558" s="309"/>
      <c r="C558" s="309" t="s">
        <v>1477</v>
      </c>
      <c r="D558" s="309" t="s">
        <v>1491</v>
      </c>
      <c r="E558" s="310" t="s">
        <v>1483</v>
      </c>
      <c r="F558" s="309" t="s">
        <v>1493</v>
      </c>
      <c r="G558" s="309" t="s">
        <v>1494</v>
      </c>
      <c r="H558" s="309" t="s">
        <v>1045</v>
      </c>
      <c r="I558" s="311" t="s">
        <v>36</v>
      </c>
      <c r="J558" s="338" t="s">
        <v>36</v>
      </c>
    </row>
    <row r="559" spans="1:10" ht="36">
      <c r="A559" s="334" t="s">
        <v>655</v>
      </c>
      <c r="B559" s="309"/>
      <c r="C559" s="309" t="s">
        <v>1477</v>
      </c>
      <c r="D559" s="309" t="s">
        <v>1491</v>
      </c>
      <c r="E559" s="310" t="s">
        <v>1483</v>
      </c>
      <c r="F559" s="309" t="s">
        <v>1493</v>
      </c>
      <c r="G559" s="309" t="s">
        <v>1494</v>
      </c>
      <c r="H559" s="309" t="s">
        <v>1045</v>
      </c>
      <c r="I559" s="311" t="s">
        <v>36</v>
      </c>
      <c r="J559" s="338" t="s">
        <v>36</v>
      </c>
    </row>
    <row r="560" spans="1:10" ht="36">
      <c r="A560" s="334" t="s">
        <v>680</v>
      </c>
      <c r="B560" s="309"/>
      <c r="C560" s="309" t="s">
        <v>1477</v>
      </c>
      <c r="D560" s="309" t="s">
        <v>1491</v>
      </c>
      <c r="E560" s="310" t="s">
        <v>1483</v>
      </c>
      <c r="F560" s="309" t="s">
        <v>1493</v>
      </c>
      <c r="G560" s="309" t="s">
        <v>1494</v>
      </c>
      <c r="H560" s="309" t="s">
        <v>1045</v>
      </c>
      <c r="I560" s="311" t="s">
        <v>36</v>
      </c>
      <c r="J560" s="339" t="s">
        <v>36</v>
      </c>
    </row>
    <row r="561" spans="1:10">
      <c r="A561" s="334" t="s">
        <v>423</v>
      </c>
      <c r="B561" s="309"/>
      <c r="C561" s="309" t="s">
        <v>1477</v>
      </c>
      <c r="D561" s="309" t="s">
        <v>1491</v>
      </c>
      <c r="E561" s="310" t="s">
        <v>1495</v>
      </c>
      <c r="F561" s="309" t="s">
        <v>1496</v>
      </c>
      <c r="G561" s="309" t="s">
        <v>1497</v>
      </c>
      <c r="H561" s="309" t="s">
        <v>1045</v>
      </c>
      <c r="I561" s="311" t="s">
        <v>36</v>
      </c>
      <c r="J561" s="338" t="s">
        <v>36</v>
      </c>
    </row>
    <row r="562" spans="1:10" ht="36">
      <c r="A562" s="334" t="s">
        <v>421</v>
      </c>
      <c r="B562" s="309"/>
      <c r="C562" s="309" t="s">
        <v>1477</v>
      </c>
      <c r="D562" s="309" t="s">
        <v>1491</v>
      </c>
      <c r="E562" s="310" t="s">
        <v>1483</v>
      </c>
      <c r="F562" s="309" t="s">
        <v>1496</v>
      </c>
      <c r="G562" s="309" t="s">
        <v>1497</v>
      </c>
      <c r="H562" s="309" t="s">
        <v>1045</v>
      </c>
      <c r="I562" s="311" t="s">
        <v>36</v>
      </c>
      <c r="J562" s="338" t="s">
        <v>36</v>
      </c>
    </row>
    <row r="563" spans="1:10" ht="36">
      <c r="A563" s="334" t="s">
        <v>655</v>
      </c>
      <c r="B563" s="309"/>
      <c r="C563" s="309" t="s">
        <v>1477</v>
      </c>
      <c r="D563" s="309" t="s">
        <v>1491</v>
      </c>
      <c r="E563" s="310" t="s">
        <v>1483</v>
      </c>
      <c r="F563" s="309" t="s">
        <v>1496</v>
      </c>
      <c r="G563" s="309" t="s">
        <v>1497</v>
      </c>
      <c r="H563" s="309" t="s">
        <v>1045</v>
      </c>
      <c r="I563" s="311" t="s">
        <v>36</v>
      </c>
      <c r="J563" s="338" t="s">
        <v>36</v>
      </c>
    </row>
    <row r="564" spans="1:10" ht="36">
      <c r="A564" s="334" t="s">
        <v>680</v>
      </c>
      <c r="B564" s="309"/>
      <c r="C564" s="309" t="s">
        <v>1477</v>
      </c>
      <c r="D564" s="309" t="s">
        <v>1491</v>
      </c>
      <c r="E564" s="310" t="s">
        <v>1483</v>
      </c>
      <c r="F564" s="309" t="s">
        <v>1496</v>
      </c>
      <c r="G564" s="309" t="s">
        <v>1497</v>
      </c>
      <c r="H564" s="309" t="s">
        <v>1045</v>
      </c>
      <c r="I564" s="311" t="s">
        <v>36</v>
      </c>
      <c r="J564" s="339" t="s">
        <v>36</v>
      </c>
    </row>
    <row r="565" spans="1:10">
      <c r="A565" s="334" t="s">
        <v>423</v>
      </c>
      <c r="B565" s="309"/>
      <c r="C565" s="309" t="s">
        <v>1477</v>
      </c>
      <c r="D565" s="309" t="s">
        <v>1491</v>
      </c>
      <c r="E565" s="310" t="s">
        <v>1498</v>
      </c>
      <c r="F565" s="309" t="s">
        <v>1499</v>
      </c>
      <c r="G565" s="309" t="s">
        <v>1500</v>
      </c>
      <c r="H565" s="309" t="s">
        <v>390</v>
      </c>
      <c r="I565" s="311">
        <v>3.4977950678399997E-2</v>
      </c>
      <c r="J565" s="338">
        <v>3.4977950678399997E-2</v>
      </c>
    </row>
    <row r="566" spans="1:10" ht="36">
      <c r="A566" s="334" t="s">
        <v>421</v>
      </c>
      <c r="B566" s="309"/>
      <c r="C566" s="309" t="s">
        <v>1477</v>
      </c>
      <c r="D566" s="309" t="s">
        <v>1491</v>
      </c>
      <c r="E566" s="310" t="s">
        <v>1483</v>
      </c>
      <c r="F566" s="309" t="s">
        <v>1499</v>
      </c>
      <c r="G566" s="309" t="s">
        <v>1500</v>
      </c>
      <c r="H566" s="309" t="s">
        <v>390</v>
      </c>
      <c r="I566" s="311">
        <v>3.4977950678399997E-2</v>
      </c>
      <c r="J566" s="338" t="s">
        <v>36</v>
      </c>
    </row>
    <row r="567" spans="1:10" ht="36">
      <c r="A567" s="334" t="s">
        <v>655</v>
      </c>
      <c r="B567" s="309"/>
      <c r="C567" s="309" t="s">
        <v>1477</v>
      </c>
      <c r="D567" s="309" t="s">
        <v>1491</v>
      </c>
      <c r="E567" s="310" t="s">
        <v>1483</v>
      </c>
      <c r="F567" s="309" t="s">
        <v>1499</v>
      </c>
      <c r="G567" s="309" t="s">
        <v>1500</v>
      </c>
      <c r="H567" s="309" t="s">
        <v>390</v>
      </c>
      <c r="I567" s="311">
        <v>3.4977950678399997E-2</v>
      </c>
      <c r="J567" s="338" t="s">
        <v>36</v>
      </c>
    </row>
    <row r="568" spans="1:10" ht="36">
      <c r="A568" s="334" t="s">
        <v>680</v>
      </c>
      <c r="B568" s="309"/>
      <c r="C568" s="309" t="s">
        <v>1477</v>
      </c>
      <c r="D568" s="309" t="s">
        <v>1491</v>
      </c>
      <c r="E568" s="310" t="s">
        <v>1483</v>
      </c>
      <c r="F568" s="309" t="s">
        <v>1499</v>
      </c>
      <c r="G568" s="309" t="s">
        <v>1500</v>
      </c>
      <c r="H568" s="309" t="s">
        <v>390</v>
      </c>
      <c r="I568" s="311">
        <v>3.4977950678399997E-2</v>
      </c>
      <c r="J568" s="339">
        <v>2.7299520989576274</v>
      </c>
    </row>
    <row r="569" spans="1:10">
      <c r="A569" s="334" t="s">
        <v>423</v>
      </c>
      <c r="B569" s="309"/>
      <c r="C569" s="309" t="s">
        <v>1477</v>
      </c>
      <c r="D569" s="309" t="s">
        <v>1491</v>
      </c>
      <c r="E569" s="310" t="s">
        <v>1501</v>
      </c>
      <c r="F569" s="309" t="s">
        <v>1502</v>
      </c>
      <c r="G569" s="309" t="s">
        <v>1503</v>
      </c>
      <c r="H569" s="309" t="s">
        <v>1045</v>
      </c>
      <c r="I569" s="311" t="s">
        <v>36</v>
      </c>
      <c r="J569" s="338" t="s">
        <v>36</v>
      </c>
    </row>
    <row r="570" spans="1:10" ht="36">
      <c r="A570" s="334" t="s">
        <v>421</v>
      </c>
      <c r="B570" s="309"/>
      <c r="C570" s="309" t="s">
        <v>1477</v>
      </c>
      <c r="D570" s="309" t="s">
        <v>1491</v>
      </c>
      <c r="E570" s="310" t="s">
        <v>1483</v>
      </c>
      <c r="F570" s="309" t="s">
        <v>1502</v>
      </c>
      <c r="G570" s="309" t="s">
        <v>1503</v>
      </c>
      <c r="H570" s="309" t="s">
        <v>1045</v>
      </c>
      <c r="I570" s="311" t="s">
        <v>36</v>
      </c>
      <c r="J570" s="338" t="s">
        <v>36</v>
      </c>
    </row>
    <row r="571" spans="1:10" ht="36">
      <c r="A571" s="334" t="s">
        <v>655</v>
      </c>
      <c r="B571" s="309"/>
      <c r="C571" s="309" t="s">
        <v>1477</v>
      </c>
      <c r="D571" s="309" t="s">
        <v>1491</v>
      </c>
      <c r="E571" s="310" t="s">
        <v>1483</v>
      </c>
      <c r="F571" s="309" t="s">
        <v>1502</v>
      </c>
      <c r="G571" s="309" t="s">
        <v>1503</v>
      </c>
      <c r="H571" s="309" t="s">
        <v>1045</v>
      </c>
      <c r="I571" s="311" t="s">
        <v>36</v>
      </c>
      <c r="J571" s="338" t="s">
        <v>36</v>
      </c>
    </row>
    <row r="572" spans="1:10" ht="36">
      <c r="A572" s="334" t="s">
        <v>680</v>
      </c>
      <c r="B572" s="309"/>
      <c r="C572" s="309" t="s">
        <v>1477</v>
      </c>
      <c r="D572" s="309" t="s">
        <v>1491</v>
      </c>
      <c r="E572" s="310" t="s">
        <v>1483</v>
      </c>
      <c r="F572" s="309" t="s">
        <v>1502</v>
      </c>
      <c r="G572" s="309" t="s">
        <v>1503</v>
      </c>
      <c r="H572" s="309" t="s">
        <v>1045</v>
      </c>
      <c r="I572" s="311" t="s">
        <v>36</v>
      </c>
      <c r="J572" s="339" t="s">
        <v>36</v>
      </c>
    </row>
    <row r="573" spans="1:10">
      <c r="A573" s="334" t="s">
        <v>423</v>
      </c>
      <c r="B573" s="309"/>
      <c r="C573" s="309" t="s">
        <v>1477</v>
      </c>
      <c r="D573" s="309" t="s">
        <v>1491</v>
      </c>
      <c r="E573" s="310" t="s">
        <v>1504</v>
      </c>
      <c r="F573" s="309" t="s">
        <v>1505</v>
      </c>
      <c r="G573" s="309" t="s">
        <v>1506</v>
      </c>
      <c r="H573" s="309" t="s">
        <v>1045</v>
      </c>
      <c r="I573" s="311" t="s">
        <v>36</v>
      </c>
      <c r="J573" s="338" t="s">
        <v>36</v>
      </c>
    </row>
    <row r="574" spans="1:10" ht="36">
      <c r="A574" s="334" t="s">
        <v>421</v>
      </c>
      <c r="B574" s="309"/>
      <c r="C574" s="309" t="s">
        <v>1477</v>
      </c>
      <c r="D574" s="309" t="s">
        <v>1491</v>
      </c>
      <c r="E574" s="310" t="s">
        <v>1483</v>
      </c>
      <c r="F574" s="309" t="s">
        <v>1505</v>
      </c>
      <c r="G574" s="309" t="s">
        <v>1506</v>
      </c>
      <c r="H574" s="309" t="s">
        <v>1045</v>
      </c>
      <c r="I574" s="311" t="s">
        <v>36</v>
      </c>
      <c r="J574" s="338" t="s">
        <v>36</v>
      </c>
    </row>
    <row r="575" spans="1:10" ht="36">
      <c r="A575" s="334" t="s">
        <v>655</v>
      </c>
      <c r="B575" s="309"/>
      <c r="C575" s="309" t="s">
        <v>1477</v>
      </c>
      <c r="D575" s="309" t="s">
        <v>1491</v>
      </c>
      <c r="E575" s="310" t="s">
        <v>1483</v>
      </c>
      <c r="F575" s="309" t="s">
        <v>1505</v>
      </c>
      <c r="G575" s="309" t="s">
        <v>1506</v>
      </c>
      <c r="H575" s="309" t="s">
        <v>1045</v>
      </c>
      <c r="I575" s="311" t="s">
        <v>36</v>
      </c>
      <c r="J575" s="338" t="s">
        <v>36</v>
      </c>
    </row>
    <row r="576" spans="1:10" ht="36">
      <c r="A576" s="334" t="s">
        <v>680</v>
      </c>
      <c r="B576" s="309"/>
      <c r="C576" s="309" t="s">
        <v>1477</v>
      </c>
      <c r="D576" s="309" t="s">
        <v>1491</v>
      </c>
      <c r="E576" s="310" t="s">
        <v>1483</v>
      </c>
      <c r="F576" s="309" t="s">
        <v>1505</v>
      </c>
      <c r="G576" s="309" t="s">
        <v>1506</v>
      </c>
      <c r="H576" s="309" t="s">
        <v>1045</v>
      </c>
      <c r="I576" s="311" t="s">
        <v>36</v>
      </c>
      <c r="J576" s="339" t="s">
        <v>36</v>
      </c>
    </row>
    <row r="577" spans="1:10">
      <c r="A577" s="334" t="s">
        <v>423</v>
      </c>
      <c r="B577" s="309"/>
      <c r="C577" s="309" t="s">
        <v>1477</v>
      </c>
      <c r="D577" s="309" t="s">
        <v>1491</v>
      </c>
      <c r="E577" s="310" t="s">
        <v>1507</v>
      </c>
      <c r="F577" s="309" t="s">
        <v>1508</v>
      </c>
      <c r="G577" s="309" t="s">
        <v>1509</v>
      </c>
      <c r="H577" s="309" t="s">
        <v>1001</v>
      </c>
      <c r="I577" s="311">
        <v>70</v>
      </c>
      <c r="J577" s="338">
        <v>70</v>
      </c>
    </row>
    <row r="578" spans="1:10" ht="36">
      <c r="A578" s="334" t="s">
        <v>421</v>
      </c>
      <c r="B578" s="309"/>
      <c r="C578" s="309" t="s">
        <v>1477</v>
      </c>
      <c r="D578" s="309" t="s">
        <v>1491</v>
      </c>
      <c r="E578" s="310" t="s">
        <v>1483</v>
      </c>
      <c r="F578" s="309" t="s">
        <v>1508</v>
      </c>
      <c r="G578" s="309" t="s">
        <v>1509</v>
      </c>
      <c r="H578" s="309" t="s">
        <v>1001</v>
      </c>
      <c r="I578" s="311">
        <v>70</v>
      </c>
      <c r="J578" s="338" t="s">
        <v>36</v>
      </c>
    </row>
    <row r="579" spans="1:10" ht="36">
      <c r="A579" s="334" t="s">
        <v>655</v>
      </c>
      <c r="B579" s="309"/>
      <c r="C579" s="309" t="s">
        <v>1477</v>
      </c>
      <c r="D579" s="309" t="s">
        <v>1491</v>
      </c>
      <c r="E579" s="310" t="s">
        <v>1483</v>
      </c>
      <c r="F579" s="309" t="s">
        <v>1508</v>
      </c>
      <c r="G579" s="309" t="s">
        <v>1509</v>
      </c>
      <c r="H579" s="309" t="s">
        <v>1001</v>
      </c>
      <c r="I579" s="311">
        <v>70</v>
      </c>
      <c r="J579" s="338" t="s">
        <v>36</v>
      </c>
    </row>
    <row r="580" spans="1:10" ht="36">
      <c r="A580" s="334" t="s">
        <v>680</v>
      </c>
      <c r="B580" s="309"/>
      <c r="C580" s="309" t="s">
        <v>1477</v>
      </c>
      <c r="D580" s="309" t="s">
        <v>1491</v>
      </c>
      <c r="E580" s="310" t="s">
        <v>1483</v>
      </c>
      <c r="F580" s="309" t="s">
        <v>1508</v>
      </c>
      <c r="G580" s="309" t="s">
        <v>1509</v>
      </c>
      <c r="H580" s="309" t="s">
        <v>1001</v>
      </c>
      <c r="I580" s="311">
        <v>70</v>
      </c>
      <c r="J580" s="339">
        <v>5463.3459999999995</v>
      </c>
    </row>
    <row r="581" spans="1:10">
      <c r="A581" s="334" t="s">
        <v>680</v>
      </c>
      <c r="B581" s="309"/>
      <c r="C581" s="309" t="s">
        <v>1477</v>
      </c>
      <c r="D581" s="309" t="s">
        <v>1491</v>
      </c>
      <c r="E581" s="316" t="s">
        <v>1510</v>
      </c>
      <c r="F581" s="309" t="s">
        <v>1511</v>
      </c>
      <c r="G581" s="309" t="s">
        <v>1512</v>
      </c>
      <c r="H581" s="309" t="s">
        <v>1045</v>
      </c>
      <c r="I581" s="311" t="s">
        <v>36</v>
      </c>
      <c r="J581" s="339" t="s">
        <v>36</v>
      </c>
    </row>
    <row r="582" spans="1:10" ht="24">
      <c r="A582" s="334" t="s">
        <v>423</v>
      </c>
      <c r="B582" s="309"/>
      <c r="C582" s="309" t="s">
        <v>1477</v>
      </c>
      <c r="D582" s="309" t="s">
        <v>1491</v>
      </c>
      <c r="E582" s="313" t="s">
        <v>1513</v>
      </c>
      <c r="F582" s="309" t="s">
        <v>1514</v>
      </c>
      <c r="G582" s="309" t="s">
        <v>1515</v>
      </c>
      <c r="H582" s="309" t="s">
        <v>1001</v>
      </c>
      <c r="I582" s="311">
        <v>27</v>
      </c>
      <c r="J582" s="338">
        <v>27</v>
      </c>
    </row>
    <row r="583" spans="1:10" ht="36">
      <c r="A583" s="334" t="s">
        <v>421</v>
      </c>
      <c r="B583" s="309"/>
      <c r="C583" s="309" t="s">
        <v>1477</v>
      </c>
      <c r="D583" s="309" t="s">
        <v>1491</v>
      </c>
      <c r="E583" s="310" t="s">
        <v>1483</v>
      </c>
      <c r="F583" s="309" t="s">
        <v>1514</v>
      </c>
      <c r="G583" s="309" t="s">
        <v>1515</v>
      </c>
      <c r="H583" s="309" t="s">
        <v>1001</v>
      </c>
      <c r="I583" s="311">
        <v>27</v>
      </c>
      <c r="J583" s="338" t="s">
        <v>36</v>
      </c>
    </row>
    <row r="584" spans="1:10" ht="36">
      <c r="A584" s="334" t="s">
        <v>655</v>
      </c>
      <c r="B584" s="309"/>
      <c r="C584" s="309" t="s">
        <v>1477</v>
      </c>
      <c r="D584" s="309" t="s">
        <v>1491</v>
      </c>
      <c r="E584" s="310" t="s">
        <v>1483</v>
      </c>
      <c r="F584" s="309" t="s">
        <v>1514</v>
      </c>
      <c r="G584" s="309" t="s">
        <v>1515</v>
      </c>
      <c r="H584" s="309" t="s">
        <v>1001</v>
      </c>
      <c r="I584" s="311">
        <v>27</v>
      </c>
      <c r="J584" s="338" t="s">
        <v>36</v>
      </c>
    </row>
    <row r="585" spans="1:10" ht="36">
      <c r="A585" s="334" t="s">
        <v>680</v>
      </c>
      <c r="B585" s="309"/>
      <c r="C585" s="309" t="s">
        <v>1477</v>
      </c>
      <c r="D585" s="309" t="s">
        <v>1491</v>
      </c>
      <c r="E585" s="310" t="s">
        <v>1483</v>
      </c>
      <c r="F585" s="309" t="s">
        <v>1514</v>
      </c>
      <c r="G585" s="309" t="s">
        <v>1515</v>
      </c>
      <c r="H585" s="309" t="s">
        <v>1001</v>
      </c>
      <c r="I585" s="311">
        <v>27</v>
      </c>
      <c r="J585" s="339">
        <v>2107.2905999999998</v>
      </c>
    </row>
    <row r="586" spans="1:10" ht="36">
      <c r="A586" s="334" t="s">
        <v>423</v>
      </c>
      <c r="B586" s="309"/>
      <c r="C586" s="309" t="s">
        <v>1477</v>
      </c>
      <c r="D586" s="309" t="s">
        <v>1491</v>
      </c>
      <c r="E586" s="310" t="s">
        <v>1516</v>
      </c>
      <c r="F586" s="309" t="s">
        <v>1517</v>
      </c>
      <c r="G586" s="309" t="s">
        <v>1518</v>
      </c>
      <c r="H586" s="309" t="s">
        <v>977</v>
      </c>
      <c r="I586" s="311">
        <v>149</v>
      </c>
      <c r="J586" s="338">
        <v>149</v>
      </c>
    </row>
    <row r="587" spans="1:10" ht="36">
      <c r="A587" s="335" t="s">
        <v>421</v>
      </c>
      <c r="B587" s="314" t="s">
        <v>651</v>
      </c>
      <c r="C587" s="309" t="s">
        <v>1477</v>
      </c>
      <c r="D587" s="309" t="s">
        <v>1491</v>
      </c>
      <c r="E587" s="313" t="s">
        <v>1519</v>
      </c>
      <c r="F587" s="309" t="s">
        <v>1517</v>
      </c>
      <c r="G587" s="309" t="s">
        <v>1518</v>
      </c>
      <c r="H587" s="309" t="s">
        <v>977</v>
      </c>
      <c r="I587" s="311">
        <v>145.01</v>
      </c>
      <c r="J587" s="338">
        <v>92.75</v>
      </c>
    </row>
    <row r="588" spans="1:10" ht="36">
      <c r="A588" s="334" t="s">
        <v>655</v>
      </c>
      <c r="B588" s="309"/>
      <c r="C588" s="309" t="s">
        <v>1477</v>
      </c>
      <c r="D588" s="309" t="s">
        <v>1491</v>
      </c>
      <c r="E588" s="315" t="s">
        <v>1520</v>
      </c>
      <c r="F588" s="309" t="s">
        <v>1517</v>
      </c>
      <c r="G588" s="309" t="s">
        <v>1518</v>
      </c>
      <c r="H588" s="309" t="s">
        <v>977</v>
      </c>
      <c r="I588" s="311">
        <v>149</v>
      </c>
      <c r="J588" s="338" t="s">
        <v>36</v>
      </c>
    </row>
    <row r="589" spans="1:10" ht="36">
      <c r="A589" s="334" t="s">
        <v>680</v>
      </c>
      <c r="B589" s="309"/>
      <c r="C589" s="309" t="s">
        <v>1477</v>
      </c>
      <c r="D589" s="309" t="s">
        <v>1491</v>
      </c>
      <c r="E589" s="316" t="s">
        <v>1521</v>
      </c>
      <c r="F589" s="309" t="s">
        <v>1517</v>
      </c>
      <c r="G589" s="309" t="s">
        <v>1518</v>
      </c>
      <c r="H589" s="309" t="s">
        <v>977</v>
      </c>
      <c r="I589" s="311">
        <v>360.24</v>
      </c>
      <c r="J589" s="339">
        <v>28116</v>
      </c>
    </row>
    <row r="590" spans="1:10">
      <c r="A590" s="334" t="s">
        <v>423</v>
      </c>
      <c r="B590" s="309"/>
      <c r="C590" s="309" t="s">
        <v>1477</v>
      </c>
      <c r="D590" s="309" t="s">
        <v>1491</v>
      </c>
      <c r="E590" s="310" t="s">
        <v>1522</v>
      </c>
      <c r="F590" s="309" t="s">
        <v>1523</v>
      </c>
      <c r="G590" s="309" t="s">
        <v>1524</v>
      </c>
      <c r="H590" s="309" t="s">
        <v>977</v>
      </c>
      <c r="I590" s="311">
        <v>201</v>
      </c>
      <c r="J590" s="338">
        <v>201</v>
      </c>
    </row>
    <row r="591" spans="1:10" ht="36">
      <c r="A591" s="334" t="s">
        <v>421</v>
      </c>
      <c r="B591" s="309"/>
      <c r="C591" s="309" t="s">
        <v>1477</v>
      </c>
      <c r="D591" s="309" t="s">
        <v>1491</v>
      </c>
      <c r="E591" s="310" t="s">
        <v>1483</v>
      </c>
      <c r="F591" s="309" t="s">
        <v>1523</v>
      </c>
      <c r="G591" s="309" t="s">
        <v>1524</v>
      </c>
      <c r="H591" s="309" t="s">
        <v>977</v>
      </c>
      <c r="I591" s="311">
        <v>201</v>
      </c>
      <c r="J591" s="338" t="s">
        <v>36</v>
      </c>
    </row>
    <row r="592" spans="1:10" ht="36">
      <c r="A592" s="334" t="s">
        <v>655</v>
      </c>
      <c r="B592" s="309"/>
      <c r="C592" s="309" t="s">
        <v>1477</v>
      </c>
      <c r="D592" s="309" t="s">
        <v>1491</v>
      </c>
      <c r="E592" s="310" t="s">
        <v>1483</v>
      </c>
      <c r="F592" s="309" t="s">
        <v>1523</v>
      </c>
      <c r="G592" s="309" t="s">
        <v>1524</v>
      </c>
      <c r="H592" s="309" t="s">
        <v>977</v>
      </c>
      <c r="I592" s="311">
        <v>201</v>
      </c>
      <c r="J592" s="338" t="s">
        <v>36</v>
      </c>
    </row>
    <row r="593" spans="1:10" ht="36">
      <c r="A593" s="334" t="s">
        <v>680</v>
      </c>
      <c r="B593" s="309"/>
      <c r="C593" s="309" t="s">
        <v>1477</v>
      </c>
      <c r="D593" s="309" t="s">
        <v>1491</v>
      </c>
      <c r="E593" s="310" t="s">
        <v>1483</v>
      </c>
      <c r="F593" s="309" t="s">
        <v>1523</v>
      </c>
      <c r="G593" s="309" t="s">
        <v>1524</v>
      </c>
      <c r="H593" s="309" t="s">
        <v>977</v>
      </c>
      <c r="I593" s="311">
        <v>201</v>
      </c>
      <c r="J593" s="339">
        <v>15687.6078</v>
      </c>
    </row>
    <row r="594" spans="1:10">
      <c r="A594" s="334" t="s">
        <v>423</v>
      </c>
      <c r="B594" s="309"/>
      <c r="C594" s="309" t="s">
        <v>1477</v>
      </c>
      <c r="D594" s="309" t="s">
        <v>1491</v>
      </c>
      <c r="E594" s="310" t="s">
        <v>1525</v>
      </c>
      <c r="F594" s="309" t="s">
        <v>1526</v>
      </c>
      <c r="G594" s="309" t="s">
        <v>1527</v>
      </c>
      <c r="H594" s="309" t="s">
        <v>1528</v>
      </c>
      <c r="I594" s="311">
        <v>200</v>
      </c>
      <c r="J594" s="338">
        <v>200</v>
      </c>
    </row>
    <row r="595" spans="1:10">
      <c r="A595" s="334" t="s">
        <v>423</v>
      </c>
      <c r="B595" s="309"/>
      <c r="C595" s="309" t="s">
        <v>1477</v>
      </c>
      <c r="D595" s="309" t="s">
        <v>1491</v>
      </c>
      <c r="E595" s="310" t="s">
        <v>1529</v>
      </c>
      <c r="F595" s="309" t="s">
        <v>1530</v>
      </c>
      <c r="G595" s="309" t="s">
        <v>1531</v>
      </c>
      <c r="H595" s="309" t="s">
        <v>1001</v>
      </c>
      <c r="I595" s="311">
        <v>6</v>
      </c>
      <c r="J595" s="338">
        <v>6</v>
      </c>
    </row>
    <row r="596" spans="1:10" ht="36">
      <c r="A596" s="334" t="s">
        <v>421</v>
      </c>
      <c r="B596" s="309"/>
      <c r="C596" s="309" t="s">
        <v>1477</v>
      </c>
      <c r="D596" s="309" t="s">
        <v>1491</v>
      </c>
      <c r="E596" s="310" t="s">
        <v>1483</v>
      </c>
      <c r="F596" s="309" t="s">
        <v>1530</v>
      </c>
      <c r="G596" s="309" t="s">
        <v>1531</v>
      </c>
      <c r="H596" s="309" t="s">
        <v>1001</v>
      </c>
      <c r="I596" s="311">
        <v>6</v>
      </c>
      <c r="J596" s="338" t="s">
        <v>36</v>
      </c>
    </row>
    <row r="597" spans="1:10" ht="36">
      <c r="A597" s="334" t="s">
        <v>655</v>
      </c>
      <c r="B597" s="309"/>
      <c r="C597" s="309" t="s">
        <v>1477</v>
      </c>
      <c r="D597" s="309" t="s">
        <v>1491</v>
      </c>
      <c r="E597" s="310" t="s">
        <v>1483</v>
      </c>
      <c r="F597" s="309" t="s">
        <v>1530</v>
      </c>
      <c r="G597" s="309" t="s">
        <v>1531</v>
      </c>
      <c r="H597" s="309" t="s">
        <v>1001</v>
      </c>
      <c r="I597" s="311">
        <v>6</v>
      </c>
      <c r="J597" s="338" t="s">
        <v>36</v>
      </c>
    </row>
    <row r="598" spans="1:10" ht="36">
      <c r="A598" s="334" t="s">
        <v>680</v>
      </c>
      <c r="B598" s="309"/>
      <c r="C598" s="309" t="s">
        <v>1477</v>
      </c>
      <c r="D598" s="309" t="s">
        <v>1491</v>
      </c>
      <c r="E598" s="310" t="s">
        <v>1483</v>
      </c>
      <c r="F598" s="309" t="s">
        <v>1530</v>
      </c>
      <c r="G598" s="309" t="s">
        <v>1531</v>
      </c>
      <c r="H598" s="309" t="s">
        <v>1001</v>
      </c>
      <c r="I598" s="311">
        <v>6</v>
      </c>
      <c r="J598" s="339">
        <v>468.28679999999997</v>
      </c>
    </row>
    <row r="599" spans="1:10" ht="24">
      <c r="A599" s="334" t="s">
        <v>423</v>
      </c>
      <c r="B599" s="309"/>
      <c r="C599" s="309" t="s">
        <v>1477</v>
      </c>
      <c r="D599" s="309" t="s">
        <v>1532</v>
      </c>
      <c r="E599" s="310" t="s">
        <v>1533</v>
      </c>
      <c r="F599" s="309" t="s">
        <v>1534</v>
      </c>
      <c r="G599" s="309" t="s">
        <v>1535</v>
      </c>
      <c r="H599" s="309" t="s">
        <v>1001</v>
      </c>
      <c r="I599" s="311">
        <v>7.48</v>
      </c>
      <c r="J599" s="338">
        <v>7.48</v>
      </c>
    </row>
    <row r="600" spans="1:10" ht="36">
      <c r="A600" s="334" t="s">
        <v>421</v>
      </c>
      <c r="B600" s="309"/>
      <c r="C600" s="309" t="s">
        <v>1477</v>
      </c>
      <c r="D600" s="309" t="s">
        <v>1532</v>
      </c>
      <c r="E600" s="310" t="s">
        <v>1483</v>
      </c>
      <c r="F600" s="309" t="s">
        <v>1534</v>
      </c>
      <c r="G600" s="309" t="s">
        <v>1535</v>
      </c>
      <c r="H600" s="309" t="s">
        <v>1001</v>
      </c>
      <c r="I600" s="311">
        <v>7.48</v>
      </c>
      <c r="J600" s="338" t="s">
        <v>36</v>
      </c>
    </row>
    <row r="601" spans="1:10" ht="36">
      <c r="A601" s="334" t="s">
        <v>655</v>
      </c>
      <c r="B601" s="309"/>
      <c r="C601" s="309" t="s">
        <v>1477</v>
      </c>
      <c r="D601" s="309" t="s">
        <v>1532</v>
      </c>
      <c r="E601" s="310" t="s">
        <v>1483</v>
      </c>
      <c r="F601" s="309" t="s">
        <v>1534</v>
      </c>
      <c r="G601" s="309" t="s">
        <v>1535</v>
      </c>
      <c r="H601" s="309" t="s">
        <v>1001</v>
      </c>
      <c r="I601" s="311">
        <v>7.05</v>
      </c>
      <c r="J601" s="338" t="s">
        <v>36</v>
      </c>
    </row>
    <row r="602" spans="1:10" ht="24">
      <c r="A602" s="334" t="s">
        <v>680</v>
      </c>
      <c r="B602" s="309"/>
      <c r="C602" s="309" t="s">
        <v>1477</v>
      </c>
      <c r="D602" s="309" t="s">
        <v>1532</v>
      </c>
      <c r="E602" s="316" t="s">
        <v>1536</v>
      </c>
      <c r="F602" s="309" t="s">
        <v>1534</v>
      </c>
      <c r="G602" s="309" t="s">
        <v>1535</v>
      </c>
      <c r="H602" s="309" t="s">
        <v>1001</v>
      </c>
      <c r="I602" s="311">
        <v>5</v>
      </c>
      <c r="J602" s="339">
        <v>390</v>
      </c>
    </row>
    <row r="603" spans="1:10" ht="24">
      <c r="A603" s="334" t="s">
        <v>423</v>
      </c>
      <c r="B603" s="309"/>
      <c r="C603" s="309" t="s">
        <v>1477</v>
      </c>
      <c r="D603" s="309" t="s">
        <v>1532</v>
      </c>
      <c r="E603" s="310" t="s">
        <v>1537</v>
      </c>
      <c r="F603" s="309" t="s">
        <v>1538</v>
      </c>
      <c r="G603" s="309" t="s">
        <v>1539</v>
      </c>
      <c r="H603" s="309" t="s">
        <v>1540</v>
      </c>
      <c r="I603" s="311">
        <v>20</v>
      </c>
      <c r="J603" s="338">
        <v>20</v>
      </c>
    </row>
    <row r="604" spans="1:10" ht="36">
      <c r="A604" s="334" t="s">
        <v>421</v>
      </c>
      <c r="B604" s="309"/>
      <c r="C604" s="309" t="s">
        <v>1477</v>
      </c>
      <c r="D604" s="309" t="s">
        <v>1532</v>
      </c>
      <c r="E604" s="310" t="s">
        <v>1483</v>
      </c>
      <c r="F604" s="309" t="s">
        <v>1538</v>
      </c>
      <c r="G604" s="309" t="s">
        <v>1539</v>
      </c>
      <c r="H604" s="309" t="s">
        <v>1540</v>
      </c>
      <c r="I604" s="311">
        <v>20</v>
      </c>
      <c r="J604" s="338" t="s">
        <v>36</v>
      </c>
    </row>
    <row r="605" spans="1:10" ht="36">
      <c r="A605" s="334" t="s">
        <v>655</v>
      </c>
      <c r="B605" s="309"/>
      <c r="C605" s="309" t="s">
        <v>1477</v>
      </c>
      <c r="D605" s="309" t="s">
        <v>1532</v>
      </c>
      <c r="E605" s="310" t="s">
        <v>1483</v>
      </c>
      <c r="F605" s="309" t="s">
        <v>1538</v>
      </c>
      <c r="G605" s="309" t="s">
        <v>1539</v>
      </c>
      <c r="H605" s="309" t="s">
        <v>1540</v>
      </c>
      <c r="I605" s="311">
        <v>20</v>
      </c>
      <c r="J605" s="338" t="s">
        <v>36</v>
      </c>
    </row>
    <row r="606" spans="1:10" ht="24">
      <c r="A606" s="334" t="s">
        <v>680</v>
      </c>
      <c r="B606" s="309"/>
      <c r="C606" s="309" t="s">
        <v>1477</v>
      </c>
      <c r="D606" s="309" t="s">
        <v>1532</v>
      </c>
      <c r="E606" s="310" t="s">
        <v>1537</v>
      </c>
      <c r="F606" s="309" t="s">
        <v>1538</v>
      </c>
      <c r="G606" s="309" t="s">
        <v>1539</v>
      </c>
      <c r="H606" s="309" t="s">
        <v>1540</v>
      </c>
      <c r="I606" s="311">
        <v>20</v>
      </c>
      <c r="J606" s="339">
        <v>1560.9559999999999</v>
      </c>
    </row>
    <row r="607" spans="1:10" ht="36">
      <c r="A607" s="334" t="s">
        <v>423</v>
      </c>
      <c r="B607" s="309"/>
      <c r="C607" s="309" t="s">
        <v>1477</v>
      </c>
      <c r="D607" s="309" t="s">
        <v>1532</v>
      </c>
      <c r="E607" s="310" t="s">
        <v>1541</v>
      </c>
      <c r="F607" s="309" t="s">
        <v>1542</v>
      </c>
      <c r="G607" s="309" t="s">
        <v>1543</v>
      </c>
      <c r="H607" s="309" t="s">
        <v>1001</v>
      </c>
      <c r="I607" s="311">
        <v>14.08</v>
      </c>
      <c r="J607" s="338">
        <v>14.08</v>
      </c>
    </row>
    <row r="608" spans="1:10" ht="36">
      <c r="A608" s="334" t="s">
        <v>421</v>
      </c>
      <c r="B608" s="309"/>
      <c r="C608" s="309" t="s">
        <v>1477</v>
      </c>
      <c r="D608" s="309" t="s">
        <v>1532</v>
      </c>
      <c r="E608" s="310" t="s">
        <v>1483</v>
      </c>
      <c r="F608" s="309" t="s">
        <v>1542</v>
      </c>
      <c r="G608" s="309" t="s">
        <v>1543</v>
      </c>
      <c r="H608" s="309" t="s">
        <v>1001</v>
      </c>
      <c r="I608" s="311">
        <v>14.08</v>
      </c>
      <c r="J608" s="338" t="s">
        <v>36</v>
      </c>
    </row>
    <row r="609" spans="1:10" ht="36">
      <c r="A609" s="334" t="s">
        <v>655</v>
      </c>
      <c r="B609" s="309"/>
      <c r="C609" s="309" t="s">
        <v>1477</v>
      </c>
      <c r="D609" s="309" t="s">
        <v>1532</v>
      </c>
      <c r="E609" s="315" t="s">
        <v>1544</v>
      </c>
      <c r="F609" s="309" t="s">
        <v>1542</v>
      </c>
      <c r="G609" s="309" t="s">
        <v>1543</v>
      </c>
      <c r="H609" s="309" t="s">
        <v>1001</v>
      </c>
      <c r="I609" s="311">
        <v>6.01</v>
      </c>
      <c r="J609" s="338" t="s">
        <v>36</v>
      </c>
    </row>
    <row r="610" spans="1:10" ht="36">
      <c r="A610" s="334" t="s">
        <v>680</v>
      </c>
      <c r="B610" s="309"/>
      <c r="C610" s="309" t="s">
        <v>1477</v>
      </c>
      <c r="D610" s="309" t="s">
        <v>1532</v>
      </c>
      <c r="E610" s="310" t="s">
        <v>1483</v>
      </c>
      <c r="F610" s="309" t="s">
        <v>1542</v>
      </c>
      <c r="G610" s="309" t="s">
        <v>1543</v>
      </c>
      <c r="H610" s="309" t="s">
        <v>1001</v>
      </c>
      <c r="I610" s="311">
        <v>14.08</v>
      </c>
      <c r="J610" s="339">
        <v>1098.913024</v>
      </c>
    </row>
    <row r="611" spans="1:10" ht="36">
      <c r="A611" s="334" t="s">
        <v>423</v>
      </c>
      <c r="B611" s="309"/>
      <c r="C611" s="309" t="s">
        <v>1477</v>
      </c>
      <c r="D611" s="309" t="s">
        <v>1532</v>
      </c>
      <c r="E611" s="310" t="s">
        <v>1545</v>
      </c>
      <c r="F611" s="309" t="s">
        <v>1546</v>
      </c>
      <c r="G611" s="309" t="s">
        <v>1547</v>
      </c>
      <c r="H611" s="309" t="s">
        <v>1001</v>
      </c>
      <c r="I611" s="311">
        <v>9.2799999999999994</v>
      </c>
      <c r="J611" s="338">
        <v>9.2799999999999994</v>
      </c>
    </row>
    <row r="612" spans="1:10" ht="36">
      <c r="A612" s="334" t="s">
        <v>421</v>
      </c>
      <c r="B612" s="309"/>
      <c r="C612" s="309" t="s">
        <v>1477</v>
      </c>
      <c r="D612" s="309" t="s">
        <v>1532</v>
      </c>
      <c r="E612" s="310" t="s">
        <v>1483</v>
      </c>
      <c r="F612" s="309" t="s">
        <v>1546</v>
      </c>
      <c r="G612" s="309" t="s">
        <v>1547</v>
      </c>
      <c r="H612" s="309" t="s">
        <v>1001</v>
      </c>
      <c r="I612" s="311">
        <v>8.57</v>
      </c>
      <c r="J612" s="338" t="s">
        <v>36</v>
      </c>
    </row>
    <row r="613" spans="1:10" ht="36">
      <c r="A613" s="334" t="s">
        <v>655</v>
      </c>
      <c r="B613" s="309"/>
      <c r="C613" s="309" t="s">
        <v>1477</v>
      </c>
      <c r="D613" s="309" t="s">
        <v>1532</v>
      </c>
      <c r="E613" s="315" t="s">
        <v>1548</v>
      </c>
      <c r="F613" s="309" t="s">
        <v>1546</v>
      </c>
      <c r="G613" s="309" t="s">
        <v>1547</v>
      </c>
      <c r="H613" s="309" t="s">
        <v>1001</v>
      </c>
      <c r="I613" s="311">
        <v>3.589</v>
      </c>
      <c r="J613" s="338" t="s">
        <v>36</v>
      </c>
    </row>
    <row r="614" spans="1:10" ht="36">
      <c r="A614" s="334" t="s">
        <v>680</v>
      </c>
      <c r="B614" s="309"/>
      <c r="C614" s="309" t="s">
        <v>1477</v>
      </c>
      <c r="D614" s="309" t="s">
        <v>1532</v>
      </c>
      <c r="E614" s="310" t="s">
        <v>1483</v>
      </c>
      <c r="F614" s="309" t="s">
        <v>1546</v>
      </c>
      <c r="G614" s="309" t="s">
        <v>1547</v>
      </c>
      <c r="H614" s="309" t="s">
        <v>1001</v>
      </c>
      <c r="I614" s="311">
        <v>8.57</v>
      </c>
      <c r="J614" s="339">
        <v>668.86964599999999</v>
      </c>
    </row>
    <row r="615" spans="1:10" ht="36">
      <c r="A615" s="334" t="s">
        <v>655</v>
      </c>
      <c r="B615" s="309"/>
      <c r="C615" s="309" t="s">
        <v>1477</v>
      </c>
      <c r="D615" s="309" t="s">
        <v>1532</v>
      </c>
      <c r="E615" s="315" t="s">
        <v>1549</v>
      </c>
      <c r="F615" s="309" t="s">
        <v>1550</v>
      </c>
      <c r="G615" s="309" t="s">
        <v>1551</v>
      </c>
      <c r="H615" s="309" t="s">
        <v>1552</v>
      </c>
      <c r="I615" s="311">
        <v>2.84</v>
      </c>
      <c r="J615" s="338" t="s">
        <v>36</v>
      </c>
    </row>
    <row r="616" spans="1:10" ht="36">
      <c r="A616" s="334" t="s">
        <v>680</v>
      </c>
      <c r="B616" s="309"/>
      <c r="C616" s="309" t="s">
        <v>1477</v>
      </c>
      <c r="D616" s="309" t="s">
        <v>1532</v>
      </c>
      <c r="E616" s="316" t="s">
        <v>1553</v>
      </c>
      <c r="F616" s="309" t="s">
        <v>1550</v>
      </c>
      <c r="G616" s="309" t="s">
        <v>1551</v>
      </c>
      <c r="H616" s="309" t="s">
        <v>1552</v>
      </c>
      <c r="I616" s="311">
        <v>15.62</v>
      </c>
      <c r="J616" s="339">
        <v>1219</v>
      </c>
    </row>
    <row r="617" spans="1:10">
      <c r="A617" s="337" t="s">
        <v>423</v>
      </c>
      <c r="B617" s="328"/>
      <c r="C617" s="328" t="s">
        <v>1477</v>
      </c>
      <c r="D617" s="328" t="s">
        <v>1532</v>
      </c>
      <c r="E617" s="329" t="s">
        <v>1554</v>
      </c>
      <c r="F617" s="328" t="s">
        <v>1555</v>
      </c>
      <c r="G617" s="330" t="s">
        <v>1556</v>
      </c>
      <c r="H617" s="328" t="s">
        <v>1557</v>
      </c>
      <c r="I617" s="331">
        <v>2.5</v>
      </c>
      <c r="J617" s="341" t="s">
        <v>36</v>
      </c>
    </row>
    <row r="618" spans="1:10" ht="48">
      <c r="A618" s="334" t="s">
        <v>423</v>
      </c>
      <c r="B618" s="309"/>
      <c r="C618" s="309" t="s">
        <v>1477</v>
      </c>
      <c r="D618" s="309" t="s">
        <v>1532</v>
      </c>
      <c r="E618" s="310" t="s">
        <v>1558</v>
      </c>
      <c r="F618" s="309" t="s">
        <v>1559</v>
      </c>
      <c r="G618" s="309" t="s">
        <v>1560</v>
      </c>
      <c r="H618" s="309" t="s">
        <v>1561</v>
      </c>
      <c r="I618" s="311" t="s">
        <v>36</v>
      </c>
      <c r="J618" s="338" t="s">
        <v>36</v>
      </c>
    </row>
    <row r="619" spans="1:10" ht="48">
      <c r="A619" s="334" t="s">
        <v>421</v>
      </c>
      <c r="B619" s="309"/>
      <c r="C619" s="309" t="s">
        <v>1477</v>
      </c>
      <c r="D619" s="309" t="s">
        <v>1532</v>
      </c>
      <c r="E619" s="310" t="s">
        <v>1558</v>
      </c>
      <c r="F619" s="309" t="s">
        <v>1559</v>
      </c>
      <c r="G619" s="309" t="s">
        <v>1560</v>
      </c>
      <c r="H619" s="309" t="s">
        <v>1561</v>
      </c>
      <c r="I619" s="311" t="s">
        <v>36</v>
      </c>
      <c r="J619" s="338" t="s">
        <v>36</v>
      </c>
    </row>
    <row r="620" spans="1:10" ht="48">
      <c r="A620" s="334" t="s">
        <v>655</v>
      </c>
      <c r="B620" s="309"/>
      <c r="C620" s="309" t="s">
        <v>1477</v>
      </c>
      <c r="D620" s="309" t="s">
        <v>1532</v>
      </c>
      <c r="E620" s="310" t="s">
        <v>1558</v>
      </c>
      <c r="F620" s="309" t="s">
        <v>1559</v>
      </c>
      <c r="G620" s="309" t="s">
        <v>1560</v>
      </c>
      <c r="H620" s="309" t="s">
        <v>1561</v>
      </c>
      <c r="I620" s="311" t="s">
        <v>36</v>
      </c>
      <c r="J620" s="338" t="s">
        <v>36</v>
      </c>
    </row>
    <row r="621" spans="1:10" ht="48">
      <c r="A621" s="334" t="s">
        <v>680</v>
      </c>
      <c r="B621" s="309"/>
      <c r="C621" s="309" t="s">
        <v>1477</v>
      </c>
      <c r="D621" s="309" t="s">
        <v>1532</v>
      </c>
      <c r="E621" s="310" t="s">
        <v>1558</v>
      </c>
      <c r="F621" s="309" t="s">
        <v>1559</v>
      </c>
      <c r="G621" s="309" t="s">
        <v>1560</v>
      </c>
      <c r="H621" s="309" t="s">
        <v>1561</v>
      </c>
      <c r="I621" s="311" t="s">
        <v>36</v>
      </c>
      <c r="J621" s="339" t="s">
        <v>36</v>
      </c>
    </row>
    <row r="622" spans="1:10">
      <c r="A622" s="334" t="s">
        <v>680</v>
      </c>
      <c r="B622" s="309"/>
      <c r="C622" s="309" t="s">
        <v>1477</v>
      </c>
      <c r="D622" s="309" t="s">
        <v>1532</v>
      </c>
      <c r="E622" s="316" t="s">
        <v>1562</v>
      </c>
      <c r="F622" s="309" t="s">
        <v>1563</v>
      </c>
      <c r="G622" s="309" t="s">
        <v>1564</v>
      </c>
      <c r="H622" s="309" t="s">
        <v>1045</v>
      </c>
      <c r="I622" s="311" t="s">
        <v>36</v>
      </c>
      <c r="J622" s="339" t="s">
        <v>36</v>
      </c>
    </row>
    <row r="623" spans="1:10" ht="48">
      <c r="A623" s="334" t="s">
        <v>423</v>
      </c>
      <c r="B623" s="309"/>
      <c r="C623" s="309" t="s">
        <v>1477</v>
      </c>
      <c r="D623" s="309" t="s">
        <v>1532</v>
      </c>
      <c r="E623" s="310" t="s">
        <v>1565</v>
      </c>
      <c r="F623" s="309" t="s">
        <v>1566</v>
      </c>
      <c r="G623" s="309" t="s">
        <v>1567</v>
      </c>
      <c r="H623" s="309" t="s">
        <v>1568</v>
      </c>
      <c r="I623" s="311">
        <v>10.5</v>
      </c>
      <c r="J623" s="338">
        <v>10.5</v>
      </c>
    </row>
    <row r="624" spans="1:10" ht="48">
      <c r="A624" s="334" t="s">
        <v>421</v>
      </c>
      <c r="B624" s="309"/>
      <c r="C624" s="309" t="s">
        <v>1477</v>
      </c>
      <c r="D624" s="309" t="s">
        <v>1532</v>
      </c>
      <c r="E624" s="310" t="s">
        <v>1483</v>
      </c>
      <c r="F624" s="309" t="s">
        <v>1566</v>
      </c>
      <c r="G624" s="309" t="s">
        <v>1567</v>
      </c>
      <c r="H624" s="309" t="s">
        <v>1568</v>
      </c>
      <c r="I624" s="311">
        <v>10.5</v>
      </c>
      <c r="J624" s="338" t="s">
        <v>36</v>
      </c>
    </row>
    <row r="625" spans="1:10" ht="48">
      <c r="A625" s="334" t="s">
        <v>655</v>
      </c>
      <c r="B625" s="309"/>
      <c r="C625" s="309" t="s">
        <v>1477</v>
      </c>
      <c r="D625" s="309" t="s">
        <v>1532</v>
      </c>
      <c r="E625" s="315" t="s">
        <v>1569</v>
      </c>
      <c r="F625" s="309" t="s">
        <v>1566</v>
      </c>
      <c r="G625" s="309" t="s">
        <v>1567</v>
      </c>
      <c r="H625" s="309" t="s">
        <v>1568</v>
      </c>
      <c r="I625" s="311">
        <v>0.08</v>
      </c>
      <c r="J625" s="338" t="s">
        <v>36</v>
      </c>
    </row>
    <row r="626" spans="1:10" ht="48">
      <c r="A626" s="334" t="s">
        <v>680</v>
      </c>
      <c r="B626" s="309"/>
      <c r="C626" s="309" t="s">
        <v>1477</v>
      </c>
      <c r="D626" s="309" t="s">
        <v>1532</v>
      </c>
      <c r="E626" s="316" t="s">
        <v>1570</v>
      </c>
      <c r="F626" s="309" t="s">
        <v>1566</v>
      </c>
      <c r="G626" s="309" t="s">
        <v>1567</v>
      </c>
      <c r="H626" s="309" t="s">
        <v>1568</v>
      </c>
      <c r="I626" s="311">
        <v>0.15</v>
      </c>
      <c r="J626" s="339">
        <v>12</v>
      </c>
    </row>
    <row r="627" spans="1:10" ht="48">
      <c r="A627" s="334" t="s">
        <v>423</v>
      </c>
      <c r="B627" s="309"/>
      <c r="C627" s="309" t="s">
        <v>1477</v>
      </c>
      <c r="D627" s="309" t="s">
        <v>1532</v>
      </c>
      <c r="E627" s="313" t="s">
        <v>1571</v>
      </c>
      <c r="F627" s="314" t="s">
        <v>1572</v>
      </c>
      <c r="G627" s="309" t="s">
        <v>1567</v>
      </c>
      <c r="H627" s="309" t="s">
        <v>1568</v>
      </c>
      <c r="I627" s="311">
        <v>0.15</v>
      </c>
      <c r="J627" s="338">
        <v>0.15</v>
      </c>
    </row>
    <row r="628" spans="1:10" ht="48">
      <c r="A628" s="334" t="s">
        <v>421</v>
      </c>
      <c r="B628" s="309"/>
      <c r="C628" s="309" t="s">
        <v>1477</v>
      </c>
      <c r="D628" s="309" t="s">
        <v>1532</v>
      </c>
      <c r="E628" s="310" t="s">
        <v>1483</v>
      </c>
      <c r="F628" s="314" t="s">
        <v>1572</v>
      </c>
      <c r="G628" s="309" t="s">
        <v>1567</v>
      </c>
      <c r="H628" s="309" t="s">
        <v>1568</v>
      </c>
      <c r="I628" s="311">
        <v>0.15</v>
      </c>
      <c r="J628" s="338" t="s">
        <v>36</v>
      </c>
    </row>
    <row r="629" spans="1:10" ht="48">
      <c r="A629" s="334" t="s">
        <v>655</v>
      </c>
      <c r="B629" s="309"/>
      <c r="C629" s="309" t="s">
        <v>1477</v>
      </c>
      <c r="D629" s="309" t="s">
        <v>1532</v>
      </c>
      <c r="E629" s="310" t="s">
        <v>1483</v>
      </c>
      <c r="F629" s="314" t="s">
        <v>1572</v>
      </c>
      <c r="G629" s="309" t="s">
        <v>1567</v>
      </c>
      <c r="H629" s="309" t="s">
        <v>1568</v>
      </c>
      <c r="I629" s="311">
        <v>0.15</v>
      </c>
      <c r="J629" s="338" t="s">
        <v>36</v>
      </c>
    </row>
    <row r="630" spans="1:10" ht="48">
      <c r="A630" s="334" t="s">
        <v>680</v>
      </c>
      <c r="B630" s="309"/>
      <c r="C630" s="309" t="s">
        <v>1477</v>
      </c>
      <c r="D630" s="309" t="s">
        <v>1532</v>
      </c>
      <c r="E630" s="310" t="s">
        <v>1483</v>
      </c>
      <c r="F630" s="314" t="s">
        <v>1572</v>
      </c>
      <c r="G630" s="309" t="s">
        <v>1567</v>
      </c>
      <c r="H630" s="309" t="s">
        <v>1568</v>
      </c>
      <c r="I630" s="311">
        <v>0.15</v>
      </c>
      <c r="J630" s="339">
        <v>11.70717</v>
      </c>
    </row>
    <row r="631" spans="1:10" ht="48">
      <c r="A631" s="334" t="s">
        <v>423</v>
      </c>
      <c r="B631" s="309"/>
      <c r="C631" s="309" t="s">
        <v>1477</v>
      </c>
      <c r="D631" s="309" t="s">
        <v>1532</v>
      </c>
      <c r="E631" s="313" t="s">
        <v>1573</v>
      </c>
      <c r="F631" s="309" t="s">
        <v>1574</v>
      </c>
      <c r="G631" s="309" t="s">
        <v>1567</v>
      </c>
      <c r="H631" s="309" t="s">
        <v>1568</v>
      </c>
      <c r="I631" s="311">
        <v>0.25</v>
      </c>
      <c r="J631" s="338">
        <v>0.25</v>
      </c>
    </row>
    <row r="632" spans="1:10" ht="48">
      <c r="A632" s="334" t="s">
        <v>421</v>
      </c>
      <c r="B632" s="309"/>
      <c r="C632" s="309" t="s">
        <v>1477</v>
      </c>
      <c r="D632" s="309" t="s">
        <v>1532</v>
      </c>
      <c r="E632" s="310" t="s">
        <v>1483</v>
      </c>
      <c r="F632" s="309" t="s">
        <v>1574</v>
      </c>
      <c r="G632" s="309" t="s">
        <v>1567</v>
      </c>
      <c r="H632" s="309" t="s">
        <v>1568</v>
      </c>
      <c r="I632" s="311">
        <v>0.25</v>
      </c>
      <c r="J632" s="338" t="s">
        <v>36</v>
      </c>
    </row>
    <row r="633" spans="1:10" ht="48">
      <c r="A633" s="334" t="s">
        <v>655</v>
      </c>
      <c r="B633" s="309"/>
      <c r="C633" s="309" t="s">
        <v>1477</v>
      </c>
      <c r="D633" s="309" t="s">
        <v>1532</v>
      </c>
      <c r="E633" s="310" t="s">
        <v>1483</v>
      </c>
      <c r="F633" s="309" t="s">
        <v>1574</v>
      </c>
      <c r="G633" s="309" t="s">
        <v>1567</v>
      </c>
      <c r="H633" s="309" t="s">
        <v>1568</v>
      </c>
      <c r="I633" s="311">
        <v>0.25</v>
      </c>
      <c r="J633" s="338" t="s">
        <v>36</v>
      </c>
    </row>
    <row r="634" spans="1:10" ht="48">
      <c r="A634" s="334" t="s">
        <v>680</v>
      </c>
      <c r="B634" s="309"/>
      <c r="C634" s="309" t="s">
        <v>1477</v>
      </c>
      <c r="D634" s="309" t="s">
        <v>1532</v>
      </c>
      <c r="E634" s="310" t="s">
        <v>1483</v>
      </c>
      <c r="F634" s="309" t="s">
        <v>1574</v>
      </c>
      <c r="G634" s="309" t="s">
        <v>1567</v>
      </c>
      <c r="H634" s="309" t="s">
        <v>1568</v>
      </c>
      <c r="I634" s="311">
        <v>0.25</v>
      </c>
      <c r="J634" s="339">
        <v>19.511949999999999</v>
      </c>
    </row>
    <row r="635" spans="1:10" ht="24">
      <c r="A635" s="334" t="s">
        <v>423</v>
      </c>
      <c r="B635" s="309"/>
      <c r="C635" s="309" t="s">
        <v>1477</v>
      </c>
      <c r="D635" s="309" t="s">
        <v>1575</v>
      </c>
      <c r="E635" s="310" t="s">
        <v>1576</v>
      </c>
      <c r="F635" s="309" t="s">
        <v>1577</v>
      </c>
      <c r="G635" s="309" t="s">
        <v>1578</v>
      </c>
      <c r="H635" s="309" t="s">
        <v>977</v>
      </c>
      <c r="I635" s="311">
        <v>6.7</v>
      </c>
      <c r="J635" s="338">
        <v>6.7</v>
      </c>
    </row>
    <row r="636" spans="1:10" ht="24">
      <c r="A636" s="334" t="s">
        <v>421</v>
      </c>
      <c r="B636" s="309" t="s">
        <v>651</v>
      </c>
      <c r="C636" s="309" t="s">
        <v>1477</v>
      </c>
      <c r="D636" s="309" t="s">
        <v>1575</v>
      </c>
      <c r="E636" s="313" t="s">
        <v>1579</v>
      </c>
      <c r="F636" s="309" t="s">
        <v>1577</v>
      </c>
      <c r="G636" s="309" t="s">
        <v>1578</v>
      </c>
      <c r="H636" s="309" t="s">
        <v>977</v>
      </c>
      <c r="I636" s="311">
        <v>6.65</v>
      </c>
      <c r="J636" s="338">
        <v>4.25</v>
      </c>
    </row>
    <row r="637" spans="1:10" ht="24">
      <c r="A637" s="334" t="s">
        <v>655</v>
      </c>
      <c r="B637" s="309"/>
      <c r="C637" s="309" t="s">
        <v>1477</v>
      </c>
      <c r="D637" s="309" t="s">
        <v>1575</v>
      </c>
      <c r="E637" s="315" t="s">
        <v>1580</v>
      </c>
      <c r="F637" s="309" t="s">
        <v>1577</v>
      </c>
      <c r="G637" s="309" t="s">
        <v>1578</v>
      </c>
      <c r="H637" s="309" t="s">
        <v>977</v>
      </c>
      <c r="I637" s="311">
        <v>5.15</v>
      </c>
      <c r="J637" s="338" t="s">
        <v>36</v>
      </c>
    </row>
    <row r="638" spans="1:10" ht="24">
      <c r="A638" s="334" t="s">
        <v>680</v>
      </c>
      <c r="B638" s="309"/>
      <c r="C638" s="309" t="s">
        <v>1477</v>
      </c>
      <c r="D638" s="309" t="s">
        <v>1575</v>
      </c>
      <c r="E638" s="316" t="s">
        <v>1581</v>
      </c>
      <c r="F638" s="309" t="s">
        <v>1577</v>
      </c>
      <c r="G638" s="309" t="s">
        <v>1578</v>
      </c>
      <c r="H638" s="309" t="s">
        <v>977</v>
      </c>
      <c r="I638" s="311">
        <v>33.53</v>
      </c>
      <c r="J638" s="339">
        <v>2617</v>
      </c>
    </row>
    <row r="639" spans="1:10">
      <c r="A639" s="334" t="s">
        <v>680</v>
      </c>
      <c r="B639" s="309"/>
      <c r="C639" s="309" t="s">
        <v>1477</v>
      </c>
      <c r="D639" s="309" t="s">
        <v>1575</v>
      </c>
      <c r="E639" s="316" t="s">
        <v>1582</v>
      </c>
      <c r="F639" s="309" t="s">
        <v>1583</v>
      </c>
      <c r="G639" s="309" t="s">
        <v>1584</v>
      </c>
      <c r="H639" s="309" t="s">
        <v>977</v>
      </c>
      <c r="I639" s="311">
        <v>44.45</v>
      </c>
      <c r="J639" s="339">
        <v>3469</v>
      </c>
    </row>
    <row r="640" spans="1:10" ht="24">
      <c r="A640" s="334" t="s">
        <v>421</v>
      </c>
      <c r="B640" s="309" t="s">
        <v>651</v>
      </c>
      <c r="C640" s="309" t="s">
        <v>1477</v>
      </c>
      <c r="D640" s="309" t="s">
        <v>1575</v>
      </c>
      <c r="E640" s="313" t="s">
        <v>1585</v>
      </c>
      <c r="F640" s="309" t="s">
        <v>1586</v>
      </c>
      <c r="G640" s="309" t="s">
        <v>1587</v>
      </c>
      <c r="H640" s="309" t="s">
        <v>977</v>
      </c>
      <c r="I640" s="311">
        <v>12.5</v>
      </c>
      <c r="J640" s="338">
        <v>7.99</v>
      </c>
    </row>
    <row r="641" spans="1:10">
      <c r="A641" s="334" t="s">
        <v>680</v>
      </c>
      <c r="B641" s="309"/>
      <c r="C641" s="309" t="s">
        <v>1477</v>
      </c>
      <c r="D641" s="309" t="s">
        <v>1575</v>
      </c>
      <c r="E641" s="316" t="s">
        <v>1588</v>
      </c>
      <c r="F641" s="309" t="s">
        <v>1586</v>
      </c>
      <c r="G641" s="309" t="s">
        <v>1587</v>
      </c>
      <c r="H641" s="309" t="s">
        <v>977</v>
      </c>
      <c r="I641" s="311">
        <v>333.13</v>
      </c>
      <c r="J641" s="339">
        <v>26000</v>
      </c>
    </row>
    <row r="642" spans="1:10" ht="24">
      <c r="A642" s="334" t="s">
        <v>423</v>
      </c>
      <c r="B642" s="309"/>
      <c r="C642" s="309" t="s">
        <v>1477</v>
      </c>
      <c r="D642" s="309" t="s">
        <v>1575</v>
      </c>
      <c r="E642" s="310" t="s">
        <v>1589</v>
      </c>
      <c r="F642" s="309" t="s">
        <v>1590</v>
      </c>
      <c r="G642" s="309" t="s">
        <v>1591</v>
      </c>
      <c r="H642" s="309" t="s">
        <v>977</v>
      </c>
      <c r="I642" s="311">
        <v>8.2899999999999991</v>
      </c>
      <c r="J642" s="338">
        <v>8.2899999999999991</v>
      </c>
    </row>
    <row r="643" spans="1:10" ht="24">
      <c r="A643" s="334" t="s">
        <v>421</v>
      </c>
      <c r="B643" s="309" t="s">
        <v>651</v>
      </c>
      <c r="C643" s="309" t="s">
        <v>1477</v>
      </c>
      <c r="D643" s="309" t="s">
        <v>1575</v>
      </c>
      <c r="E643" s="313" t="s">
        <v>1592</v>
      </c>
      <c r="F643" s="309" t="s">
        <v>1590</v>
      </c>
      <c r="G643" s="309" t="s">
        <v>1591</v>
      </c>
      <c r="H643" s="309" t="s">
        <v>977</v>
      </c>
      <c r="I643" s="311">
        <v>9.1</v>
      </c>
      <c r="J643" s="338">
        <v>5.82</v>
      </c>
    </row>
    <row r="644" spans="1:10" ht="24">
      <c r="A644" s="334" t="s">
        <v>655</v>
      </c>
      <c r="B644" s="309"/>
      <c r="C644" s="309" t="s">
        <v>1477</v>
      </c>
      <c r="D644" s="309" t="s">
        <v>1575</v>
      </c>
      <c r="E644" s="315" t="s">
        <v>1593</v>
      </c>
      <c r="F644" s="309" t="s">
        <v>1590</v>
      </c>
      <c r="G644" s="309" t="s">
        <v>1591</v>
      </c>
      <c r="H644" s="309" t="s">
        <v>977</v>
      </c>
      <c r="I644" s="311">
        <v>15.91</v>
      </c>
      <c r="J644" s="338" t="s">
        <v>36</v>
      </c>
    </row>
    <row r="645" spans="1:10" ht="24">
      <c r="A645" s="334" t="s">
        <v>680</v>
      </c>
      <c r="B645" s="309"/>
      <c r="C645" s="309" t="s">
        <v>1477</v>
      </c>
      <c r="D645" s="309" t="s">
        <v>1575</v>
      </c>
      <c r="E645" s="316" t="s">
        <v>1594</v>
      </c>
      <c r="F645" s="309" t="s">
        <v>1590</v>
      </c>
      <c r="G645" s="309" t="s">
        <v>1591</v>
      </c>
      <c r="H645" s="309" t="s">
        <v>977</v>
      </c>
      <c r="I645" s="311">
        <v>30.25</v>
      </c>
      <c r="J645" s="339">
        <v>2361</v>
      </c>
    </row>
    <row r="646" spans="1:10" ht="48">
      <c r="A646" s="334" t="s">
        <v>423</v>
      </c>
      <c r="B646" s="309"/>
      <c r="C646" s="309" t="s">
        <v>1477</v>
      </c>
      <c r="D646" s="309" t="s">
        <v>1595</v>
      </c>
      <c r="E646" s="310" t="s">
        <v>1596</v>
      </c>
      <c r="F646" s="309" t="s">
        <v>1597</v>
      </c>
      <c r="G646" s="309" t="s">
        <v>1598</v>
      </c>
      <c r="H646" s="309" t="s">
        <v>1599</v>
      </c>
      <c r="I646" s="311">
        <v>3.5</v>
      </c>
      <c r="J646" s="338">
        <v>3.5</v>
      </c>
    </row>
    <row r="647" spans="1:10" ht="48">
      <c r="A647" s="334" t="s">
        <v>421</v>
      </c>
      <c r="B647" s="309" t="s">
        <v>651</v>
      </c>
      <c r="C647" s="309" t="s">
        <v>1477</v>
      </c>
      <c r="D647" s="309" t="s">
        <v>1595</v>
      </c>
      <c r="E647" s="310" t="s">
        <v>1600</v>
      </c>
      <c r="F647" s="309" t="s">
        <v>1597</v>
      </c>
      <c r="G647" s="309" t="s">
        <v>1598</v>
      </c>
      <c r="H647" s="309" t="s">
        <v>1599</v>
      </c>
      <c r="I647" s="311">
        <v>3.4</v>
      </c>
      <c r="J647" s="338">
        <v>2.17</v>
      </c>
    </row>
    <row r="648" spans="1:10" ht="48">
      <c r="A648" s="334" t="s">
        <v>655</v>
      </c>
      <c r="B648" s="309"/>
      <c r="C648" s="309" t="s">
        <v>1477</v>
      </c>
      <c r="D648" s="309" t="s">
        <v>1595</v>
      </c>
      <c r="E648" s="315" t="s">
        <v>1601</v>
      </c>
      <c r="F648" s="309" t="s">
        <v>1597</v>
      </c>
      <c r="G648" s="309" t="s">
        <v>1598</v>
      </c>
      <c r="H648" s="309" t="s">
        <v>1599</v>
      </c>
      <c r="I648" s="311">
        <v>3.4</v>
      </c>
      <c r="J648" s="338" t="s">
        <v>36</v>
      </c>
    </row>
    <row r="649" spans="1:10" ht="84">
      <c r="A649" s="334" t="s">
        <v>423</v>
      </c>
      <c r="B649" s="309"/>
      <c r="C649" s="309" t="s">
        <v>1477</v>
      </c>
      <c r="D649" s="309" t="s">
        <v>1595</v>
      </c>
      <c r="E649" s="310" t="s">
        <v>1602</v>
      </c>
      <c r="F649" s="309" t="s">
        <v>1595</v>
      </c>
      <c r="G649" s="309" t="s">
        <v>1603</v>
      </c>
      <c r="H649" s="309" t="s">
        <v>977</v>
      </c>
      <c r="I649" s="311">
        <v>7.5</v>
      </c>
      <c r="J649" s="338">
        <v>7.5</v>
      </c>
    </row>
    <row r="650" spans="1:10" ht="84">
      <c r="A650" s="334" t="s">
        <v>421</v>
      </c>
      <c r="B650" s="309" t="s">
        <v>651</v>
      </c>
      <c r="C650" s="309" t="s">
        <v>1477</v>
      </c>
      <c r="D650" s="309" t="s">
        <v>1595</v>
      </c>
      <c r="E650" s="313" t="s">
        <v>1604</v>
      </c>
      <c r="F650" s="309" t="s">
        <v>1595</v>
      </c>
      <c r="G650" s="309" t="s">
        <v>1603</v>
      </c>
      <c r="H650" s="309" t="s">
        <v>977</v>
      </c>
      <c r="I650" s="311">
        <v>6.8</v>
      </c>
      <c r="J650" s="338">
        <v>4.3499999999999996</v>
      </c>
    </row>
    <row r="651" spans="1:10" ht="84">
      <c r="A651" s="334" t="s">
        <v>680</v>
      </c>
      <c r="B651" s="309"/>
      <c r="C651" s="309" t="s">
        <v>1477</v>
      </c>
      <c r="D651" s="309" t="s">
        <v>1595</v>
      </c>
      <c r="E651" s="316" t="s">
        <v>1605</v>
      </c>
      <c r="F651" s="309" t="s">
        <v>1595</v>
      </c>
      <c r="G651" s="309" t="s">
        <v>1603</v>
      </c>
      <c r="H651" s="309" t="s">
        <v>977</v>
      </c>
      <c r="I651" s="311">
        <v>21.19</v>
      </c>
      <c r="J651" s="339">
        <v>1654</v>
      </c>
    </row>
    <row r="652" spans="1:10" ht="84">
      <c r="A652" s="334" t="s">
        <v>423</v>
      </c>
      <c r="B652" s="309"/>
      <c r="C652" s="309" t="s">
        <v>1477</v>
      </c>
      <c r="D652" s="309" t="s">
        <v>1595</v>
      </c>
      <c r="E652" s="310" t="s">
        <v>1606</v>
      </c>
      <c r="F652" s="309" t="s">
        <v>1607</v>
      </c>
      <c r="G652" s="309" t="s">
        <v>1603</v>
      </c>
      <c r="H652" s="309" t="s">
        <v>977</v>
      </c>
      <c r="I652" s="311">
        <v>4.3899999999999997</v>
      </c>
      <c r="J652" s="338">
        <v>4.3899999999999997</v>
      </c>
    </row>
    <row r="653" spans="1:10" ht="36">
      <c r="A653" s="334" t="s">
        <v>423</v>
      </c>
      <c r="B653" s="309"/>
      <c r="C653" s="309" t="s">
        <v>1608</v>
      </c>
      <c r="D653" s="309" t="s">
        <v>1609</v>
      </c>
      <c r="E653" s="310" t="s">
        <v>1610</v>
      </c>
      <c r="F653" s="309" t="s">
        <v>1611</v>
      </c>
      <c r="G653" s="309" t="s">
        <v>1612</v>
      </c>
      <c r="H653" s="309" t="s">
        <v>1613</v>
      </c>
      <c r="I653" s="311" t="s">
        <v>1045</v>
      </c>
      <c r="J653" s="338" t="s">
        <v>1045</v>
      </c>
    </row>
    <row r="654" spans="1:10" ht="36">
      <c r="A654" s="334" t="s">
        <v>423</v>
      </c>
      <c r="B654" s="309"/>
      <c r="C654" s="309" t="s">
        <v>1608</v>
      </c>
      <c r="D654" s="309" t="s">
        <v>1609</v>
      </c>
      <c r="E654" s="310" t="s">
        <v>1614</v>
      </c>
      <c r="F654" s="309" t="s">
        <v>1615</v>
      </c>
      <c r="G654" s="309" t="s">
        <v>1616</v>
      </c>
      <c r="H654" s="309" t="s">
        <v>1613</v>
      </c>
      <c r="I654" s="311">
        <v>750</v>
      </c>
      <c r="J654" s="338">
        <v>750</v>
      </c>
    </row>
    <row r="655" spans="1:10" ht="24">
      <c r="A655" s="334" t="s">
        <v>423</v>
      </c>
      <c r="B655" s="309"/>
      <c r="C655" s="309" t="s">
        <v>1608</v>
      </c>
      <c r="D655" s="309" t="s">
        <v>1609</v>
      </c>
      <c r="E655" s="310" t="s">
        <v>1617</v>
      </c>
      <c r="F655" s="309" t="s">
        <v>1618</v>
      </c>
      <c r="G655" s="309" t="s">
        <v>1619</v>
      </c>
      <c r="H655" s="309" t="s">
        <v>1620</v>
      </c>
      <c r="I655" s="311" t="s">
        <v>1045</v>
      </c>
      <c r="J655" s="338" t="s">
        <v>1045</v>
      </c>
    </row>
    <row r="656" spans="1:10" ht="36">
      <c r="A656" s="334" t="s">
        <v>423</v>
      </c>
      <c r="B656" s="309"/>
      <c r="C656" s="309" t="s">
        <v>1608</v>
      </c>
      <c r="D656" s="309" t="s">
        <v>1609</v>
      </c>
      <c r="E656" s="310" t="s">
        <v>1621</v>
      </c>
      <c r="F656" s="309" t="s">
        <v>1622</v>
      </c>
      <c r="G656" s="309" t="s">
        <v>1623</v>
      </c>
      <c r="H656" s="309" t="s">
        <v>977</v>
      </c>
      <c r="I656" s="311">
        <v>1800</v>
      </c>
      <c r="J656" s="338">
        <v>1800</v>
      </c>
    </row>
    <row r="657" spans="1:10" ht="36">
      <c r="A657" s="334" t="s">
        <v>423</v>
      </c>
      <c r="B657" s="309"/>
      <c r="C657" s="309" t="s">
        <v>1608</v>
      </c>
      <c r="D657" s="309" t="s">
        <v>1609</v>
      </c>
      <c r="E657" s="310" t="s">
        <v>1624</v>
      </c>
      <c r="F657" s="309" t="s">
        <v>1625</v>
      </c>
      <c r="G657" s="309" t="s">
        <v>1626</v>
      </c>
      <c r="H657" s="309" t="s">
        <v>977</v>
      </c>
      <c r="I657" s="311">
        <v>279</v>
      </c>
      <c r="J657" s="338">
        <v>279</v>
      </c>
    </row>
    <row r="658" spans="1:10" ht="48">
      <c r="A658" s="334" t="s">
        <v>423</v>
      </c>
      <c r="B658" s="309"/>
      <c r="C658" s="309" t="s">
        <v>1608</v>
      </c>
      <c r="D658" s="309" t="s">
        <v>1627</v>
      </c>
      <c r="E658" s="310" t="s">
        <v>1628</v>
      </c>
      <c r="F658" s="309" t="s">
        <v>1629</v>
      </c>
      <c r="G658" s="309" t="s">
        <v>1630</v>
      </c>
      <c r="H658" s="309" t="s">
        <v>1631</v>
      </c>
      <c r="I658" s="380">
        <v>180</v>
      </c>
      <c r="J658" s="338">
        <v>180</v>
      </c>
    </row>
    <row r="659" spans="1:10" ht="48">
      <c r="A659" s="334" t="s">
        <v>421</v>
      </c>
      <c r="B659" s="309"/>
      <c r="C659" s="309" t="s">
        <v>1608</v>
      </c>
      <c r="D659" s="309" t="s">
        <v>1627</v>
      </c>
      <c r="E659" s="315" t="s">
        <v>1632</v>
      </c>
      <c r="F659" s="309" t="s">
        <v>1629</v>
      </c>
      <c r="G659" s="309" t="s">
        <v>1633</v>
      </c>
      <c r="H659" s="309" t="s">
        <v>1631</v>
      </c>
      <c r="I659" s="311" t="s">
        <v>36</v>
      </c>
      <c r="J659" s="338" t="s">
        <v>36</v>
      </c>
    </row>
    <row r="660" spans="1:10" ht="48">
      <c r="A660" s="334" t="s">
        <v>423</v>
      </c>
      <c r="B660" s="309"/>
      <c r="C660" s="309" t="s">
        <v>1608</v>
      </c>
      <c r="D660" s="309" t="s">
        <v>1627</v>
      </c>
      <c r="E660" s="310" t="s">
        <v>1634</v>
      </c>
      <c r="F660" s="309" t="s">
        <v>1635</v>
      </c>
      <c r="G660" s="309" t="s">
        <v>1633</v>
      </c>
      <c r="H660" s="309" t="s">
        <v>1631</v>
      </c>
      <c r="I660" s="380">
        <v>58.08</v>
      </c>
      <c r="J660" s="338">
        <v>58.08</v>
      </c>
    </row>
    <row r="661" spans="1:10" ht="48">
      <c r="A661" s="334" t="s">
        <v>421</v>
      </c>
      <c r="B661" s="309"/>
      <c r="C661" s="309" t="s">
        <v>1608</v>
      </c>
      <c r="D661" s="309" t="s">
        <v>1627</v>
      </c>
      <c r="E661" s="313" t="s">
        <v>1636</v>
      </c>
      <c r="F661" s="309" t="s">
        <v>1635</v>
      </c>
      <c r="G661" s="309" t="s">
        <v>1633</v>
      </c>
      <c r="H661" s="309" t="s">
        <v>1631</v>
      </c>
      <c r="I661" s="311">
        <v>139.09281779880001</v>
      </c>
      <c r="J661" s="338" t="s">
        <v>36</v>
      </c>
    </row>
    <row r="662" spans="1:10" ht="48">
      <c r="A662" s="334" t="s">
        <v>680</v>
      </c>
      <c r="B662" s="309"/>
      <c r="C662" s="309" t="s">
        <v>1608</v>
      </c>
      <c r="D662" s="309" t="s">
        <v>1627</v>
      </c>
      <c r="E662" s="316" t="s">
        <v>1637</v>
      </c>
      <c r="F662" s="309" t="s">
        <v>1635</v>
      </c>
      <c r="G662" s="309" t="s">
        <v>1633</v>
      </c>
      <c r="H662" s="309" t="s">
        <v>1631</v>
      </c>
      <c r="I662" s="311">
        <v>328.43872601149553</v>
      </c>
      <c r="J662" s="339">
        <v>25633.919999999998</v>
      </c>
    </row>
    <row r="663" spans="1:10" ht="60">
      <c r="A663" s="334" t="s">
        <v>423</v>
      </c>
      <c r="B663" s="309"/>
      <c r="C663" s="309" t="s">
        <v>1608</v>
      </c>
      <c r="D663" s="309" t="s">
        <v>1627</v>
      </c>
      <c r="E663" s="310" t="s">
        <v>1638</v>
      </c>
      <c r="F663" s="309" t="s">
        <v>1639</v>
      </c>
      <c r="G663" s="309" t="s">
        <v>1640</v>
      </c>
      <c r="H663" s="309" t="s">
        <v>1631</v>
      </c>
      <c r="I663" s="380">
        <v>78</v>
      </c>
      <c r="J663" s="338">
        <v>78</v>
      </c>
    </row>
    <row r="664" spans="1:10" ht="36">
      <c r="A664" s="334" t="s">
        <v>680</v>
      </c>
      <c r="B664" s="309"/>
      <c r="C664" s="309" t="s">
        <v>1608</v>
      </c>
      <c r="D664" s="309" t="s">
        <v>1641</v>
      </c>
      <c r="E664" s="316" t="s">
        <v>1642</v>
      </c>
      <c r="F664" s="309" t="s">
        <v>1643</v>
      </c>
      <c r="G664" s="309" t="s">
        <v>1644</v>
      </c>
      <c r="H664" s="309" t="s">
        <v>1645</v>
      </c>
      <c r="I664" s="311">
        <v>156.28576333990196</v>
      </c>
      <c r="J664" s="339">
        <v>12197.76</v>
      </c>
    </row>
    <row r="665" spans="1:10" ht="36">
      <c r="A665" s="334" t="s">
        <v>680</v>
      </c>
      <c r="B665" s="309"/>
      <c r="C665" s="309" t="s">
        <v>1608</v>
      </c>
      <c r="D665" s="309" t="s">
        <v>1641</v>
      </c>
      <c r="E665" s="325" t="s">
        <v>1646</v>
      </c>
      <c r="F665" s="309" t="s">
        <v>1647</v>
      </c>
      <c r="G665" s="309" t="s">
        <v>1644</v>
      </c>
      <c r="H665" s="309" t="s">
        <v>1645</v>
      </c>
      <c r="I665" s="311">
        <v>81.107218909437549</v>
      </c>
      <c r="J665" s="339">
        <v>6330.24</v>
      </c>
    </row>
    <row r="666" spans="1:10" ht="36">
      <c r="A666" s="334" t="s">
        <v>655</v>
      </c>
      <c r="B666" s="314" t="s">
        <v>656</v>
      </c>
      <c r="C666" s="309" t="s">
        <v>1608</v>
      </c>
      <c r="D666" s="309" t="s">
        <v>1641</v>
      </c>
      <c r="E666" s="315" t="s">
        <v>1648</v>
      </c>
      <c r="F666" s="309" t="s">
        <v>1649</v>
      </c>
      <c r="G666" s="309" t="s">
        <v>1650</v>
      </c>
      <c r="H666" s="309" t="s">
        <v>1651</v>
      </c>
      <c r="I666" s="311">
        <v>16.78</v>
      </c>
      <c r="J666" s="338">
        <v>16.276600000000002</v>
      </c>
    </row>
    <row r="667" spans="1:10" ht="36">
      <c r="A667" s="334" t="s">
        <v>655</v>
      </c>
      <c r="B667" s="314"/>
      <c r="C667" s="309" t="s">
        <v>1608</v>
      </c>
      <c r="D667" s="309" t="s">
        <v>1641</v>
      </c>
      <c r="E667" s="315" t="s">
        <v>1652</v>
      </c>
      <c r="F667" s="309" t="s">
        <v>1649</v>
      </c>
      <c r="G667" s="309" t="s">
        <v>1650</v>
      </c>
      <c r="H667" s="309" t="s">
        <v>1651</v>
      </c>
      <c r="I667" s="311">
        <v>4</v>
      </c>
      <c r="J667" s="338" t="s">
        <v>36</v>
      </c>
    </row>
    <row r="668" spans="1:10" ht="36">
      <c r="A668" s="334" t="s">
        <v>423</v>
      </c>
      <c r="B668" s="309"/>
      <c r="C668" s="309" t="s">
        <v>1608</v>
      </c>
      <c r="D668" s="309" t="s">
        <v>1641</v>
      </c>
      <c r="E668" s="310" t="s">
        <v>1653</v>
      </c>
      <c r="F668" s="309" t="s">
        <v>1654</v>
      </c>
      <c r="G668" s="309" t="s">
        <v>1655</v>
      </c>
      <c r="H668" s="309" t="s">
        <v>1645</v>
      </c>
      <c r="I668" s="311">
        <v>10.56</v>
      </c>
      <c r="J668" s="338">
        <v>10.56</v>
      </c>
    </row>
    <row r="669" spans="1:10" ht="36">
      <c r="A669" s="334" t="s">
        <v>423</v>
      </c>
      <c r="B669" s="309"/>
      <c r="C669" s="309" t="s">
        <v>1608</v>
      </c>
      <c r="D669" s="309" t="s">
        <v>1641</v>
      </c>
      <c r="E669" s="310" t="s">
        <v>1656</v>
      </c>
      <c r="F669" s="309" t="s">
        <v>1657</v>
      </c>
      <c r="G669" s="309" t="s">
        <v>1658</v>
      </c>
      <c r="H669" s="309" t="s">
        <v>1645</v>
      </c>
      <c r="I669" s="311">
        <v>25.728000000000002</v>
      </c>
      <c r="J669" s="338">
        <v>25.728000000000002</v>
      </c>
    </row>
    <row r="670" spans="1:10" ht="36">
      <c r="A670" s="334" t="s">
        <v>421</v>
      </c>
      <c r="B670" s="309"/>
      <c r="C670" s="309" t="s">
        <v>1608</v>
      </c>
      <c r="D670" s="309" t="s">
        <v>1641</v>
      </c>
      <c r="E670" s="313" t="s">
        <v>1659</v>
      </c>
      <c r="F670" s="309" t="s">
        <v>1657</v>
      </c>
      <c r="G670" s="309" t="s">
        <v>1658</v>
      </c>
      <c r="H670" s="309" t="s">
        <v>1645</v>
      </c>
      <c r="I670" s="311">
        <v>13.553557189199999</v>
      </c>
      <c r="J670" s="338" t="s">
        <v>36</v>
      </c>
    </row>
    <row r="671" spans="1:10" ht="36">
      <c r="A671" s="335" t="s">
        <v>655</v>
      </c>
      <c r="B671" s="314" t="s">
        <v>656</v>
      </c>
      <c r="C671" s="309" t="s">
        <v>1608</v>
      </c>
      <c r="D671" s="309" t="s">
        <v>1641</v>
      </c>
      <c r="E671" s="315" t="s">
        <v>1660</v>
      </c>
      <c r="F671" s="309" t="s">
        <v>1657</v>
      </c>
      <c r="G671" s="309" t="s">
        <v>1658</v>
      </c>
      <c r="H671" s="309" t="s">
        <v>1645</v>
      </c>
      <c r="I671" s="311">
        <v>37.74</v>
      </c>
      <c r="J671" s="338">
        <v>36.607799999999997</v>
      </c>
    </row>
    <row r="672" spans="1:10" ht="36">
      <c r="A672" s="335" t="s">
        <v>655</v>
      </c>
      <c r="B672" s="314" t="s">
        <v>1661</v>
      </c>
      <c r="C672" s="309" t="s">
        <v>1608</v>
      </c>
      <c r="D672" s="309" t="s">
        <v>1641</v>
      </c>
      <c r="E672" s="315" t="s">
        <v>1662</v>
      </c>
      <c r="F672" s="309" t="s">
        <v>1657</v>
      </c>
      <c r="G672" s="309" t="s">
        <v>1658</v>
      </c>
      <c r="H672" s="309" t="s">
        <v>1645</v>
      </c>
      <c r="I672" s="311">
        <v>230.95679999999999</v>
      </c>
      <c r="J672" s="338" t="s">
        <v>36</v>
      </c>
    </row>
    <row r="673" spans="1:10" ht="36">
      <c r="A673" s="335" t="s">
        <v>655</v>
      </c>
      <c r="B673" s="314" t="s">
        <v>1663</v>
      </c>
      <c r="C673" s="309" t="s">
        <v>1608</v>
      </c>
      <c r="D673" s="309" t="s">
        <v>1641</v>
      </c>
      <c r="E673" s="315" t="s">
        <v>1664</v>
      </c>
      <c r="F673" s="309" t="s">
        <v>1657</v>
      </c>
      <c r="G673" s="309" t="s">
        <v>1658</v>
      </c>
      <c r="H673" s="309" t="s">
        <v>1645</v>
      </c>
      <c r="I673" s="311">
        <v>365.55</v>
      </c>
      <c r="J673" s="338">
        <v>447.79875000000004</v>
      </c>
    </row>
    <row r="674" spans="1:10" ht="36">
      <c r="A674" s="335" t="s">
        <v>655</v>
      </c>
      <c r="B674" s="314" t="s">
        <v>1665</v>
      </c>
      <c r="C674" s="309" t="s">
        <v>1608</v>
      </c>
      <c r="D674" s="309" t="s">
        <v>1641</v>
      </c>
      <c r="E674" s="315" t="s">
        <v>1666</v>
      </c>
      <c r="F674" s="309" t="s">
        <v>1657</v>
      </c>
      <c r="G674" s="309" t="s">
        <v>1658</v>
      </c>
      <c r="H674" s="309" t="s">
        <v>1645</v>
      </c>
      <c r="I674" s="311">
        <v>41.82</v>
      </c>
      <c r="J674" s="338">
        <v>41.82</v>
      </c>
    </row>
    <row r="675" spans="1:10" ht="36">
      <c r="A675" s="335" t="s">
        <v>655</v>
      </c>
      <c r="B675" s="314" t="s">
        <v>660</v>
      </c>
      <c r="C675" s="309" t="s">
        <v>1608</v>
      </c>
      <c r="D675" s="309" t="s">
        <v>1641</v>
      </c>
      <c r="E675" s="315" t="s">
        <v>1667</v>
      </c>
      <c r="F675" s="309" t="s">
        <v>1657</v>
      </c>
      <c r="G675" s="309" t="s">
        <v>1658</v>
      </c>
      <c r="H675" s="309" t="s">
        <v>1645</v>
      </c>
      <c r="I675" s="311">
        <v>18.600000000000001</v>
      </c>
      <c r="J675" s="338">
        <v>144.15</v>
      </c>
    </row>
    <row r="676" spans="1:10" ht="36">
      <c r="A676" s="335" t="s">
        <v>655</v>
      </c>
      <c r="B676" s="314" t="s">
        <v>662</v>
      </c>
      <c r="C676" s="309" t="s">
        <v>1608</v>
      </c>
      <c r="D676" s="309" t="s">
        <v>1641</v>
      </c>
      <c r="E676" s="315" t="s">
        <v>1668</v>
      </c>
      <c r="F676" s="309" t="s">
        <v>1657</v>
      </c>
      <c r="G676" s="309" t="s">
        <v>1658</v>
      </c>
      <c r="H676" s="309" t="s">
        <v>1645</v>
      </c>
      <c r="I676" s="311">
        <v>22.39</v>
      </c>
      <c r="J676" s="338">
        <v>1312.5018</v>
      </c>
    </row>
    <row r="677" spans="1:10" ht="36">
      <c r="A677" s="335" t="s">
        <v>655</v>
      </c>
      <c r="B677" s="314" t="s">
        <v>664</v>
      </c>
      <c r="C677" s="309" t="s">
        <v>1608</v>
      </c>
      <c r="D677" s="309" t="s">
        <v>1641</v>
      </c>
      <c r="E677" s="315" t="s">
        <v>1669</v>
      </c>
      <c r="F677" s="309" t="s">
        <v>1657</v>
      </c>
      <c r="G677" s="309" t="s">
        <v>1658</v>
      </c>
      <c r="H677" s="309" t="s">
        <v>1645</v>
      </c>
      <c r="I677" s="311">
        <v>34.1952</v>
      </c>
      <c r="J677" s="338">
        <v>338119.74393599998</v>
      </c>
    </row>
    <row r="678" spans="1:10" ht="36">
      <c r="A678" s="335" t="s">
        <v>655</v>
      </c>
      <c r="B678" s="314" t="s">
        <v>668</v>
      </c>
      <c r="C678" s="309" t="s">
        <v>1608</v>
      </c>
      <c r="D678" s="309" t="s">
        <v>1641</v>
      </c>
      <c r="E678" s="315" t="s">
        <v>1670</v>
      </c>
      <c r="F678" s="309" t="s">
        <v>1657</v>
      </c>
      <c r="G678" s="309" t="s">
        <v>1658</v>
      </c>
      <c r="H678" s="309" t="s">
        <v>1645</v>
      </c>
      <c r="I678" s="311">
        <v>33.07</v>
      </c>
      <c r="J678" s="338">
        <v>104.50120000000001</v>
      </c>
    </row>
    <row r="679" spans="1:10" ht="36">
      <c r="A679" s="335" t="s">
        <v>655</v>
      </c>
      <c r="B679" s="314" t="s">
        <v>672</v>
      </c>
      <c r="C679" s="309" t="s">
        <v>1608</v>
      </c>
      <c r="D679" s="309" t="s">
        <v>1641</v>
      </c>
      <c r="E679" s="315" t="s">
        <v>1671</v>
      </c>
      <c r="F679" s="309" t="s">
        <v>1657</v>
      </c>
      <c r="G679" s="309" t="s">
        <v>1658</v>
      </c>
      <c r="H679" s="309" t="s">
        <v>1645</v>
      </c>
      <c r="I679" s="311">
        <v>18.100000000000001</v>
      </c>
      <c r="J679" s="338">
        <v>22.444000000000003</v>
      </c>
    </row>
    <row r="680" spans="1:10" ht="36">
      <c r="A680" s="335" t="s">
        <v>655</v>
      </c>
      <c r="B680" s="314" t="s">
        <v>1672</v>
      </c>
      <c r="C680" s="309" t="s">
        <v>1608</v>
      </c>
      <c r="D680" s="309" t="s">
        <v>1641</v>
      </c>
      <c r="E680" s="315" t="s">
        <v>1673</v>
      </c>
      <c r="F680" s="309" t="s">
        <v>1657</v>
      </c>
      <c r="G680" s="309" t="s">
        <v>1658</v>
      </c>
      <c r="H680" s="309" t="s">
        <v>1645</v>
      </c>
      <c r="I680" s="311">
        <v>26.39</v>
      </c>
      <c r="J680" s="338">
        <v>3430.7000000000003</v>
      </c>
    </row>
    <row r="681" spans="1:10" ht="36">
      <c r="A681" s="335" t="s">
        <v>655</v>
      </c>
      <c r="B681" s="314" t="s">
        <v>674</v>
      </c>
      <c r="C681" s="309" t="s">
        <v>1608</v>
      </c>
      <c r="D681" s="309" t="s">
        <v>1641</v>
      </c>
      <c r="E681" s="315" t="s">
        <v>1674</v>
      </c>
      <c r="F681" s="309" t="s">
        <v>1657</v>
      </c>
      <c r="G681" s="309" t="s">
        <v>1658</v>
      </c>
      <c r="H681" s="309" t="s">
        <v>1645</v>
      </c>
      <c r="I681" s="311">
        <v>25.69</v>
      </c>
      <c r="J681" s="338">
        <v>760.93780000000004</v>
      </c>
    </row>
    <row r="682" spans="1:10" ht="36">
      <c r="A682" s="335" t="s">
        <v>655</v>
      </c>
      <c r="B682" s="314" t="s">
        <v>678</v>
      </c>
      <c r="C682" s="309" t="s">
        <v>1608</v>
      </c>
      <c r="D682" s="309" t="s">
        <v>1641</v>
      </c>
      <c r="E682" s="315" t="s">
        <v>1675</v>
      </c>
      <c r="F682" s="309" t="s">
        <v>1657</v>
      </c>
      <c r="G682" s="309" t="s">
        <v>1658</v>
      </c>
      <c r="H682" s="309" t="s">
        <v>1645</v>
      </c>
      <c r="I682" s="311">
        <v>85.01</v>
      </c>
      <c r="J682" s="338">
        <v>1925288.6279000002</v>
      </c>
    </row>
    <row r="683" spans="1:10" ht="36">
      <c r="A683" s="334" t="s">
        <v>423</v>
      </c>
      <c r="B683" s="309"/>
      <c r="C683" s="309" t="s">
        <v>1608</v>
      </c>
      <c r="D683" s="309" t="s">
        <v>1641</v>
      </c>
      <c r="E683" s="310" t="s">
        <v>1676</v>
      </c>
      <c r="F683" s="309" t="s">
        <v>1677</v>
      </c>
      <c r="G683" s="309" t="s">
        <v>1678</v>
      </c>
      <c r="H683" s="309" t="s">
        <v>1679</v>
      </c>
      <c r="I683" s="311" t="s">
        <v>1045</v>
      </c>
      <c r="J683" s="338" t="s">
        <v>1045</v>
      </c>
    </row>
    <row r="684" spans="1:10" ht="36">
      <c r="A684" s="334" t="s">
        <v>421</v>
      </c>
      <c r="B684" s="309"/>
      <c r="C684" s="309" t="s">
        <v>1608</v>
      </c>
      <c r="D684" s="309" t="s">
        <v>1641</v>
      </c>
      <c r="E684" s="310" t="s">
        <v>1680</v>
      </c>
      <c r="F684" s="309" t="s">
        <v>1677</v>
      </c>
      <c r="G684" s="309" t="s">
        <v>1678</v>
      </c>
      <c r="H684" s="309" t="s">
        <v>1645</v>
      </c>
      <c r="I684" s="311" t="s">
        <v>1045</v>
      </c>
      <c r="J684" s="338" t="s">
        <v>1045</v>
      </c>
    </row>
    <row r="685" spans="1:10" ht="36">
      <c r="A685" s="335" t="s">
        <v>655</v>
      </c>
      <c r="B685" s="314" t="s">
        <v>656</v>
      </c>
      <c r="C685" s="309" t="s">
        <v>1608</v>
      </c>
      <c r="D685" s="309" t="s">
        <v>1641</v>
      </c>
      <c r="E685" s="315" t="s">
        <v>1681</v>
      </c>
      <c r="F685" s="309" t="s">
        <v>1677</v>
      </c>
      <c r="G685" s="309" t="s">
        <v>1678</v>
      </c>
      <c r="H685" s="309" t="s">
        <v>1645</v>
      </c>
      <c r="I685" s="311">
        <v>75.859200000000001</v>
      </c>
      <c r="J685" s="338">
        <v>73.583423999999994</v>
      </c>
    </row>
    <row r="686" spans="1:10" ht="36">
      <c r="A686" s="335" t="s">
        <v>655</v>
      </c>
      <c r="B686" s="314" t="s">
        <v>658</v>
      </c>
      <c r="C686" s="309" t="s">
        <v>1608</v>
      </c>
      <c r="D686" s="309" t="s">
        <v>1641</v>
      </c>
      <c r="E686" s="315" t="s">
        <v>1682</v>
      </c>
      <c r="F686" s="309" t="s">
        <v>1677</v>
      </c>
      <c r="G686" s="309" t="s">
        <v>1678</v>
      </c>
      <c r="H686" s="309" t="s">
        <v>1645</v>
      </c>
      <c r="I686" s="311">
        <v>23.712</v>
      </c>
      <c r="J686" s="338">
        <v>152.23104000000001</v>
      </c>
    </row>
    <row r="687" spans="1:10" ht="36">
      <c r="A687" s="335" t="s">
        <v>655</v>
      </c>
      <c r="B687" s="314" t="s">
        <v>660</v>
      </c>
      <c r="C687" s="309" t="s">
        <v>1608</v>
      </c>
      <c r="D687" s="309" t="s">
        <v>1641</v>
      </c>
      <c r="E687" s="315" t="s">
        <v>1683</v>
      </c>
      <c r="F687" s="309" t="s">
        <v>1677</v>
      </c>
      <c r="G687" s="309" t="s">
        <v>1678</v>
      </c>
      <c r="H687" s="309" t="s">
        <v>1645</v>
      </c>
      <c r="I687" s="311">
        <v>20.015999999999998</v>
      </c>
      <c r="J687" s="338">
        <v>155.124</v>
      </c>
    </row>
    <row r="688" spans="1:10" ht="36">
      <c r="A688" s="335" t="s">
        <v>655</v>
      </c>
      <c r="B688" s="314" t="s">
        <v>662</v>
      </c>
      <c r="C688" s="309" t="s">
        <v>1608</v>
      </c>
      <c r="D688" s="309" t="s">
        <v>1641</v>
      </c>
      <c r="E688" s="315" t="s">
        <v>1684</v>
      </c>
      <c r="F688" s="309" t="s">
        <v>1677</v>
      </c>
      <c r="G688" s="309" t="s">
        <v>1678</v>
      </c>
      <c r="H688" s="309" t="s">
        <v>1645</v>
      </c>
      <c r="I688" s="311">
        <v>25.468800000000002</v>
      </c>
      <c r="J688" s="338">
        <v>1492.9810560000001</v>
      </c>
    </row>
    <row r="689" spans="1:10" ht="36">
      <c r="A689" s="335" t="s">
        <v>655</v>
      </c>
      <c r="B689" s="314" t="s">
        <v>664</v>
      </c>
      <c r="C689" s="309" t="s">
        <v>1608</v>
      </c>
      <c r="D689" s="309" t="s">
        <v>1641</v>
      </c>
      <c r="E689" s="315" t="s">
        <v>1685</v>
      </c>
      <c r="F689" s="309" t="s">
        <v>1677</v>
      </c>
      <c r="G689" s="309" t="s">
        <v>1678</v>
      </c>
      <c r="H689" s="309" t="s">
        <v>1645</v>
      </c>
      <c r="I689" s="311">
        <v>10.425599999999999</v>
      </c>
      <c r="J689" s="338">
        <v>103087.60300799999</v>
      </c>
    </row>
    <row r="690" spans="1:10" ht="36">
      <c r="A690" s="335" t="s">
        <v>655</v>
      </c>
      <c r="B690" s="314" t="s">
        <v>666</v>
      </c>
      <c r="C690" s="309" t="s">
        <v>1608</v>
      </c>
      <c r="D690" s="309" t="s">
        <v>1641</v>
      </c>
      <c r="E690" s="315" t="s">
        <v>1686</v>
      </c>
      <c r="F690" s="309" t="s">
        <v>1677</v>
      </c>
      <c r="G690" s="309" t="s">
        <v>1678</v>
      </c>
      <c r="H690" s="309" t="s">
        <v>1645</v>
      </c>
      <c r="I690" s="311">
        <v>65.558400000000006</v>
      </c>
      <c r="J690" s="338">
        <v>74849.336448000002</v>
      </c>
    </row>
    <row r="691" spans="1:10" ht="36">
      <c r="A691" s="335" t="s">
        <v>655</v>
      </c>
      <c r="B691" s="314" t="s">
        <v>668</v>
      </c>
      <c r="C691" s="309" t="s">
        <v>1608</v>
      </c>
      <c r="D691" s="309" t="s">
        <v>1641</v>
      </c>
      <c r="E691" s="315" t="s">
        <v>1687</v>
      </c>
      <c r="F691" s="309" t="s">
        <v>1677</v>
      </c>
      <c r="G691" s="309" t="s">
        <v>1678</v>
      </c>
      <c r="H691" s="309" t="s">
        <v>1645</v>
      </c>
      <c r="I691" s="311">
        <v>20.188800000000001</v>
      </c>
      <c r="J691" s="338">
        <v>63.796608000000006</v>
      </c>
    </row>
    <row r="692" spans="1:10" ht="36">
      <c r="A692" s="335" t="s">
        <v>655</v>
      </c>
      <c r="B692" s="314" t="s">
        <v>670</v>
      </c>
      <c r="C692" s="309" t="s">
        <v>1608</v>
      </c>
      <c r="D692" s="309" t="s">
        <v>1641</v>
      </c>
      <c r="E692" s="315" t="s">
        <v>1688</v>
      </c>
      <c r="F692" s="309" t="s">
        <v>1677</v>
      </c>
      <c r="G692" s="309" t="s">
        <v>1678</v>
      </c>
      <c r="H692" s="309" t="s">
        <v>1645</v>
      </c>
      <c r="I692" s="311">
        <v>13.6416</v>
      </c>
      <c r="J692" s="338">
        <v>573.76569600000005</v>
      </c>
    </row>
    <row r="693" spans="1:10" ht="36">
      <c r="A693" s="335" t="s">
        <v>655</v>
      </c>
      <c r="B693" s="314" t="s">
        <v>672</v>
      </c>
      <c r="C693" s="309" t="s">
        <v>1608</v>
      </c>
      <c r="D693" s="309" t="s">
        <v>1641</v>
      </c>
      <c r="E693" s="315" t="s">
        <v>1689</v>
      </c>
      <c r="F693" s="309" t="s">
        <v>1677</v>
      </c>
      <c r="G693" s="309" t="s">
        <v>1678</v>
      </c>
      <c r="H693" s="309" t="s">
        <v>1645</v>
      </c>
      <c r="I693" s="311">
        <v>17.116800000000001</v>
      </c>
      <c r="J693" s="338">
        <v>21.224832000000003</v>
      </c>
    </row>
    <row r="694" spans="1:10" ht="36">
      <c r="A694" s="335" t="s">
        <v>655</v>
      </c>
      <c r="B694" s="314" t="s">
        <v>674</v>
      </c>
      <c r="C694" s="309" t="s">
        <v>1608</v>
      </c>
      <c r="D694" s="309" t="s">
        <v>1641</v>
      </c>
      <c r="E694" s="315" t="s">
        <v>1690</v>
      </c>
      <c r="F694" s="309" t="s">
        <v>1677</v>
      </c>
      <c r="G694" s="309" t="s">
        <v>1678</v>
      </c>
      <c r="H694" s="309" t="s">
        <v>1645</v>
      </c>
      <c r="I694" s="311">
        <v>30.9696</v>
      </c>
      <c r="J694" s="338">
        <v>917.31955200000004</v>
      </c>
    </row>
    <row r="695" spans="1:10" ht="36">
      <c r="A695" s="335" t="s">
        <v>655</v>
      </c>
      <c r="B695" s="314" t="s">
        <v>676</v>
      </c>
      <c r="C695" s="309" t="s">
        <v>1608</v>
      </c>
      <c r="D695" s="309" t="s">
        <v>1641</v>
      </c>
      <c r="E695" s="315" t="s">
        <v>1691</v>
      </c>
      <c r="F695" s="309" t="s">
        <v>1677</v>
      </c>
      <c r="G695" s="309" t="s">
        <v>1678</v>
      </c>
      <c r="H695" s="309" t="s">
        <v>1645</v>
      </c>
      <c r="I695" s="311">
        <v>20.755199999999999</v>
      </c>
      <c r="J695" s="338">
        <v>664.37395199999992</v>
      </c>
    </row>
    <row r="696" spans="1:10" ht="36">
      <c r="A696" s="335" t="s">
        <v>655</v>
      </c>
      <c r="B696" s="314" t="s">
        <v>678</v>
      </c>
      <c r="C696" s="309" t="s">
        <v>1608</v>
      </c>
      <c r="D696" s="309" t="s">
        <v>1641</v>
      </c>
      <c r="E696" s="313" t="s">
        <v>425</v>
      </c>
      <c r="F696" s="309" t="s">
        <v>1677</v>
      </c>
      <c r="G696" s="309" t="s">
        <v>1678</v>
      </c>
      <c r="H696" s="309" t="s">
        <v>1645</v>
      </c>
      <c r="I696" s="311">
        <v>52.94</v>
      </c>
      <c r="J696" s="338">
        <v>1198974</v>
      </c>
    </row>
    <row r="697" spans="1:10" ht="36">
      <c r="A697" s="334" t="s">
        <v>655</v>
      </c>
      <c r="B697" s="309" t="s">
        <v>678</v>
      </c>
      <c r="C697" s="309" t="s">
        <v>1608</v>
      </c>
      <c r="D697" s="309" t="s">
        <v>1641</v>
      </c>
      <c r="E697" s="310" t="s">
        <v>1692</v>
      </c>
      <c r="F697" s="309" t="s">
        <v>1677</v>
      </c>
      <c r="G697" s="309" t="s">
        <v>1678</v>
      </c>
      <c r="H697" s="309" t="s">
        <v>1645</v>
      </c>
      <c r="I697" s="311">
        <v>54.3</v>
      </c>
      <c r="J697" s="338">
        <v>1229774.997</v>
      </c>
    </row>
    <row r="698" spans="1:10" ht="24">
      <c r="A698" s="334" t="s">
        <v>423</v>
      </c>
      <c r="B698" s="309"/>
      <c r="C698" s="309" t="s">
        <v>1608</v>
      </c>
      <c r="D698" s="309" t="s">
        <v>204</v>
      </c>
      <c r="E698" s="310" t="s">
        <v>1693</v>
      </c>
      <c r="F698" s="309" t="s">
        <v>1694</v>
      </c>
      <c r="G698" s="309" t="s">
        <v>1695</v>
      </c>
      <c r="H698" s="309" t="s">
        <v>1696</v>
      </c>
      <c r="I698" s="311" t="s">
        <v>36</v>
      </c>
      <c r="J698" s="338" t="s">
        <v>36</v>
      </c>
    </row>
    <row r="699" spans="1:10" ht="24">
      <c r="A699" s="334" t="s">
        <v>680</v>
      </c>
      <c r="B699" s="309"/>
      <c r="C699" s="309" t="s">
        <v>1608</v>
      </c>
      <c r="D699" s="309" t="s">
        <v>204</v>
      </c>
      <c r="E699" s="316" t="s">
        <v>1697</v>
      </c>
      <c r="F699" s="309" t="s">
        <v>1694</v>
      </c>
      <c r="G699" s="309" t="s">
        <v>1695</v>
      </c>
      <c r="H699" s="309" t="s">
        <v>1696</v>
      </c>
      <c r="I699" s="311" t="s">
        <v>36</v>
      </c>
      <c r="J699" s="339" t="s">
        <v>36</v>
      </c>
    </row>
    <row r="700" spans="1:10">
      <c r="A700" s="335" t="s">
        <v>423</v>
      </c>
      <c r="B700" s="309"/>
      <c r="C700" s="309" t="s">
        <v>1698</v>
      </c>
      <c r="D700" s="309"/>
      <c r="E700" s="313" t="s">
        <v>1699</v>
      </c>
      <c r="F700" s="332" t="s">
        <v>1700</v>
      </c>
      <c r="G700" s="309" t="s">
        <v>1701</v>
      </c>
      <c r="H700" s="309" t="s">
        <v>1702</v>
      </c>
      <c r="I700" s="311">
        <v>135</v>
      </c>
      <c r="J700" s="338">
        <v>135</v>
      </c>
    </row>
    <row r="701" spans="1:10">
      <c r="A701" s="335" t="s">
        <v>423</v>
      </c>
      <c r="B701" s="309"/>
      <c r="C701" s="309" t="s">
        <v>1698</v>
      </c>
      <c r="D701" s="309"/>
      <c r="E701" s="313" t="s">
        <v>1703</v>
      </c>
      <c r="F701" s="332" t="s">
        <v>1704</v>
      </c>
      <c r="G701" s="309" t="s">
        <v>1701</v>
      </c>
      <c r="H701" s="309" t="s">
        <v>1702</v>
      </c>
      <c r="I701" s="311">
        <v>135</v>
      </c>
      <c r="J701" s="338">
        <v>135</v>
      </c>
    </row>
    <row r="702" spans="1:10">
      <c r="A702" s="335" t="s">
        <v>423</v>
      </c>
      <c r="B702" s="309"/>
      <c r="C702" s="309" t="s">
        <v>1698</v>
      </c>
      <c r="D702" s="309"/>
      <c r="E702" s="313" t="s">
        <v>1705</v>
      </c>
      <c r="F702" s="309" t="s">
        <v>1706</v>
      </c>
      <c r="G702" s="309" t="s">
        <v>1707</v>
      </c>
      <c r="H702" s="309" t="s">
        <v>1702</v>
      </c>
      <c r="I702" s="311">
        <v>103.5</v>
      </c>
      <c r="J702" s="338">
        <v>103.5</v>
      </c>
    </row>
    <row r="703" spans="1:10">
      <c r="A703" s="334" t="s">
        <v>680</v>
      </c>
      <c r="B703" s="309"/>
      <c r="C703" s="309" t="s">
        <v>1698</v>
      </c>
      <c r="D703" s="309"/>
      <c r="E703" s="310" t="s">
        <v>1708</v>
      </c>
      <c r="F703" s="309" t="s">
        <v>1706</v>
      </c>
      <c r="G703" s="309" t="s">
        <v>1707</v>
      </c>
      <c r="H703" s="309" t="s">
        <v>1702</v>
      </c>
      <c r="I703" s="311">
        <v>112.13128364925085</v>
      </c>
      <c r="J703" s="339">
        <v>8751.6</v>
      </c>
    </row>
    <row r="704" spans="1:10">
      <c r="A704" s="334" t="s">
        <v>680</v>
      </c>
      <c r="B704" s="309"/>
      <c r="C704" s="309" t="s">
        <v>1698</v>
      </c>
      <c r="D704" s="309"/>
      <c r="E704" s="310" t="s">
        <v>1709</v>
      </c>
      <c r="F704" s="309" t="s">
        <v>1710</v>
      </c>
      <c r="G704" s="309" t="s">
        <v>1707</v>
      </c>
      <c r="H704" s="309" t="s">
        <v>1702</v>
      </c>
      <c r="I704" s="311">
        <v>140.77526848931041</v>
      </c>
      <c r="J704" s="339">
        <v>10987.2</v>
      </c>
    </row>
    <row r="705" spans="1:10">
      <c r="A705" s="335" t="s">
        <v>423</v>
      </c>
      <c r="B705" s="309"/>
      <c r="C705" s="309" t="s">
        <v>1698</v>
      </c>
      <c r="D705" s="309"/>
      <c r="E705" s="313" t="s">
        <v>1711</v>
      </c>
      <c r="F705" s="332" t="s">
        <v>1712</v>
      </c>
      <c r="G705" s="309" t="s">
        <v>1713</v>
      </c>
      <c r="H705" s="309" t="s">
        <v>1702</v>
      </c>
      <c r="I705" s="311">
        <v>135</v>
      </c>
      <c r="J705" s="338">
        <v>135</v>
      </c>
    </row>
    <row r="706" spans="1:10" ht="24">
      <c r="A706" s="335" t="s">
        <v>423</v>
      </c>
      <c r="B706" s="309"/>
      <c r="C706" s="309" t="s">
        <v>1698</v>
      </c>
      <c r="D706" s="309"/>
      <c r="E706" s="313" t="s">
        <v>1714</v>
      </c>
      <c r="F706" s="332" t="s">
        <v>1715</v>
      </c>
      <c r="G706" s="309" t="s">
        <v>1716</v>
      </c>
      <c r="H706" s="309" t="s">
        <v>1717</v>
      </c>
      <c r="I706" s="311">
        <v>93</v>
      </c>
      <c r="J706" s="338">
        <v>93</v>
      </c>
    </row>
    <row r="707" spans="1:10">
      <c r="A707" s="334" t="s">
        <v>423</v>
      </c>
      <c r="B707" s="309"/>
      <c r="C707" s="309" t="s">
        <v>1718</v>
      </c>
      <c r="D707" s="309" t="s">
        <v>1719</v>
      </c>
      <c r="E707" s="310" t="s">
        <v>1720</v>
      </c>
      <c r="F707" s="309" t="s">
        <v>1721</v>
      </c>
      <c r="G707" s="309" t="s">
        <v>1722</v>
      </c>
      <c r="H707" s="309" t="s">
        <v>1723</v>
      </c>
      <c r="I707" s="311">
        <v>0.55000000000000004</v>
      </c>
      <c r="J707" s="338">
        <v>0.55000000000000004</v>
      </c>
    </row>
    <row r="708" spans="1:10" ht="24">
      <c r="A708" s="334" t="s">
        <v>421</v>
      </c>
      <c r="B708" s="309" t="s">
        <v>651</v>
      </c>
      <c r="C708" s="309" t="s">
        <v>1718</v>
      </c>
      <c r="D708" s="309" t="s">
        <v>1719</v>
      </c>
      <c r="E708" s="310" t="s">
        <v>1724</v>
      </c>
      <c r="F708" s="309" t="s">
        <v>1721</v>
      </c>
      <c r="G708" s="309" t="s">
        <v>1722</v>
      </c>
      <c r="H708" s="309" t="s">
        <v>1723</v>
      </c>
      <c r="I708" s="311">
        <v>0.91</v>
      </c>
      <c r="J708" s="338">
        <v>0.57999999999999996</v>
      </c>
    </row>
    <row r="709" spans="1:10">
      <c r="A709" s="334" t="s">
        <v>655</v>
      </c>
      <c r="B709" s="309" t="s">
        <v>666</v>
      </c>
      <c r="C709" s="309" t="s">
        <v>1718</v>
      </c>
      <c r="D709" s="309" t="s">
        <v>1719</v>
      </c>
      <c r="E709" s="315" t="s">
        <v>1725</v>
      </c>
      <c r="F709" s="309" t="s">
        <v>1721</v>
      </c>
      <c r="G709" s="309" t="s">
        <v>1722</v>
      </c>
      <c r="H709" s="309" t="s">
        <v>1723</v>
      </c>
      <c r="I709" s="311">
        <v>1.1499999999999999</v>
      </c>
      <c r="J709" s="338">
        <v>1312.9779999999998</v>
      </c>
    </row>
    <row r="710" spans="1:10">
      <c r="A710" s="334" t="s">
        <v>655</v>
      </c>
      <c r="B710" s="309"/>
      <c r="C710" s="309" t="s">
        <v>1718</v>
      </c>
      <c r="D710" s="309" t="s">
        <v>1719</v>
      </c>
      <c r="E710" s="315" t="s">
        <v>1726</v>
      </c>
      <c r="F710" s="309" t="s">
        <v>1721</v>
      </c>
      <c r="G710" s="309" t="s">
        <v>1722</v>
      </c>
      <c r="H710" s="309" t="s">
        <v>1723</v>
      </c>
      <c r="I710" s="311">
        <v>2.14</v>
      </c>
      <c r="J710" s="338" t="s">
        <v>36</v>
      </c>
    </row>
    <row r="711" spans="1:10">
      <c r="A711" s="334" t="s">
        <v>423</v>
      </c>
      <c r="B711" s="309"/>
      <c r="C711" s="309" t="s">
        <v>1718</v>
      </c>
      <c r="D711" s="309" t="s">
        <v>1719</v>
      </c>
      <c r="E711" s="310" t="s">
        <v>1727</v>
      </c>
      <c r="F711" s="309" t="s">
        <v>1728</v>
      </c>
      <c r="G711" s="309" t="s">
        <v>1729</v>
      </c>
      <c r="H711" s="309" t="s">
        <v>1723</v>
      </c>
      <c r="I711" s="380">
        <v>0.55000000000000004</v>
      </c>
      <c r="J711" s="338">
        <v>0.55000000000000004</v>
      </c>
    </row>
    <row r="712" spans="1:10" ht="24">
      <c r="A712" s="334" t="s">
        <v>421</v>
      </c>
      <c r="B712" s="309" t="s">
        <v>651</v>
      </c>
      <c r="C712" s="309" t="s">
        <v>1718</v>
      </c>
      <c r="D712" s="309" t="s">
        <v>1719</v>
      </c>
      <c r="E712" s="310" t="s">
        <v>1730</v>
      </c>
      <c r="F712" s="309" t="s">
        <v>1728</v>
      </c>
      <c r="G712" s="309" t="s">
        <v>1729</v>
      </c>
      <c r="H712" s="309" t="s">
        <v>1723</v>
      </c>
      <c r="I712" s="311">
        <v>0.91</v>
      </c>
      <c r="J712" s="338">
        <v>0.57999999999999996</v>
      </c>
    </row>
    <row r="713" spans="1:10" ht="24">
      <c r="A713" s="334" t="s">
        <v>421</v>
      </c>
      <c r="B713" s="309" t="s">
        <v>1010</v>
      </c>
      <c r="C713" s="309" t="s">
        <v>1718</v>
      </c>
      <c r="D713" s="309" t="s">
        <v>1719</v>
      </c>
      <c r="E713" s="310" t="s">
        <v>1731</v>
      </c>
      <c r="F713" s="309" t="s">
        <v>1728</v>
      </c>
      <c r="G713" s="309" t="s">
        <v>1729</v>
      </c>
      <c r="H713" s="309" t="s">
        <v>1723</v>
      </c>
      <c r="I713" s="311">
        <v>0.91</v>
      </c>
      <c r="J713" s="338" t="s">
        <v>36</v>
      </c>
    </row>
    <row r="714" spans="1:10">
      <c r="A714" s="334" t="s">
        <v>655</v>
      </c>
      <c r="B714" s="309" t="s">
        <v>656</v>
      </c>
      <c r="C714" s="309" t="s">
        <v>1718</v>
      </c>
      <c r="D714" s="309" t="s">
        <v>1719</v>
      </c>
      <c r="E714" s="310" t="s">
        <v>1732</v>
      </c>
      <c r="F714" s="309" t="s">
        <v>1728</v>
      </c>
      <c r="G714" s="309" t="s">
        <v>1729</v>
      </c>
      <c r="H714" s="309" t="s">
        <v>1723</v>
      </c>
      <c r="I714" s="311">
        <v>5.25</v>
      </c>
      <c r="J714" s="338">
        <v>5.0925000000000002</v>
      </c>
    </row>
    <row r="715" spans="1:10">
      <c r="A715" s="334" t="s">
        <v>655</v>
      </c>
      <c r="B715" s="309" t="s">
        <v>666</v>
      </c>
      <c r="C715" s="309" t="s">
        <v>1718</v>
      </c>
      <c r="D715" s="309" t="s">
        <v>1719</v>
      </c>
      <c r="E715" s="310" t="s">
        <v>1733</v>
      </c>
      <c r="F715" s="309" t="s">
        <v>1728</v>
      </c>
      <c r="G715" s="309" t="s">
        <v>1729</v>
      </c>
      <c r="H715" s="309" t="s">
        <v>1723</v>
      </c>
      <c r="I715" s="311">
        <v>1.1499999999999999</v>
      </c>
      <c r="J715" s="338">
        <v>1312.9779999999998</v>
      </c>
    </row>
    <row r="716" spans="1:10">
      <c r="A716" s="334" t="s">
        <v>655</v>
      </c>
      <c r="B716" s="309"/>
      <c r="C716" s="309" t="s">
        <v>1718</v>
      </c>
      <c r="D716" s="309" t="s">
        <v>1719</v>
      </c>
      <c r="E716" s="310" t="s">
        <v>1734</v>
      </c>
      <c r="F716" s="309" t="s">
        <v>1728</v>
      </c>
      <c r="G716" s="309" t="s">
        <v>1729</v>
      </c>
      <c r="H716" s="309" t="s">
        <v>1723</v>
      </c>
      <c r="I716" s="311">
        <v>0.49</v>
      </c>
      <c r="J716" s="338" t="s">
        <v>36</v>
      </c>
    </row>
    <row r="717" spans="1:10">
      <c r="A717" s="334" t="s">
        <v>680</v>
      </c>
      <c r="B717" s="309"/>
      <c r="C717" s="309" t="s">
        <v>1718</v>
      </c>
      <c r="D717" s="309" t="s">
        <v>1719</v>
      </c>
      <c r="E717" s="310" t="s">
        <v>1735</v>
      </c>
      <c r="F717" s="309" t="s">
        <v>1736</v>
      </c>
      <c r="G717" s="309" t="s">
        <v>1729</v>
      </c>
      <c r="H717" s="309" t="s">
        <v>1723</v>
      </c>
      <c r="I717" s="311">
        <v>3.16</v>
      </c>
      <c r="J717" s="339">
        <v>247</v>
      </c>
    </row>
    <row r="718" spans="1:10">
      <c r="A718" s="334" t="s">
        <v>680</v>
      </c>
      <c r="B718" s="309"/>
      <c r="C718" s="309" t="s">
        <v>1718</v>
      </c>
      <c r="D718" s="309" t="s">
        <v>1719</v>
      </c>
      <c r="E718" s="310" t="s">
        <v>1737</v>
      </c>
      <c r="F718" s="309" t="s">
        <v>1738</v>
      </c>
      <c r="G718" s="309" t="s">
        <v>1729</v>
      </c>
      <c r="H718" s="309" t="s">
        <v>1723</v>
      </c>
      <c r="I718" s="311">
        <v>16.989999999999998</v>
      </c>
      <c r="J718" s="339">
        <v>1326</v>
      </c>
    </row>
    <row r="719" spans="1:10">
      <c r="A719" s="334" t="s">
        <v>423</v>
      </c>
      <c r="B719" s="309"/>
      <c r="C719" s="309" t="s">
        <v>1718</v>
      </c>
      <c r="D719" s="309" t="s">
        <v>1719</v>
      </c>
      <c r="E719" s="310" t="s">
        <v>1739</v>
      </c>
      <c r="F719" s="309" t="s">
        <v>1740</v>
      </c>
      <c r="G719" s="309" t="s">
        <v>1741</v>
      </c>
      <c r="H719" s="309" t="s">
        <v>1045</v>
      </c>
      <c r="I719" s="311" t="s">
        <v>36</v>
      </c>
      <c r="J719" s="338" t="s">
        <v>36</v>
      </c>
    </row>
    <row r="720" spans="1:10">
      <c r="A720" s="336" t="s">
        <v>421</v>
      </c>
      <c r="B720" s="319"/>
      <c r="C720" s="319" t="s">
        <v>1718</v>
      </c>
      <c r="D720" s="319" t="s">
        <v>1719</v>
      </c>
      <c r="E720" s="320" t="s">
        <v>1742</v>
      </c>
      <c r="F720" s="319" t="s">
        <v>1743</v>
      </c>
      <c r="G720" s="319" t="s">
        <v>1744</v>
      </c>
      <c r="H720" s="319" t="s">
        <v>1045</v>
      </c>
      <c r="I720" s="321" t="s">
        <v>36</v>
      </c>
      <c r="J720" s="340" t="s">
        <v>36</v>
      </c>
    </row>
    <row r="721" spans="1:10">
      <c r="A721" s="334" t="s">
        <v>421</v>
      </c>
      <c r="B721" s="312" t="s">
        <v>651</v>
      </c>
      <c r="C721" s="309" t="s">
        <v>1718</v>
      </c>
      <c r="D721" s="309" t="s">
        <v>1719</v>
      </c>
      <c r="E721" s="313" t="s">
        <v>1745</v>
      </c>
      <c r="F721" s="314" t="s">
        <v>1746</v>
      </c>
      <c r="G721" s="309" t="s">
        <v>1747</v>
      </c>
      <c r="H721" s="309" t="s">
        <v>1723</v>
      </c>
      <c r="I721" s="311">
        <v>0.45731998406249996</v>
      </c>
      <c r="J721" s="338">
        <v>0.29249999999999998</v>
      </c>
    </row>
    <row r="722" spans="1:10">
      <c r="A722" s="334" t="s">
        <v>421</v>
      </c>
      <c r="B722" s="312" t="s">
        <v>1010</v>
      </c>
      <c r="C722" s="309" t="s">
        <v>1718</v>
      </c>
      <c r="D722" s="309" t="s">
        <v>1719</v>
      </c>
      <c r="E722" s="313" t="s">
        <v>1748</v>
      </c>
      <c r="F722" s="314" t="s">
        <v>1746</v>
      </c>
      <c r="G722" s="309" t="s">
        <v>1747</v>
      </c>
      <c r="H722" s="309" t="s">
        <v>1723</v>
      </c>
      <c r="I722" s="311">
        <v>0.45500000000000002</v>
      </c>
      <c r="J722" s="338" t="s">
        <v>36</v>
      </c>
    </row>
    <row r="723" spans="1:10">
      <c r="A723" s="334" t="s">
        <v>423</v>
      </c>
      <c r="B723" s="309"/>
      <c r="C723" s="309" t="s">
        <v>1718</v>
      </c>
      <c r="D723" s="309" t="s">
        <v>1719</v>
      </c>
      <c r="E723" s="310" t="s">
        <v>1749</v>
      </c>
      <c r="F723" s="309" t="s">
        <v>1750</v>
      </c>
      <c r="G723" s="309" t="s">
        <v>1751</v>
      </c>
      <c r="H723" s="309" t="s">
        <v>1723</v>
      </c>
      <c r="I723" s="380">
        <v>0.55000000000000004</v>
      </c>
      <c r="J723" s="338">
        <v>0.55000000000000004</v>
      </c>
    </row>
    <row r="724" spans="1:10" ht="24">
      <c r="A724" s="334" t="s">
        <v>421</v>
      </c>
      <c r="B724" s="309" t="s">
        <v>587</v>
      </c>
      <c r="C724" s="309" t="s">
        <v>1718</v>
      </c>
      <c r="D724" s="309" t="s">
        <v>1719</v>
      </c>
      <c r="E724" s="316" t="s">
        <v>1752</v>
      </c>
      <c r="F724" s="309" t="s">
        <v>1750</v>
      </c>
      <c r="G724" s="309" t="s">
        <v>1753</v>
      </c>
      <c r="H724" s="309" t="s">
        <v>1723</v>
      </c>
      <c r="I724" s="311">
        <v>1.3324646031817244</v>
      </c>
      <c r="J724" s="338">
        <v>27.12</v>
      </c>
    </row>
    <row r="725" spans="1:10" ht="24">
      <c r="A725" s="334" t="s">
        <v>421</v>
      </c>
      <c r="B725" s="309" t="s">
        <v>621</v>
      </c>
      <c r="C725" s="309" t="s">
        <v>1718</v>
      </c>
      <c r="D725" s="309" t="s">
        <v>1719</v>
      </c>
      <c r="E725" s="316" t="s">
        <v>1754</v>
      </c>
      <c r="F725" s="309" t="s">
        <v>1750</v>
      </c>
      <c r="G725" s="309" t="s">
        <v>1753</v>
      </c>
      <c r="H725" s="309" t="s">
        <v>1723</v>
      </c>
      <c r="I725" s="311">
        <v>0.90187380693134311</v>
      </c>
      <c r="J725" s="338">
        <v>3.06</v>
      </c>
    </row>
    <row r="726" spans="1:10" ht="24">
      <c r="A726" s="334" t="s">
        <v>421</v>
      </c>
      <c r="B726" s="309" t="s">
        <v>625</v>
      </c>
      <c r="C726" s="309" t="s">
        <v>1718</v>
      </c>
      <c r="D726" s="309" t="s">
        <v>1719</v>
      </c>
      <c r="E726" s="316" t="s">
        <v>1755</v>
      </c>
      <c r="F726" s="309" t="s">
        <v>1750</v>
      </c>
      <c r="G726" s="309" t="s">
        <v>1753</v>
      </c>
      <c r="H726" s="309" t="s">
        <v>1723</v>
      </c>
      <c r="I726" s="311">
        <v>0.39609694268918755</v>
      </c>
      <c r="J726" s="338">
        <v>13.4</v>
      </c>
    </row>
    <row r="727" spans="1:10" ht="24">
      <c r="A727" s="334" t="s">
        <v>421</v>
      </c>
      <c r="B727" s="309" t="s">
        <v>625</v>
      </c>
      <c r="C727" s="309" t="s">
        <v>1718</v>
      </c>
      <c r="D727" s="309" t="s">
        <v>1719</v>
      </c>
      <c r="E727" s="316" t="s">
        <v>1756</v>
      </c>
      <c r="F727" s="309" t="s">
        <v>1750</v>
      </c>
      <c r="G727" s="309" t="s">
        <v>1753</v>
      </c>
      <c r="H727" s="309" t="s">
        <v>1723</v>
      </c>
      <c r="I727" s="311">
        <v>0.8</v>
      </c>
      <c r="J727" s="338">
        <v>0.8</v>
      </c>
    </row>
    <row r="728" spans="1:10" ht="24">
      <c r="A728" s="334" t="s">
        <v>421</v>
      </c>
      <c r="B728" s="309" t="s">
        <v>631</v>
      </c>
      <c r="C728" s="309" t="s">
        <v>1718</v>
      </c>
      <c r="D728" s="309" t="s">
        <v>1719</v>
      </c>
      <c r="E728" s="316" t="s">
        <v>1757</v>
      </c>
      <c r="F728" s="309" t="s">
        <v>1750</v>
      </c>
      <c r="G728" s="309" t="s">
        <v>1753</v>
      </c>
      <c r="H728" s="309" t="s">
        <v>1723</v>
      </c>
      <c r="I728" s="311">
        <v>0.12927956076506777</v>
      </c>
      <c r="J728" s="338">
        <v>1.1000000000000001</v>
      </c>
    </row>
    <row r="729" spans="1:10" ht="24">
      <c r="A729" s="334" t="s">
        <v>421</v>
      </c>
      <c r="B729" s="309" t="s">
        <v>651</v>
      </c>
      <c r="C729" s="309" t="s">
        <v>1718</v>
      </c>
      <c r="D729" s="309" t="s">
        <v>1719</v>
      </c>
      <c r="E729" s="316" t="s">
        <v>1758</v>
      </c>
      <c r="F729" s="309" t="s">
        <v>1750</v>
      </c>
      <c r="G729" s="309" t="s">
        <v>1753</v>
      </c>
      <c r="H729" s="309" t="s">
        <v>1723</v>
      </c>
      <c r="I729" s="311">
        <v>0.91</v>
      </c>
      <c r="J729" s="338">
        <v>0.57999999999999996</v>
      </c>
    </row>
    <row r="730" spans="1:10" ht="24">
      <c r="A730" s="335" t="s">
        <v>655</v>
      </c>
      <c r="B730" s="314" t="s">
        <v>656</v>
      </c>
      <c r="C730" s="309" t="s">
        <v>1718</v>
      </c>
      <c r="D730" s="309" t="s">
        <v>1719</v>
      </c>
      <c r="E730" s="315" t="s">
        <v>1759</v>
      </c>
      <c r="F730" s="314" t="s">
        <v>1750</v>
      </c>
      <c r="G730" s="309" t="s">
        <v>1753</v>
      </c>
      <c r="H730" s="309" t="s">
        <v>1723</v>
      </c>
      <c r="I730" s="311">
        <v>1.53</v>
      </c>
      <c r="J730" s="338">
        <v>1.4841</v>
      </c>
    </row>
    <row r="731" spans="1:10" ht="24">
      <c r="A731" s="335" t="s">
        <v>655</v>
      </c>
      <c r="B731" s="314" t="s">
        <v>658</v>
      </c>
      <c r="C731" s="309" t="s">
        <v>1718</v>
      </c>
      <c r="D731" s="309" t="s">
        <v>1719</v>
      </c>
      <c r="E731" s="315" t="s">
        <v>1760</v>
      </c>
      <c r="F731" s="314" t="s">
        <v>1750</v>
      </c>
      <c r="G731" s="309" t="s">
        <v>1753</v>
      </c>
      <c r="H731" s="309" t="s">
        <v>1723</v>
      </c>
      <c r="I731" s="311">
        <v>1.59</v>
      </c>
      <c r="J731" s="338">
        <v>10.207800000000001</v>
      </c>
    </row>
    <row r="732" spans="1:10" ht="24">
      <c r="A732" s="335" t="s">
        <v>655</v>
      </c>
      <c r="B732" s="314" t="s">
        <v>660</v>
      </c>
      <c r="C732" s="309" t="s">
        <v>1718</v>
      </c>
      <c r="D732" s="309" t="s">
        <v>1719</v>
      </c>
      <c r="E732" s="315" t="s">
        <v>1761</v>
      </c>
      <c r="F732" s="314" t="s">
        <v>1750</v>
      </c>
      <c r="G732" s="309" t="s">
        <v>1753</v>
      </c>
      <c r="H732" s="309" t="s">
        <v>1723</v>
      </c>
      <c r="I732" s="311">
        <v>2.09</v>
      </c>
      <c r="J732" s="338">
        <v>16.197499999999998</v>
      </c>
    </row>
    <row r="733" spans="1:10" ht="24">
      <c r="A733" s="335" t="s">
        <v>655</v>
      </c>
      <c r="B733" s="314" t="s">
        <v>660</v>
      </c>
      <c r="C733" s="309" t="s">
        <v>1718</v>
      </c>
      <c r="D733" s="309" t="s">
        <v>1719</v>
      </c>
      <c r="E733" s="315" t="s">
        <v>1762</v>
      </c>
      <c r="F733" s="314" t="s">
        <v>1750</v>
      </c>
      <c r="G733" s="309" t="s">
        <v>1753</v>
      </c>
      <c r="H733" s="309" t="s">
        <v>1723</v>
      </c>
      <c r="I733" s="311">
        <v>2.09</v>
      </c>
      <c r="J733" s="338">
        <v>16.197499999999998</v>
      </c>
    </row>
    <row r="734" spans="1:10" ht="24">
      <c r="A734" s="334" t="s">
        <v>655</v>
      </c>
      <c r="B734" s="309" t="s">
        <v>660</v>
      </c>
      <c r="C734" s="309" t="s">
        <v>1718</v>
      </c>
      <c r="D734" s="309" t="s">
        <v>1719</v>
      </c>
      <c r="E734" s="315" t="s">
        <v>1763</v>
      </c>
      <c r="F734" s="309" t="s">
        <v>1750</v>
      </c>
      <c r="G734" s="309" t="s">
        <v>1753</v>
      </c>
      <c r="H734" s="309" t="s">
        <v>1723</v>
      </c>
      <c r="I734" s="311">
        <v>0.49</v>
      </c>
      <c r="J734" s="338">
        <v>5.6574999999999998</v>
      </c>
    </row>
    <row r="735" spans="1:10" ht="24">
      <c r="A735" s="335" t="s">
        <v>655</v>
      </c>
      <c r="B735" s="314" t="s">
        <v>662</v>
      </c>
      <c r="C735" s="309" t="s">
        <v>1718</v>
      </c>
      <c r="D735" s="309" t="s">
        <v>1719</v>
      </c>
      <c r="E735" s="315" t="s">
        <v>1764</v>
      </c>
      <c r="F735" s="314" t="s">
        <v>1750</v>
      </c>
      <c r="G735" s="309" t="s">
        <v>1753</v>
      </c>
      <c r="H735" s="309" t="s">
        <v>1723</v>
      </c>
      <c r="I735" s="311">
        <v>0.26</v>
      </c>
      <c r="J735" s="338">
        <v>15.241199999999999</v>
      </c>
    </row>
    <row r="736" spans="1:10" ht="24">
      <c r="A736" s="335" t="s">
        <v>655</v>
      </c>
      <c r="B736" s="314" t="s">
        <v>664</v>
      </c>
      <c r="C736" s="309" t="s">
        <v>1718</v>
      </c>
      <c r="D736" s="309" t="s">
        <v>1719</v>
      </c>
      <c r="E736" s="315" t="s">
        <v>1765</v>
      </c>
      <c r="F736" s="314" t="s">
        <v>1750</v>
      </c>
      <c r="G736" s="309" t="s">
        <v>1753</v>
      </c>
      <c r="H736" s="309" t="s">
        <v>1723</v>
      </c>
      <c r="I736" s="311">
        <v>1.71</v>
      </c>
      <c r="J736" s="338">
        <v>16908.3603</v>
      </c>
    </row>
    <row r="737" spans="1:10" ht="24">
      <c r="A737" s="335" t="s">
        <v>655</v>
      </c>
      <c r="B737" s="314" t="s">
        <v>666</v>
      </c>
      <c r="C737" s="309" t="s">
        <v>1718</v>
      </c>
      <c r="D737" s="309" t="s">
        <v>1719</v>
      </c>
      <c r="E737" s="315" t="s">
        <v>1766</v>
      </c>
      <c r="F737" s="314" t="s">
        <v>1750</v>
      </c>
      <c r="G737" s="309" t="s">
        <v>1753</v>
      </c>
      <c r="H737" s="309" t="s">
        <v>1723</v>
      </c>
      <c r="I737" s="311">
        <v>6.47</v>
      </c>
      <c r="J737" s="338">
        <v>7386.9283999999998</v>
      </c>
    </row>
    <row r="738" spans="1:10" ht="24">
      <c r="A738" s="335" t="s">
        <v>655</v>
      </c>
      <c r="B738" s="314" t="s">
        <v>668</v>
      </c>
      <c r="C738" s="309" t="s">
        <v>1718</v>
      </c>
      <c r="D738" s="309" t="s">
        <v>1719</v>
      </c>
      <c r="E738" s="315" t="s">
        <v>1767</v>
      </c>
      <c r="F738" s="314" t="s">
        <v>1750</v>
      </c>
      <c r="G738" s="309" t="s">
        <v>1753</v>
      </c>
      <c r="H738" s="309" t="s">
        <v>1723</v>
      </c>
      <c r="I738" s="311">
        <v>1.4</v>
      </c>
      <c r="J738" s="338">
        <v>4.4239999999999995</v>
      </c>
    </row>
    <row r="739" spans="1:10" ht="24">
      <c r="A739" s="335" t="s">
        <v>655</v>
      </c>
      <c r="B739" s="314" t="s">
        <v>670</v>
      </c>
      <c r="C739" s="309" t="s">
        <v>1718</v>
      </c>
      <c r="D739" s="309" t="s">
        <v>1719</v>
      </c>
      <c r="E739" s="315" t="s">
        <v>1768</v>
      </c>
      <c r="F739" s="314" t="s">
        <v>1750</v>
      </c>
      <c r="G739" s="309" t="s">
        <v>1753</v>
      </c>
      <c r="H739" s="309" t="s">
        <v>1723</v>
      </c>
      <c r="I739" s="311">
        <v>0.74</v>
      </c>
      <c r="J739" s="338">
        <v>31.124400000000001</v>
      </c>
    </row>
    <row r="740" spans="1:10" ht="24">
      <c r="A740" s="335" t="s">
        <v>655</v>
      </c>
      <c r="B740" s="314" t="s">
        <v>672</v>
      </c>
      <c r="C740" s="309" t="s">
        <v>1718</v>
      </c>
      <c r="D740" s="309" t="s">
        <v>1719</v>
      </c>
      <c r="E740" s="315" t="s">
        <v>1769</v>
      </c>
      <c r="F740" s="314" t="s">
        <v>1750</v>
      </c>
      <c r="G740" s="309" t="s">
        <v>1753</v>
      </c>
      <c r="H740" s="309" t="s">
        <v>1723</v>
      </c>
      <c r="I740" s="311">
        <v>0.98</v>
      </c>
      <c r="J740" s="338">
        <v>1.2152000000000001</v>
      </c>
    </row>
    <row r="741" spans="1:10" ht="24">
      <c r="A741" s="334" t="s">
        <v>655</v>
      </c>
      <c r="B741" s="309" t="s">
        <v>672</v>
      </c>
      <c r="C741" s="309" t="s">
        <v>1718</v>
      </c>
      <c r="D741" s="309" t="s">
        <v>1719</v>
      </c>
      <c r="E741" s="315" t="s">
        <v>1770</v>
      </c>
      <c r="F741" s="309" t="s">
        <v>1750</v>
      </c>
      <c r="G741" s="309" t="s">
        <v>1753</v>
      </c>
      <c r="H741" s="309" t="s">
        <v>1723</v>
      </c>
      <c r="I741" s="311">
        <v>0.49</v>
      </c>
      <c r="J741" s="338">
        <v>0.60760000000000003</v>
      </c>
    </row>
    <row r="742" spans="1:10" ht="24">
      <c r="A742" s="335" t="s">
        <v>655</v>
      </c>
      <c r="B742" s="314" t="s">
        <v>674</v>
      </c>
      <c r="C742" s="309" t="s">
        <v>1718</v>
      </c>
      <c r="D742" s="309" t="s">
        <v>1719</v>
      </c>
      <c r="E742" s="315" t="s">
        <v>1771</v>
      </c>
      <c r="F742" s="314" t="s">
        <v>1750</v>
      </c>
      <c r="G742" s="309" t="s">
        <v>1753</v>
      </c>
      <c r="H742" s="309" t="s">
        <v>1723</v>
      </c>
      <c r="I742" s="311">
        <v>2.2999999999999998</v>
      </c>
      <c r="J742" s="338">
        <v>68.125999999999991</v>
      </c>
    </row>
    <row r="743" spans="1:10" ht="24">
      <c r="A743" s="335" t="s">
        <v>655</v>
      </c>
      <c r="B743" s="314" t="s">
        <v>676</v>
      </c>
      <c r="C743" s="309" t="s">
        <v>1718</v>
      </c>
      <c r="D743" s="309" t="s">
        <v>1719</v>
      </c>
      <c r="E743" s="315" t="s">
        <v>1772</v>
      </c>
      <c r="F743" s="314" t="s">
        <v>1750</v>
      </c>
      <c r="G743" s="309" t="s">
        <v>1753</v>
      </c>
      <c r="H743" s="309" t="s">
        <v>1723</v>
      </c>
      <c r="I743" s="311">
        <v>0.54</v>
      </c>
      <c r="J743" s="338">
        <v>17.285399999999999</v>
      </c>
    </row>
    <row r="744" spans="1:10" ht="24">
      <c r="A744" s="335" t="s">
        <v>680</v>
      </c>
      <c r="B744" s="312"/>
      <c r="C744" s="309" t="s">
        <v>1718</v>
      </c>
      <c r="D744" s="309" t="s">
        <v>1719</v>
      </c>
      <c r="E744" s="316" t="s">
        <v>1773</v>
      </c>
      <c r="F744" s="314" t="s">
        <v>1750</v>
      </c>
      <c r="G744" s="309" t="s">
        <v>1753</v>
      </c>
      <c r="H744" s="309" t="s">
        <v>1723</v>
      </c>
      <c r="I744" s="311">
        <v>4.0359882021017892</v>
      </c>
      <c r="J744" s="339">
        <v>315</v>
      </c>
    </row>
    <row r="745" spans="1:10">
      <c r="A745" s="334" t="s">
        <v>423</v>
      </c>
      <c r="B745" s="309"/>
      <c r="C745" s="309" t="s">
        <v>1718</v>
      </c>
      <c r="D745" s="309" t="s">
        <v>1719</v>
      </c>
      <c r="E745" s="313" t="s">
        <v>1774</v>
      </c>
      <c r="F745" s="314" t="s">
        <v>1775</v>
      </c>
      <c r="G745" s="309" t="s">
        <v>1776</v>
      </c>
      <c r="H745" s="309" t="s">
        <v>1723</v>
      </c>
      <c r="I745" s="311">
        <v>0.55000000000000004</v>
      </c>
      <c r="J745" s="338">
        <v>0.55000000000000004</v>
      </c>
    </row>
    <row r="746" spans="1:10">
      <c r="A746" s="334" t="s">
        <v>423</v>
      </c>
      <c r="B746" s="309"/>
      <c r="C746" s="309" t="s">
        <v>1718</v>
      </c>
      <c r="D746" s="309" t="s">
        <v>1719</v>
      </c>
      <c r="E746" s="310" t="s">
        <v>1777</v>
      </c>
      <c r="F746" s="309" t="s">
        <v>1778</v>
      </c>
      <c r="G746" s="309" t="s">
        <v>1779</v>
      </c>
      <c r="H746" s="309" t="s">
        <v>1723</v>
      </c>
      <c r="I746" s="311">
        <v>0.35</v>
      </c>
      <c r="J746" s="338">
        <v>0.35</v>
      </c>
    </row>
    <row r="747" spans="1:10">
      <c r="A747" s="334" t="s">
        <v>423</v>
      </c>
      <c r="B747" s="309"/>
      <c r="C747" s="309" t="s">
        <v>1718</v>
      </c>
      <c r="D747" s="309" t="s">
        <v>1719</v>
      </c>
      <c r="E747" s="310" t="s">
        <v>1780</v>
      </c>
      <c r="F747" s="309" t="s">
        <v>1781</v>
      </c>
      <c r="G747" s="309" t="s">
        <v>1782</v>
      </c>
      <c r="H747" s="309" t="s">
        <v>1723</v>
      </c>
      <c r="I747" s="311">
        <v>0.35</v>
      </c>
      <c r="J747" s="338">
        <v>0.35</v>
      </c>
    </row>
    <row r="748" spans="1:10">
      <c r="A748" s="334" t="s">
        <v>655</v>
      </c>
      <c r="B748" s="309" t="s">
        <v>666</v>
      </c>
      <c r="C748" s="309" t="s">
        <v>1718</v>
      </c>
      <c r="D748" s="309" t="s">
        <v>1719</v>
      </c>
      <c r="E748" s="310" t="s">
        <v>1783</v>
      </c>
      <c r="F748" s="309" t="s">
        <v>1781</v>
      </c>
      <c r="G748" s="309" t="s">
        <v>1782</v>
      </c>
      <c r="H748" s="309" t="s">
        <v>1723</v>
      </c>
      <c r="I748" s="311">
        <v>0.62</v>
      </c>
      <c r="J748" s="338">
        <v>707.8664</v>
      </c>
    </row>
    <row r="749" spans="1:10">
      <c r="A749" s="334" t="s">
        <v>421</v>
      </c>
      <c r="B749" s="312" t="s">
        <v>587</v>
      </c>
      <c r="C749" s="309" t="s">
        <v>1718</v>
      </c>
      <c r="D749" s="309" t="s">
        <v>1719</v>
      </c>
      <c r="E749" s="313" t="s">
        <v>1784</v>
      </c>
      <c r="F749" s="314" t="s">
        <v>1785</v>
      </c>
      <c r="G749" s="309" t="s">
        <v>1786</v>
      </c>
      <c r="H749" s="309" t="s">
        <v>1045</v>
      </c>
      <c r="I749" s="311" t="s">
        <v>36</v>
      </c>
      <c r="J749" s="338" t="s">
        <v>36</v>
      </c>
    </row>
    <row r="750" spans="1:10">
      <c r="A750" s="334" t="s">
        <v>421</v>
      </c>
      <c r="B750" s="312" t="s">
        <v>621</v>
      </c>
      <c r="C750" s="309" t="s">
        <v>1718</v>
      </c>
      <c r="D750" s="309" t="s">
        <v>1719</v>
      </c>
      <c r="E750" s="313" t="s">
        <v>1787</v>
      </c>
      <c r="F750" s="314" t="s">
        <v>1785</v>
      </c>
      <c r="G750" s="309" t="s">
        <v>1786</v>
      </c>
      <c r="H750" s="309" t="s">
        <v>1045</v>
      </c>
      <c r="I750" s="311" t="s">
        <v>36</v>
      </c>
      <c r="J750" s="338" t="s">
        <v>36</v>
      </c>
    </row>
    <row r="751" spans="1:10">
      <c r="A751" s="334" t="s">
        <v>421</v>
      </c>
      <c r="B751" s="312" t="s">
        <v>625</v>
      </c>
      <c r="C751" s="309" t="s">
        <v>1718</v>
      </c>
      <c r="D751" s="309" t="s">
        <v>1719</v>
      </c>
      <c r="E751" s="313" t="s">
        <v>1788</v>
      </c>
      <c r="F751" s="314" t="s">
        <v>1785</v>
      </c>
      <c r="G751" s="309" t="s">
        <v>1786</v>
      </c>
      <c r="H751" s="309" t="s">
        <v>1045</v>
      </c>
      <c r="I751" s="311" t="s">
        <v>36</v>
      </c>
      <c r="J751" s="338" t="s">
        <v>36</v>
      </c>
    </row>
    <row r="752" spans="1:10" ht="24">
      <c r="A752" s="334" t="s">
        <v>680</v>
      </c>
      <c r="B752" s="309"/>
      <c r="C752" s="309" t="s">
        <v>1718</v>
      </c>
      <c r="D752" s="309" t="s">
        <v>1719</v>
      </c>
      <c r="E752" s="316" t="s">
        <v>1789</v>
      </c>
      <c r="F752" s="309" t="s">
        <v>1790</v>
      </c>
      <c r="G752" s="309" t="s">
        <v>1753</v>
      </c>
      <c r="H752" s="309" t="s">
        <v>1723</v>
      </c>
      <c r="I752" s="311">
        <v>2.17</v>
      </c>
      <c r="J752" s="339">
        <v>169</v>
      </c>
    </row>
    <row r="753" spans="1:10">
      <c r="A753" s="335" t="s">
        <v>680</v>
      </c>
      <c r="B753" s="314"/>
      <c r="C753" s="309" t="s">
        <v>1718</v>
      </c>
      <c r="D753" s="309" t="s">
        <v>1719</v>
      </c>
      <c r="E753" s="316" t="s">
        <v>1791</v>
      </c>
      <c r="F753" s="322" t="s">
        <v>1792</v>
      </c>
      <c r="G753" s="314" t="s">
        <v>1793</v>
      </c>
      <c r="H753" s="309" t="s">
        <v>98</v>
      </c>
      <c r="I753" s="311">
        <v>0.88</v>
      </c>
      <c r="J753" s="339">
        <v>69</v>
      </c>
    </row>
    <row r="754" spans="1:10">
      <c r="A754" s="334" t="s">
        <v>423</v>
      </c>
      <c r="B754" s="309"/>
      <c r="C754" s="309" t="s">
        <v>1718</v>
      </c>
      <c r="D754" s="309" t="s">
        <v>1794</v>
      </c>
      <c r="E754" s="310" t="s">
        <v>1795</v>
      </c>
      <c r="F754" s="309" t="s">
        <v>1796</v>
      </c>
      <c r="G754" s="309" t="s">
        <v>1797</v>
      </c>
      <c r="H754" s="309" t="s">
        <v>98</v>
      </c>
      <c r="I754" s="380">
        <v>0.66300000000000003</v>
      </c>
      <c r="J754" s="338">
        <v>0.66300000000000003</v>
      </c>
    </row>
    <row r="755" spans="1:10" ht="24">
      <c r="A755" s="334" t="s">
        <v>421</v>
      </c>
      <c r="B755" s="309" t="s">
        <v>651</v>
      </c>
      <c r="C755" s="309" t="s">
        <v>1718</v>
      </c>
      <c r="D755" s="309" t="s">
        <v>1794</v>
      </c>
      <c r="E755" s="313" t="s">
        <v>1798</v>
      </c>
      <c r="F755" s="309" t="s">
        <v>1796</v>
      </c>
      <c r="G755" s="309" t="s">
        <v>1797</v>
      </c>
      <c r="H755" s="309" t="s">
        <v>98</v>
      </c>
      <c r="I755" s="311">
        <v>0.23921353012499999</v>
      </c>
      <c r="J755" s="338">
        <v>0.153</v>
      </c>
    </row>
    <row r="756" spans="1:10" ht="24">
      <c r="A756" s="334" t="s">
        <v>421</v>
      </c>
      <c r="B756" s="309" t="s">
        <v>1010</v>
      </c>
      <c r="C756" s="309" t="s">
        <v>1718</v>
      </c>
      <c r="D756" s="309" t="s">
        <v>1794</v>
      </c>
      <c r="E756" s="313" t="s">
        <v>1799</v>
      </c>
      <c r="F756" s="309" t="s">
        <v>1796</v>
      </c>
      <c r="G756" s="309" t="s">
        <v>1797</v>
      </c>
      <c r="H756" s="309" t="s">
        <v>98</v>
      </c>
      <c r="I756" s="311">
        <v>0.24</v>
      </c>
      <c r="J756" s="338" t="s">
        <v>36</v>
      </c>
    </row>
    <row r="757" spans="1:10">
      <c r="A757" s="334" t="s">
        <v>655</v>
      </c>
      <c r="B757" s="309"/>
      <c r="C757" s="309" t="s">
        <v>1718</v>
      </c>
      <c r="D757" s="309" t="s">
        <v>1794</v>
      </c>
      <c r="E757" s="315" t="s">
        <v>1800</v>
      </c>
      <c r="F757" s="309" t="s">
        <v>1796</v>
      </c>
      <c r="G757" s="309" t="s">
        <v>1797</v>
      </c>
      <c r="H757" s="309" t="s">
        <v>98</v>
      </c>
      <c r="I757" s="311">
        <v>0.49299999999999999</v>
      </c>
      <c r="J757" s="338" t="s">
        <v>36</v>
      </c>
    </row>
    <row r="758" spans="1:10">
      <c r="A758" s="335" t="s">
        <v>680</v>
      </c>
      <c r="B758" s="314"/>
      <c r="C758" s="309" t="s">
        <v>1718</v>
      </c>
      <c r="D758" s="309" t="s">
        <v>1801</v>
      </c>
      <c r="E758" s="316" t="s">
        <v>1802</v>
      </c>
      <c r="F758" s="322" t="s">
        <v>1803</v>
      </c>
      <c r="G758" s="322" t="s">
        <v>1803</v>
      </c>
      <c r="H758" s="309" t="s">
        <v>1045</v>
      </c>
      <c r="I758" s="311">
        <v>245.82</v>
      </c>
      <c r="J758" s="339">
        <v>19186</v>
      </c>
    </row>
    <row r="759" spans="1:10">
      <c r="A759" s="335" t="s">
        <v>680</v>
      </c>
      <c r="B759" s="314"/>
      <c r="C759" s="309" t="s">
        <v>1718</v>
      </c>
      <c r="D759" s="309" t="s">
        <v>1801</v>
      </c>
      <c r="E759" s="316" t="s">
        <v>1804</v>
      </c>
      <c r="F759" s="322" t="s">
        <v>1805</v>
      </c>
      <c r="G759" s="322" t="s">
        <v>1805</v>
      </c>
      <c r="H759" s="309" t="s">
        <v>98</v>
      </c>
      <c r="I759" s="311">
        <v>0.28000000000000003</v>
      </c>
      <c r="J759" s="339">
        <v>22</v>
      </c>
    </row>
    <row r="760" spans="1:10" ht="24">
      <c r="A760" s="334" t="s">
        <v>423</v>
      </c>
      <c r="B760" s="309"/>
      <c r="C760" s="309" t="s">
        <v>1718</v>
      </c>
      <c r="D760" s="309" t="s">
        <v>1801</v>
      </c>
      <c r="E760" s="310" t="s">
        <v>1806</v>
      </c>
      <c r="F760" s="309" t="s">
        <v>1807</v>
      </c>
      <c r="G760" s="309" t="s">
        <v>1808</v>
      </c>
      <c r="H760" s="309" t="s">
        <v>98</v>
      </c>
      <c r="I760" s="311">
        <v>1.485E-2</v>
      </c>
      <c r="J760" s="338">
        <v>1.485E-2</v>
      </c>
    </row>
    <row r="761" spans="1:10" ht="24">
      <c r="A761" s="336" t="s">
        <v>421</v>
      </c>
      <c r="B761" s="319"/>
      <c r="C761" s="319" t="s">
        <v>1718</v>
      </c>
      <c r="D761" s="319" t="s">
        <v>1801</v>
      </c>
      <c r="E761" s="310" t="s">
        <v>1809</v>
      </c>
      <c r="F761" s="319" t="s">
        <v>1807</v>
      </c>
      <c r="G761" s="319" t="s">
        <v>1808</v>
      </c>
      <c r="H761" s="319" t="s">
        <v>98</v>
      </c>
      <c r="I761" s="321">
        <v>6.85</v>
      </c>
      <c r="J761" s="340" t="s">
        <v>36</v>
      </c>
    </row>
    <row r="762" spans="1:10" ht="24">
      <c r="A762" s="334" t="s">
        <v>655</v>
      </c>
      <c r="B762" s="309"/>
      <c r="C762" s="309" t="s">
        <v>1718</v>
      </c>
      <c r="D762" s="309" t="s">
        <v>1801</v>
      </c>
      <c r="E762" s="315" t="s">
        <v>1810</v>
      </c>
      <c r="F762" s="309" t="s">
        <v>1807</v>
      </c>
      <c r="G762" s="309" t="s">
        <v>1808</v>
      </c>
      <c r="H762" s="309" t="s">
        <v>98</v>
      </c>
      <c r="I762" s="311">
        <v>0.04</v>
      </c>
      <c r="J762" s="338" t="s">
        <v>36</v>
      </c>
    </row>
    <row r="763" spans="1:10">
      <c r="A763" s="334" t="s">
        <v>423</v>
      </c>
      <c r="B763" s="309"/>
      <c r="C763" s="309" t="s">
        <v>1718</v>
      </c>
      <c r="D763" s="309" t="s">
        <v>1801</v>
      </c>
      <c r="E763" s="310" t="s">
        <v>1811</v>
      </c>
      <c r="F763" s="309" t="s">
        <v>1812</v>
      </c>
      <c r="G763" s="309" t="s">
        <v>1813</v>
      </c>
      <c r="H763" s="309" t="s">
        <v>98</v>
      </c>
      <c r="I763" s="380">
        <v>0.32</v>
      </c>
      <c r="J763" s="338">
        <v>0.32</v>
      </c>
    </row>
    <row r="764" spans="1:10">
      <c r="A764" s="334" t="s">
        <v>421</v>
      </c>
      <c r="B764" s="309"/>
      <c r="C764" s="309" t="s">
        <v>1718</v>
      </c>
      <c r="D764" s="309" t="s">
        <v>1801</v>
      </c>
      <c r="E764" s="310" t="s">
        <v>1814</v>
      </c>
      <c r="F764" s="309" t="s">
        <v>1812</v>
      </c>
      <c r="G764" s="309" t="s">
        <v>1813</v>
      </c>
      <c r="H764" s="309" t="s">
        <v>98</v>
      </c>
      <c r="I764" s="311">
        <v>0.41</v>
      </c>
      <c r="J764" s="338" t="s">
        <v>36</v>
      </c>
    </row>
    <row r="765" spans="1:10">
      <c r="A765" s="334" t="s">
        <v>655</v>
      </c>
      <c r="B765" s="309"/>
      <c r="C765" s="309" t="s">
        <v>1718</v>
      </c>
      <c r="D765" s="309" t="s">
        <v>1801</v>
      </c>
      <c r="E765" s="315" t="s">
        <v>1815</v>
      </c>
      <c r="F765" s="309" t="s">
        <v>1812</v>
      </c>
      <c r="G765" s="309" t="s">
        <v>1813</v>
      </c>
      <c r="H765" s="309" t="s">
        <v>98</v>
      </c>
      <c r="I765" s="311">
        <v>0.09</v>
      </c>
      <c r="J765" s="338" t="s">
        <v>36</v>
      </c>
    </row>
    <row r="766" spans="1:10">
      <c r="A766" s="334" t="s">
        <v>423</v>
      </c>
      <c r="B766" s="309"/>
      <c r="C766" s="309" t="s">
        <v>1718</v>
      </c>
      <c r="D766" s="309" t="s">
        <v>1801</v>
      </c>
      <c r="E766" s="310" t="s">
        <v>1816</v>
      </c>
      <c r="F766" s="309" t="s">
        <v>1817</v>
      </c>
      <c r="G766" s="309" t="s">
        <v>1818</v>
      </c>
      <c r="H766" s="309" t="s">
        <v>98</v>
      </c>
      <c r="I766" s="311">
        <v>0.32300000000000001</v>
      </c>
      <c r="J766" s="338">
        <v>0.32300000000000001</v>
      </c>
    </row>
    <row r="767" spans="1:10" ht="24">
      <c r="A767" s="334" t="s">
        <v>421</v>
      </c>
      <c r="B767" s="309" t="s">
        <v>651</v>
      </c>
      <c r="C767" s="309" t="s">
        <v>1718</v>
      </c>
      <c r="D767" s="309" t="s">
        <v>1801</v>
      </c>
      <c r="E767" s="313" t="s">
        <v>1819</v>
      </c>
      <c r="F767" s="309" t="s">
        <v>1817</v>
      </c>
      <c r="G767" s="309" t="s">
        <v>1818</v>
      </c>
      <c r="H767" s="309" t="s">
        <v>98</v>
      </c>
      <c r="I767" s="311">
        <v>0.72</v>
      </c>
      <c r="J767" s="338">
        <v>0.46</v>
      </c>
    </row>
    <row r="768" spans="1:10">
      <c r="A768" s="334" t="s">
        <v>655</v>
      </c>
      <c r="B768" s="309"/>
      <c r="C768" s="309" t="s">
        <v>1718</v>
      </c>
      <c r="D768" s="309" t="s">
        <v>1801</v>
      </c>
      <c r="E768" s="315" t="s">
        <v>1820</v>
      </c>
      <c r="F768" s="309" t="s">
        <v>1817</v>
      </c>
      <c r="G768" s="309" t="s">
        <v>1818</v>
      </c>
      <c r="H768" s="309" t="s">
        <v>98</v>
      </c>
      <c r="I768" s="311">
        <v>1.5295000000000001</v>
      </c>
      <c r="J768" s="338" t="s">
        <v>36</v>
      </c>
    </row>
    <row r="769" spans="1:10">
      <c r="A769" s="334" t="s">
        <v>423</v>
      </c>
      <c r="B769" s="309"/>
      <c r="C769" s="309" t="s">
        <v>1718</v>
      </c>
      <c r="D769" s="309" t="s">
        <v>1801</v>
      </c>
      <c r="E769" s="310" t="s">
        <v>1821</v>
      </c>
      <c r="F769" s="309" t="s">
        <v>1822</v>
      </c>
      <c r="G769" s="309" t="s">
        <v>1823</v>
      </c>
      <c r="H769" s="309" t="s">
        <v>1824</v>
      </c>
      <c r="I769" s="311">
        <v>0.90249999999999997</v>
      </c>
      <c r="J769" s="338">
        <v>0.90249999999999997</v>
      </c>
    </row>
    <row r="770" spans="1:10">
      <c r="A770" s="334" t="s">
        <v>423</v>
      </c>
      <c r="B770" s="309"/>
      <c r="C770" s="309" t="s">
        <v>1718</v>
      </c>
      <c r="D770" s="309" t="s">
        <v>1801</v>
      </c>
      <c r="E770" s="313" t="s">
        <v>1825</v>
      </c>
      <c r="F770" s="309" t="s">
        <v>1826</v>
      </c>
      <c r="G770" s="309" t="s">
        <v>1827</v>
      </c>
      <c r="H770" s="309" t="s">
        <v>1824</v>
      </c>
      <c r="I770" s="311">
        <v>5.48</v>
      </c>
      <c r="J770" s="338">
        <v>5.48</v>
      </c>
    </row>
    <row r="771" spans="1:10">
      <c r="A771" s="334" t="s">
        <v>423</v>
      </c>
      <c r="B771" s="309"/>
      <c r="C771" s="309" t="s">
        <v>1718</v>
      </c>
      <c r="D771" s="309" t="s">
        <v>1801</v>
      </c>
      <c r="E771" s="313" t="s">
        <v>1828</v>
      </c>
      <c r="F771" s="314" t="s">
        <v>1829</v>
      </c>
      <c r="G771" s="309" t="s">
        <v>1830</v>
      </c>
      <c r="H771" s="309" t="s">
        <v>1831</v>
      </c>
      <c r="I771" s="311">
        <v>1500</v>
      </c>
      <c r="J771" s="338">
        <v>1500</v>
      </c>
    </row>
    <row r="772" spans="1:10" ht="24">
      <c r="A772" s="334" t="s">
        <v>423</v>
      </c>
      <c r="B772" s="309"/>
      <c r="C772" s="309" t="s">
        <v>1718</v>
      </c>
      <c r="D772" s="309" t="s">
        <v>1801</v>
      </c>
      <c r="E772" s="310" t="s">
        <v>1832</v>
      </c>
      <c r="F772" s="309" t="s">
        <v>1833</v>
      </c>
      <c r="G772" s="309" t="s">
        <v>1834</v>
      </c>
      <c r="H772" s="309" t="s">
        <v>98</v>
      </c>
      <c r="I772" s="311">
        <v>0.95</v>
      </c>
      <c r="J772" s="338">
        <v>0.95</v>
      </c>
    </row>
    <row r="773" spans="1:10" ht="24">
      <c r="A773" s="334" t="s">
        <v>423</v>
      </c>
      <c r="B773" s="309"/>
      <c r="C773" s="309" t="s">
        <v>1835</v>
      </c>
      <c r="D773" s="309" t="s">
        <v>1836</v>
      </c>
      <c r="E773" s="310" t="s">
        <v>1837</v>
      </c>
      <c r="F773" s="309" t="s">
        <v>1838</v>
      </c>
      <c r="G773" s="309" t="s">
        <v>1839</v>
      </c>
      <c r="H773" s="309" t="s">
        <v>1840</v>
      </c>
      <c r="I773" s="311">
        <v>213</v>
      </c>
      <c r="J773" s="338">
        <v>213</v>
      </c>
    </row>
    <row r="774" spans="1:10" ht="24">
      <c r="A774" s="334" t="s">
        <v>421</v>
      </c>
      <c r="B774" s="309" t="s">
        <v>587</v>
      </c>
      <c r="C774" s="309" t="s">
        <v>1835</v>
      </c>
      <c r="D774" s="309" t="s">
        <v>1836</v>
      </c>
      <c r="E774" s="313" t="s">
        <v>1841</v>
      </c>
      <c r="F774" s="309" t="s">
        <v>1838</v>
      </c>
      <c r="G774" s="309" t="s">
        <v>1839</v>
      </c>
      <c r="H774" s="309" t="s">
        <v>1840</v>
      </c>
      <c r="I774" s="311">
        <v>888.77007446086384</v>
      </c>
      <c r="J774" s="338">
        <v>18089.3694</v>
      </c>
    </row>
    <row r="775" spans="1:10" ht="24">
      <c r="A775" s="334" t="s">
        <v>421</v>
      </c>
      <c r="B775" s="309" t="s">
        <v>591</v>
      </c>
      <c r="C775" s="309" t="s">
        <v>1835</v>
      </c>
      <c r="D775" s="309" t="s">
        <v>1836</v>
      </c>
      <c r="E775" s="313" t="s">
        <v>1842</v>
      </c>
      <c r="F775" s="309" t="s">
        <v>1838</v>
      </c>
      <c r="G775" s="309" t="s">
        <v>1839</v>
      </c>
      <c r="H775" s="309" t="s">
        <v>1840</v>
      </c>
      <c r="I775" s="311">
        <v>154.77847914055002</v>
      </c>
      <c r="J775" s="338">
        <v>124.3526</v>
      </c>
    </row>
    <row r="776" spans="1:10" ht="24">
      <c r="A776" s="334" t="s">
        <v>421</v>
      </c>
      <c r="B776" s="309" t="s">
        <v>593</v>
      </c>
      <c r="C776" s="309" t="s">
        <v>1835</v>
      </c>
      <c r="D776" s="309" t="s">
        <v>1836</v>
      </c>
      <c r="E776" s="313" t="s">
        <v>1843</v>
      </c>
      <c r="F776" s="309" t="s">
        <v>1838</v>
      </c>
      <c r="G776" s="309" t="s">
        <v>1839</v>
      </c>
      <c r="H776" s="309" t="s">
        <v>1840</v>
      </c>
      <c r="I776" s="311">
        <v>560.76632600555001</v>
      </c>
      <c r="J776" s="338">
        <v>450.5326</v>
      </c>
    </row>
    <row r="777" spans="1:10" ht="24">
      <c r="A777" s="334" t="s">
        <v>421</v>
      </c>
      <c r="B777" s="309" t="s">
        <v>595</v>
      </c>
      <c r="C777" s="309" t="s">
        <v>1835</v>
      </c>
      <c r="D777" s="309" t="s">
        <v>1836</v>
      </c>
      <c r="E777" s="313" t="s">
        <v>1844</v>
      </c>
      <c r="F777" s="309" t="s">
        <v>1838</v>
      </c>
      <c r="G777" s="309" t="s">
        <v>1839</v>
      </c>
      <c r="H777" s="309" t="s">
        <v>1840</v>
      </c>
      <c r="I777" s="311">
        <v>309.43840979437181</v>
      </c>
      <c r="J777" s="338">
        <v>72023.429799999998</v>
      </c>
    </row>
    <row r="778" spans="1:10" ht="24">
      <c r="A778" s="334" t="s">
        <v>421</v>
      </c>
      <c r="B778" s="309" t="s">
        <v>597</v>
      </c>
      <c r="C778" s="309" t="s">
        <v>1835</v>
      </c>
      <c r="D778" s="309" t="s">
        <v>1836</v>
      </c>
      <c r="E778" s="313" t="s">
        <v>1845</v>
      </c>
      <c r="F778" s="309" t="s">
        <v>1838</v>
      </c>
      <c r="G778" s="309" t="s">
        <v>1839</v>
      </c>
      <c r="H778" s="309" t="s">
        <v>1840</v>
      </c>
      <c r="I778" s="311">
        <v>223.09441683060004</v>
      </c>
      <c r="J778" s="338">
        <v>179.23920000000001</v>
      </c>
    </row>
    <row r="779" spans="1:10" ht="24">
      <c r="A779" s="334" t="s">
        <v>421</v>
      </c>
      <c r="B779" s="309" t="s">
        <v>599</v>
      </c>
      <c r="C779" s="309" t="s">
        <v>1835</v>
      </c>
      <c r="D779" s="309" t="s">
        <v>1836</v>
      </c>
      <c r="E779" s="313" t="s">
        <v>1846</v>
      </c>
      <c r="F779" s="309" t="s">
        <v>1838</v>
      </c>
      <c r="G779" s="309" t="s">
        <v>1839</v>
      </c>
      <c r="H779" s="309" t="s">
        <v>1840</v>
      </c>
      <c r="I779" s="311">
        <v>146.28050083427723</v>
      </c>
      <c r="J779" s="338">
        <v>586.44719999999995</v>
      </c>
    </row>
    <row r="780" spans="1:10" ht="24">
      <c r="A780" s="334" t="s">
        <v>421</v>
      </c>
      <c r="B780" s="309" t="s">
        <v>601</v>
      </c>
      <c r="C780" s="309" t="s">
        <v>1835</v>
      </c>
      <c r="D780" s="309" t="s">
        <v>1836</v>
      </c>
      <c r="E780" s="313" t="s">
        <v>1847</v>
      </c>
      <c r="F780" s="309" t="s">
        <v>1838</v>
      </c>
      <c r="G780" s="309" t="s">
        <v>1839</v>
      </c>
      <c r="H780" s="309" t="s">
        <v>1840</v>
      </c>
      <c r="I780" s="311">
        <v>710.19793350295004</v>
      </c>
      <c r="J780" s="338">
        <v>570.58939999999996</v>
      </c>
    </row>
    <row r="781" spans="1:10" ht="24">
      <c r="A781" s="334" t="s">
        <v>421</v>
      </c>
      <c r="B781" s="309" t="s">
        <v>625</v>
      </c>
      <c r="C781" s="309" t="s">
        <v>1835</v>
      </c>
      <c r="D781" s="309" t="s">
        <v>1836</v>
      </c>
      <c r="E781" s="313" t="s">
        <v>1848</v>
      </c>
      <c r="F781" s="309" t="s">
        <v>1838</v>
      </c>
      <c r="G781" s="309" t="s">
        <v>1839</v>
      </c>
      <c r="H781" s="309" t="s">
        <v>1840</v>
      </c>
      <c r="I781" s="311">
        <v>324.77971771747264</v>
      </c>
      <c r="J781" s="338">
        <v>10987.331</v>
      </c>
    </row>
    <row r="782" spans="1:10" ht="24">
      <c r="A782" s="334" t="s">
        <v>421</v>
      </c>
      <c r="B782" s="309" t="s">
        <v>631</v>
      </c>
      <c r="C782" s="309" t="s">
        <v>1835</v>
      </c>
      <c r="D782" s="309" t="s">
        <v>1836</v>
      </c>
      <c r="E782" s="313" t="s">
        <v>1849</v>
      </c>
      <c r="F782" s="309" t="s">
        <v>1838</v>
      </c>
      <c r="G782" s="309" t="s">
        <v>1839</v>
      </c>
      <c r="H782" s="309" t="s">
        <v>1840</v>
      </c>
      <c r="I782" s="311">
        <v>210.69952256503655</v>
      </c>
      <c r="J782" s="338">
        <v>1792.7773999999999</v>
      </c>
    </row>
    <row r="783" spans="1:10" ht="24">
      <c r="A783" s="334" t="s">
        <v>421</v>
      </c>
      <c r="B783" s="309" t="s">
        <v>633</v>
      </c>
      <c r="C783" s="309" t="s">
        <v>1835</v>
      </c>
      <c r="D783" s="309" t="s">
        <v>1836</v>
      </c>
      <c r="E783" s="313" t="s">
        <v>1850</v>
      </c>
      <c r="F783" s="309" t="s">
        <v>1838</v>
      </c>
      <c r="G783" s="309" t="s">
        <v>1839</v>
      </c>
      <c r="H783" s="309" t="s">
        <v>1840</v>
      </c>
      <c r="I783" s="311">
        <v>234.22105782105001</v>
      </c>
      <c r="J783" s="338">
        <v>188.17859999999999</v>
      </c>
    </row>
    <row r="784" spans="1:10" ht="24">
      <c r="A784" s="334" t="s">
        <v>421</v>
      </c>
      <c r="B784" s="309" t="s">
        <v>637</v>
      </c>
      <c r="C784" s="309" t="s">
        <v>1835</v>
      </c>
      <c r="D784" s="309" t="s">
        <v>1836</v>
      </c>
      <c r="E784" s="313" t="s">
        <v>1851</v>
      </c>
      <c r="F784" s="309" t="s">
        <v>1838</v>
      </c>
      <c r="G784" s="309" t="s">
        <v>1839</v>
      </c>
      <c r="H784" s="309" t="s">
        <v>1840</v>
      </c>
      <c r="I784" s="311">
        <v>536.30908372459169</v>
      </c>
      <c r="J784" s="338">
        <v>558.48220000000003</v>
      </c>
    </row>
    <row r="785" spans="1:10" ht="24">
      <c r="A785" s="334" t="s">
        <v>421</v>
      </c>
      <c r="B785" s="309" t="s">
        <v>643</v>
      </c>
      <c r="C785" s="309" t="s">
        <v>1835</v>
      </c>
      <c r="D785" s="309" t="s">
        <v>1836</v>
      </c>
      <c r="E785" s="313" t="s">
        <v>1852</v>
      </c>
      <c r="F785" s="309" t="s">
        <v>1838</v>
      </c>
      <c r="G785" s="309" t="s">
        <v>1839</v>
      </c>
      <c r="H785" s="309" t="s">
        <v>1840</v>
      </c>
      <c r="I785" s="311">
        <v>133.71520160695178</v>
      </c>
      <c r="J785" s="338">
        <v>250.4442</v>
      </c>
    </row>
    <row r="786" spans="1:10" ht="24">
      <c r="A786" s="334" t="s">
        <v>421</v>
      </c>
      <c r="B786" s="309" t="s">
        <v>651</v>
      </c>
      <c r="C786" s="309" t="s">
        <v>1835</v>
      </c>
      <c r="D786" s="309" t="s">
        <v>1836</v>
      </c>
      <c r="E786" s="313" t="s">
        <v>1853</v>
      </c>
      <c r="F786" s="309" t="s">
        <v>1838</v>
      </c>
      <c r="G786" s="309" t="s">
        <v>1839</v>
      </c>
      <c r="H786" s="309" t="s">
        <v>1840</v>
      </c>
      <c r="I786" s="311">
        <v>289.71760393417497</v>
      </c>
      <c r="J786" s="338">
        <v>185.3022</v>
      </c>
    </row>
    <row r="787" spans="1:10" ht="24">
      <c r="A787" s="335" t="s">
        <v>655</v>
      </c>
      <c r="B787" s="314" t="s">
        <v>656</v>
      </c>
      <c r="C787" s="309" t="s">
        <v>1835</v>
      </c>
      <c r="D787" s="309" t="s">
        <v>1836</v>
      </c>
      <c r="E787" s="315" t="s">
        <v>1854</v>
      </c>
      <c r="F787" s="309" t="s">
        <v>1838</v>
      </c>
      <c r="G787" s="309" t="s">
        <v>1839</v>
      </c>
      <c r="H787" s="309" t="s">
        <v>1840</v>
      </c>
      <c r="I787" s="311">
        <v>498.56659999999999</v>
      </c>
      <c r="J787" s="338">
        <v>483.60960199999994</v>
      </c>
    </row>
    <row r="788" spans="1:10" ht="24">
      <c r="A788" s="335" t="s">
        <v>655</v>
      </c>
      <c r="B788" s="314" t="s">
        <v>660</v>
      </c>
      <c r="C788" s="309" t="s">
        <v>1835</v>
      </c>
      <c r="D788" s="309" t="s">
        <v>1836</v>
      </c>
      <c r="E788" s="315" t="s">
        <v>1855</v>
      </c>
      <c r="F788" s="309" t="s">
        <v>1838</v>
      </c>
      <c r="G788" s="309" t="s">
        <v>1839</v>
      </c>
      <c r="H788" s="309" t="s">
        <v>1840</v>
      </c>
      <c r="I788" s="311">
        <v>183.4316</v>
      </c>
      <c r="J788" s="338">
        <v>1421.5949000000001</v>
      </c>
    </row>
    <row r="789" spans="1:10" ht="24">
      <c r="A789" s="335" t="s">
        <v>655</v>
      </c>
      <c r="B789" s="314" t="s">
        <v>672</v>
      </c>
      <c r="C789" s="309" t="s">
        <v>1835</v>
      </c>
      <c r="D789" s="309" t="s">
        <v>1836</v>
      </c>
      <c r="E789" s="315" t="s">
        <v>1856</v>
      </c>
      <c r="F789" s="309" t="s">
        <v>1838</v>
      </c>
      <c r="G789" s="309" t="s">
        <v>1839</v>
      </c>
      <c r="H789" s="309" t="s">
        <v>1840</v>
      </c>
      <c r="I789" s="311">
        <v>150.964</v>
      </c>
      <c r="J789" s="338">
        <v>187.19535999999999</v>
      </c>
    </row>
    <row r="790" spans="1:10" ht="24">
      <c r="A790" s="335" t="s">
        <v>680</v>
      </c>
      <c r="B790" s="314"/>
      <c r="C790" s="309" t="s">
        <v>1835</v>
      </c>
      <c r="D790" s="309" t="s">
        <v>1836</v>
      </c>
      <c r="E790" s="316" t="s">
        <v>1857</v>
      </c>
      <c r="F790" s="309" t="s">
        <v>1838</v>
      </c>
      <c r="G790" s="309" t="s">
        <v>1839</v>
      </c>
      <c r="H790" s="309" t="s">
        <v>1840</v>
      </c>
      <c r="I790" s="311">
        <v>513.74465391721481</v>
      </c>
      <c r="J790" s="339">
        <v>40096.639999999999</v>
      </c>
    </row>
    <row r="791" spans="1:10" ht="24">
      <c r="A791" s="334" t="s">
        <v>423</v>
      </c>
      <c r="B791" s="309"/>
      <c r="C791" s="309" t="s">
        <v>1835</v>
      </c>
      <c r="D791" s="309" t="s">
        <v>1858</v>
      </c>
      <c r="E791" s="310" t="s">
        <v>1859</v>
      </c>
      <c r="F791" s="309" t="s">
        <v>1860</v>
      </c>
      <c r="G791" s="309" t="s">
        <v>1861</v>
      </c>
      <c r="H791" s="309" t="s">
        <v>1862</v>
      </c>
      <c r="I791" s="311">
        <v>29.89</v>
      </c>
      <c r="J791" s="338">
        <v>29.89</v>
      </c>
    </row>
    <row r="792" spans="1:10" ht="24">
      <c r="A792" s="335" t="s">
        <v>655</v>
      </c>
      <c r="B792" s="314" t="s">
        <v>656</v>
      </c>
      <c r="C792" s="309" t="s">
        <v>1835</v>
      </c>
      <c r="D792" s="309" t="s">
        <v>1858</v>
      </c>
      <c r="E792" s="315" t="s">
        <v>1863</v>
      </c>
      <c r="F792" s="309" t="s">
        <v>1860</v>
      </c>
      <c r="G792" s="309" t="s">
        <v>1861</v>
      </c>
      <c r="H792" s="309" t="s">
        <v>1862</v>
      </c>
      <c r="I792" s="311">
        <v>68.629400000000004</v>
      </c>
      <c r="J792" s="338">
        <v>66.570518000000007</v>
      </c>
    </row>
    <row r="793" spans="1:10" ht="24">
      <c r="A793" s="335" t="s">
        <v>655</v>
      </c>
      <c r="B793" s="314" t="s">
        <v>658</v>
      </c>
      <c r="C793" s="309" t="s">
        <v>1835</v>
      </c>
      <c r="D793" s="309" t="s">
        <v>1858</v>
      </c>
      <c r="E793" s="315" t="s">
        <v>1864</v>
      </c>
      <c r="F793" s="309" t="s">
        <v>1860</v>
      </c>
      <c r="G793" s="309" t="s">
        <v>1861</v>
      </c>
      <c r="H793" s="309" t="s">
        <v>1862</v>
      </c>
      <c r="I793" s="311">
        <v>8.6338000000000008</v>
      </c>
      <c r="J793" s="338">
        <v>55.428996000000005</v>
      </c>
    </row>
    <row r="794" spans="1:10" ht="24">
      <c r="A794" s="335" t="s">
        <v>655</v>
      </c>
      <c r="B794" s="314" t="s">
        <v>660</v>
      </c>
      <c r="C794" s="309" t="s">
        <v>1835</v>
      </c>
      <c r="D794" s="309" t="s">
        <v>1858</v>
      </c>
      <c r="E794" s="315" t="s">
        <v>1865</v>
      </c>
      <c r="F794" s="309" t="s">
        <v>1860</v>
      </c>
      <c r="G794" s="309" t="s">
        <v>1861</v>
      </c>
      <c r="H794" s="309" t="s">
        <v>1862</v>
      </c>
      <c r="I794" s="311">
        <v>7.3108000000000004</v>
      </c>
      <c r="J794" s="338">
        <v>56.658700000000003</v>
      </c>
    </row>
    <row r="795" spans="1:10" ht="24">
      <c r="A795" s="335" t="s">
        <v>655</v>
      </c>
      <c r="B795" s="314" t="s">
        <v>662</v>
      </c>
      <c r="C795" s="309" t="s">
        <v>1835</v>
      </c>
      <c r="D795" s="309" t="s">
        <v>1858</v>
      </c>
      <c r="E795" s="315" t="s">
        <v>1866</v>
      </c>
      <c r="F795" s="309" t="s">
        <v>1860</v>
      </c>
      <c r="G795" s="309" t="s">
        <v>1861</v>
      </c>
      <c r="H795" s="309" t="s">
        <v>1862</v>
      </c>
      <c r="I795" s="311">
        <v>17.855599999999999</v>
      </c>
      <c r="J795" s="338">
        <v>1046.6952719999999</v>
      </c>
    </row>
    <row r="796" spans="1:10" ht="24">
      <c r="A796" s="335" t="s">
        <v>655</v>
      </c>
      <c r="B796" s="314" t="s">
        <v>664</v>
      </c>
      <c r="C796" s="309" t="s">
        <v>1835</v>
      </c>
      <c r="D796" s="309" t="s">
        <v>1858</v>
      </c>
      <c r="E796" s="315" t="s">
        <v>1867</v>
      </c>
      <c r="F796" s="309" t="s">
        <v>1860</v>
      </c>
      <c r="G796" s="309" t="s">
        <v>1861</v>
      </c>
      <c r="H796" s="309" t="s">
        <v>1862</v>
      </c>
      <c r="I796" s="311">
        <v>8.8003999999999998</v>
      </c>
      <c r="J796" s="338">
        <v>87017.739172000001</v>
      </c>
    </row>
    <row r="797" spans="1:10" ht="24">
      <c r="A797" s="335" t="s">
        <v>655</v>
      </c>
      <c r="B797" s="314" t="s">
        <v>666</v>
      </c>
      <c r="C797" s="309" t="s">
        <v>1835</v>
      </c>
      <c r="D797" s="309" t="s">
        <v>1858</v>
      </c>
      <c r="E797" s="315" t="s">
        <v>1868</v>
      </c>
      <c r="F797" s="309" t="s">
        <v>1860</v>
      </c>
      <c r="G797" s="309" t="s">
        <v>1861</v>
      </c>
      <c r="H797" s="309" t="s">
        <v>1862</v>
      </c>
      <c r="I797" s="311">
        <v>15.660399999999999</v>
      </c>
      <c r="J797" s="338">
        <v>17879.791888</v>
      </c>
    </row>
    <row r="798" spans="1:10" ht="24">
      <c r="A798" s="335" t="s">
        <v>655</v>
      </c>
      <c r="B798" s="314" t="s">
        <v>668</v>
      </c>
      <c r="C798" s="309" t="s">
        <v>1835</v>
      </c>
      <c r="D798" s="309" t="s">
        <v>1858</v>
      </c>
      <c r="E798" s="315" t="s">
        <v>1869</v>
      </c>
      <c r="F798" s="309" t="s">
        <v>1860</v>
      </c>
      <c r="G798" s="309" t="s">
        <v>1861</v>
      </c>
      <c r="H798" s="309" t="s">
        <v>1862</v>
      </c>
      <c r="I798" s="311">
        <v>6.9678000000000004</v>
      </c>
      <c r="J798" s="338">
        <v>22.018248000000003</v>
      </c>
    </row>
    <row r="799" spans="1:10" ht="24">
      <c r="A799" s="335" t="s">
        <v>655</v>
      </c>
      <c r="B799" s="314" t="s">
        <v>670</v>
      </c>
      <c r="C799" s="309" t="s">
        <v>1835</v>
      </c>
      <c r="D799" s="309" t="s">
        <v>1858</v>
      </c>
      <c r="E799" s="315" t="s">
        <v>1870</v>
      </c>
      <c r="F799" s="309" t="s">
        <v>1860</v>
      </c>
      <c r="G799" s="309" t="s">
        <v>1861</v>
      </c>
      <c r="H799" s="309" t="s">
        <v>1862</v>
      </c>
      <c r="I799" s="311">
        <v>7.5852000000000004</v>
      </c>
      <c r="J799" s="338">
        <v>319.03351200000003</v>
      </c>
    </row>
    <row r="800" spans="1:10" ht="24">
      <c r="A800" s="335" t="s">
        <v>655</v>
      </c>
      <c r="B800" s="314" t="s">
        <v>672</v>
      </c>
      <c r="C800" s="309" t="s">
        <v>1835</v>
      </c>
      <c r="D800" s="309" t="s">
        <v>1858</v>
      </c>
      <c r="E800" s="315" t="s">
        <v>1871</v>
      </c>
      <c r="F800" s="309" t="s">
        <v>1860</v>
      </c>
      <c r="G800" s="309" t="s">
        <v>1861</v>
      </c>
      <c r="H800" s="309" t="s">
        <v>1862</v>
      </c>
      <c r="I800" s="311">
        <v>12.691000000000001</v>
      </c>
      <c r="J800" s="338">
        <v>15.736840000000001</v>
      </c>
    </row>
    <row r="801" spans="1:10" ht="24">
      <c r="A801" s="335" t="s">
        <v>655</v>
      </c>
      <c r="B801" s="314" t="s">
        <v>674</v>
      </c>
      <c r="C801" s="309" t="s">
        <v>1835</v>
      </c>
      <c r="D801" s="309" t="s">
        <v>1858</v>
      </c>
      <c r="E801" s="315" t="s">
        <v>1872</v>
      </c>
      <c r="F801" s="309" t="s">
        <v>1860</v>
      </c>
      <c r="G801" s="309" t="s">
        <v>1861</v>
      </c>
      <c r="H801" s="309" t="s">
        <v>1862</v>
      </c>
      <c r="I801" s="311">
        <v>16.9148</v>
      </c>
      <c r="J801" s="338">
        <v>501.01637599999998</v>
      </c>
    </row>
    <row r="802" spans="1:10" ht="24">
      <c r="A802" s="335" t="s">
        <v>655</v>
      </c>
      <c r="B802" s="314" t="s">
        <v>676</v>
      </c>
      <c r="C802" s="309" t="s">
        <v>1835</v>
      </c>
      <c r="D802" s="309" t="s">
        <v>1858</v>
      </c>
      <c r="E802" s="315" t="s">
        <v>1873</v>
      </c>
      <c r="F802" s="309" t="s">
        <v>1860</v>
      </c>
      <c r="G802" s="309" t="s">
        <v>1861</v>
      </c>
      <c r="H802" s="309" t="s">
        <v>1862</v>
      </c>
      <c r="I802" s="311">
        <v>15.875999999999999</v>
      </c>
      <c r="J802" s="338">
        <v>508.19075999999995</v>
      </c>
    </row>
    <row r="803" spans="1:10" ht="24">
      <c r="A803" s="334" t="s">
        <v>655</v>
      </c>
      <c r="B803" s="309" t="s">
        <v>678</v>
      </c>
      <c r="C803" s="309" t="s">
        <v>1835</v>
      </c>
      <c r="D803" s="309" t="s">
        <v>1858</v>
      </c>
      <c r="E803" s="310" t="s">
        <v>1874</v>
      </c>
      <c r="F803" s="309" t="s">
        <v>1860</v>
      </c>
      <c r="G803" s="309" t="s">
        <v>1861</v>
      </c>
      <c r="H803" s="309" t="s">
        <v>1862</v>
      </c>
      <c r="I803" s="311">
        <v>52.16</v>
      </c>
      <c r="J803" s="338">
        <v>1181308.7264</v>
      </c>
    </row>
    <row r="804" spans="1:10" ht="24">
      <c r="A804" s="335" t="s">
        <v>655</v>
      </c>
      <c r="B804" s="312"/>
      <c r="C804" s="309" t="s">
        <v>1835</v>
      </c>
      <c r="D804" s="309" t="s">
        <v>1858</v>
      </c>
      <c r="E804" s="315" t="s">
        <v>1875</v>
      </c>
      <c r="F804" s="314" t="s">
        <v>1876</v>
      </c>
      <c r="G804" s="309" t="s">
        <v>1861</v>
      </c>
      <c r="H804" s="309" t="s">
        <v>1862</v>
      </c>
      <c r="I804" s="311">
        <v>4.49</v>
      </c>
      <c r="J804" s="338" t="s">
        <v>36</v>
      </c>
    </row>
    <row r="805" spans="1:10" ht="24">
      <c r="A805" s="335" t="s">
        <v>655</v>
      </c>
      <c r="B805" s="312"/>
      <c r="C805" s="309" t="s">
        <v>1835</v>
      </c>
      <c r="D805" s="309" t="s">
        <v>1858</v>
      </c>
      <c r="E805" s="315" t="s">
        <v>1877</v>
      </c>
      <c r="F805" s="314" t="s">
        <v>1878</v>
      </c>
      <c r="G805" s="309" t="s">
        <v>1861</v>
      </c>
      <c r="H805" s="309" t="s">
        <v>1862</v>
      </c>
      <c r="I805" s="311">
        <v>0.33</v>
      </c>
      <c r="J805" s="338" t="s">
        <v>36</v>
      </c>
    </row>
    <row r="806" spans="1:10">
      <c r="A806" s="334" t="s">
        <v>423</v>
      </c>
      <c r="B806" s="309"/>
      <c r="C806" s="309" t="s">
        <v>1835</v>
      </c>
      <c r="D806" s="309" t="s">
        <v>1858</v>
      </c>
      <c r="E806" s="310" t="s">
        <v>1879</v>
      </c>
      <c r="F806" s="309" t="s">
        <v>1880</v>
      </c>
      <c r="G806" s="309" t="s">
        <v>1881</v>
      </c>
      <c r="H806" s="309" t="s">
        <v>1862</v>
      </c>
      <c r="I806" s="311">
        <v>40</v>
      </c>
      <c r="J806" s="338">
        <v>40</v>
      </c>
    </row>
    <row r="807" spans="1:10" ht="24">
      <c r="A807" s="334" t="s">
        <v>423</v>
      </c>
      <c r="B807" s="309"/>
      <c r="C807" s="309" t="s">
        <v>1835</v>
      </c>
      <c r="D807" s="309" t="s">
        <v>1858</v>
      </c>
      <c r="E807" s="310" t="s">
        <v>1882</v>
      </c>
      <c r="F807" s="309" t="s">
        <v>1883</v>
      </c>
      <c r="G807" s="309" t="s">
        <v>1884</v>
      </c>
      <c r="H807" s="309" t="s">
        <v>1862</v>
      </c>
      <c r="I807" s="311">
        <v>37.5</v>
      </c>
      <c r="J807" s="338">
        <v>37.5</v>
      </c>
    </row>
    <row r="808" spans="1:10" ht="24">
      <c r="A808" s="335" t="s">
        <v>655</v>
      </c>
      <c r="B808" s="314" t="s">
        <v>656</v>
      </c>
      <c r="C808" s="309" t="s">
        <v>1835</v>
      </c>
      <c r="D808" s="309" t="s">
        <v>1858</v>
      </c>
      <c r="E808" s="315" t="s">
        <v>1885</v>
      </c>
      <c r="F808" s="309" t="s">
        <v>1883</v>
      </c>
      <c r="G808" s="309" t="s">
        <v>1884</v>
      </c>
      <c r="H808" s="309" t="s">
        <v>1862</v>
      </c>
      <c r="I808" s="311">
        <v>295.42099999999999</v>
      </c>
      <c r="J808" s="338">
        <v>286.55836999999997</v>
      </c>
    </row>
    <row r="809" spans="1:10" ht="24">
      <c r="A809" s="335" t="s">
        <v>655</v>
      </c>
      <c r="B809" s="314" t="s">
        <v>658</v>
      </c>
      <c r="C809" s="309" t="s">
        <v>1835</v>
      </c>
      <c r="D809" s="309" t="s">
        <v>1858</v>
      </c>
      <c r="E809" s="315" t="s">
        <v>1886</v>
      </c>
      <c r="F809" s="309" t="s">
        <v>1883</v>
      </c>
      <c r="G809" s="309" t="s">
        <v>1884</v>
      </c>
      <c r="H809" s="309" t="s">
        <v>1862</v>
      </c>
      <c r="I809" s="311">
        <v>21.060199999999998</v>
      </c>
      <c r="J809" s="338">
        <v>135.20648399999999</v>
      </c>
    </row>
    <row r="810" spans="1:10" ht="24">
      <c r="A810" s="335" t="s">
        <v>655</v>
      </c>
      <c r="B810" s="314" t="s">
        <v>660</v>
      </c>
      <c r="C810" s="309" t="s">
        <v>1835</v>
      </c>
      <c r="D810" s="309" t="s">
        <v>1858</v>
      </c>
      <c r="E810" s="315" t="s">
        <v>1887</v>
      </c>
      <c r="F810" s="309" t="s">
        <v>1883</v>
      </c>
      <c r="G810" s="309" t="s">
        <v>1884</v>
      </c>
      <c r="H810" s="309" t="s">
        <v>1862</v>
      </c>
      <c r="I810" s="311">
        <v>13.818</v>
      </c>
      <c r="J810" s="338">
        <v>107.0895</v>
      </c>
    </row>
    <row r="811" spans="1:10" ht="24">
      <c r="A811" s="335" t="s">
        <v>655</v>
      </c>
      <c r="B811" s="314" t="s">
        <v>662</v>
      </c>
      <c r="C811" s="309" t="s">
        <v>1835</v>
      </c>
      <c r="D811" s="309" t="s">
        <v>1858</v>
      </c>
      <c r="E811" s="315" t="s">
        <v>1888</v>
      </c>
      <c r="F811" s="309" t="s">
        <v>1883</v>
      </c>
      <c r="G811" s="309" t="s">
        <v>1884</v>
      </c>
      <c r="H811" s="309" t="s">
        <v>1862</v>
      </c>
      <c r="I811" s="311">
        <v>51.822400000000002</v>
      </c>
      <c r="J811" s="338">
        <v>3037.829088</v>
      </c>
    </row>
    <row r="812" spans="1:10" ht="24">
      <c r="A812" s="335" t="s">
        <v>655</v>
      </c>
      <c r="B812" s="314" t="s">
        <v>664</v>
      </c>
      <c r="C812" s="309" t="s">
        <v>1835</v>
      </c>
      <c r="D812" s="309" t="s">
        <v>1858</v>
      </c>
      <c r="E812" s="315" t="s">
        <v>1889</v>
      </c>
      <c r="F812" s="309" t="s">
        <v>1883</v>
      </c>
      <c r="G812" s="309" t="s">
        <v>1884</v>
      </c>
      <c r="H812" s="309" t="s">
        <v>1862</v>
      </c>
      <c r="I812" s="311">
        <v>43.365000000000002</v>
      </c>
      <c r="J812" s="338">
        <v>428790.08445000002</v>
      </c>
    </row>
    <row r="813" spans="1:10" ht="24">
      <c r="A813" s="335" t="s">
        <v>655</v>
      </c>
      <c r="B813" s="314" t="s">
        <v>666</v>
      </c>
      <c r="C813" s="309" t="s">
        <v>1835</v>
      </c>
      <c r="D813" s="309" t="s">
        <v>1858</v>
      </c>
      <c r="E813" s="315" t="s">
        <v>1890</v>
      </c>
      <c r="F813" s="309" t="s">
        <v>1883</v>
      </c>
      <c r="G813" s="309" t="s">
        <v>1884</v>
      </c>
      <c r="H813" s="309" t="s">
        <v>1862</v>
      </c>
      <c r="I813" s="311">
        <v>44.893799999999999</v>
      </c>
      <c r="J813" s="338">
        <v>51256.149335999995</v>
      </c>
    </row>
    <row r="814" spans="1:10" ht="24">
      <c r="A814" s="335" t="s">
        <v>655</v>
      </c>
      <c r="B814" s="314" t="s">
        <v>668</v>
      </c>
      <c r="C814" s="309" t="s">
        <v>1835</v>
      </c>
      <c r="D814" s="309" t="s">
        <v>1858</v>
      </c>
      <c r="E814" s="315" t="s">
        <v>1891</v>
      </c>
      <c r="F814" s="309" t="s">
        <v>1883</v>
      </c>
      <c r="G814" s="309" t="s">
        <v>1884</v>
      </c>
      <c r="H814" s="309" t="s">
        <v>1862</v>
      </c>
      <c r="I814" s="311">
        <v>10.1724</v>
      </c>
      <c r="J814" s="338">
        <v>32.144784000000001</v>
      </c>
    </row>
    <row r="815" spans="1:10" ht="24">
      <c r="A815" s="335" t="s">
        <v>655</v>
      </c>
      <c r="B815" s="314" t="s">
        <v>670</v>
      </c>
      <c r="C815" s="309" t="s">
        <v>1835</v>
      </c>
      <c r="D815" s="309" t="s">
        <v>1858</v>
      </c>
      <c r="E815" s="315" t="s">
        <v>1892</v>
      </c>
      <c r="F815" s="309" t="s">
        <v>1883</v>
      </c>
      <c r="G815" s="309" t="s">
        <v>1884</v>
      </c>
      <c r="H815" s="309" t="s">
        <v>1862</v>
      </c>
      <c r="I815" s="311">
        <v>26.901</v>
      </c>
      <c r="J815" s="338">
        <v>1131.45606</v>
      </c>
    </row>
    <row r="816" spans="1:10" ht="24">
      <c r="A816" s="335" t="s">
        <v>655</v>
      </c>
      <c r="B816" s="314" t="s">
        <v>672</v>
      </c>
      <c r="C816" s="309" t="s">
        <v>1835</v>
      </c>
      <c r="D816" s="309" t="s">
        <v>1858</v>
      </c>
      <c r="E816" s="315" t="s">
        <v>1893</v>
      </c>
      <c r="F816" s="309" t="s">
        <v>1883</v>
      </c>
      <c r="G816" s="309" t="s">
        <v>1884</v>
      </c>
      <c r="H816" s="309" t="s">
        <v>1862</v>
      </c>
      <c r="I816" s="311">
        <v>10.025399999999999</v>
      </c>
      <c r="J816" s="338">
        <v>12.431495999999999</v>
      </c>
    </row>
    <row r="817" spans="1:10" ht="24">
      <c r="A817" s="335" t="s">
        <v>655</v>
      </c>
      <c r="B817" s="314" t="s">
        <v>674</v>
      </c>
      <c r="C817" s="309" t="s">
        <v>1835</v>
      </c>
      <c r="D817" s="309" t="s">
        <v>1858</v>
      </c>
      <c r="E817" s="315" t="s">
        <v>1894</v>
      </c>
      <c r="F817" s="309" t="s">
        <v>1883</v>
      </c>
      <c r="G817" s="309" t="s">
        <v>1884</v>
      </c>
      <c r="H817" s="309" t="s">
        <v>1862</v>
      </c>
      <c r="I817" s="311">
        <v>12.63</v>
      </c>
      <c r="J817" s="338">
        <v>374.10060000000004</v>
      </c>
    </row>
    <row r="818" spans="1:10" ht="24">
      <c r="A818" s="335" t="s">
        <v>655</v>
      </c>
      <c r="B818" s="314" t="s">
        <v>676</v>
      </c>
      <c r="C818" s="309" t="s">
        <v>1835</v>
      </c>
      <c r="D818" s="309" t="s">
        <v>1858</v>
      </c>
      <c r="E818" s="315" t="s">
        <v>1895</v>
      </c>
      <c r="F818" s="309" t="s">
        <v>1883</v>
      </c>
      <c r="G818" s="309" t="s">
        <v>1884</v>
      </c>
      <c r="H818" s="309" t="s">
        <v>1862</v>
      </c>
      <c r="I818" s="311">
        <v>24.9998</v>
      </c>
      <c r="J818" s="338">
        <v>800.24359800000002</v>
      </c>
    </row>
    <row r="819" spans="1:10" ht="24">
      <c r="A819" s="335" t="s">
        <v>680</v>
      </c>
      <c r="B819" s="314"/>
      <c r="C819" s="309" t="s">
        <v>1835</v>
      </c>
      <c r="D819" s="309" t="s">
        <v>1858</v>
      </c>
      <c r="E819" s="316" t="s">
        <v>1896</v>
      </c>
      <c r="F819" s="309" t="s">
        <v>1883</v>
      </c>
      <c r="G819" s="309" t="s">
        <v>1884</v>
      </c>
      <c r="H819" s="309" t="s">
        <v>1862</v>
      </c>
      <c r="I819" s="311">
        <v>684.63813201653352</v>
      </c>
      <c r="J819" s="339">
        <v>53434.5</v>
      </c>
    </row>
    <row r="820" spans="1:10" ht="24">
      <c r="A820" s="335" t="s">
        <v>421</v>
      </c>
      <c r="B820" s="314"/>
      <c r="C820" s="309" t="s">
        <v>1835</v>
      </c>
      <c r="D820" s="309" t="s">
        <v>1858</v>
      </c>
      <c r="E820" s="315" t="s">
        <v>1897</v>
      </c>
      <c r="F820" s="309" t="s">
        <v>1898</v>
      </c>
      <c r="G820" s="309" t="s">
        <v>1884</v>
      </c>
      <c r="H820" s="309" t="s">
        <v>1899</v>
      </c>
      <c r="I820" s="311">
        <v>49.48</v>
      </c>
      <c r="J820" s="338" t="s">
        <v>36</v>
      </c>
    </row>
    <row r="821" spans="1:10" ht="24">
      <c r="A821" s="335" t="s">
        <v>655</v>
      </c>
      <c r="B821" s="312"/>
      <c r="C821" s="309" t="s">
        <v>1835</v>
      </c>
      <c r="D821" s="309" t="s">
        <v>1858</v>
      </c>
      <c r="E821" s="315" t="s">
        <v>1900</v>
      </c>
      <c r="F821" s="314" t="s">
        <v>1901</v>
      </c>
      <c r="G821" s="309" t="s">
        <v>1884</v>
      </c>
      <c r="H821" s="309" t="s">
        <v>1862</v>
      </c>
      <c r="I821" s="311">
        <v>46.43</v>
      </c>
      <c r="J821" s="338" t="s">
        <v>36</v>
      </c>
    </row>
    <row r="822" spans="1:10" ht="24">
      <c r="A822" s="335" t="s">
        <v>655</v>
      </c>
      <c r="B822" s="312"/>
      <c r="C822" s="309" t="s">
        <v>1835</v>
      </c>
      <c r="D822" s="309" t="s">
        <v>1858</v>
      </c>
      <c r="E822" s="315" t="s">
        <v>1902</v>
      </c>
      <c r="F822" s="314" t="s">
        <v>1903</v>
      </c>
      <c r="G822" s="309" t="s">
        <v>1884</v>
      </c>
      <c r="H822" s="309" t="s">
        <v>1862</v>
      </c>
      <c r="I822" s="311">
        <v>6.36</v>
      </c>
      <c r="J822" s="338" t="s">
        <v>36</v>
      </c>
    </row>
    <row r="823" spans="1:10">
      <c r="A823" s="334" t="s">
        <v>423</v>
      </c>
      <c r="B823" s="309"/>
      <c r="C823" s="309" t="s">
        <v>1835</v>
      </c>
      <c r="D823" s="309" t="s">
        <v>1858</v>
      </c>
      <c r="E823" s="310" t="s">
        <v>1904</v>
      </c>
      <c r="F823" s="309" t="s">
        <v>1905</v>
      </c>
      <c r="G823" s="309" t="s">
        <v>1906</v>
      </c>
      <c r="H823" s="309" t="s">
        <v>1862</v>
      </c>
      <c r="I823" s="311">
        <v>33.5</v>
      </c>
      <c r="J823" s="338">
        <v>33.5</v>
      </c>
    </row>
    <row r="824" spans="1:10">
      <c r="A824" s="335" t="s">
        <v>421</v>
      </c>
      <c r="B824" s="314" t="s">
        <v>575</v>
      </c>
      <c r="C824" s="309" t="s">
        <v>1835</v>
      </c>
      <c r="D824" s="309" t="s">
        <v>1858</v>
      </c>
      <c r="E824" s="313" t="s">
        <v>1907</v>
      </c>
      <c r="F824" s="309" t="s">
        <v>1905</v>
      </c>
      <c r="G824" s="309" t="s">
        <v>1906</v>
      </c>
      <c r="H824" s="309" t="s">
        <v>1862</v>
      </c>
      <c r="I824" s="311">
        <v>36.202602762395998</v>
      </c>
      <c r="J824" s="338">
        <v>2682.5147999999999</v>
      </c>
    </row>
    <row r="825" spans="1:10">
      <c r="A825" s="335" t="s">
        <v>421</v>
      </c>
      <c r="B825" s="314" t="s">
        <v>577</v>
      </c>
      <c r="C825" s="309" t="s">
        <v>1835</v>
      </c>
      <c r="D825" s="309" t="s">
        <v>1858</v>
      </c>
      <c r="E825" s="313" t="s">
        <v>1908</v>
      </c>
      <c r="F825" s="309" t="s">
        <v>1905</v>
      </c>
      <c r="G825" s="309" t="s">
        <v>1906</v>
      </c>
      <c r="H825" s="309" t="s">
        <v>1862</v>
      </c>
      <c r="I825" s="311">
        <v>27.1264</v>
      </c>
      <c r="J825" s="338">
        <v>27.1264</v>
      </c>
    </row>
    <row r="826" spans="1:10">
      <c r="A826" s="335" t="s">
        <v>421</v>
      </c>
      <c r="B826" s="314" t="s">
        <v>579</v>
      </c>
      <c r="C826" s="309" t="s">
        <v>1835</v>
      </c>
      <c r="D826" s="309" t="s">
        <v>1858</v>
      </c>
      <c r="E826" s="313" t="s">
        <v>1909</v>
      </c>
      <c r="F826" s="309" t="s">
        <v>1905</v>
      </c>
      <c r="G826" s="309" t="s">
        <v>1906</v>
      </c>
      <c r="H826" s="309" t="s">
        <v>1862</v>
      </c>
      <c r="I826" s="311">
        <v>32.8852894244</v>
      </c>
      <c r="J826" s="338">
        <v>26.4208</v>
      </c>
    </row>
    <row r="827" spans="1:10">
      <c r="A827" s="335" t="s">
        <v>421</v>
      </c>
      <c r="B827" s="314" t="s">
        <v>581</v>
      </c>
      <c r="C827" s="309" t="s">
        <v>1835</v>
      </c>
      <c r="D827" s="309" t="s">
        <v>1858</v>
      </c>
      <c r="E827" s="313" t="s">
        <v>1910</v>
      </c>
      <c r="F827" s="309" t="s">
        <v>1905</v>
      </c>
      <c r="G827" s="309" t="s">
        <v>1906</v>
      </c>
      <c r="H827" s="309" t="s">
        <v>1862</v>
      </c>
      <c r="I827" s="311">
        <v>43.710707239238175</v>
      </c>
      <c r="J827" s="338">
        <v>69.952399999999997</v>
      </c>
    </row>
    <row r="828" spans="1:10">
      <c r="A828" s="335" t="s">
        <v>421</v>
      </c>
      <c r="B828" s="314" t="s">
        <v>583</v>
      </c>
      <c r="C828" s="309" t="s">
        <v>1835</v>
      </c>
      <c r="D828" s="309" t="s">
        <v>1858</v>
      </c>
      <c r="E828" s="313" t="s">
        <v>1911</v>
      </c>
      <c r="F828" s="309" t="s">
        <v>1905</v>
      </c>
      <c r="G828" s="309" t="s">
        <v>1906</v>
      </c>
      <c r="H828" s="309" t="s">
        <v>1862</v>
      </c>
      <c r="I828" s="311">
        <v>33.539590739535996</v>
      </c>
      <c r="J828" s="338">
        <v>17539.608800000002</v>
      </c>
    </row>
    <row r="829" spans="1:10">
      <c r="A829" s="335" t="s">
        <v>421</v>
      </c>
      <c r="B829" s="314" t="s">
        <v>585</v>
      </c>
      <c r="C829" s="309" t="s">
        <v>1835</v>
      </c>
      <c r="D829" s="309" t="s">
        <v>1858</v>
      </c>
      <c r="E829" s="313" t="s">
        <v>1912</v>
      </c>
      <c r="F829" s="309" t="s">
        <v>1905</v>
      </c>
      <c r="G829" s="309" t="s">
        <v>1906</v>
      </c>
      <c r="H829" s="309" t="s">
        <v>1862</v>
      </c>
      <c r="I829" s="311">
        <v>42.972999999999999</v>
      </c>
      <c r="J829" s="338">
        <v>42.972999999999999</v>
      </c>
    </row>
    <row r="830" spans="1:10">
      <c r="A830" s="335" t="s">
        <v>421</v>
      </c>
      <c r="B830" s="314" t="s">
        <v>719</v>
      </c>
      <c r="C830" s="309" t="s">
        <v>1835</v>
      </c>
      <c r="D830" s="309" t="s">
        <v>1858</v>
      </c>
      <c r="E830" s="313" t="s">
        <v>1913</v>
      </c>
      <c r="F830" s="309" t="s">
        <v>1905</v>
      </c>
      <c r="G830" s="309" t="s">
        <v>1906</v>
      </c>
      <c r="H830" s="309" t="s">
        <v>1862</v>
      </c>
      <c r="I830" s="311">
        <v>61.498332224223979</v>
      </c>
      <c r="J830" s="338">
        <v>32160.699199999999</v>
      </c>
    </row>
    <row r="831" spans="1:10">
      <c r="A831" s="335" t="s">
        <v>421</v>
      </c>
      <c r="B831" s="314" t="s">
        <v>587</v>
      </c>
      <c r="C831" s="309" t="s">
        <v>1835</v>
      </c>
      <c r="D831" s="309" t="s">
        <v>1858</v>
      </c>
      <c r="E831" s="313" t="s">
        <v>1914</v>
      </c>
      <c r="F831" s="309" t="s">
        <v>1905</v>
      </c>
      <c r="G831" s="309" t="s">
        <v>1906</v>
      </c>
      <c r="H831" s="309" t="s">
        <v>1862</v>
      </c>
      <c r="I831" s="311">
        <v>21.526211325278926</v>
      </c>
      <c r="J831" s="338">
        <v>438.12860000000001</v>
      </c>
    </row>
    <row r="832" spans="1:10">
      <c r="A832" s="335" t="s">
        <v>421</v>
      </c>
      <c r="B832" s="314" t="s">
        <v>589</v>
      </c>
      <c r="C832" s="309" t="s">
        <v>1835</v>
      </c>
      <c r="D832" s="309" t="s">
        <v>1858</v>
      </c>
      <c r="E832" s="313" t="s">
        <v>1915</v>
      </c>
      <c r="F832" s="309" t="s">
        <v>1905</v>
      </c>
      <c r="G832" s="309" t="s">
        <v>1906</v>
      </c>
      <c r="H832" s="309" t="s">
        <v>1862</v>
      </c>
      <c r="I832" s="311">
        <v>29.554047608161998</v>
      </c>
      <c r="J832" s="338">
        <v>210.57259999999999</v>
      </c>
    </row>
    <row r="833" spans="1:10">
      <c r="A833" s="335" t="s">
        <v>421</v>
      </c>
      <c r="B833" s="314" t="s">
        <v>591</v>
      </c>
      <c r="C833" s="309" t="s">
        <v>1835</v>
      </c>
      <c r="D833" s="309" t="s">
        <v>1858</v>
      </c>
      <c r="E833" s="313" t="s">
        <v>1916</v>
      </c>
      <c r="F833" s="309" t="s">
        <v>1905</v>
      </c>
      <c r="G833" s="309" t="s">
        <v>1906</v>
      </c>
      <c r="H833" s="309" t="s">
        <v>1862</v>
      </c>
      <c r="I833" s="311">
        <v>94.167075058000009</v>
      </c>
      <c r="J833" s="338">
        <v>75.656000000000006</v>
      </c>
    </row>
    <row r="834" spans="1:10">
      <c r="A834" s="335" t="s">
        <v>421</v>
      </c>
      <c r="B834" s="314" t="s">
        <v>724</v>
      </c>
      <c r="C834" s="309" t="s">
        <v>1835</v>
      </c>
      <c r="D834" s="309" t="s">
        <v>1858</v>
      </c>
      <c r="E834" s="313" t="s">
        <v>1917</v>
      </c>
      <c r="F834" s="309" t="s">
        <v>1905</v>
      </c>
      <c r="G834" s="309" t="s">
        <v>1906</v>
      </c>
      <c r="H834" s="309" t="s">
        <v>1862</v>
      </c>
      <c r="I834" s="311">
        <v>42.624305872483987</v>
      </c>
      <c r="J834" s="338">
        <v>22290.482199999999</v>
      </c>
    </row>
    <row r="835" spans="1:10">
      <c r="A835" s="335" t="s">
        <v>421</v>
      </c>
      <c r="B835" s="314" t="s">
        <v>593</v>
      </c>
      <c r="C835" s="309" t="s">
        <v>1835</v>
      </c>
      <c r="D835" s="309" t="s">
        <v>1858</v>
      </c>
      <c r="E835" s="313" t="s">
        <v>1918</v>
      </c>
      <c r="F835" s="309" t="s">
        <v>1905</v>
      </c>
      <c r="G835" s="309" t="s">
        <v>1906</v>
      </c>
      <c r="H835" s="309" t="s">
        <v>1862</v>
      </c>
      <c r="I835" s="311">
        <v>51.438154860050005</v>
      </c>
      <c r="J835" s="338">
        <v>41.326599999999999</v>
      </c>
    </row>
    <row r="836" spans="1:10">
      <c r="A836" s="335" t="s">
        <v>421</v>
      </c>
      <c r="B836" s="314" t="s">
        <v>595</v>
      </c>
      <c r="C836" s="309" t="s">
        <v>1835</v>
      </c>
      <c r="D836" s="309" t="s">
        <v>1858</v>
      </c>
      <c r="E836" s="313" t="s">
        <v>1919</v>
      </c>
      <c r="F836" s="309" t="s">
        <v>1905</v>
      </c>
      <c r="G836" s="309" t="s">
        <v>1906</v>
      </c>
      <c r="H836" s="309" t="s">
        <v>1862</v>
      </c>
      <c r="I836" s="311">
        <v>34.179011225094648</v>
      </c>
      <c r="J836" s="338">
        <v>7955.3459999999995</v>
      </c>
    </row>
    <row r="837" spans="1:10">
      <c r="A837" s="335" t="s">
        <v>421</v>
      </c>
      <c r="B837" s="314" t="s">
        <v>597</v>
      </c>
      <c r="C837" s="309" t="s">
        <v>1835</v>
      </c>
      <c r="D837" s="309" t="s">
        <v>1858</v>
      </c>
      <c r="E837" s="313" t="s">
        <v>1920</v>
      </c>
      <c r="F837" s="309" t="s">
        <v>1905</v>
      </c>
      <c r="G837" s="309" t="s">
        <v>1906</v>
      </c>
      <c r="H837" s="309" t="s">
        <v>1862</v>
      </c>
      <c r="I837" s="311">
        <v>30.6164972015</v>
      </c>
      <c r="J837" s="338">
        <v>24.597999999999999</v>
      </c>
    </row>
    <row r="838" spans="1:10">
      <c r="A838" s="335" t="s">
        <v>421</v>
      </c>
      <c r="B838" s="314" t="s">
        <v>599</v>
      </c>
      <c r="C838" s="309" t="s">
        <v>1835</v>
      </c>
      <c r="D838" s="309" t="s">
        <v>1858</v>
      </c>
      <c r="E838" s="313" t="s">
        <v>1921</v>
      </c>
      <c r="F838" s="309" t="s">
        <v>1905</v>
      </c>
      <c r="G838" s="309" t="s">
        <v>1906</v>
      </c>
      <c r="H838" s="309" t="s">
        <v>1862</v>
      </c>
      <c r="I838" s="311">
        <v>95.64942117212847</v>
      </c>
      <c r="J838" s="338">
        <v>383.46420000000001</v>
      </c>
    </row>
    <row r="839" spans="1:10">
      <c r="A839" s="335" t="s">
        <v>421</v>
      </c>
      <c r="B839" s="314" t="s">
        <v>601</v>
      </c>
      <c r="C839" s="309" t="s">
        <v>1835</v>
      </c>
      <c r="D839" s="309" t="s">
        <v>1858</v>
      </c>
      <c r="E839" s="313" t="s">
        <v>1922</v>
      </c>
      <c r="F839" s="309" t="s">
        <v>1905</v>
      </c>
      <c r="G839" s="309" t="s">
        <v>1906</v>
      </c>
      <c r="H839" s="309" t="s">
        <v>1862</v>
      </c>
      <c r="I839" s="311">
        <v>45.192877343250004</v>
      </c>
      <c r="J839" s="338">
        <v>36.308999999999997</v>
      </c>
    </row>
    <row r="840" spans="1:10">
      <c r="A840" s="335" t="s">
        <v>421</v>
      </c>
      <c r="B840" s="314" t="s">
        <v>603</v>
      </c>
      <c r="C840" s="309" t="s">
        <v>1835</v>
      </c>
      <c r="D840" s="309" t="s">
        <v>1858</v>
      </c>
      <c r="E840" s="313" t="s">
        <v>1923</v>
      </c>
      <c r="F840" s="309" t="s">
        <v>1905</v>
      </c>
      <c r="G840" s="309" t="s">
        <v>1906</v>
      </c>
      <c r="H840" s="309" t="s">
        <v>1862</v>
      </c>
      <c r="I840" s="311">
        <v>34.248089559249998</v>
      </c>
      <c r="J840" s="338">
        <v>24.940999999999999</v>
      </c>
    </row>
    <row r="841" spans="1:10">
      <c r="A841" s="335" t="s">
        <v>421</v>
      </c>
      <c r="B841" s="314" t="s">
        <v>605</v>
      </c>
      <c r="C841" s="309" t="s">
        <v>1835</v>
      </c>
      <c r="D841" s="309" t="s">
        <v>1858</v>
      </c>
      <c r="E841" s="313" t="s">
        <v>1924</v>
      </c>
      <c r="F841" s="309" t="s">
        <v>1905</v>
      </c>
      <c r="G841" s="309" t="s">
        <v>1906</v>
      </c>
      <c r="H841" s="309" t="s">
        <v>1862</v>
      </c>
      <c r="I841" s="311">
        <v>30.681567989632001</v>
      </c>
      <c r="J841" s="338">
        <v>4558.9795999999997</v>
      </c>
    </row>
    <row r="842" spans="1:10">
      <c r="A842" s="335" t="s">
        <v>421</v>
      </c>
      <c r="B842" s="314" t="s">
        <v>607</v>
      </c>
      <c r="C842" s="309" t="s">
        <v>1835</v>
      </c>
      <c r="D842" s="309" t="s">
        <v>1858</v>
      </c>
      <c r="E842" s="313" t="s">
        <v>1925</v>
      </c>
      <c r="F842" s="309" t="s">
        <v>1905</v>
      </c>
      <c r="G842" s="309" t="s">
        <v>1906</v>
      </c>
      <c r="H842" s="309" t="s">
        <v>1862</v>
      </c>
      <c r="I842" s="311">
        <v>56.477910208481994</v>
      </c>
      <c r="J842" s="338">
        <v>5160.6701999999996</v>
      </c>
    </row>
    <row r="843" spans="1:10">
      <c r="A843" s="335" t="s">
        <v>421</v>
      </c>
      <c r="B843" s="314" t="s">
        <v>609</v>
      </c>
      <c r="C843" s="309" t="s">
        <v>1835</v>
      </c>
      <c r="D843" s="309" t="s">
        <v>1858</v>
      </c>
      <c r="E843" s="313" t="s">
        <v>1926</v>
      </c>
      <c r="F843" s="309" t="s">
        <v>1905</v>
      </c>
      <c r="G843" s="309" t="s">
        <v>1906</v>
      </c>
      <c r="H843" s="309" t="s">
        <v>1862</v>
      </c>
      <c r="I843" s="311">
        <v>215.37688077360005</v>
      </c>
      <c r="J843" s="338">
        <v>59.975999999999999</v>
      </c>
    </row>
    <row r="844" spans="1:10">
      <c r="A844" s="335" t="s">
        <v>421</v>
      </c>
      <c r="B844" s="314" t="s">
        <v>735</v>
      </c>
      <c r="C844" s="309" t="s">
        <v>1835</v>
      </c>
      <c r="D844" s="309" t="s">
        <v>1858</v>
      </c>
      <c r="E844" s="313" t="s">
        <v>1927</v>
      </c>
      <c r="F844" s="309" t="s">
        <v>1905</v>
      </c>
      <c r="G844" s="309" t="s">
        <v>1906</v>
      </c>
      <c r="H844" s="309" t="s">
        <v>1862</v>
      </c>
      <c r="I844" s="311">
        <v>84.595530962208002</v>
      </c>
      <c r="J844" s="338">
        <v>134766.34640000001</v>
      </c>
    </row>
    <row r="845" spans="1:10">
      <c r="A845" s="335" t="s">
        <v>421</v>
      </c>
      <c r="B845" s="314" t="s">
        <v>611</v>
      </c>
      <c r="C845" s="309" t="s">
        <v>1835</v>
      </c>
      <c r="D845" s="309" t="s">
        <v>1858</v>
      </c>
      <c r="E845" s="313" t="s">
        <v>1928</v>
      </c>
      <c r="F845" s="309" t="s">
        <v>1905</v>
      </c>
      <c r="G845" s="309" t="s">
        <v>1906</v>
      </c>
      <c r="H845" s="309" t="s">
        <v>1862</v>
      </c>
      <c r="I845" s="311">
        <v>17.406271516550003</v>
      </c>
      <c r="J845" s="338">
        <v>13.9846</v>
      </c>
    </row>
    <row r="846" spans="1:10">
      <c r="A846" s="335" t="s">
        <v>421</v>
      </c>
      <c r="B846" s="314" t="s">
        <v>613</v>
      </c>
      <c r="C846" s="309" t="s">
        <v>1835</v>
      </c>
      <c r="D846" s="309" t="s">
        <v>1858</v>
      </c>
      <c r="E846" s="313" t="s">
        <v>1929</v>
      </c>
      <c r="F846" s="309" t="s">
        <v>1905</v>
      </c>
      <c r="G846" s="309" t="s">
        <v>1906</v>
      </c>
      <c r="H846" s="309" t="s">
        <v>1862</v>
      </c>
      <c r="I846" s="311">
        <v>149.60320942974403</v>
      </c>
      <c r="J846" s="338">
        <v>1309.7013999999999</v>
      </c>
    </row>
    <row r="847" spans="1:10">
      <c r="A847" s="335" t="s">
        <v>421</v>
      </c>
      <c r="B847" s="314" t="s">
        <v>615</v>
      </c>
      <c r="C847" s="309" t="s">
        <v>1835</v>
      </c>
      <c r="D847" s="309" t="s">
        <v>1858</v>
      </c>
      <c r="E847" s="313" t="s">
        <v>1930</v>
      </c>
      <c r="F847" s="309" t="s">
        <v>1905</v>
      </c>
      <c r="G847" s="309" t="s">
        <v>1906</v>
      </c>
      <c r="H847" s="309" t="s">
        <v>1862</v>
      </c>
      <c r="I847" s="311">
        <v>32.397377118400001</v>
      </c>
      <c r="J847" s="338">
        <v>26.0288</v>
      </c>
    </row>
    <row r="848" spans="1:10">
      <c r="A848" s="335" t="s">
        <v>421</v>
      </c>
      <c r="B848" s="314" t="s">
        <v>617</v>
      </c>
      <c r="C848" s="309" t="s">
        <v>1835</v>
      </c>
      <c r="D848" s="309" t="s">
        <v>1858</v>
      </c>
      <c r="E848" s="313" t="s">
        <v>1931</v>
      </c>
      <c r="F848" s="309" t="s">
        <v>1905</v>
      </c>
      <c r="G848" s="309" t="s">
        <v>1906</v>
      </c>
      <c r="H848" s="309" t="s">
        <v>1862</v>
      </c>
      <c r="I848" s="311">
        <v>59.444084697732016</v>
      </c>
      <c r="J848" s="338">
        <v>10268.9692</v>
      </c>
    </row>
    <row r="849" spans="1:10">
      <c r="A849" s="335" t="s">
        <v>421</v>
      </c>
      <c r="B849" s="314" t="s">
        <v>619</v>
      </c>
      <c r="C849" s="309" t="s">
        <v>1835</v>
      </c>
      <c r="D849" s="309" t="s">
        <v>1858</v>
      </c>
      <c r="E849" s="313" t="s">
        <v>1932</v>
      </c>
      <c r="F849" s="309" t="s">
        <v>1905</v>
      </c>
      <c r="G849" s="309" t="s">
        <v>1906</v>
      </c>
      <c r="H849" s="309" t="s">
        <v>1862</v>
      </c>
      <c r="I849" s="311">
        <v>52.676754553514101</v>
      </c>
      <c r="J849" s="338">
        <v>5378.5241999999998</v>
      </c>
    </row>
    <row r="850" spans="1:10">
      <c r="A850" s="335" t="s">
        <v>421</v>
      </c>
      <c r="B850" s="314" t="s">
        <v>621</v>
      </c>
      <c r="C850" s="309" t="s">
        <v>1835</v>
      </c>
      <c r="D850" s="309" t="s">
        <v>1858</v>
      </c>
      <c r="E850" s="313" t="s">
        <v>1933</v>
      </c>
      <c r="F850" s="309" t="s">
        <v>1905</v>
      </c>
      <c r="G850" s="309" t="s">
        <v>1906</v>
      </c>
      <c r="H850" s="309" t="s">
        <v>1862</v>
      </c>
      <c r="I850" s="311">
        <v>24.600111207063932</v>
      </c>
      <c r="J850" s="338">
        <v>83.4666</v>
      </c>
    </row>
    <row r="851" spans="1:10">
      <c r="A851" s="335" t="s">
        <v>421</v>
      </c>
      <c r="B851" s="314" t="s">
        <v>743</v>
      </c>
      <c r="C851" s="309" t="s">
        <v>1835</v>
      </c>
      <c r="D851" s="309" t="s">
        <v>1858</v>
      </c>
      <c r="E851" s="313" t="s">
        <v>1934</v>
      </c>
      <c r="F851" s="309" t="s">
        <v>1905</v>
      </c>
      <c r="G851" s="309" t="s">
        <v>1906</v>
      </c>
      <c r="H851" s="309" t="s">
        <v>1862</v>
      </c>
      <c r="I851" s="311">
        <v>141.83610735420001</v>
      </c>
      <c r="J851" s="338">
        <v>113.95440000000001</v>
      </c>
    </row>
    <row r="852" spans="1:10">
      <c r="A852" s="335" t="s">
        <v>421</v>
      </c>
      <c r="B852" s="314" t="s">
        <v>745</v>
      </c>
      <c r="C852" s="309" t="s">
        <v>1835</v>
      </c>
      <c r="D852" s="309" t="s">
        <v>1858</v>
      </c>
      <c r="E852" s="313" t="s">
        <v>1935</v>
      </c>
      <c r="F852" s="309" t="s">
        <v>1905</v>
      </c>
      <c r="G852" s="309" t="s">
        <v>1906</v>
      </c>
      <c r="H852" s="309" t="s">
        <v>1862</v>
      </c>
      <c r="I852" s="311">
        <v>120.6086</v>
      </c>
      <c r="J852" s="338">
        <v>120.6086</v>
      </c>
    </row>
    <row r="853" spans="1:10">
      <c r="A853" s="335" t="s">
        <v>421</v>
      </c>
      <c r="B853" s="314" t="s">
        <v>623</v>
      </c>
      <c r="C853" s="309" t="s">
        <v>1835</v>
      </c>
      <c r="D853" s="309" t="s">
        <v>1858</v>
      </c>
      <c r="E853" s="313" t="s">
        <v>1936</v>
      </c>
      <c r="F853" s="309" t="s">
        <v>1905</v>
      </c>
      <c r="G853" s="309" t="s">
        <v>1906</v>
      </c>
      <c r="H853" s="309" t="s">
        <v>1862</v>
      </c>
      <c r="I853" s="311">
        <v>18.451226821263898</v>
      </c>
      <c r="J853" s="338">
        <v>71.824200000000005</v>
      </c>
    </row>
    <row r="854" spans="1:10">
      <c r="A854" s="335" t="s">
        <v>421</v>
      </c>
      <c r="B854" s="314" t="s">
        <v>625</v>
      </c>
      <c r="C854" s="309" t="s">
        <v>1835</v>
      </c>
      <c r="D854" s="309" t="s">
        <v>1858</v>
      </c>
      <c r="E854" s="313" t="s">
        <v>1937</v>
      </c>
      <c r="F854" s="309" t="s">
        <v>1905</v>
      </c>
      <c r="G854" s="309" t="s">
        <v>1906</v>
      </c>
      <c r="H854" s="309" t="s">
        <v>1862</v>
      </c>
      <c r="I854" s="311">
        <v>17.405593362276296</v>
      </c>
      <c r="J854" s="338">
        <v>588.83299999999997</v>
      </c>
    </row>
    <row r="855" spans="1:10">
      <c r="A855" s="335" t="s">
        <v>421</v>
      </c>
      <c r="B855" s="314" t="s">
        <v>627</v>
      </c>
      <c r="C855" s="309" t="s">
        <v>1835</v>
      </c>
      <c r="D855" s="309" t="s">
        <v>1858</v>
      </c>
      <c r="E855" s="313" t="s">
        <v>1938</v>
      </c>
      <c r="F855" s="309" t="s">
        <v>1905</v>
      </c>
      <c r="G855" s="309" t="s">
        <v>1906</v>
      </c>
      <c r="H855" s="309" t="s">
        <v>1862</v>
      </c>
      <c r="I855" s="311">
        <v>202.69165580403592</v>
      </c>
      <c r="J855" s="338">
        <v>105998.08379999999</v>
      </c>
    </row>
    <row r="856" spans="1:10">
      <c r="A856" s="335" t="s">
        <v>421</v>
      </c>
      <c r="B856" s="314" t="s">
        <v>629</v>
      </c>
      <c r="C856" s="309" t="s">
        <v>1835</v>
      </c>
      <c r="D856" s="309" t="s">
        <v>1858</v>
      </c>
      <c r="E856" s="313" t="s">
        <v>1939</v>
      </c>
      <c r="F856" s="309" t="s">
        <v>1905</v>
      </c>
      <c r="G856" s="309" t="s">
        <v>1906</v>
      </c>
      <c r="H856" s="309" t="s">
        <v>1862</v>
      </c>
      <c r="I856" s="311">
        <v>38.862215172900001</v>
      </c>
      <c r="J856" s="338">
        <v>31.222799999999999</v>
      </c>
    </row>
    <row r="857" spans="1:10">
      <c r="A857" s="335" t="s">
        <v>421</v>
      </c>
      <c r="B857" s="314" t="s">
        <v>631</v>
      </c>
      <c r="C857" s="309" t="s">
        <v>1835</v>
      </c>
      <c r="D857" s="309" t="s">
        <v>1858</v>
      </c>
      <c r="E857" s="313" t="s">
        <v>1940</v>
      </c>
      <c r="F857" s="309" t="s">
        <v>1905</v>
      </c>
      <c r="G857" s="309" t="s">
        <v>1906</v>
      </c>
      <c r="H857" s="309" t="s">
        <v>1862</v>
      </c>
      <c r="I857" s="311">
        <v>74.999374683383095</v>
      </c>
      <c r="J857" s="338">
        <v>638.14660000000003</v>
      </c>
    </row>
    <row r="858" spans="1:10">
      <c r="A858" s="335" t="s">
        <v>421</v>
      </c>
      <c r="B858" s="314" t="s">
        <v>633</v>
      </c>
      <c r="C858" s="309" t="s">
        <v>1835</v>
      </c>
      <c r="D858" s="309" t="s">
        <v>1858</v>
      </c>
      <c r="E858" s="313" t="s">
        <v>1941</v>
      </c>
      <c r="F858" s="309" t="s">
        <v>1905</v>
      </c>
      <c r="G858" s="309" t="s">
        <v>1906</v>
      </c>
      <c r="H858" s="309" t="s">
        <v>1862</v>
      </c>
      <c r="I858" s="311">
        <v>43.107052235100006</v>
      </c>
      <c r="J858" s="338">
        <v>34.633200000000002</v>
      </c>
    </row>
    <row r="859" spans="1:10">
      <c r="A859" s="335" t="s">
        <v>421</v>
      </c>
      <c r="B859" s="314" t="s">
        <v>635</v>
      </c>
      <c r="C859" s="309" t="s">
        <v>1835</v>
      </c>
      <c r="D859" s="309" t="s">
        <v>1858</v>
      </c>
      <c r="E859" s="313" t="s">
        <v>1942</v>
      </c>
      <c r="F859" s="309" t="s">
        <v>1905</v>
      </c>
      <c r="G859" s="309" t="s">
        <v>1906</v>
      </c>
      <c r="H859" s="309" t="s">
        <v>1862</v>
      </c>
      <c r="I859" s="311">
        <v>57.585849915650002</v>
      </c>
      <c r="J859" s="338">
        <v>46.265799999999999</v>
      </c>
    </row>
    <row r="860" spans="1:10">
      <c r="A860" s="335" t="s">
        <v>421</v>
      </c>
      <c r="B860" s="314" t="s">
        <v>637</v>
      </c>
      <c r="C860" s="309" t="s">
        <v>1835</v>
      </c>
      <c r="D860" s="309" t="s">
        <v>1858</v>
      </c>
      <c r="E860" s="313" t="s">
        <v>1943</v>
      </c>
      <c r="F860" s="309" t="s">
        <v>1905</v>
      </c>
      <c r="G860" s="309" t="s">
        <v>1906</v>
      </c>
      <c r="H860" s="309" t="s">
        <v>1862</v>
      </c>
      <c r="I860" s="311">
        <v>127.34851407156667</v>
      </c>
      <c r="J860" s="338">
        <v>132.61359999999999</v>
      </c>
    </row>
    <row r="861" spans="1:10">
      <c r="A861" s="335" t="s">
        <v>421</v>
      </c>
      <c r="B861" s="314" t="s">
        <v>639</v>
      </c>
      <c r="C861" s="309" t="s">
        <v>1835</v>
      </c>
      <c r="D861" s="309" t="s">
        <v>1858</v>
      </c>
      <c r="E861" s="313" t="s">
        <v>1944</v>
      </c>
      <c r="F861" s="309" t="s">
        <v>1905</v>
      </c>
      <c r="G861" s="309" t="s">
        <v>1906</v>
      </c>
      <c r="H861" s="309" t="s">
        <v>1862</v>
      </c>
      <c r="I861" s="311">
        <v>181.76469228625399</v>
      </c>
      <c r="J861" s="338">
        <v>313728.17420000001</v>
      </c>
    </row>
    <row r="862" spans="1:10">
      <c r="A862" s="335" t="s">
        <v>421</v>
      </c>
      <c r="B862" s="314" t="s">
        <v>641</v>
      </c>
      <c r="C862" s="309" t="s">
        <v>1835</v>
      </c>
      <c r="D862" s="309" t="s">
        <v>1858</v>
      </c>
      <c r="E862" s="313" t="s">
        <v>1945</v>
      </c>
      <c r="F862" s="309" t="s">
        <v>1905</v>
      </c>
      <c r="G862" s="309" t="s">
        <v>1906</v>
      </c>
      <c r="H862" s="309" t="s">
        <v>1862</v>
      </c>
      <c r="I862" s="311">
        <v>68.245843408344001</v>
      </c>
      <c r="J862" s="338">
        <v>106.3202</v>
      </c>
    </row>
    <row r="863" spans="1:10">
      <c r="A863" s="335" t="s">
        <v>421</v>
      </c>
      <c r="B863" s="314" t="s">
        <v>643</v>
      </c>
      <c r="C863" s="309" t="s">
        <v>1835</v>
      </c>
      <c r="D863" s="309" t="s">
        <v>1858</v>
      </c>
      <c r="E863" s="313" t="s">
        <v>1946</v>
      </c>
      <c r="F863" s="309" t="s">
        <v>1905</v>
      </c>
      <c r="G863" s="309" t="s">
        <v>1906</v>
      </c>
      <c r="H863" s="309" t="s">
        <v>1862</v>
      </c>
      <c r="I863" s="311">
        <v>23.367626344276044</v>
      </c>
      <c r="J863" s="338">
        <v>43.766800000000003</v>
      </c>
    </row>
    <row r="864" spans="1:10">
      <c r="A864" s="335" t="s">
        <v>421</v>
      </c>
      <c r="B864" s="314" t="s">
        <v>645</v>
      </c>
      <c r="C864" s="309" t="s">
        <v>1835</v>
      </c>
      <c r="D864" s="309" t="s">
        <v>1858</v>
      </c>
      <c r="E864" s="313" t="s">
        <v>1947</v>
      </c>
      <c r="F864" s="309" t="s">
        <v>1905</v>
      </c>
      <c r="G864" s="309" t="s">
        <v>1906</v>
      </c>
      <c r="H864" s="309" t="s">
        <v>1862</v>
      </c>
      <c r="I864" s="311">
        <v>33.041756220479996</v>
      </c>
      <c r="J864" s="338">
        <v>121.36320000000001</v>
      </c>
    </row>
    <row r="865" spans="1:10">
      <c r="A865" s="335" t="s">
        <v>421</v>
      </c>
      <c r="B865" s="314" t="s">
        <v>647</v>
      </c>
      <c r="C865" s="309" t="s">
        <v>1835</v>
      </c>
      <c r="D865" s="309" t="s">
        <v>1858</v>
      </c>
      <c r="E865" s="313" t="s">
        <v>1948</v>
      </c>
      <c r="F865" s="309" t="s">
        <v>1905</v>
      </c>
      <c r="G865" s="309" t="s">
        <v>1906</v>
      </c>
      <c r="H865" s="309" t="s">
        <v>1862</v>
      </c>
      <c r="I865" s="311">
        <v>34.727181021078003</v>
      </c>
      <c r="J865" s="338">
        <v>96542.161800000002</v>
      </c>
    </row>
    <row r="866" spans="1:10">
      <c r="A866" s="335" t="s">
        <v>421</v>
      </c>
      <c r="B866" s="314" t="s">
        <v>649</v>
      </c>
      <c r="C866" s="309" t="s">
        <v>1835</v>
      </c>
      <c r="D866" s="309" t="s">
        <v>1858</v>
      </c>
      <c r="E866" s="313" t="s">
        <v>1949</v>
      </c>
      <c r="F866" s="309" t="s">
        <v>1905</v>
      </c>
      <c r="G866" s="309" t="s">
        <v>1906</v>
      </c>
      <c r="H866" s="309" t="s">
        <v>1862</v>
      </c>
      <c r="I866" s="311">
        <v>26.571921334629998</v>
      </c>
      <c r="J866" s="338">
        <v>238.483</v>
      </c>
    </row>
    <row r="867" spans="1:10">
      <c r="A867" s="335" t="s">
        <v>421</v>
      </c>
      <c r="B867" s="314" t="s">
        <v>651</v>
      </c>
      <c r="C867" s="309" t="s">
        <v>1835</v>
      </c>
      <c r="D867" s="309" t="s">
        <v>1858</v>
      </c>
      <c r="E867" s="313" t="s">
        <v>1950</v>
      </c>
      <c r="F867" s="309" t="s">
        <v>1905</v>
      </c>
      <c r="G867" s="309" t="s">
        <v>1906</v>
      </c>
      <c r="H867" s="309" t="s">
        <v>1862</v>
      </c>
      <c r="I867" s="311">
        <v>36.54</v>
      </c>
      <c r="J867" s="338">
        <v>23.37</v>
      </c>
    </row>
    <row r="868" spans="1:10">
      <c r="A868" s="335" t="s">
        <v>421</v>
      </c>
      <c r="B868" s="314" t="s">
        <v>653</v>
      </c>
      <c r="C868" s="309" t="s">
        <v>1835</v>
      </c>
      <c r="D868" s="309" t="s">
        <v>1858</v>
      </c>
      <c r="E868" s="313" t="s">
        <v>1951</v>
      </c>
      <c r="F868" s="309" t="s">
        <v>1905</v>
      </c>
      <c r="G868" s="309" t="s">
        <v>1906</v>
      </c>
      <c r="H868" s="309" t="s">
        <v>1862</v>
      </c>
      <c r="I868" s="311">
        <v>106.131755609096</v>
      </c>
      <c r="J868" s="338">
        <v>589588.10959999997</v>
      </c>
    </row>
    <row r="869" spans="1:10">
      <c r="A869" s="335" t="s">
        <v>655</v>
      </c>
      <c r="B869" s="314" t="s">
        <v>656</v>
      </c>
      <c r="C869" s="309" t="s">
        <v>1835</v>
      </c>
      <c r="D869" s="309" t="s">
        <v>1858</v>
      </c>
      <c r="E869" s="315" t="s">
        <v>1952</v>
      </c>
      <c r="F869" s="309" t="s">
        <v>1905</v>
      </c>
      <c r="G869" s="309" t="s">
        <v>1906</v>
      </c>
      <c r="H869" s="309" t="s">
        <v>1862</v>
      </c>
      <c r="I869" s="311">
        <v>73.78</v>
      </c>
      <c r="J869" s="338">
        <v>71.566599999999994</v>
      </c>
    </row>
    <row r="870" spans="1:10">
      <c r="A870" s="335" t="s">
        <v>655</v>
      </c>
      <c r="B870" s="314" t="s">
        <v>658</v>
      </c>
      <c r="C870" s="309" t="s">
        <v>1835</v>
      </c>
      <c r="D870" s="309" t="s">
        <v>1858</v>
      </c>
      <c r="E870" s="315" t="s">
        <v>1953</v>
      </c>
      <c r="F870" s="309" t="s">
        <v>1905</v>
      </c>
      <c r="G870" s="309" t="s">
        <v>1906</v>
      </c>
      <c r="H870" s="309" t="s">
        <v>1862</v>
      </c>
      <c r="I870" s="311">
        <v>12.56</v>
      </c>
      <c r="J870" s="338">
        <v>80.635199999999998</v>
      </c>
    </row>
    <row r="871" spans="1:10">
      <c r="A871" s="335" t="s">
        <v>655</v>
      </c>
      <c r="B871" s="314" t="s">
        <v>660</v>
      </c>
      <c r="C871" s="309" t="s">
        <v>1835</v>
      </c>
      <c r="D871" s="309" t="s">
        <v>1858</v>
      </c>
      <c r="E871" s="315" t="s">
        <v>1954</v>
      </c>
      <c r="F871" s="309" t="s">
        <v>1905</v>
      </c>
      <c r="G871" s="309" t="s">
        <v>1906</v>
      </c>
      <c r="H871" s="309" t="s">
        <v>1862</v>
      </c>
      <c r="I871" s="311">
        <v>11.21</v>
      </c>
      <c r="J871" s="338">
        <v>86.877500000000012</v>
      </c>
    </row>
    <row r="872" spans="1:10">
      <c r="A872" s="335" t="s">
        <v>655</v>
      </c>
      <c r="B872" s="314" t="s">
        <v>662</v>
      </c>
      <c r="C872" s="309" t="s">
        <v>1835</v>
      </c>
      <c r="D872" s="309" t="s">
        <v>1858</v>
      </c>
      <c r="E872" s="315" t="s">
        <v>1955</v>
      </c>
      <c r="F872" s="309" t="s">
        <v>1905</v>
      </c>
      <c r="G872" s="309" t="s">
        <v>1906</v>
      </c>
      <c r="H872" s="309" t="s">
        <v>1862</v>
      </c>
      <c r="I872" s="311">
        <v>21.97</v>
      </c>
      <c r="J872" s="338">
        <v>1287.8814</v>
      </c>
    </row>
    <row r="873" spans="1:10">
      <c r="A873" s="335" t="s">
        <v>655</v>
      </c>
      <c r="B873" s="314" t="s">
        <v>664</v>
      </c>
      <c r="C873" s="309" t="s">
        <v>1835</v>
      </c>
      <c r="D873" s="309" t="s">
        <v>1858</v>
      </c>
      <c r="E873" s="315" t="s">
        <v>1956</v>
      </c>
      <c r="F873" s="309" t="s">
        <v>1905</v>
      </c>
      <c r="G873" s="309" t="s">
        <v>1906</v>
      </c>
      <c r="H873" s="309" t="s">
        <v>1862</v>
      </c>
      <c r="I873" s="311">
        <v>12.73</v>
      </c>
      <c r="J873" s="338">
        <v>125873.34890000001</v>
      </c>
    </row>
    <row r="874" spans="1:10">
      <c r="A874" s="335" t="s">
        <v>655</v>
      </c>
      <c r="B874" s="314" t="s">
        <v>666</v>
      </c>
      <c r="C874" s="309" t="s">
        <v>1835</v>
      </c>
      <c r="D874" s="309" t="s">
        <v>1858</v>
      </c>
      <c r="E874" s="315" t="s">
        <v>1957</v>
      </c>
      <c r="F874" s="309" t="s">
        <v>1905</v>
      </c>
      <c r="G874" s="309" t="s">
        <v>1906</v>
      </c>
      <c r="H874" s="309" t="s">
        <v>1862</v>
      </c>
      <c r="I874" s="311">
        <v>19.73</v>
      </c>
      <c r="J874" s="338">
        <v>22526.135600000001</v>
      </c>
    </row>
    <row r="875" spans="1:10">
      <c r="A875" s="335" t="s">
        <v>655</v>
      </c>
      <c r="B875" s="314" t="s">
        <v>668</v>
      </c>
      <c r="C875" s="309" t="s">
        <v>1835</v>
      </c>
      <c r="D875" s="309" t="s">
        <v>1858</v>
      </c>
      <c r="E875" s="315" t="s">
        <v>1958</v>
      </c>
      <c r="F875" s="309" t="s">
        <v>1905</v>
      </c>
      <c r="G875" s="309" t="s">
        <v>1906</v>
      </c>
      <c r="H875" s="309" t="s">
        <v>1862</v>
      </c>
      <c r="I875" s="311">
        <v>10.86</v>
      </c>
      <c r="J875" s="338">
        <v>34.317599999999999</v>
      </c>
    </row>
    <row r="876" spans="1:10">
      <c r="A876" s="335" t="s">
        <v>655</v>
      </c>
      <c r="B876" s="314" t="s">
        <v>670</v>
      </c>
      <c r="C876" s="309" t="s">
        <v>1835</v>
      </c>
      <c r="D876" s="309" t="s">
        <v>1858</v>
      </c>
      <c r="E876" s="315" t="s">
        <v>1959</v>
      </c>
      <c r="F876" s="309" t="s">
        <v>1905</v>
      </c>
      <c r="G876" s="309" t="s">
        <v>1906</v>
      </c>
      <c r="H876" s="309" t="s">
        <v>1862</v>
      </c>
      <c r="I876" s="311">
        <v>11.49</v>
      </c>
      <c r="J876" s="338">
        <v>483.26940000000002</v>
      </c>
    </row>
    <row r="877" spans="1:10">
      <c r="A877" s="335" t="s">
        <v>655</v>
      </c>
      <c r="B877" s="314" t="s">
        <v>672</v>
      </c>
      <c r="C877" s="309" t="s">
        <v>1835</v>
      </c>
      <c r="D877" s="309" t="s">
        <v>1858</v>
      </c>
      <c r="E877" s="315" t="s">
        <v>1960</v>
      </c>
      <c r="F877" s="309" t="s">
        <v>1905</v>
      </c>
      <c r="G877" s="309" t="s">
        <v>1906</v>
      </c>
      <c r="H877" s="309" t="s">
        <v>1862</v>
      </c>
      <c r="I877" s="311">
        <v>16.7</v>
      </c>
      <c r="J877" s="338">
        <v>20.707999999999998</v>
      </c>
    </row>
    <row r="878" spans="1:10">
      <c r="A878" s="335" t="s">
        <v>655</v>
      </c>
      <c r="B878" s="314" t="s">
        <v>674</v>
      </c>
      <c r="C878" s="309" t="s">
        <v>1835</v>
      </c>
      <c r="D878" s="309" t="s">
        <v>1858</v>
      </c>
      <c r="E878" s="315" t="s">
        <v>1961</v>
      </c>
      <c r="F878" s="309" t="s">
        <v>1905</v>
      </c>
      <c r="G878" s="309" t="s">
        <v>1906</v>
      </c>
      <c r="H878" s="309" t="s">
        <v>1862</v>
      </c>
      <c r="I878" s="311">
        <v>21.01</v>
      </c>
      <c r="J878" s="338">
        <v>622.31620000000009</v>
      </c>
    </row>
    <row r="879" spans="1:10">
      <c r="A879" s="335" t="s">
        <v>655</v>
      </c>
      <c r="B879" s="314" t="s">
        <v>676</v>
      </c>
      <c r="C879" s="309" t="s">
        <v>1835</v>
      </c>
      <c r="D879" s="309" t="s">
        <v>1858</v>
      </c>
      <c r="E879" s="315" t="s">
        <v>1962</v>
      </c>
      <c r="F879" s="309" t="s">
        <v>1905</v>
      </c>
      <c r="G879" s="309" t="s">
        <v>1906</v>
      </c>
      <c r="H879" s="309" t="s">
        <v>1862</v>
      </c>
      <c r="I879" s="311">
        <v>19.95</v>
      </c>
      <c r="J879" s="338">
        <v>638.59949999999992</v>
      </c>
    </row>
    <row r="880" spans="1:10">
      <c r="A880" s="334" t="s">
        <v>655</v>
      </c>
      <c r="B880" s="309" t="s">
        <v>678</v>
      </c>
      <c r="C880" s="309" t="s">
        <v>1835</v>
      </c>
      <c r="D880" s="309" t="s">
        <v>1858</v>
      </c>
      <c r="E880" s="310" t="s">
        <v>1963</v>
      </c>
      <c r="F880" s="309" t="s">
        <v>1905</v>
      </c>
      <c r="G880" s="309" t="s">
        <v>1906</v>
      </c>
      <c r="H880" s="309" t="s">
        <v>1862</v>
      </c>
      <c r="I880" s="311">
        <v>55.91</v>
      </c>
      <c r="J880" s="338">
        <v>1266237.9389</v>
      </c>
    </row>
    <row r="881" spans="1:10">
      <c r="A881" s="334" t="s">
        <v>680</v>
      </c>
      <c r="B881" s="309"/>
      <c r="C881" s="309" t="s">
        <v>1835</v>
      </c>
      <c r="D881" s="309" t="s">
        <v>1858</v>
      </c>
      <c r="E881" s="316" t="s">
        <v>1964</v>
      </c>
      <c r="F881" s="309" t="s">
        <v>1905</v>
      </c>
      <c r="G881" s="309" t="s">
        <v>1906</v>
      </c>
      <c r="H881" s="309" t="s">
        <v>1862</v>
      </c>
      <c r="I881" s="311">
        <v>59.944290550150043</v>
      </c>
      <c r="J881" s="339">
        <v>4678.5200000000004</v>
      </c>
    </row>
    <row r="882" spans="1:10">
      <c r="A882" s="335" t="s">
        <v>655</v>
      </c>
      <c r="B882" s="312"/>
      <c r="C882" s="309" t="s">
        <v>1835</v>
      </c>
      <c r="D882" s="309" t="s">
        <v>1858</v>
      </c>
      <c r="E882" s="315" t="s">
        <v>1965</v>
      </c>
      <c r="F882" s="314" t="s">
        <v>1966</v>
      </c>
      <c r="G882" s="309" t="s">
        <v>1906</v>
      </c>
      <c r="H882" s="309" t="s">
        <v>1862</v>
      </c>
      <c r="I882" s="311">
        <v>2.59</v>
      </c>
      <c r="J882" s="338" t="s">
        <v>36</v>
      </c>
    </row>
    <row r="883" spans="1:10">
      <c r="A883" s="335" t="s">
        <v>655</v>
      </c>
      <c r="B883" s="312"/>
      <c r="C883" s="309" t="s">
        <v>1835</v>
      </c>
      <c r="D883" s="309" t="s">
        <v>1858</v>
      </c>
      <c r="E883" s="315" t="s">
        <v>1967</v>
      </c>
      <c r="F883" s="314" t="s">
        <v>1968</v>
      </c>
      <c r="G883" s="309" t="s">
        <v>1906</v>
      </c>
      <c r="H883" s="309" t="s">
        <v>1862</v>
      </c>
      <c r="I883" s="311">
        <v>0.33</v>
      </c>
      <c r="J883" s="338" t="s">
        <v>36</v>
      </c>
    </row>
    <row r="884" spans="1:10" ht="24">
      <c r="A884" s="334" t="s">
        <v>423</v>
      </c>
      <c r="B884" s="309"/>
      <c r="C884" s="309" t="s">
        <v>1835</v>
      </c>
      <c r="D884" s="309" t="s">
        <v>1858</v>
      </c>
      <c r="E884" s="310" t="s">
        <v>1969</v>
      </c>
      <c r="F884" s="309" t="s">
        <v>1970</v>
      </c>
      <c r="G884" s="309" t="s">
        <v>1971</v>
      </c>
      <c r="H884" s="309" t="s">
        <v>1972</v>
      </c>
      <c r="I884" s="311">
        <v>33.5</v>
      </c>
      <c r="J884" s="338">
        <v>33.5</v>
      </c>
    </row>
    <row r="885" spans="1:10" ht="24">
      <c r="A885" s="334" t="s">
        <v>423</v>
      </c>
      <c r="B885" s="309"/>
      <c r="C885" s="309" t="s">
        <v>1835</v>
      </c>
      <c r="D885" s="309" t="s">
        <v>1858</v>
      </c>
      <c r="E885" s="310" t="s">
        <v>1973</v>
      </c>
      <c r="F885" s="309" t="s">
        <v>1974</v>
      </c>
      <c r="G885" s="309" t="s">
        <v>1975</v>
      </c>
      <c r="H885" s="309" t="s">
        <v>1972</v>
      </c>
      <c r="I885" s="311">
        <v>33.5</v>
      </c>
      <c r="J885" s="338">
        <v>33.5</v>
      </c>
    </row>
    <row r="886" spans="1:10" ht="24">
      <c r="A886" s="334" t="s">
        <v>423</v>
      </c>
      <c r="B886" s="309"/>
      <c r="C886" s="309" t="s">
        <v>1835</v>
      </c>
      <c r="D886" s="309" t="s">
        <v>1976</v>
      </c>
      <c r="E886" s="310" t="s">
        <v>1977</v>
      </c>
      <c r="F886" s="309" t="s">
        <v>1978</v>
      </c>
      <c r="G886" s="309" t="s">
        <v>1979</v>
      </c>
      <c r="H886" s="309" t="s">
        <v>1980</v>
      </c>
      <c r="I886" s="311">
        <v>15</v>
      </c>
      <c r="J886" s="338">
        <v>15</v>
      </c>
    </row>
    <row r="887" spans="1:10" ht="24">
      <c r="A887" s="334" t="s">
        <v>423</v>
      </c>
      <c r="B887" s="309"/>
      <c r="C887" s="309" t="s">
        <v>1835</v>
      </c>
      <c r="D887" s="309" t="s">
        <v>1976</v>
      </c>
      <c r="E887" s="310" t="s">
        <v>1981</v>
      </c>
      <c r="F887" s="309" t="s">
        <v>1982</v>
      </c>
      <c r="G887" s="309" t="s">
        <v>1983</v>
      </c>
      <c r="H887" s="309" t="s">
        <v>1984</v>
      </c>
      <c r="I887" s="311">
        <v>2.75</v>
      </c>
      <c r="J887" s="338">
        <v>2.75</v>
      </c>
    </row>
    <row r="888" spans="1:10">
      <c r="A888" s="334" t="s">
        <v>421</v>
      </c>
      <c r="B888" s="309" t="s">
        <v>597</v>
      </c>
      <c r="C888" s="309" t="s">
        <v>1835</v>
      </c>
      <c r="D888" s="309" t="s">
        <v>1698</v>
      </c>
      <c r="E888" s="313" t="s">
        <v>1985</v>
      </c>
      <c r="F888" s="309" t="s">
        <v>1986</v>
      </c>
      <c r="G888" s="309" t="s">
        <v>1987</v>
      </c>
      <c r="H888" s="309" t="s">
        <v>1045</v>
      </c>
      <c r="I888" s="311" t="s">
        <v>36</v>
      </c>
      <c r="J888" s="338" t="s">
        <v>36</v>
      </c>
    </row>
    <row r="889" spans="1:10" ht="24">
      <c r="A889" s="334" t="s">
        <v>421</v>
      </c>
      <c r="B889" s="309" t="s">
        <v>651</v>
      </c>
      <c r="C889" s="309" t="s">
        <v>1835</v>
      </c>
      <c r="D889" s="309" t="s">
        <v>1698</v>
      </c>
      <c r="E889" s="313" t="s">
        <v>1988</v>
      </c>
      <c r="F889" s="309" t="s">
        <v>1986</v>
      </c>
      <c r="G889" s="309" t="s">
        <v>1987</v>
      </c>
      <c r="H889" s="309" t="s">
        <v>1045</v>
      </c>
      <c r="I889" s="311" t="s">
        <v>36</v>
      </c>
      <c r="J889" s="338" t="s">
        <v>36</v>
      </c>
    </row>
    <row r="890" spans="1:10" ht="36">
      <c r="A890" s="334" t="s">
        <v>423</v>
      </c>
      <c r="B890" s="309"/>
      <c r="C890" s="309" t="s">
        <v>1835</v>
      </c>
      <c r="D890" s="309" t="s">
        <v>1698</v>
      </c>
      <c r="E890" s="310" t="s">
        <v>1989</v>
      </c>
      <c r="F890" s="309" t="s">
        <v>1990</v>
      </c>
      <c r="G890" s="309" t="s">
        <v>1991</v>
      </c>
      <c r="H890" s="309" t="s">
        <v>1992</v>
      </c>
      <c r="I890" s="311">
        <v>114.05</v>
      </c>
      <c r="J890" s="338">
        <v>114.05</v>
      </c>
    </row>
    <row r="891" spans="1:10" ht="36">
      <c r="A891" s="334" t="s">
        <v>421</v>
      </c>
      <c r="B891" s="309" t="s">
        <v>621</v>
      </c>
      <c r="C891" s="309" t="s">
        <v>1835</v>
      </c>
      <c r="D891" s="309" t="s">
        <v>1698</v>
      </c>
      <c r="E891" s="313" t="s">
        <v>1993</v>
      </c>
      <c r="F891" s="309" t="s">
        <v>1990</v>
      </c>
      <c r="G891" s="309" t="s">
        <v>1991</v>
      </c>
      <c r="H891" s="309" t="s">
        <v>1992</v>
      </c>
      <c r="I891" s="311">
        <v>175.30835264733076</v>
      </c>
      <c r="J891" s="338">
        <v>594.80999999999995</v>
      </c>
    </row>
    <row r="892" spans="1:10" ht="36">
      <c r="A892" s="334" t="s">
        <v>421</v>
      </c>
      <c r="B892" s="309" t="s">
        <v>651</v>
      </c>
      <c r="C892" s="309" t="s">
        <v>1835</v>
      </c>
      <c r="D892" s="309" t="s">
        <v>1698</v>
      </c>
      <c r="E892" s="313" t="s">
        <v>1994</v>
      </c>
      <c r="F892" s="309" t="s">
        <v>1990</v>
      </c>
      <c r="G892" s="309" t="s">
        <v>1991</v>
      </c>
      <c r="H892" s="309" t="s">
        <v>1992</v>
      </c>
      <c r="I892" s="311">
        <v>318.74812017375001</v>
      </c>
      <c r="J892" s="338">
        <v>203.87</v>
      </c>
    </row>
    <row r="893" spans="1:10" ht="36">
      <c r="A893" s="335" t="s">
        <v>655</v>
      </c>
      <c r="B893" s="314" t="s">
        <v>656</v>
      </c>
      <c r="C893" s="309" t="s">
        <v>1835</v>
      </c>
      <c r="D893" s="309" t="s">
        <v>1698</v>
      </c>
      <c r="E893" s="315" t="s">
        <v>1995</v>
      </c>
      <c r="F893" s="309" t="s">
        <v>1990</v>
      </c>
      <c r="G893" s="309" t="s">
        <v>1991</v>
      </c>
      <c r="H893" s="309" t="s">
        <v>1992</v>
      </c>
      <c r="I893" s="311">
        <v>52.99</v>
      </c>
      <c r="J893" s="338">
        <v>51.400300000000001</v>
      </c>
    </row>
    <row r="894" spans="1:10" ht="36">
      <c r="A894" s="335" t="s">
        <v>655</v>
      </c>
      <c r="B894" s="314" t="s">
        <v>664</v>
      </c>
      <c r="C894" s="309" t="s">
        <v>1835</v>
      </c>
      <c r="D894" s="309" t="s">
        <v>1698</v>
      </c>
      <c r="E894" s="315" t="s">
        <v>1996</v>
      </c>
      <c r="F894" s="309" t="s">
        <v>1990</v>
      </c>
      <c r="G894" s="309" t="s">
        <v>1991</v>
      </c>
      <c r="H894" s="309" t="s">
        <v>1992</v>
      </c>
      <c r="I894" s="311">
        <v>25.15</v>
      </c>
      <c r="J894" s="338">
        <v>248681.43950000001</v>
      </c>
    </row>
    <row r="895" spans="1:10" ht="36">
      <c r="A895" s="335" t="s">
        <v>655</v>
      </c>
      <c r="B895" s="314" t="s">
        <v>668</v>
      </c>
      <c r="C895" s="309" t="s">
        <v>1835</v>
      </c>
      <c r="D895" s="309" t="s">
        <v>1698</v>
      </c>
      <c r="E895" s="315" t="s">
        <v>1997</v>
      </c>
      <c r="F895" s="309" t="s">
        <v>1990</v>
      </c>
      <c r="G895" s="309" t="s">
        <v>1991</v>
      </c>
      <c r="H895" s="309" t="s">
        <v>1992</v>
      </c>
      <c r="I895" s="311">
        <v>19.21</v>
      </c>
      <c r="J895" s="338">
        <v>60.703600000000009</v>
      </c>
    </row>
    <row r="896" spans="1:10" ht="36">
      <c r="A896" s="335" t="s">
        <v>655</v>
      </c>
      <c r="B896" s="314" t="s">
        <v>670</v>
      </c>
      <c r="C896" s="309" t="s">
        <v>1835</v>
      </c>
      <c r="D896" s="309" t="s">
        <v>1698</v>
      </c>
      <c r="E896" s="315" t="s">
        <v>1998</v>
      </c>
      <c r="F896" s="309" t="s">
        <v>1990</v>
      </c>
      <c r="G896" s="309" t="s">
        <v>1991</v>
      </c>
      <c r="H896" s="309" t="s">
        <v>1992</v>
      </c>
      <c r="I896" s="311">
        <v>18.13</v>
      </c>
      <c r="J896" s="338">
        <v>762.54780000000005</v>
      </c>
    </row>
    <row r="897" spans="1:10" ht="36">
      <c r="A897" s="335" t="s">
        <v>655</v>
      </c>
      <c r="B897" s="314" t="s">
        <v>672</v>
      </c>
      <c r="C897" s="309" t="s">
        <v>1835</v>
      </c>
      <c r="D897" s="309" t="s">
        <v>1698</v>
      </c>
      <c r="E897" s="315" t="s">
        <v>1999</v>
      </c>
      <c r="F897" s="309" t="s">
        <v>1990</v>
      </c>
      <c r="G897" s="309" t="s">
        <v>1991</v>
      </c>
      <c r="H897" s="309" t="s">
        <v>1992</v>
      </c>
      <c r="I897" s="311">
        <v>21.62</v>
      </c>
      <c r="J897" s="338">
        <v>26.808800000000002</v>
      </c>
    </row>
    <row r="898" spans="1:10" ht="36">
      <c r="A898" s="335" t="s">
        <v>655</v>
      </c>
      <c r="B898" s="314" t="s">
        <v>674</v>
      </c>
      <c r="C898" s="309" t="s">
        <v>1835</v>
      </c>
      <c r="D898" s="309" t="s">
        <v>1698</v>
      </c>
      <c r="E898" s="315" t="s">
        <v>2000</v>
      </c>
      <c r="F898" s="309" t="s">
        <v>1990</v>
      </c>
      <c r="G898" s="309" t="s">
        <v>1991</v>
      </c>
      <c r="H898" s="309" t="s">
        <v>1992</v>
      </c>
      <c r="I898" s="311">
        <v>16.579999999999998</v>
      </c>
      <c r="J898" s="338">
        <v>491.09959999999995</v>
      </c>
    </row>
    <row r="899" spans="1:10" ht="36">
      <c r="A899" s="335" t="s">
        <v>680</v>
      </c>
      <c r="B899" s="314"/>
      <c r="C899" s="309" t="s">
        <v>1835</v>
      </c>
      <c r="D899" s="309" t="s">
        <v>1698</v>
      </c>
      <c r="E899" s="316" t="s">
        <v>2001</v>
      </c>
      <c r="F899" s="309" t="s">
        <v>1990</v>
      </c>
      <c r="G899" s="309" t="s">
        <v>1991</v>
      </c>
      <c r="H899" s="309" t="s">
        <v>1992</v>
      </c>
      <c r="I899" s="311">
        <v>25.63</v>
      </c>
      <c r="J899" s="339">
        <v>2000</v>
      </c>
    </row>
    <row r="900" spans="1:10" ht="36">
      <c r="A900" s="335" t="s">
        <v>655</v>
      </c>
      <c r="B900" s="312"/>
      <c r="C900" s="309" t="s">
        <v>1835</v>
      </c>
      <c r="D900" s="309" t="s">
        <v>1698</v>
      </c>
      <c r="E900" s="315" t="s">
        <v>2002</v>
      </c>
      <c r="F900" s="314" t="s">
        <v>2003</v>
      </c>
      <c r="G900" s="309" t="s">
        <v>1991</v>
      </c>
      <c r="H900" s="309" t="s">
        <v>1992</v>
      </c>
      <c r="I900" s="311">
        <v>97.83</v>
      </c>
      <c r="J900" s="338" t="s">
        <v>36</v>
      </c>
    </row>
    <row r="901" spans="1:10" ht="36">
      <c r="A901" s="334" t="s">
        <v>421</v>
      </c>
      <c r="B901" s="309" t="s">
        <v>587</v>
      </c>
      <c r="C901" s="309" t="s">
        <v>1835</v>
      </c>
      <c r="D901" s="309" t="s">
        <v>1698</v>
      </c>
      <c r="E901" s="313" t="s">
        <v>2004</v>
      </c>
      <c r="F901" s="309" t="s">
        <v>2005</v>
      </c>
      <c r="G901" s="309" t="s">
        <v>2006</v>
      </c>
      <c r="H901" s="309" t="s">
        <v>2007</v>
      </c>
      <c r="I901" s="311">
        <v>3.3439358736190328</v>
      </c>
      <c r="J901" s="338">
        <v>68.06</v>
      </c>
    </row>
    <row r="902" spans="1:10" ht="36">
      <c r="A902" s="334" t="s">
        <v>421</v>
      </c>
      <c r="B902" s="309" t="s">
        <v>625</v>
      </c>
      <c r="C902" s="309" t="s">
        <v>1835</v>
      </c>
      <c r="D902" s="309" t="s">
        <v>1698</v>
      </c>
      <c r="E902" s="313" t="s">
        <v>2008</v>
      </c>
      <c r="F902" s="309" t="s">
        <v>2005</v>
      </c>
      <c r="G902" s="309" t="s">
        <v>2006</v>
      </c>
      <c r="H902" s="309" t="s">
        <v>2007</v>
      </c>
      <c r="I902" s="311">
        <v>14.571637975228498</v>
      </c>
      <c r="J902" s="338">
        <v>492.96</v>
      </c>
    </row>
    <row r="903" spans="1:10" ht="36">
      <c r="A903" s="334" t="s">
        <v>421</v>
      </c>
      <c r="B903" s="309" t="s">
        <v>643</v>
      </c>
      <c r="C903" s="309" t="s">
        <v>1835</v>
      </c>
      <c r="D903" s="309" t="s">
        <v>1698</v>
      </c>
      <c r="E903" s="313" t="s">
        <v>2009</v>
      </c>
      <c r="F903" s="309" t="s">
        <v>2005</v>
      </c>
      <c r="G903" s="309" t="s">
        <v>2006</v>
      </c>
      <c r="H903" s="309" t="s">
        <v>2007</v>
      </c>
      <c r="I903" s="311">
        <v>122.34596947436995</v>
      </c>
      <c r="J903" s="338">
        <v>229.15</v>
      </c>
    </row>
    <row r="904" spans="1:10">
      <c r="A904" s="334" t="s">
        <v>423</v>
      </c>
      <c r="B904" s="309"/>
      <c r="C904" s="309" t="s">
        <v>1835</v>
      </c>
      <c r="D904" s="309" t="s">
        <v>1698</v>
      </c>
      <c r="E904" s="310" t="s">
        <v>2010</v>
      </c>
      <c r="F904" s="309" t="s">
        <v>2011</v>
      </c>
      <c r="G904" s="309" t="s">
        <v>2012</v>
      </c>
      <c r="H904" s="309" t="s">
        <v>1045</v>
      </c>
      <c r="I904" s="311" t="s">
        <v>36</v>
      </c>
      <c r="J904" s="338" t="s">
        <v>36</v>
      </c>
    </row>
    <row r="905" spans="1:10">
      <c r="A905" s="334" t="s">
        <v>680</v>
      </c>
      <c r="B905" s="309"/>
      <c r="C905" s="309" t="s">
        <v>1835</v>
      </c>
      <c r="D905" s="309" t="s">
        <v>1698</v>
      </c>
      <c r="E905" s="316" t="s">
        <v>2013</v>
      </c>
      <c r="F905" s="309" t="s">
        <v>2011</v>
      </c>
      <c r="G905" s="309" t="s">
        <v>2012</v>
      </c>
      <c r="H905" s="309" t="s">
        <v>1045</v>
      </c>
      <c r="I905" s="311" t="s">
        <v>36</v>
      </c>
      <c r="J905" s="339" t="s">
        <v>36</v>
      </c>
    </row>
    <row r="906" spans="1:10" ht="24">
      <c r="A906" s="334" t="s">
        <v>423</v>
      </c>
      <c r="B906" s="309"/>
      <c r="C906" s="309" t="s">
        <v>1835</v>
      </c>
      <c r="D906" s="309" t="s">
        <v>1698</v>
      </c>
      <c r="E906" s="310" t="s">
        <v>2014</v>
      </c>
      <c r="F906" s="309" t="s">
        <v>2015</v>
      </c>
      <c r="G906" s="309" t="s">
        <v>2016</v>
      </c>
      <c r="H906" s="309" t="s">
        <v>2017</v>
      </c>
      <c r="I906" s="311">
        <v>40</v>
      </c>
      <c r="J906" s="338">
        <v>40</v>
      </c>
    </row>
    <row r="907" spans="1:10" ht="24">
      <c r="A907" s="334" t="s">
        <v>423</v>
      </c>
      <c r="B907" s="309"/>
      <c r="C907" s="309" t="s">
        <v>1835</v>
      </c>
      <c r="D907" s="309" t="s">
        <v>1698</v>
      </c>
      <c r="E907" s="310" t="s">
        <v>2018</v>
      </c>
      <c r="F907" s="309" t="s">
        <v>2019</v>
      </c>
      <c r="G907" s="309" t="s">
        <v>2020</v>
      </c>
      <c r="H907" s="309" t="s">
        <v>2021</v>
      </c>
      <c r="I907" s="311">
        <v>15</v>
      </c>
      <c r="J907" s="338">
        <v>15</v>
      </c>
    </row>
    <row r="908" spans="1:10" ht="24">
      <c r="A908" s="335" t="s">
        <v>421</v>
      </c>
      <c r="B908" s="314" t="s">
        <v>575</v>
      </c>
      <c r="C908" s="309" t="s">
        <v>1835</v>
      </c>
      <c r="D908" s="309" t="s">
        <v>1698</v>
      </c>
      <c r="E908" s="313" t="s">
        <v>2022</v>
      </c>
      <c r="F908" s="309" t="s">
        <v>2019</v>
      </c>
      <c r="G908" s="309" t="s">
        <v>2020</v>
      </c>
      <c r="H908" s="309" t="s">
        <v>2021</v>
      </c>
      <c r="I908" s="311">
        <v>76.208318909099987</v>
      </c>
      <c r="J908" s="338">
        <v>5646.83</v>
      </c>
    </row>
    <row r="909" spans="1:10" ht="24">
      <c r="A909" s="335" t="s">
        <v>421</v>
      </c>
      <c r="B909" s="314" t="s">
        <v>577</v>
      </c>
      <c r="C909" s="309" t="s">
        <v>1835</v>
      </c>
      <c r="D909" s="309" t="s">
        <v>1698</v>
      </c>
      <c r="E909" s="313" t="s">
        <v>2023</v>
      </c>
      <c r="F909" s="309" t="s">
        <v>2019</v>
      </c>
      <c r="G909" s="309" t="s">
        <v>2020</v>
      </c>
      <c r="H909" s="309" t="s">
        <v>2021</v>
      </c>
      <c r="I909" s="311">
        <v>45.44</v>
      </c>
      <c r="J909" s="338">
        <v>45.44</v>
      </c>
    </row>
    <row r="910" spans="1:10" ht="24">
      <c r="A910" s="335" t="s">
        <v>421</v>
      </c>
      <c r="B910" s="314" t="s">
        <v>579</v>
      </c>
      <c r="C910" s="309" t="s">
        <v>1835</v>
      </c>
      <c r="D910" s="309" t="s">
        <v>1698</v>
      </c>
      <c r="E910" s="313" t="s">
        <v>2024</v>
      </c>
      <c r="F910" s="309" t="s">
        <v>2019</v>
      </c>
      <c r="G910" s="309" t="s">
        <v>2020</v>
      </c>
      <c r="H910" s="309" t="s">
        <v>2021</v>
      </c>
      <c r="I910" s="311">
        <v>19.31734436</v>
      </c>
      <c r="J910" s="338">
        <v>15.52</v>
      </c>
    </row>
    <row r="911" spans="1:10" ht="24">
      <c r="A911" s="335" t="s">
        <v>421</v>
      </c>
      <c r="B911" s="314" t="s">
        <v>581</v>
      </c>
      <c r="C911" s="309" t="s">
        <v>1835</v>
      </c>
      <c r="D911" s="309" t="s">
        <v>1698</v>
      </c>
      <c r="E911" s="313" t="s">
        <v>2025</v>
      </c>
      <c r="F911" s="309" t="s">
        <v>2019</v>
      </c>
      <c r="G911" s="309" t="s">
        <v>2020</v>
      </c>
      <c r="H911" s="309" t="s">
        <v>2021</v>
      </c>
      <c r="I911" s="311">
        <v>18.80214518484965</v>
      </c>
      <c r="J911" s="338">
        <v>30.09</v>
      </c>
    </row>
    <row r="912" spans="1:10" ht="24">
      <c r="A912" s="335" t="s">
        <v>421</v>
      </c>
      <c r="B912" s="314" t="s">
        <v>583</v>
      </c>
      <c r="C912" s="309" t="s">
        <v>1835</v>
      </c>
      <c r="D912" s="309" t="s">
        <v>1698</v>
      </c>
      <c r="E912" s="313" t="s">
        <v>2026</v>
      </c>
      <c r="F912" s="309" t="s">
        <v>2019</v>
      </c>
      <c r="G912" s="309" t="s">
        <v>2020</v>
      </c>
      <c r="H912" s="309" t="s">
        <v>2021</v>
      </c>
      <c r="I912" s="311">
        <v>76.316547222399976</v>
      </c>
      <c r="J912" s="338">
        <v>39909.919999999998</v>
      </c>
    </row>
    <row r="913" spans="1:10" ht="24">
      <c r="A913" s="335" t="s">
        <v>421</v>
      </c>
      <c r="B913" s="314" t="s">
        <v>585</v>
      </c>
      <c r="C913" s="309" t="s">
        <v>1835</v>
      </c>
      <c r="D913" s="309" t="s">
        <v>1698</v>
      </c>
      <c r="E913" s="313" t="s">
        <v>2027</v>
      </c>
      <c r="F913" s="309" t="s">
        <v>2019</v>
      </c>
      <c r="G913" s="309" t="s">
        <v>2020</v>
      </c>
      <c r="H913" s="309" t="s">
        <v>2021</v>
      </c>
      <c r="I913" s="311">
        <v>623.25</v>
      </c>
      <c r="J913" s="338">
        <v>623.25</v>
      </c>
    </row>
    <row r="914" spans="1:10" ht="24">
      <c r="A914" s="335" t="s">
        <v>421</v>
      </c>
      <c r="B914" s="314" t="s">
        <v>719</v>
      </c>
      <c r="C914" s="309" t="s">
        <v>1835</v>
      </c>
      <c r="D914" s="309" t="s">
        <v>1698</v>
      </c>
      <c r="E914" s="313" t="s">
        <v>2028</v>
      </c>
      <c r="F914" s="309" t="s">
        <v>2019</v>
      </c>
      <c r="G914" s="309" t="s">
        <v>2020</v>
      </c>
      <c r="H914" s="309" t="s">
        <v>2021</v>
      </c>
      <c r="I914" s="311">
        <v>387.12008542139989</v>
      </c>
      <c r="J914" s="338">
        <v>202445.37</v>
      </c>
    </row>
    <row r="915" spans="1:10" ht="24">
      <c r="A915" s="335" t="s">
        <v>421</v>
      </c>
      <c r="B915" s="314" t="s">
        <v>587</v>
      </c>
      <c r="C915" s="309" t="s">
        <v>1835</v>
      </c>
      <c r="D915" s="309" t="s">
        <v>1698</v>
      </c>
      <c r="E915" s="313" t="s">
        <v>2029</v>
      </c>
      <c r="F915" s="309" t="s">
        <v>2019</v>
      </c>
      <c r="G915" s="309" t="s">
        <v>2020</v>
      </c>
      <c r="H915" s="309" t="s">
        <v>2021</v>
      </c>
      <c r="I915" s="311">
        <v>54.081259685111341</v>
      </c>
      <c r="J915" s="338">
        <v>1100.73</v>
      </c>
    </row>
    <row r="916" spans="1:10" ht="24">
      <c r="A916" s="335" t="s">
        <v>421</v>
      </c>
      <c r="B916" s="314" t="s">
        <v>589</v>
      </c>
      <c r="C916" s="309" t="s">
        <v>1835</v>
      </c>
      <c r="D916" s="309" t="s">
        <v>1698</v>
      </c>
      <c r="E916" s="313" t="s">
        <v>2030</v>
      </c>
      <c r="F916" s="309" t="s">
        <v>2019</v>
      </c>
      <c r="G916" s="309" t="s">
        <v>2020</v>
      </c>
      <c r="H916" s="309" t="s">
        <v>2021</v>
      </c>
      <c r="I916" s="311">
        <v>53.184558677799998</v>
      </c>
      <c r="J916" s="338">
        <v>378.94</v>
      </c>
    </row>
    <row r="917" spans="1:10" ht="24">
      <c r="A917" s="335" t="s">
        <v>421</v>
      </c>
      <c r="B917" s="314" t="s">
        <v>591</v>
      </c>
      <c r="C917" s="309" t="s">
        <v>1835</v>
      </c>
      <c r="D917" s="309" t="s">
        <v>1698</v>
      </c>
      <c r="E917" s="313" t="s">
        <v>2031</v>
      </c>
      <c r="F917" s="309" t="s">
        <v>2019</v>
      </c>
      <c r="G917" s="309" t="s">
        <v>2020</v>
      </c>
      <c r="H917" s="309" t="s">
        <v>2021</v>
      </c>
      <c r="I917" s="311">
        <v>167.98123678000002</v>
      </c>
      <c r="J917" s="338">
        <v>134.96</v>
      </c>
    </row>
    <row r="918" spans="1:10" ht="24">
      <c r="A918" s="335" t="s">
        <v>421</v>
      </c>
      <c r="B918" s="314" t="s">
        <v>724</v>
      </c>
      <c r="C918" s="309" t="s">
        <v>1835</v>
      </c>
      <c r="D918" s="309" t="s">
        <v>1698</v>
      </c>
      <c r="E918" s="313" t="s">
        <v>2032</v>
      </c>
      <c r="F918" s="309" t="s">
        <v>2019</v>
      </c>
      <c r="G918" s="309" t="s">
        <v>2020</v>
      </c>
      <c r="H918" s="309" t="s">
        <v>2021</v>
      </c>
      <c r="I918" s="311">
        <v>66.958333764399967</v>
      </c>
      <c r="J918" s="338">
        <v>35016.019999999997</v>
      </c>
    </row>
    <row r="919" spans="1:10" ht="24">
      <c r="A919" s="335" t="s">
        <v>421</v>
      </c>
      <c r="B919" s="314" t="s">
        <v>593</v>
      </c>
      <c r="C919" s="309" t="s">
        <v>1835</v>
      </c>
      <c r="D919" s="309" t="s">
        <v>1698</v>
      </c>
      <c r="E919" s="313" t="s">
        <v>2033</v>
      </c>
      <c r="F919" s="309" t="s">
        <v>2019</v>
      </c>
      <c r="G919" s="309" t="s">
        <v>2020</v>
      </c>
      <c r="H919" s="309" t="s">
        <v>2021</v>
      </c>
      <c r="I919" s="311">
        <v>53.197377445000008</v>
      </c>
      <c r="J919" s="338">
        <v>42.74</v>
      </c>
    </row>
    <row r="920" spans="1:10" ht="24">
      <c r="A920" s="335" t="s">
        <v>421</v>
      </c>
      <c r="B920" s="314" t="s">
        <v>595</v>
      </c>
      <c r="C920" s="309" t="s">
        <v>1835</v>
      </c>
      <c r="D920" s="309" t="s">
        <v>1698</v>
      </c>
      <c r="E920" s="313" t="s">
        <v>2034</v>
      </c>
      <c r="F920" s="309" t="s">
        <v>2019</v>
      </c>
      <c r="G920" s="309" t="s">
        <v>2020</v>
      </c>
      <c r="H920" s="309" t="s">
        <v>2021</v>
      </c>
      <c r="I920" s="311">
        <v>37.206757536391933</v>
      </c>
      <c r="J920" s="338">
        <v>8660.07</v>
      </c>
    </row>
    <row r="921" spans="1:10" ht="24">
      <c r="A921" s="335" t="s">
        <v>421</v>
      </c>
      <c r="B921" s="314" t="s">
        <v>597</v>
      </c>
      <c r="C921" s="309" t="s">
        <v>1835</v>
      </c>
      <c r="D921" s="309" t="s">
        <v>1698</v>
      </c>
      <c r="E921" s="313" t="s">
        <v>2035</v>
      </c>
      <c r="F921" s="309" t="s">
        <v>2019</v>
      </c>
      <c r="G921" s="309" t="s">
        <v>2020</v>
      </c>
      <c r="H921" s="309" t="s">
        <v>2021</v>
      </c>
      <c r="I921" s="311">
        <v>26.349753872500003</v>
      </c>
      <c r="J921" s="338">
        <v>21.17</v>
      </c>
    </row>
    <row r="922" spans="1:10" ht="24">
      <c r="A922" s="335" t="s">
        <v>421</v>
      </c>
      <c r="B922" s="314" t="s">
        <v>599</v>
      </c>
      <c r="C922" s="309" t="s">
        <v>1835</v>
      </c>
      <c r="D922" s="309" t="s">
        <v>1698</v>
      </c>
      <c r="E922" s="313" t="s">
        <v>2036</v>
      </c>
      <c r="F922" s="309" t="s">
        <v>2019</v>
      </c>
      <c r="G922" s="309" t="s">
        <v>2020</v>
      </c>
      <c r="H922" s="309" t="s">
        <v>2021</v>
      </c>
      <c r="I922" s="311">
        <v>76.726228817570757</v>
      </c>
      <c r="J922" s="338">
        <v>307.60000000000002</v>
      </c>
    </row>
    <row r="923" spans="1:10" ht="24">
      <c r="A923" s="335" t="s">
        <v>421</v>
      </c>
      <c r="B923" s="314" t="s">
        <v>601</v>
      </c>
      <c r="C923" s="309" t="s">
        <v>1835</v>
      </c>
      <c r="D923" s="309" t="s">
        <v>1698</v>
      </c>
      <c r="E923" s="313" t="s">
        <v>2037</v>
      </c>
      <c r="F923" s="309" t="s">
        <v>2019</v>
      </c>
      <c r="G923" s="309" t="s">
        <v>2020</v>
      </c>
      <c r="H923" s="309" t="s">
        <v>2021</v>
      </c>
      <c r="I923" s="311">
        <v>107.78879005</v>
      </c>
      <c r="J923" s="338">
        <v>86.6</v>
      </c>
    </row>
    <row r="924" spans="1:10" ht="24">
      <c r="A924" s="335" t="s">
        <v>421</v>
      </c>
      <c r="B924" s="314" t="s">
        <v>603</v>
      </c>
      <c r="C924" s="309" t="s">
        <v>1835</v>
      </c>
      <c r="D924" s="309" t="s">
        <v>1698</v>
      </c>
      <c r="E924" s="313" t="s">
        <v>2038</v>
      </c>
      <c r="F924" s="309" t="s">
        <v>2019</v>
      </c>
      <c r="G924" s="309" t="s">
        <v>2020</v>
      </c>
      <c r="H924" s="309" t="s">
        <v>2021</v>
      </c>
      <c r="I924" s="311">
        <v>128.43205230250001</v>
      </c>
      <c r="J924" s="338">
        <v>93.53</v>
      </c>
    </row>
    <row r="925" spans="1:10" ht="24">
      <c r="A925" s="335" t="s">
        <v>421</v>
      </c>
      <c r="B925" s="314" t="s">
        <v>605</v>
      </c>
      <c r="C925" s="309" t="s">
        <v>1835</v>
      </c>
      <c r="D925" s="309" t="s">
        <v>1698</v>
      </c>
      <c r="E925" s="313" t="s">
        <v>2039</v>
      </c>
      <c r="F925" s="309" t="s">
        <v>2019</v>
      </c>
      <c r="G925" s="309" t="s">
        <v>2020</v>
      </c>
      <c r="H925" s="309" t="s">
        <v>2021</v>
      </c>
      <c r="I925" s="311">
        <v>68.159081878400002</v>
      </c>
      <c r="J925" s="338">
        <v>10127.77</v>
      </c>
    </row>
    <row r="926" spans="1:10" ht="24">
      <c r="A926" s="335" t="s">
        <v>421</v>
      </c>
      <c r="B926" s="314" t="s">
        <v>607</v>
      </c>
      <c r="C926" s="309" t="s">
        <v>1835</v>
      </c>
      <c r="D926" s="309" t="s">
        <v>1698</v>
      </c>
      <c r="E926" s="313" t="s">
        <v>2040</v>
      </c>
      <c r="F926" s="309" t="s">
        <v>2019</v>
      </c>
      <c r="G926" s="309" t="s">
        <v>2020</v>
      </c>
      <c r="H926" s="309" t="s">
        <v>2021</v>
      </c>
      <c r="I926" s="311">
        <v>64.633966386300003</v>
      </c>
      <c r="J926" s="338">
        <v>5905.93</v>
      </c>
    </row>
    <row r="927" spans="1:10" ht="24">
      <c r="A927" s="335" t="s">
        <v>421</v>
      </c>
      <c r="B927" s="314" t="s">
        <v>609</v>
      </c>
      <c r="C927" s="309" t="s">
        <v>1835</v>
      </c>
      <c r="D927" s="309" t="s">
        <v>1698</v>
      </c>
      <c r="E927" s="313" t="s">
        <v>2041</v>
      </c>
      <c r="F927" s="309" t="s">
        <v>2019</v>
      </c>
      <c r="G927" s="309" t="s">
        <v>2020</v>
      </c>
      <c r="H927" s="309" t="s">
        <v>2021</v>
      </c>
      <c r="I927" s="311">
        <v>484.86371952200017</v>
      </c>
      <c r="J927" s="338">
        <v>135.02000000000001</v>
      </c>
    </row>
    <row r="928" spans="1:10" ht="24">
      <c r="A928" s="335" t="s">
        <v>421</v>
      </c>
      <c r="B928" s="314" t="s">
        <v>611</v>
      </c>
      <c r="C928" s="309" t="s">
        <v>1835</v>
      </c>
      <c r="D928" s="309" t="s">
        <v>1698</v>
      </c>
      <c r="E928" s="313" t="s">
        <v>2042</v>
      </c>
      <c r="F928" s="309" t="s">
        <v>2019</v>
      </c>
      <c r="G928" s="309" t="s">
        <v>2020</v>
      </c>
      <c r="H928" s="309" t="s">
        <v>2021</v>
      </c>
      <c r="I928" s="311">
        <v>85.43444052000001</v>
      </c>
      <c r="J928" s="338">
        <v>68.64</v>
      </c>
    </row>
    <row r="929" spans="1:10" ht="24">
      <c r="A929" s="335" t="s">
        <v>421</v>
      </c>
      <c r="B929" s="314" t="s">
        <v>613</v>
      </c>
      <c r="C929" s="309" t="s">
        <v>1835</v>
      </c>
      <c r="D929" s="309" t="s">
        <v>1698</v>
      </c>
      <c r="E929" s="313" t="s">
        <v>2043</v>
      </c>
      <c r="F929" s="309" t="s">
        <v>2019</v>
      </c>
      <c r="G929" s="309" t="s">
        <v>2020</v>
      </c>
      <c r="H929" s="309" t="s">
        <v>2021</v>
      </c>
      <c r="I929" s="311">
        <v>238.47962027920005</v>
      </c>
      <c r="J929" s="338">
        <v>2087.77</v>
      </c>
    </row>
    <row r="930" spans="1:10" ht="24">
      <c r="A930" s="335" t="s">
        <v>421</v>
      </c>
      <c r="B930" s="314" t="s">
        <v>617</v>
      </c>
      <c r="C930" s="309" t="s">
        <v>1835</v>
      </c>
      <c r="D930" s="309" t="s">
        <v>1698</v>
      </c>
      <c r="E930" s="313" t="s">
        <v>2044</v>
      </c>
      <c r="F930" s="309" t="s">
        <v>2019</v>
      </c>
      <c r="G930" s="309" t="s">
        <v>2020</v>
      </c>
      <c r="H930" s="309" t="s">
        <v>2021</v>
      </c>
      <c r="I930" s="311">
        <v>107.06456482110003</v>
      </c>
      <c r="J930" s="338">
        <v>18495.41</v>
      </c>
    </row>
    <row r="931" spans="1:10" ht="24">
      <c r="A931" s="335" t="s">
        <v>421</v>
      </c>
      <c r="B931" s="314" t="s">
        <v>619</v>
      </c>
      <c r="C931" s="309" t="s">
        <v>1835</v>
      </c>
      <c r="D931" s="309" t="s">
        <v>1698</v>
      </c>
      <c r="E931" s="313" t="s">
        <v>2045</v>
      </c>
      <c r="F931" s="309" t="s">
        <v>2019</v>
      </c>
      <c r="G931" s="309" t="s">
        <v>2020</v>
      </c>
      <c r="H931" s="309" t="s">
        <v>2021</v>
      </c>
      <c r="I931" s="311">
        <v>28.337586518173918</v>
      </c>
      <c r="J931" s="338">
        <v>2893.39</v>
      </c>
    </row>
    <row r="932" spans="1:10" ht="24">
      <c r="A932" s="335" t="s">
        <v>421</v>
      </c>
      <c r="B932" s="314" t="s">
        <v>621</v>
      </c>
      <c r="C932" s="309" t="s">
        <v>1835</v>
      </c>
      <c r="D932" s="309" t="s">
        <v>1698</v>
      </c>
      <c r="E932" s="313" t="s">
        <v>2046</v>
      </c>
      <c r="F932" s="309" t="s">
        <v>2019</v>
      </c>
      <c r="G932" s="309" t="s">
        <v>2020</v>
      </c>
      <c r="H932" s="309" t="s">
        <v>2021</v>
      </c>
      <c r="I932" s="311">
        <v>53.024874707522194</v>
      </c>
      <c r="J932" s="338">
        <v>179.91</v>
      </c>
    </row>
    <row r="933" spans="1:10" ht="24">
      <c r="A933" s="335" t="s">
        <v>421</v>
      </c>
      <c r="B933" s="314" t="s">
        <v>743</v>
      </c>
      <c r="C933" s="309" t="s">
        <v>1835</v>
      </c>
      <c r="D933" s="309" t="s">
        <v>1698</v>
      </c>
      <c r="E933" s="313" t="s">
        <v>2047</v>
      </c>
      <c r="F933" s="309" t="s">
        <v>2019</v>
      </c>
      <c r="G933" s="309" t="s">
        <v>2020</v>
      </c>
      <c r="H933" s="309" t="s">
        <v>2021</v>
      </c>
      <c r="I933" s="311">
        <v>412.11164417500004</v>
      </c>
      <c r="J933" s="338">
        <v>331.1</v>
      </c>
    </row>
    <row r="934" spans="1:10" ht="24">
      <c r="A934" s="335" t="s">
        <v>421</v>
      </c>
      <c r="B934" s="314" t="s">
        <v>745</v>
      </c>
      <c r="C934" s="309" t="s">
        <v>1835</v>
      </c>
      <c r="D934" s="309" t="s">
        <v>1698</v>
      </c>
      <c r="E934" s="313" t="s">
        <v>2048</v>
      </c>
      <c r="F934" s="309" t="s">
        <v>2019</v>
      </c>
      <c r="G934" s="309" t="s">
        <v>2020</v>
      </c>
      <c r="H934" s="309" t="s">
        <v>2021</v>
      </c>
      <c r="I934" s="311">
        <v>548</v>
      </c>
      <c r="J934" s="338">
        <v>548</v>
      </c>
    </row>
    <row r="935" spans="1:10" ht="24">
      <c r="A935" s="335" t="s">
        <v>421</v>
      </c>
      <c r="B935" s="314" t="s">
        <v>623</v>
      </c>
      <c r="C935" s="309" t="s">
        <v>1835</v>
      </c>
      <c r="D935" s="309" t="s">
        <v>1698</v>
      </c>
      <c r="E935" s="313" t="s">
        <v>2049</v>
      </c>
      <c r="F935" s="309" t="s">
        <v>2019</v>
      </c>
      <c r="G935" s="309" t="s">
        <v>2020</v>
      </c>
      <c r="H935" s="309" t="s">
        <v>2021</v>
      </c>
      <c r="I935" s="311">
        <v>11.323900277083665</v>
      </c>
      <c r="J935" s="338">
        <v>44.08</v>
      </c>
    </row>
    <row r="936" spans="1:10" ht="24">
      <c r="A936" s="335" t="s">
        <v>421</v>
      </c>
      <c r="B936" s="314" t="s">
        <v>625</v>
      </c>
      <c r="C936" s="309" t="s">
        <v>1835</v>
      </c>
      <c r="D936" s="309" t="s">
        <v>1698</v>
      </c>
      <c r="E936" s="313" t="s">
        <v>2050</v>
      </c>
      <c r="F936" s="309" t="s">
        <v>2019</v>
      </c>
      <c r="G936" s="309" t="s">
        <v>2020</v>
      </c>
      <c r="H936" s="309" t="s">
        <v>2021</v>
      </c>
      <c r="I936" s="311">
        <v>36.645174688150199</v>
      </c>
      <c r="J936" s="338">
        <v>1239.71</v>
      </c>
    </row>
    <row r="937" spans="1:10" ht="24">
      <c r="A937" s="335" t="s">
        <v>421</v>
      </c>
      <c r="B937" s="314" t="s">
        <v>629</v>
      </c>
      <c r="C937" s="309" t="s">
        <v>1835</v>
      </c>
      <c r="D937" s="309" t="s">
        <v>1698</v>
      </c>
      <c r="E937" s="313" t="s">
        <v>2051</v>
      </c>
      <c r="F937" s="309" t="s">
        <v>2019</v>
      </c>
      <c r="G937" s="309" t="s">
        <v>2020</v>
      </c>
      <c r="H937" s="309" t="s">
        <v>2021</v>
      </c>
      <c r="I937" s="311">
        <v>471.30835150500008</v>
      </c>
      <c r="J937" s="338">
        <v>378.66</v>
      </c>
    </row>
    <row r="938" spans="1:10" ht="24">
      <c r="A938" s="335" t="s">
        <v>421</v>
      </c>
      <c r="B938" s="314" t="s">
        <v>631</v>
      </c>
      <c r="C938" s="309" t="s">
        <v>1835</v>
      </c>
      <c r="D938" s="309" t="s">
        <v>1698</v>
      </c>
      <c r="E938" s="313" t="s">
        <v>2052</v>
      </c>
      <c r="F938" s="309" t="s">
        <v>2019</v>
      </c>
      <c r="G938" s="309" t="s">
        <v>2020</v>
      </c>
      <c r="H938" s="309" t="s">
        <v>2021</v>
      </c>
      <c r="I938" s="311">
        <v>112.26049422471371</v>
      </c>
      <c r="J938" s="338">
        <v>955.19</v>
      </c>
    </row>
    <row r="939" spans="1:10" ht="24">
      <c r="A939" s="335" t="s">
        <v>421</v>
      </c>
      <c r="B939" s="314" t="s">
        <v>633</v>
      </c>
      <c r="C939" s="309" t="s">
        <v>1835</v>
      </c>
      <c r="D939" s="309" t="s">
        <v>1698</v>
      </c>
      <c r="E939" s="313" t="s">
        <v>2053</v>
      </c>
      <c r="F939" s="309" t="s">
        <v>2019</v>
      </c>
      <c r="G939" s="309" t="s">
        <v>2020</v>
      </c>
      <c r="H939" s="309" t="s">
        <v>2021</v>
      </c>
      <c r="I939" s="311">
        <v>46.525923465000005</v>
      </c>
      <c r="J939" s="338">
        <v>37.380000000000003</v>
      </c>
    </row>
    <row r="940" spans="1:10" ht="24">
      <c r="A940" s="335" t="s">
        <v>421</v>
      </c>
      <c r="B940" s="314" t="s">
        <v>635</v>
      </c>
      <c r="C940" s="309" t="s">
        <v>1835</v>
      </c>
      <c r="D940" s="309" t="s">
        <v>1698</v>
      </c>
      <c r="E940" s="313" t="s">
        <v>2054</v>
      </c>
      <c r="F940" s="309" t="s">
        <v>2019</v>
      </c>
      <c r="G940" s="309" t="s">
        <v>2020</v>
      </c>
      <c r="H940" s="309" t="s">
        <v>2021</v>
      </c>
      <c r="I940" s="311">
        <v>25.403801442500001</v>
      </c>
      <c r="J940" s="338">
        <v>20.41</v>
      </c>
    </row>
    <row r="941" spans="1:10" ht="24">
      <c r="A941" s="335" t="s">
        <v>421</v>
      </c>
      <c r="B941" s="314" t="s">
        <v>637</v>
      </c>
      <c r="C941" s="309" t="s">
        <v>1835</v>
      </c>
      <c r="D941" s="309" t="s">
        <v>1698</v>
      </c>
      <c r="E941" s="313" t="s">
        <v>2055</v>
      </c>
      <c r="F941" s="309" t="s">
        <v>2019</v>
      </c>
      <c r="G941" s="309" t="s">
        <v>2020</v>
      </c>
      <c r="H941" s="309" t="s">
        <v>2021</v>
      </c>
      <c r="I941" s="311">
        <v>122.92768830874999</v>
      </c>
      <c r="J941" s="338">
        <v>128.01</v>
      </c>
    </row>
    <row r="942" spans="1:10" ht="24">
      <c r="A942" s="335" t="s">
        <v>421</v>
      </c>
      <c r="B942" s="314" t="s">
        <v>639</v>
      </c>
      <c r="C942" s="309" t="s">
        <v>1835</v>
      </c>
      <c r="D942" s="309" t="s">
        <v>1698</v>
      </c>
      <c r="E942" s="313" t="s">
        <v>2056</v>
      </c>
      <c r="F942" s="309" t="s">
        <v>2019</v>
      </c>
      <c r="G942" s="309" t="s">
        <v>2020</v>
      </c>
      <c r="H942" s="309" t="s">
        <v>2021</v>
      </c>
      <c r="I942" s="311">
        <v>123.09722015689999</v>
      </c>
      <c r="J942" s="338">
        <v>212467.37</v>
      </c>
    </row>
    <row r="943" spans="1:10" ht="24">
      <c r="A943" s="335" t="s">
        <v>421</v>
      </c>
      <c r="B943" s="314" t="s">
        <v>643</v>
      </c>
      <c r="C943" s="309" t="s">
        <v>1835</v>
      </c>
      <c r="D943" s="309" t="s">
        <v>1698</v>
      </c>
      <c r="E943" s="313" t="s">
        <v>2057</v>
      </c>
      <c r="F943" s="309" t="s">
        <v>2019</v>
      </c>
      <c r="G943" s="309" t="s">
        <v>2020</v>
      </c>
      <c r="H943" s="309" t="s">
        <v>2021</v>
      </c>
      <c r="I943" s="311">
        <v>61.688209963206219</v>
      </c>
      <c r="J943" s="338">
        <v>115.54</v>
      </c>
    </row>
    <row r="944" spans="1:10" ht="24">
      <c r="A944" s="335" t="s">
        <v>421</v>
      </c>
      <c r="B944" s="314" t="s">
        <v>645</v>
      </c>
      <c r="C944" s="309" t="s">
        <v>1835</v>
      </c>
      <c r="D944" s="309" t="s">
        <v>1698</v>
      </c>
      <c r="E944" s="313" t="s">
        <v>2058</v>
      </c>
      <c r="F944" s="309" t="s">
        <v>2019</v>
      </c>
      <c r="G944" s="309" t="s">
        <v>2020</v>
      </c>
      <c r="H944" s="309" t="s">
        <v>2021</v>
      </c>
      <c r="I944" s="311">
        <v>61.638565959999987</v>
      </c>
      <c r="J944" s="338">
        <v>226.4</v>
      </c>
    </row>
    <row r="945" spans="1:10" ht="24">
      <c r="A945" s="335" t="s">
        <v>421</v>
      </c>
      <c r="B945" s="314" t="s">
        <v>647</v>
      </c>
      <c r="C945" s="309" t="s">
        <v>1835</v>
      </c>
      <c r="D945" s="309" t="s">
        <v>1698</v>
      </c>
      <c r="E945" s="313" t="s">
        <v>2059</v>
      </c>
      <c r="F945" s="309" t="s">
        <v>2019</v>
      </c>
      <c r="G945" s="309" t="s">
        <v>2020</v>
      </c>
      <c r="H945" s="309" t="s">
        <v>2021</v>
      </c>
      <c r="I945" s="311">
        <v>627.87499923720009</v>
      </c>
      <c r="J945" s="338">
        <v>1745503.32</v>
      </c>
    </row>
    <row r="946" spans="1:10" ht="24">
      <c r="A946" s="335" t="s">
        <v>421</v>
      </c>
      <c r="B946" s="314" t="s">
        <v>649</v>
      </c>
      <c r="C946" s="309" t="s">
        <v>1835</v>
      </c>
      <c r="D946" s="309" t="s">
        <v>1698</v>
      </c>
      <c r="E946" s="313" t="s">
        <v>2060</v>
      </c>
      <c r="F946" s="309" t="s">
        <v>2019</v>
      </c>
      <c r="G946" s="309" t="s">
        <v>2020</v>
      </c>
      <c r="H946" s="309" t="s">
        <v>2021</v>
      </c>
      <c r="I946" s="311">
        <v>95.031752475099992</v>
      </c>
      <c r="J946" s="338">
        <v>852.91</v>
      </c>
    </row>
    <row r="947" spans="1:10" ht="24">
      <c r="A947" s="335" t="s">
        <v>421</v>
      </c>
      <c r="B947" s="314" t="s">
        <v>651</v>
      </c>
      <c r="C947" s="309" t="s">
        <v>1835</v>
      </c>
      <c r="D947" s="309" t="s">
        <v>1698</v>
      </c>
      <c r="E947" s="313" t="s">
        <v>2061</v>
      </c>
      <c r="F947" s="309" t="s">
        <v>2019</v>
      </c>
      <c r="G947" s="309" t="s">
        <v>2020</v>
      </c>
      <c r="H947" s="309" t="s">
        <v>2021</v>
      </c>
      <c r="I947" s="311">
        <v>45.49</v>
      </c>
      <c r="J947" s="338">
        <v>29.09</v>
      </c>
    </row>
    <row r="948" spans="1:10" ht="24">
      <c r="A948" s="335" t="s">
        <v>655</v>
      </c>
      <c r="B948" s="314" t="s">
        <v>656</v>
      </c>
      <c r="C948" s="309" t="s">
        <v>1835</v>
      </c>
      <c r="D948" s="309" t="s">
        <v>1698</v>
      </c>
      <c r="E948" s="315" t="s">
        <v>2062</v>
      </c>
      <c r="F948" s="309" t="s">
        <v>2019</v>
      </c>
      <c r="G948" s="309" t="s">
        <v>2020</v>
      </c>
      <c r="H948" s="309" t="s">
        <v>2021</v>
      </c>
      <c r="I948" s="311">
        <v>32.28</v>
      </c>
      <c r="J948" s="338">
        <v>31.311599999999999</v>
      </c>
    </row>
    <row r="949" spans="1:10" ht="24">
      <c r="A949" s="335" t="s">
        <v>655</v>
      </c>
      <c r="B949" s="314" t="s">
        <v>658</v>
      </c>
      <c r="C949" s="309" t="s">
        <v>1835</v>
      </c>
      <c r="D949" s="309" t="s">
        <v>1698</v>
      </c>
      <c r="E949" s="315" t="s">
        <v>2063</v>
      </c>
      <c r="F949" s="309" t="s">
        <v>2019</v>
      </c>
      <c r="G949" s="309" t="s">
        <v>2020</v>
      </c>
      <c r="H949" s="309" t="s">
        <v>2021</v>
      </c>
      <c r="I949" s="311">
        <v>20.68</v>
      </c>
      <c r="J949" s="338">
        <v>132.76560000000001</v>
      </c>
    </row>
    <row r="950" spans="1:10" ht="24">
      <c r="A950" s="335" t="s">
        <v>655</v>
      </c>
      <c r="B950" s="314" t="s">
        <v>660</v>
      </c>
      <c r="C950" s="309" t="s">
        <v>1835</v>
      </c>
      <c r="D950" s="309" t="s">
        <v>1698</v>
      </c>
      <c r="E950" s="315" t="s">
        <v>2064</v>
      </c>
      <c r="F950" s="309" t="s">
        <v>2019</v>
      </c>
      <c r="G950" s="309" t="s">
        <v>2020</v>
      </c>
      <c r="H950" s="309" t="s">
        <v>2021</v>
      </c>
      <c r="I950" s="311">
        <v>5.5</v>
      </c>
      <c r="J950" s="338">
        <v>42.625</v>
      </c>
    </row>
    <row r="951" spans="1:10" ht="24">
      <c r="A951" s="335" t="s">
        <v>655</v>
      </c>
      <c r="B951" s="314" t="s">
        <v>662</v>
      </c>
      <c r="C951" s="309" t="s">
        <v>1835</v>
      </c>
      <c r="D951" s="309" t="s">
        <v>1698</v>
      </c>
      <c r="E951" s="315" t="s">
        <v>2065</v>
      </c>
      <c r="F951" s="309" t="s">
        <v>2019</v>
      </c>
      <c r="G951" s="309" t="s">
        <v>2020</v>
      </c>
      <c r="H951" s="309" t="s">
        <v>2021</v>
      </c>
      <c r="I951" s="311">
        <v>12.74</v>
      </c>
      <c r="J951" s="338">
        <v>746.81880000000001</v>
      </c>
    </row>
    <row r="952" spans="1:10" ht="24">
      <c r="A952" s="335" t="s">
        <v>655</v>
      </c>
      <c r="B952" s="314" t="s">
        <v>664</v>
      </c>
      <c r="C952" s="309" t="s">
        <v>1835</v>
      </c>
      <c r="D952" s="309" t="s">
        <v>1698</v>
      </c>
      <c r="E952" s="315" t="s">
        <v>2066</v>
      </c>
      <c r="F952" s="309" t="s">
        <v>2019</v>
      </c>
      <c r="G952" s="309" t="s">
        <v>2020</v>
      </c>
      <c r="H952" s="309" t="s">
        <v>2021</v>
      </c>
      <c r="I952" s="311">
        <v>9.5299999999999994</v>
      </c>
      <c r="J952" s="338">
        <v>94231.972899999993</v>
      </c>
    </row>
    <row r="953" spans="1:10" ht="24">
      <c r="A953" s="335" t="s">
        <v>655</v>
      </c>
      <c r="B953" s="314" t="s">
        <v>666</v>
      </c>
      <c r="C953" s="309" t="s">
        <v>1835</v>
      </c>
      <c r="D953" s="309" t="s">
        <v>1698</v>
      </c>
      <c r="E953" s="315" t="s">
        <v>2067</v>
      </c>
      <c r="F953" s="309" t="s">
        <v>2019</v>
      </c>
      <c r="G953" s="309" t="s">
        <v>2020</v>
      </c>
      <c r="H953" s="309" t="s">
        <v>2021</v>
      </c>
      <c r="I953" s="311">
        <v>21.36</v>
      </c>
      <c r="J953" s="338">
        <v>24387.139200000001</v>
      </c>
    </row>
    <row r="954" spans="1:10" ht="24">
      <c r="A954" s="335" t="s">
        <v>655</v>
      </c>
      <c r="B954" s="314" t="s">
        <v>668</v>
      </c>
      <c r="C954" s="309" t="s">
        <v>1835</v>
      </c>
      <c r="D954" s="309" t="s">
        <v>1698</v>
      </c>
      <c r="E954" s="315" t="s">
        <v>2068</v>
      </c>
      <c r="F954" s="309" t="s">
        <v>2019</v>
      </c>
      <c r="G954" s="309" t="s">
        <v>2020</v>
      </c>
      <c r="H954" s="309" t="s">
        <v>2021</v>
      </c>
      <c r="I954" s="311">
        <v>14.39</v>
      </c>
      <c r="J954" s="338">
        <v>45.4724</v>
      </c>
    </row>
    <row r="955" spans="1:10" ht="24">
      <c r="A955" s="335" t="s">
        <v>655</v>
      </c>
      <c r="B955" s="314" t="s">
        <v>670</v>
      </c>
      <c r="C955" s="309" t="s">
        <v>1835</v>
      </c>
      <c r="D955" s="309" t="s">
        <v>1698</v>
      </c>
      <c r="E955" s="315" t="s">
        <v>2069</v>
      </c>
      <c r="F955" s="309" t="s">
        <v>2019</v>
      </c>
      <c r="G955" s="309" t="s">
        <v>2020</v>
      </c>
      <c r="H955" s="309" t="s">
        <v>2021</v>
      </c>
      <c r="I955" s="311">
        <v>4.96</v>
      </c>
      <c r="J955" s="338">
        <v>208.61760000000001</v>
      </c>
    </row>
    <row r="956" spans="1:10" ht="24">
      <c r="A956" s="335" t="s">
        <v>655</v>
      </c>
      <c r="B956" s="314" t="s">
        <v>672</v>
      </c>
      <c r="C956" s="309" t="s">
        <v>1835</v>
      </c>
      <c r="D956" s="309" t="s">
        <v>1698</v>
      </c>
      <c r="E956" s="315" t="s">
        <v>2070</v>
      </c>
      <c r="F956" s="309" t="s">
        <v>2019</v>
      </c>
      <c r="G956" s="309" t="s">
        <v>2020</v>
      </c>
      <c r="H956" s="309" t="s">
        <v>2021</v>
      </c>
      <c r="I956" s="311">
        <v>10.98</v>
      </c>
      <c r="J956" s="338">
        <v>13.6152</v>
      </c>
    </row>
    <row r="957" spans="1:10" ht="24">
      <c r="A957" s="335" t="s">
        <v>655</v>
      </c>
      <c r="B957" s="314" t="s">
        <v>674</v>
      </c>
      <c r="C957" s="309" t="s">
        <v>1835</v>
      </c>
      <c r="D957" s="309" t="s">
        <v>1698</v>
      </c>
      <c r="E957" s="315" t="s">
        <v>2071</v>
      </c>
      <c r="F957" s="309" t="s">
        <v>2019</v>
      </c>
      <c r="G957" s="309" t="s">
        <v>2020</v>
      </c>
      <c r="H957" s="309" t="s">
        <v>2021</v>
      </c>
      <c r="I957" s="311">
        <v>4.41</v>
      </c>
      <c r="J957" s="338">
        <v>130.6242</v>
      </c>
    </row>
    <row r="958" spans="1:10" ht="24">
      <c r="A958" s="335" t="s">
        <v>655</v>
      </c>
      <c r="B958" s="314" t="s">
        <v>676</v>
      </c>
      <c r="C958" s="309" t="s">
        <v>1835</v>
      </c>
      <c r="D958" s="309" t="s">
        <v>1698</v>
      </c>
      <c r="E958" s="315" t="s">
        <v>2072</v>
      </c>
      <c r="F958" s="309" t="s">
        <v>2019</v>
      </c>
      <c r="G958" s="309" t="s">
        <v>2020</v>
      </c>
      <c r="H958" s="309" t="s">
        <v>2021</v>
      </c>
      <c r="I958" s="311">
        <v>12.41</v>
      </c>
      <c r="J958" s="338">
        <v>397.2441</v>
      </c>
    </row>
    <row r="959" spans="1:10" ht="24">
      <c r="A959" s="334" t="s">
        <v>655</v>
      </c>
      <c r="B959" s="309" t="s">
        <v>678</v>
      </c>
      <c r="C959" s="309" t="s">
        <v>1835</v>
      </c>
      <c r="D959" s="309" t="s">
        <v>1698</v>
      </c>
      <c r="E959" s="310" t="s">
        <v>2073</v>
      </c>
      <c r="F959" s="309" t="s">
        <v>2019</v>
      </c>
      <c r="G959" s="309" t="s">
        <v>2020</v>
      </c>
      <c r="H959" s="309" t="s">
        <v>2021</v>
      </c>
      <c r="I959" s="311">
        <v>13.04</v>
      </c>
      <c r="J959" s="338">
        <v>295327.18160000001</v>
      </c>
    </row>
    <row r="960" spans="1:10" ht="24">
      <c r="A960" s="335" t="s">
        <v>655</v>
      </c>
      <c r="B960" s="312"/>
      <c r="C960" s="309" t="s">
        <v>1835</v>
      </c>
      <c r="D960" s="309" t="s">
        <v>1698</v>
      </c>
      <c r="E960" s="315" t="s">
        <v>2074</v>
      </c>
      <c r="F960" s="309" t="s">
        <v>2019</v>
      </c>
      <c r="G960" s="309" t="s">
        <v>2020</v>
      </c>
      <c r="H960" s="309" t="s">
        <v>2021</v>
      </c>
      <c r="I960" s="311">
        <v>0.6</v>
      </c>
      <c r="J960" s="338" t="s">
        <v>36</v>
      </c>
    </row>
    <row r="961" spans="1:10" ht="24">
      <c r="A961" s="335" t="s">
        <v>680</v>
      </c>
      <c r="B961" s="314"/>
      <c r="C961" s="309" t="s">
        <v>1835</v>
      </c>
      <c r="D961" s="309" t="s">
        <v>1698</v>
      </c>
      <c r="E961" s="316" t="s">
        <v>2075</v>
      </c>
      <c r="F961" s="333" t="s">
        <v>2019</v>
      </c>
      <c r="G961" s="309" t="s">
        <v>2020</v>
      </c>
      <c r="H961" s="309" t="s">
        <v>2021</v>
      </c>
      <c r="I961" s="311">
        <v>55.57</v>
      </c>
      <c r="J961" s="339">
        <v>4337</v>
      </c>
    </row>
    <row r="962" spans="1:10" ht="24">
      <c r="A962" s="335" t="s">
        <v>655</v>
      </c>
      <c r="B962" s="312"/>
      <c r="C962" s="309" t="s">
        <v>1835</v>
      </c>
      <c r="D962" s="309" t="s">
        <v>1698</v>
      </c>
      <c r="E962" s="315" t="s">
        <v>2076</v>
      </c>
      <c r="F962" s="314" t="s">
        <v>2077</v>
      </c>
      <c r="G962" s="309" t="s">
        <v>2020</v>
      </c>
      <c r="H962" s="309" t="s">
        <v>2021</v>
      </c>
      <c r="I962" s="311">
        <v>2.57</v>
      </c>
      <c r="J962" s="338" t="s">
        <v>36</v>
      </c>
    </row>
    <row r="963" spans="1:10" ht="24">
      <c r="A963" s="335" t="s">
        <v>655</v>
      </c>
      <c r="B963" s="312"/>
      <c r="C963" s="309" t="s">
        <v>1835</v>
      </c>
      <c r="D963" s="309" t="s">
        <v>1698</v>
      </c>
      <c r="E963" s="315" t="s">
        <v>2078</v>
      </c>
      <c r="F963" s="314" t="s">
        <v>2079</v>
      </c>
      <c r="G963" s="309" t="s">
        <v>2020</v>
      </c>
      <c r="H963" s="309" t="s">
        <v>2021</v>
      </c>
      <c r="I963" s="311">
        <v>1.34</v>
      </c>
      <c r="J963" s="338" t="s">
        <v>36</v>
      </c>
    </row>
    <row r="964" spans="1:10" ht="24">
      <c r="A964" s="334" t="s">
        <v>423</v>
      </c>
      <c r="B964" s="309"/>
      <c r="C964" s="309" t="s">
        <v>1835</v>
      </c>
      <c r="D964" s="309" t="s">
        <v>1698</v>
      </c>
      <c r="E964" s="310" t="s">
        <v>2080</v>
      </c>
      <c r="F964" s="309" t="s">
        <v>2081</v>
      </c>
      <c r="G964" s="309" t="s">
        <v>2082</v>
      </c>
      <c r="H964" s="309" t="s">
        <v>2083</v>
      </c>
      <c r="I964" s="311">
        <v>3</v>
      </c>
      <c r="J964" s="338">
        <v>3</v>
      </c>
    </row>
    <row r="965" spans="1:10" ht="24">
      <c r="A965" s="334" t="s">
        <v>421</v>
      </c>
      <c r="B965" s="309" t="s">
        <v>597</v>
      </c>
      <c r="C965" s="309" t="s">
        <v>1835</v>
      </c>
      <c r="D965" s="309" t="s">
        <v>1698</v>
      </c>
      <c r="E965" s="313" t="s">
        <v>2084</v>
      </c>
      <c r="F965" s="309" t="s">
        <v>2081</v>
      </c>
      <c r="G965" s="309" t="s">
        <v>2082</v>
      </c>
      <c r="H965" s="309" t="s">
        <v>2083</v>
      </c>
      <c r="I965" s="311">
        <v>10.293456047499999</v>
      </c>
      <c r="J965" s="338">
        <v>8.27</v>
      </c>
    </row>
    <row r="966" spans="1:10" ht="24">
      <c r="A966" s="334" t="s">
        <v>421</v>
      </c>
      <c r="B966" s="309" t="s">
        <v>611</v>
      </c>
      <c r="C966" s="309" t="s">
        <v>1835</v>
      </c>
      <c r="D966" s="309" t="s">
        <v>1698</v>
      </c>
      <c r="E966" s="313" t="s">
        <v>2085</v>
      </c>
      <c r="F966" s="309" t="s">
        <v>2081</v>
      </c>
      <c r="G966" s="309" t="s">
        <v>2082</v>
      </c>
      <c r="H966" s="309" t="s">
        <v>2083</v>
      </c>
      <c r="I966" s="311">
        <v>1.518502585</v>
      </c>
      <c r="J966" s="338">
        <v>1.22</v>
      </c>
    </row>
    <row r="967" spans="1:10" ht="24">
      <c r="A967" s="334" t="s">
        <v>421</v>
      </c>
      <c r="B967" s="309" t="s">
        <v>633</v>
      </c>
      <c r="C967" s="309" t="s">
        <v>1835</v>
      </c>
      <c r="D967" s="309" t="s">
        <v>1698</v>
      </c>
      <c r="E967" s="313" t="s">
        <v>2086</v>
      </c>
      <c r="F967" s="309" t="s">
        <v>2081</v>
      </c>
      <c r="G967" s="309" t="s">
        <v>2082</v>
      </c>
      <c r="H967" s="309" t="s">
        <v>2083</v>
      </c>
      <c r="I967" s="311">
        <v>0.85882523249999998</v>
      </c>
      <c r="J967" s="338">
        <v>0.69</v>
      </c>
    </row>
    <row r="968" spans="1:10" ht="24">
      <c r="A968" s="334" t="s">
        <v>421</v>
      </c>
      <c r="B968" s="309" t="s">
        <v>637</v>
      </c>
      <c r="C968" s="309" t="s">
        <v>1835</v>
      </c>
      <c r="D968" s="309" t="s">
        <v>1698</v>
      </c>
      <c r="E968" s="313" t="s">
        <v>2087</v>
      </c>
      <c r="F968" s="309" t="s">
        <v>2081</v>
      </c>
      <c r="G968" s="309" t="s">
        <v>2082</v>
      </c>
      <c r="H968" s="309" t="s">
        <v>2083</v>
      </c>
      <c r="I968" s="311">
        <v>70.677899066666669</v>
      </c>
      <c r="J968" s="338">
        <v>73.599999999999994</v>
      </c>
    </row>
    <row r="969" spans="1:10" ht="24">
      <c r="A969" s="334" t="s">
        <v>423</v>
      </c>
      <c r="B969" s="309"/>
      <c r="C969" s="309" t="s">
        <v>1835</v>
      </c>
      <c r="D969" s="309" t="s">
        <v>390</v>
      </c>
      <c r="E969" s="310" t="s">
        <v>2088</v>
      </c>
      <c r="F969" s="309" t="s">
        <v>2089</v>
      </c>
      <c r="G969" s="309" t="s">
        <v>2090</v>
      </c>
      <c r="H969" s="309" t="s">
        <v>1045</v>
      </c>
      <c r="I969" s="311" t="s">
        <v>36</v>
      </c>
      <c r="J969" s="338" t="s">
        <v>36</v>
      </c>
    </row>
    <row r="970" spans="1:10" ht="24">
      <c r="A970" s="347" t="s">
        <v>421</v>
      </c>
      <c r="B970" s="348"/>
      <c r="C970" s="348" t="s">
        <v>1835</v>
      </c>
      <c r="D970" s="348" t="s">
        <v>390</v>
      </c>
      <c r="E970" s="349" t="s">
        <v>2091</v>
      </c>
      <c r="F970" s="348" t="s">
        <v>2089</v>
      </c>
      <c r="G970" s="348" t="s">
        <v>2090</v>
      </c>
      <c r="H970" s="348" t="s">
        <v>1045</v>
      </c>
      <c r="I970" s="350" t="s">
        <v>36</v>
      </c>
      <c r="J970" s="351" t="s">
        <v>36</v>
      </c>
    </row>
  </sheetData>
  <pageMargins left="0.7" right="0.7" top="0.75" bottom="0.75" header="0.3" footer="0.3"/>
  <pageSetup orientation="portrait" r:id="rId1"/>
  <ignoredErrors>
    <ignoredError sqref="E707:E753 E755:E772" numberStoredAsText="1"/>
  </ignoredErrors>
  <drawing r:id="rId2"/>
  <legacyDrawing r:id="rId3"/>
  <controls>
    <mc:AlternateContent xmlns:mc="http://schemas.openxmlformats.org/markup-compatibility/2006">
      <mc:Choice Requires="x14">
        <control shapeId="25605" r:id="rId4" name="cmdNAMSupport">
          <controlPr defaultSize="0" autoLine="0" r:id="rId5">
            <anchor moveWithCells="1">
              <from>
                <xdr:col>5</xdr:col>
                <xdr:colOff>1533525</xdr:colOff>
                <xdr:row>0</xdr:row>
                <xdr:rowOff>76200</xdr:rowOff>
              </from>
              <to>
                <xdr:col>6</xdr:col>
                <xdr:colOff>104775</xdr:colOff>
                <xdr:row>0</xdr:row>
                <xdr:rowOff>352425</xdr:rowOff>
              </to>
            </anchor>
          </controlPr>
        </control>
      </mc:Choice>
      <mc:Fallback>
        <control shapeId="25605" r:id="rId4" name="cmdNAMSupport"/>
      </mc:Fallback>
    </mc:AlternateContent>
    <mc:AlternateContent xmlns:mc="http://schemas.openxmlformats.org/markup-compatibility/2006">
      <mc:Choice Requires="x14">
        <control shapeId="25604" r:id="rId6" name="cmdNAMDistSvcs">
          <controlPr defaultSize="0" autoLine="0" r:id="rId7">
            <anchor moveWithCells="1">
              <from>
                <xdr:col>4</xdr:col>
                <xdr:colOff>95250</xdr:colOff>
                <xdr:row>0</xdr:row>
                <xdr:rowOff>76200</xdr:rowOff>
              </from>
              <to>
                <xdr:col>5</xdr:col>
                <xdr:colOff>209550</xdr:colOff>
                <xdr:row>0</xdr:row>
                <xdr:rowOff>352425</xdr:rowOff>
              </to>
            </anchor>
          </controlPr>
        </control>
      </mc:Choice>
      <mc:Fallback>
        <control shapeId="25604" r:id="rId6" name="cmdNAMDistSvcs"/>
      </mc:Fallback>
    </mc:AlternateContent>
    <mc:AlternateContent xmlns:mc="http://schemas.openxmlformats.org/markup-compatibility/2006">
      <mc:Choice Requires="x14">
        <control shapeId="25601" r:id="rId8" name="cmdNAMStorage">
          <controlPr defaultSize="0" autoLine="0" autoPict="0" r:id="rId9">
            <anchor moveWithCells="1">
              <from>
                <xdr:col>2</xdr:col>
                <xdr:colOff>57150</xdr:colOff>
                <xdr:row>0</xdr:row>
                <xdr:rowOff>76200</xdr:rowOff>
              </from>
              <to>
                <xdr:col>3</xdr:col>
                <xdr:colOff>9525</xdr:colOff>
                <xdr:row>0</xdr:row>
                <xdr:rowOff>352425</xdr:rowOff>
              </to>
            </anchor>
          </controlPr>
        </control>
      </mc:Choice>
      <mc:Fallback>
        <control shapeId="25601" r:id="rId8" name="cmdNAMStorage"/>
      </mc:Fallback>
    </mc:AlternateContent>
    <mc:AlternateContent xmlns:mc="http://schemas.openxmlformats.org/markup-compatibility/2006">
      <mc:Choice Requires="x14">
        <control shapeId="25602" r:id="rId10" name="cmdClearFilters">
          <controlPr defaultSize="0" autoLine="0" r:id="rId11">
            <anchor moveWithCells="1">
              <from>
                <xdr:col>0</xdr:col>
                <xdr:colOff>133350</xdr:colOff>
                <xdr:row>0</xdr:row>
                <xdr:rowOff>76200</xdr:rowOff>
              </from>
              <to>
                <xdr:col>1</xdr:col>
                <xdr:colOff>581025</xdr:colOff>
                <xdr:row>0</xdr:row>
                <xdr:rowOff>352425</xdr:rowOff>
              </to>
            </anchor>
          </controlPr>
        </control>
      </mc:Choice>
      <mc:Fallback>
        <control shapeId="25602" r:id="rId10" name="cmdClearFilters"/>
      </mc:Fallback>
    </mc:AlternateContent>
    <mc:AlternateContent xmlns:mc="http://schemas.openxmlformats.org/markup-compatibility/2006">
      <mc:Choice Requires="x14">
        <control shapeId="25603" r:id="rId12" name="cmdNAMVM">
          <controlPr defaultSize="0" autoLine="0" r:id="rId13">
            <anchor moveWithCells="1">
              <from>
                <xdr:col>3</xdr:col>
                <xdr:colOff>76200</xdr:colOff>
                <xdr:row>0</xdr:row>
                <xdr:rowOff>76200</xdr:rowOff>
              </from>
              <to>
                <xdr:col>4</xdr:col>
                <xdr:colOff>38100</xdr:colOff>
                <xdr:row>0</xdr:row>
                <xdr:rowOff>352425</xdr:rowOff>
              </to>
            </anchor>
          </controlPr>
        </control>
      </mc:Choice>
      <mc:Fallback>
        <control shapeId="25603" r:id="rId12" name="cmdNAMVM"/>
      </mc:Fallback>
    </mc:AlternateContent>
    <mc:AlternateContent xmlns:mc="http://schemas.openxmlformats.org/markup-compatibility/2006">
      <mc:Choice Requires="x14">
        <control shapeId="25606" r:id="rId14" name="cmdNAMNetwork">
          <controlPr defaultSize="0" autoLine="0" r:id="rId15">
            <anchor moveWithCells="1">
              <from>
                <xdr:col>5</xdr:col>
                <xdr:colOff>266700</xdr:colOff>
                <xdr:row>0</xdr:row>
                <xdr:rowOff>76200</xdr:rowOff>
              </from>
              <to>
                <xdr:col>5</xdr:col>
                <xdr:colOff>1476375</xdr:colOff>
                <xdr:row>0</xdr:row>
                <xdr:rowOff>352425</xdr:rowOff>
              </to>
            </anchor>
          </controlPr>
        </control>
      </mc:Choice>
      <mc:Fallback>
        <control shapeId="25606" r:id="rId14" name="cmdNAMNetwork"/>
      </mc:Fallback>
    </mc:AlternateContent>
  </controls>
  <tableParts count="1">
    <tablePart r:id="rId16"/>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O1598"/>
  <sheetViews>
    <sheetView showGridLines="0" zoomScaleNormal="100" workbookViewId="0">
      <pane ySplit="4" topLeftCell="A5" activePane="bottomLeft" state="frozen"/>
      <selection pane="bottomLeft" activeCell="C1053" sqref="C1053"/>
    </sheetView>
  </sheetViews>
  <sheetFormatPr defaultRowHeight="15"/>
  <cols>
    <col min="1" max="1" width="27.5703125" style="453" bestFit="1" customWidth="1"/>
    <col min="2" max="2" width="63.5703125" style="444" bestFit="1" customWidth="1"/>
    <col min="3" max="3" width="64.42578125" style="444" customWidth="1"/>
    <col min="4" max="4" width="21.7109375" style="445" bestFit="1" customWidth="1"/>
    <col min="5" max="5" width="17.42578125" style="446" customWidth="1"/>
    <col min="6" max="7" width="17.42578125" style="509" customWidth="1"/>
    <col min="8" max="8" width="16.85546875" style="509" customWidth="1"/>
    <col min="9" max="9" width="16.85546875" style="449" customWidth="1"/>
    <col min="10" max="10" width="22.5703125" style="446" customWidth="1"/>
    <col min="11" max="11" width="23.28515625" style="450" customWidth="1"/>
    <col min="12" max="12" width="20" style="451" bestFit="1" customWidth="1"/>
    <col min="13" max="13" width="28" style="451" bestFit="1" customWidth="1"/>
    <col min="14" max="14" width="33.140625" style="451" bestFit="1" customWidth="1"/>
    <col min="15" max="15" width="57.42578125" style="451" bestFit="1" customWidth="1"/>
    <col min="16" max="16384" width="9.140625" style="452"/>
  </cols>
  <sheetData>
    <row r="1" spans="1:15" ht="41.25" customHeight="1"/>
    <row r="2" spans="1:15" ht="15.75">
      <c r="A2" s="443" t="s">
        <v>2453</v>
      </c>
      <c r="F2" s="447"/>
      <c r="G2" s="447"/>
      <c r="H2" s="448"/>
    </row>
    <row r="3" spans="1:15" ht="12">
      <c r="F3" s="447"/>
      <c r="G3" s="447"/>
      <c r="H3" s="448"/>
    </row>
    <row r="4" spans="1:15" s="464" customFormat="1" ht="24">
      <c r="A4" s="454" t="s">
        <v>2454</v>
      </c>
      <c r="B4" s="455" t="s">
        <v>2455</v>
      </c>
      <c r="C4" s="455" t="s">
        <v>2456</v>
      </c>
      <c r="D4" s="456" t="s">
        <v>2457</v>
      </c>
      <c r="E4" s="457" t="s">
        <v>2458</v>
      </c>
      <c r="F4" s="458" t="s">
        <v>2459</v>
      </c>
      <c r="G4" s="458" t="s">
        <v>2460</v>
      </c>
      <c r="H4" s="459" t="s">
        <v>2461</v>
      </c>
      <c r="I4" s="460" t="s">
        <v>2462</v>
      </c>
      <c r="J4" s="461" t="s">
        <v>2463</v>
      </c>
      <c r="K4" s="461" t="s">
        <v>2464</v>
      </c>
      <c r="L4" s="462" t="s">
        <v>2465</v>
      </c>
      <c r="M4" s="462" t="s">
        <v>2466</v>
      </c>
      <c r="N4" s="462" t="s">
        <v>2467</v>
      </c>
      <c r="O4" s="463" t="s">
        <v>2468</v>
      </c>
    </row>
    <row r="5" spans="1:15" s="475" customFormat="1" ht="12">
      <c r="A5" s="465" t="s">
        <v>3919</v>
      </c>
      <c r="B5" s="466" t="s">
        <v>1357</v>
      </c>
      <c r="C5" s="494" t="s">
        <v>1358</v>
      </c>
      <c r="D5" s="467" t="s">
        <v>97</v>
      </c>
      <c r="E5" s="468" t="s">
        <v>2491</v>
      </c>
      <c r="F5" s="511">
        <v>100</v>
      </c>
      <c r="G5" s="477"/>
      <c r="H5" s="514">
        <v>0</v>
      </c>
      <c r="I5" s="518">
        <v>0</v>
      </c>
      <c r="J5" s="515"/>
      <c r="K5" s="472"/>
      <c r="L5" s="516"/>
      <c r="M5" s="516"/>
      <c r="N5" s="516"/>
      <c r="O5" s="517"/>
    </row>
    <row r="6" spans="1:15" s="475" customFormat="1" ht="12">
      <c r="A6" s="465" t="s">
        <v>3920</v>
      </c>
      <c r="B6" s="466" t="s">
        <v>1362</v>
      </c>
      <c r="C6" s="494" t="s">
        <v>1363</v>
      </c>
      <c r="D6" s="467" t="s">
        <v>1093</v>
      </c>
      <c r="E6" s="468" t="s">
        <v>2491</v>
      </c>
      <c r="F6" s="511">
        <v>9.6</v>
      </c>
      <c r="G6" s="477"/>
      <c r="H6" s="514">
        <v>0</v>
      </c>
      <c r="I6" s="518">
        <v>0</v>
      </c>
      <c r="J6" s="515"/>
      <c r="K6" s="472"/>
      <c r="L6" s="516"/>
      <c r="M6" s="516"/>
      <c r="N6" s="516"/>
      <c r="O6" s="517"/>
    </row>
    <row r="7" spans="1:15" s="475" customFormat="1" ht="12">
      <c r="A7" s="465" t="s">
        <v>3921</v>
      </c>
      <c r="B7" s="309" t="s">
        <v>1403</v>
      </c>
      <c r="C7" s="466" t="s">
        <v>2171</v>
      </c>
      <c r="D7" s="467" t="s">
        <v>97</v>
      </c>
      <c r="E7" s="468" t="s">
        <v>2491</v>
      </c>
      <c r="F7" s="511">
        <v>25.91</v>
      </c>
      <c r="G7" s="477"/>
      <c r="H7" s="514"/>
      <c r="I7" s="518">
        <v>0</v>
      </c>
      <c r="J7" s="515"/>
      <c r="K7" s="472"/>
      <c r="L7" s="516"/>
      <c r="M7" s="516"/>
      <c r="N7" s="516"/>
      <c r="O7" s="517"/>
    </row>
    <row r="8" spans="1:15" s="475" customFormat="1" ht="12">
      <c r="A8" s="465" t="s">
        <v>3922</v>
      </c>
      <c r="B8" s="466" t="s">
        <v>3923</v>
      </c>
      <c r="C8" s="466" t="s">
        <v>1404</v>
      </c>
      <c r="D8" s="467" t="s">
        <v>1093</v>
      </c>
      <c r="E8" s="468" t="s">
        <v>2491</v>
      </c>
      <c r="F8" s="511">
        <v>57.42</v>
      </c>
      <c r="G8" s="477"/>
      <c r="H8" s="514"/>
      <c r="I8" s="518">
        <v>0</v>
      </c>
      <c r="J8" s="515"/>
      <c r="K8" s="472"/>
      <c r="L8" s="516"/>
      <c r="M8" s="516"/>
      <c r="N8" s="516"/>
      <c r="O8" s="517"/>
    </row>
    <row r="9" spans="1:15" s="475" customFormat="1" ht="12" hidden="1">
      <c r="A9" s="465">
        <v>1000099138</v>
      </c>
      <c r="B9" s="466" t="s">
        <v>2469</v>
      </c>
      <c r="C9" s="466" t="s">
        <v>2469</v>
      </c>
      <c r="D9" s="467" t="s">
        <v>2470</v>
      </c>
      <c r="E9" s="468" t="s">
        <v>2471</v>
      </c>
      <c r="F9" s="469" t="s">
        <v>2472</v>
      </c>
      <c r="G9" s="469" t="s">
        <v>2472</v>
      </c>
      <c r="H9" s="470">
        <v>0</v>
      </c>
      <c r="I9" s="471">
        <v>0</v>
      </c>
      <c r="J9" s="472" t="s">
        <v>422</v>
      </c>
      <c r="K9" s="472" t="s">
        <v>2473</v>
      </c>
      <c r="L9" s="473" t="s">
        <v>2474</v>
      </c>
      <c r="M9" s="473" t="s">
        <v>1835</v>
      </c>
      <c r="N9" s="473" t="s">
        <v>204</v>
      </c>
      <c r="O9" s="474" t="s">
        <v>2475</v>
      </c>
    </row>
    <row r="10" spans="1:15" s="475" customFormat="1" ht="12" hidden="1">
      <c r="A10" s="465">
        <v>1000099175</v>
      </c>
      <c r="B10" s="466" t="s">
        <v>2469</v>
      </c>
      <c r="C10" s="466" t="s">
        <v>2476</v>
      </c>
      <c r="D10" s="467" t="s">
        <v>2470</v>
      </c>
      <c r="E10" s="468" t="s">
        <v>2471</v>
      </c>
      <c r="F10" s="469" t="s">
        <v>2472</v>
      </c>
      <c r="G10" s="469" t="s">
        <v>2472</v>
      </c>
      <c r="H10" s="470">
        <v>0</v>
      </c>
      <c r="I10" s="471">
        <v>0</v>
      </c>
      <c r="J10" s="472" t="s">
        <v>422</v>
      </c>
      <c r="K10" s="472" t="s">
        <v>2473</v>
      </c>
      <c r="L10" s="473" t="s">
        <v>2474</v>
      </c>
      <c r="M10" s="473" t="s">
        <v>1835</v>
      </c>
      <c r="N10" s="473" t="s">
        <v>204</v>
      </c>
      <c r="O10" s="474" t="s">
        <v>2475</v>
      </c>
    </row>
    <row r="11" spans="1:15" s="475" customFormat="1" ht="12" hidden="1">
      <c r="A11" s="465">
        <v>1000099133</v>
      </c>
      <c r="B11" s="473" t="s">
        <v>2477</v>
      </c>
      <c r="C11" s="473" t="s">
        <v>2477</v>
      </c>
      <c r="D11" s="467" t="s">
        <v>1045</v>
      </c>
      <c r="E11" s="468" t="s">
        <v>2471</v>
      </c>
      <c r="F11" s="469" t="s">
        <v>2472</v>
      </c>
      <c r="G11" s="469" t="s">
        <v>2472</v>
      </c>
      <c r="H11" s="470">
        <v>0</v>
      </c>
      <c r="I11" s="471">
        <v>0</v>
      </c>
      <c r="J11" s="472" t="s">
        <v>422</v>
      </c>
      <c r="K11" s="472" t="s">
        <v>2473</v>
      </c>
      <c r="L11" s="473" t="s">
        <v>2474</v>
      </c>
      <c r="M11" s="473" t="s">
        <v>1835</v>
      </c>
      <c r="N11" s="473" t="s">
        <v>204</v>
      </c>
      <c r="O11" s="474" t="s">
        <v>2477</v>
      </c>
    </row>
    <row r="12" spans="1:15" s="475" customFormat="1" ht="12" hidden="1">
      <c r="A12" s="465">
        <v>1000099170</v>
      </c>
      <c r="B12" s="473" t="s">
        <v>2477</v>
      </c>
      <c r="C12" s="473" t="s">
        <v>2478</v>
      </c>
      <c r="D12" s="467" t="s">
        <v>1045</v>
      </c>
      <c r="E12" s="468" t="s">
        <v>2471</v>
      </c>
      <c r="F12" s="469" t="s">
        <v>2472</v>
      </c>
      <c r="G12" s="469" t="s">
        <v>2472</v>
      </c>
      <c r="H12" s="470">
        <v>0</v>
      </c>
      <c r="I12" s="471">
        <v>0</v>
      </c>
      <c r="J12" s="472" t="s">
        <v>422</v>
      </c>
      <c r="K12" s="472" t="s">
        <v>2473</v>
      </c>
      <c r="L12" s="473" t="s">
        <v>2474</v>
      </c>
      <c r="M12" s="473" t="s">
        <v>1835</v>
      </c>
      <c r="N12" s="473" t="s">
        <v>204</v>
      </c>
      <c r="O12" s="474" t="s">
        <v>2477</v>
      </c>
    </row>
    <row r="13" spans="1:15" s="475" customFormat="1" ht="12" hidden="1">
      <c r="A13" s="465">
        <v>1000099037</v>
      </c>
      <c r="B13" s="466" t="s">
        <v>2479</v>
      </c>
      <c r="C13" s="466" t="s">
        <v>2479</v>
      </c>
      <c r="D13" s="467" t="s">
        <v>2480</v>
      </c>
      <c r="E13" s="468" t="s">
        <v>2471</v>
      </c>
      <c r="F13" s="469" t="s">
        <v>2472</v>
      </c>
      <c r="G13" s="469" t="s">
        <v>2472</v>
      </c>
      <c r="H13" s="470">
        <v>557.36</v>
      </c>
      <c r="I13" s="471">
        <v>43.039382239382242</v>
      </c>
      <c r="J13" s="472" t="s">
        <v>422</v>
      </c>
      <c r="K13" s="472" t="s">
        <v>2473</v>
      </c>
      <c r="L13" s="473" t="s">
        <v>530</v>
      </c>
      <c r="M13" s="473" t="s">
        <v>2481</v>
      </c>
      <c r="N13" s="473" t="s">
        <v>204</v>
      </c>
      <c r="O13" s="474" t="s">
        <v>2479</v>
      </c>
    </row>
    <row r="14" spans="1:15" s="475" customFormat="1" ht="12" hidden="1">
      <c r="A14" s="465">
        <v>1000099135</v>
      </c>
      <c r="B14" s="466" t="s">
        <v>2482</v>
      </c>
      <c r="C14" s="466" t="s">
        <v>2483</v>
      </c>
      <c r="D14" s="467" t="s">
        <v>1045</v>
      </c>
      <c r="E14" s="468" t="s">
        <v>2471</v>
      </c>
      <c r="F14" s="469" t="s">
        <v>2472</v>
      </c>
      <c r="G14" s="469" t="s">
        <v>2472</v>
      </c>
      <c r="H14" s="470">
        <v>0</v>
      </c>
      <c r="I14" s="471">
        <v>0</v>
      </c>
      <c r="J14" s="472" t="s">
        <v>422</v>
      </c>
      <c r="K14" s="472" t="s">
        <v>2473</v>
      </c>
      <c r="L14" s="473" t="s">
        <v>2474</v>
      </c>
      <c r="M14" s="473" t="s">
        <v>1835</v>
      </c>
      <c r="N14" s="473" t="s">
        <v>204</v>
      </c>
      <c r="O14" s="474" t="s">
        <v>2482</v>
      </c>
    </row>
    <row r="15" spans="1:15" s="475" customFormat="1" ht="12" hidden="1">
      <c r="A15" s="465">
        <v>1000099172</v>
      </c>
      <c r="B15" s="466" t="s">
        <v>2482</v>
      </c>
      <c r="C15" s="466" t="s">
        <v>2484</v>
      </c>
      <c r="D15" s="467" t="s">
        <v>1045</v>
      </c>
      <c r="E15" s="468" t="s">
        <v>2471</v>
      </c>
      <c r="F15" s="469" t="s">
        <v>2472</v>
      </c>
      <c r="G15" s="469" t="s">
        <v>2472</v>
      </c>
      <c r="H15" s="470">
        <v>0</v>
      </c>
      <c r="I15" s="471">
        <v>0</v>
      </c>
      <c r="J15" s="472" t="s">
        <v>422</v>
      </c>
      <c r="K15" s="472" t="s">
        <v>2473</v>
      </c>
      <c r="L15" s="473" t="s">
        <v>2474</v>
      </c>
      <c r="M15" s="473" t="s">
        <v>1835</v>
      </c>
      <c r="N15" s="473" t="s">
        <v>204</v>
      </c>
      <c r="O15" s="474" t="s">
        <v>2482</v>
      </c>
    </row>
    <row r="16" spans="1:15" s="475" customFormat="1" ht="12" hidden="1">
      <c r="A16" s="465">
        <v>1000099038</v>
      </c>
      <c r="B16" s="466" t="s">
        <v>2485</v>
      </c>
      <c r="C16" s="466" t="s">
        <v>2486</v>
      </c>
      <c r="D16" s="467" t="s">
        <v>2487</v>
      </c>
      <c r="E16" s="468" t="s">
        <v>2471</v>
      </c>
      <c r="F16" s="469" t="s">
        <v>2472</v>
      </c>
      <c r="G16" s="469" t="s">
        <v>2472</v>
      </c>
      <c r="H16" s="470">
        <v>6912.15</v>
      </c>
      <c r="I16" s="471">
        <v>533.75675675675677</v>
      </c>
      <c r="J16" s="472" t="s">
        <v>422</v>
      </c>
      <c r="K16" s="472" t="s">
        <v>2473</v>
      </c>
      <c r="L16" s="473" t="s">
        <v>530</v>
      </c>
      <c r="M16" s="473" t="s">
        <v>2481</v>
      </c>
      <c r="N16" s="473" t="s">
        <v>204</v>
      </c>
      <c r="O16" s="474" t="s">
        <v>2485</v>
      </c>
    </row>
    <row r="17" spans="1:15" s="475" customFormat="1" ht="12" hidden="1">
      <c r="A17" s="465">
        <v>1000099039</v>
      </c>
      <c r="B17" s="466" t="s">
        <v>2485</v>
      </c>
      <c r="C17" s="466" t="s">
        <v>2488</v>
      </c>
      <c r="D17" s="467" t="s">
        <v>2487</v>
      </c>
      <c r="E17" s="468" t="s">
        <v>2471</v>
      </c>
      <c r="F17" s="469" t="s">
        <v>2472</v>
      </c>
      <c r="G17" s="469" t="s">
        <v>2472</v>
      </c>
      <c r="H17" s="470">
        <v>3820.56</v>
      </c>
      <c r="I17" s="471">
        <v>295.02393822393822</v>
      </c>
      <c r="J17" s="472" t="s">
        <v>422</v>
      </c>
      <c r="K17" s="472" t="s">
        <v>2473</v>
      </c>
      <c r="L17" s="473" t="s">
        <v>530</v>
      </c>
      <c r="M17" s="473" t="s">
        <v>2481</v>
      </c>
      <c r="N17" s="473" t="s">
        <v>204</v>
      </c>
      <c r="O17" s="474" t="s">
        <v>2485</v>
      </c>
    </row>
    <row r="18" spans="1:15" s="475" customFormat="1" ht="12" hidden="1">
      <c r="A18" s="465">
        <v>10131000011366</v>
      </c>
      <c r="B18" s="476" t="s">
        <v>2489</v>
      </c>
      <c r="C18" s="476" t="s">
        <v>2490</v>
      </c>
      <c r="D18" s="467" t="s">
        <v>1045</v>
      </c>
      <c r="E18" s="472" t="s">
        <v>2491</v>
      </c>
      <c r="F18" s="477">
        <v>0</v>
      </c>
      <c r="G18" s="469" t="s">
        <v>2472</v>
      </c>
      <c r="H18" s="470">
        <v>0</v>
      </c>
      <c r="I18" s="471">
        <v>0</v>
      </c>
      <c r="J18" s="472" t="s">
        <v>2492</v>
      </c>
      <c r="K18" s="478" t="s">
        <v>658</v>
      </c>
      <c r="L18" s="479" t="s">
        <v>530</v>
      </c>
      <c r="M18" s="479" t="s">
        <v>2481</v>
      </c>
      <c r="N18" s="479" t="s">
        <v>204</v>
      </c>
      <c r="O18" s="480" t="s">
        <v>2493</v>
      </c>
    </row>
    <row r="19" spans="1:15" s="475" customFormat="1" ht="12" hidden="1">
      <c r="A19" s="465">
        <v>10131000021449</v>
      </c>
      <c r="B19" s="476" t="s">
        <v>2489</v>
      </c>
      <c r="C19" s="476" t="s">
        <v>2494</v>
      </c>
      <c r="D19" s="467" t="s">
        <v>1045</v>
      </c>
      <c r="E19" s="472" t="s">
        <v>2491</v>
      </c>
      <c r="F19" s="477">
        <v>0</v>
      </c>
      <c r="G19" s="469" t="s">
        <v>2472</v>
      </c>
      <c r="H19" s="470">
        <v>1E-8</v>
      </c>
      <c r="I19" s="471">
        <v>0</v>
      </c>
      <c r="J19" s="472" t="s">
        <v>2492</v>
      </c>
      <c r="K19" s="472" t="s">
        <v>2495</v>
      </c>
      <c r="L19" s="479" t="s">
        <v>530</v>
      </c>
      <c r="M19" s="479" t="s">
        <v>2481</v>
      </c>
      <c r="N19" s="479" t="s">
        <v>204</v>
      </c>
      <c r="O19" s="480" t="s">
        <v>2496</v>
      </c>
    </row>
    <row r="20" spans="1:15" s="475" customFormat="1" ht="12" hidden="1">
      <c r="A20" s="465">
        <v>10131000051871</v>
      </c>
      <c r="B20" s="476" t="s">
        <v>2489</v>
      </c>
      <c r="C20" s="476" t="s">
        <v>2497</v>
      </c>
      <c r="D20" s="467" t="s">
        <v>1045</v>
      </c>
      <c r="E20" s="472" t="s">
        <v>2491</v>
      </c>
      <c r="F20" s="477">
        <v>0</v>
      </c>
      <c r="G20" s="469" t="s">
        <v>2472</v>
      </c>
      <c r="H20" s="470">
        <v>1E-8</v>
      </c>
      <c r="I20" s="471">
        <v>0</v>
      </c>
      <c r="J20" s="472" t="s">
        <v>2492</v>
      </c>
      <c r="K20" s="472" t="s">
        <v>2495</v>
      </c>
      <c r="L20" s="479" t="s">
        <v>530</v>
      </c>
      <c r="M20" s="479" t="s">
        <v>2481</v>
      </c>
      <c r="N20" s="479" t="s">
        <v>204</v>
      </c>
      <c r="O20" s="480" t="s">
        <v>2498</v>
      </c>
    </row>
    <row r="21" spans="1:15" s="475" customFormat="1" ht="12" hidden="1">
      <c r="A21" s="465">
        <v>10131000051872</v>
      </c>
      <c r="B21" s="476" t="s">
        <v>2489</v>
      </c>
      <c r="C21" s="476" t="s">
        <v>2499</v>
      </c>
      <c r="D21" s="467" t="s">
        <v>1045</v>
      </c>
      <c r="E21" s="472" t="s">
        <v>2491</v>
      </c>
      <c r="F21" s="477">
        <v>0</v>
      </c>
      <c r="G21" s="469" t="s">
        <v>2472</v>
      </c>
      <c r="H21" s="470">
        <v>1E-8</v>
      </c>
      <c r="I21" s="471">
        <v>0</v>
      </c>
      <c r="J21" s="472" t="s">
        <v>2492</v>
      </c>
      <c r="K21" s="472" t="s">
        <v>2495</v>
      </c>
      <c r="L21" s="479" t="s">
        <v>530</v>
      </c>
      <c r="M21" s="479" t="s">
        <v>2481</v>
      </c>
      <c r="N21" s="479" t="s">
        <v>204</v>
      </c>
      <c r="O21" s="480" t="s">
        <v>2500</v>
      </c>
    </row>
    <row r="22" spans="1:15" s="475" customFormat="1" ht="12" hidden="1">
      <c r="A22" s="465">
        <v>10131000051873</v>
      </c>
      <c r="B22" s="476" t="s">
        <v>2489</v>
      </c>
      <c r="C22" s="476" t="s">
        <v>2501</v>
      </c>
      <c r="D22" s="467" t="s">
        <v>1045</v>
      </c>
      <c r="E22" s="472" t="s">
        <v>2491</v>
      </c>
      <c r="F22" s="477">
        <v>0</v>
      </c>
      <c r="G22" s="469" t="s">
        <v>2472</v>
      </c>
      <c r="H22" s="470">
        <v>1E-8</v>
      </c>
      <c r="I22" s="471">
        <v>0</v>
      </c>
      <c r="J22" s="472" t="s">
        <v>2492</v>
      </c>
      <c r="K22" s="472" t="s">
        <v>2495</v>
      </c>
      <c r="L22" s="479" t="s">
        <v>530</v>
      </c>
      <c r="M22" s="479" t="s">
        <v>2481</v>
      </c>
      <c r="N22" s="479" t="s">
        <v>204</v>
      </c>
      <c r="O22" s="480" t="s">
        <v>2502</v>
      </c>
    </row>
    <row r="23" spans="1:15" s="475" customFormat="1" ht="12" hidden="1">
      <c r="A23" s="465">
        <v>10131000051874</v>
      </c>
      <c r="B23" s="476" t="s">
        <v>2489</v>
      </c>
      <c r="C23" s="476" t="s">
        <v>2503</v>
      </c>
      <c r="D23" s="467" t="s">
        <v>1045</v>
      </c>
      <c r="E23" s="472" t="s">
        <v>2491</v>
      </c>
      <c r="F23" s="477">
        <v>0</v>
      </c>
      <c r="G23" s="469" t="s">
        <v>2472</v>
      </c>
      <c r="H23" s="470">
        <v>1E-8</v>
      </c>
      <c r="I23" s="471">
        <v>0</v>
      </c>
      <c r="J23" s="472" t="s">
        <v>2492</v>
      </c>
      <c r="K23" s="472" t="s">
        <v>2495</v>
      </c>
      <c r="L23" s="479" t="s">
        <v>530</v>
      </c>
      <c r="M23" s="479" t="s">
        <v>2481</v>
      </c>
      <c r="N23" s="479" t="s">
        <v>204</v>
      </c>
      <c r="O23" s="480" t="s">
        <v>2504</v>
      </c>
    </row>
    <row r="24" spans="1:15" s="475" customFormat="1" ht="12" hidden="1">
      <c r="A24" s="465">
        <v>10131000051875</v>
      </c>
      <c r="B24" s="476" t="s">
        <v>2489</v>
      </c>
      <c r="C24" s="476" t="s">
        <v>2505</v>
      </c>
      <c r="D24" s="467" t="s">
        <v>1045</v>
      </c>
      <c r="E24" s="472" t="s">
        <v>2491</v>
      </c>
      <c r="F24" s="477">
        <v>0</v>
      </c>
      <c r="G24" s="469" t="s">
        <v>2472</v>
      </c>
      <c r="H24" s="470">
        <v>1E-8</v>
      </c>
      <c r="I24" s="471">
        <v>0</v>
      </c>
      <c r="J24" s="472" t="s">
        <v>2492</v>
      </c>
      <c r="K24" s="472" t="s">
        <v>2495</v>
      </c>
      <c r="L24" s="479" t="s">
        <v>530</v>
      </c>
      <c r="M24" s="479" t="s">
        <v>2481</v>
      </c>
      <c r="N24" s="479" t="s">
        <v>204</v>
      </c>
      <c r="O24" s="480" t="s">
        <v>2506</v>
      </c>
    </row>
    <row r="25" spans="1:15" s="475" customFormat="1" ht="12" hidden="1">
      <c r="A25" s="465">
        <v>10131000051876</v>
      </c>
      <c r="B25" s="476" t="s">
        <v>2489</v>
      </c>
      <c r="C25" s="476" t="s">
        <v>2507</v>
      </c>
      <c r="D25" s="467" t="s">
        <v>1045</v>
      </c>
      <c r="E25" s="472" t="s">
        <v>2491</v>
      </c>
      <c r="F25" s="477">
        <v>0</v>
      </c>
      <c r="G25" s="469" t="s">
        <v>2472</v>
      </c>
      <c r="H25" s="470">
        <v>1E-8</v>
      </c>
      <c r="I25" s="471">
        <v>0</v>
      </c>
      <c r="J25" s="472" t="s">
        <v>2492</v>
      </c>
      <c r="K25" s="472" t="s">
        <v>2495</v>
      </c>
      <c r="L25" s="479" t="s">
        <v>530</v>
      </c>
      <c r="M25" s="479" t="s">
        <v>2481</v>
      </c>
      <c r="N25" s="479" t="s">
        <v>204</v>
      </c>
      <c r="O25" s="480" t="s">
        <v>2508</v>
      </c>
    </row>
    <row r="26" spans="1:15" s="475" customFormat="1" ht="12" hidden="1">
      <c r="A26" s="465">
        <v>10131000021902</v>
      </c>
      <c r="B26" s="476" t="s">
        <v>2489</v>
      </c>
      <c r="C26" s="476" t="s">
        <v>2509</v>
      </c>
      <c r="D26" s="467" t="s">
        <v>1045</v>
      </c>
      <c r="E26" s="472" t="s">
        <v>2491</v>
      </c>
      <c r="F26" s="477">
        <v>0</v>
      </c>
      <c r="G26" s="469" t="s">
        <v>2472</v>
      </c>
      <c r="H26" s="470">
        <v>1E-8</v>
      </c>
      <c r="I26" s="471">
        <v>0</v>
      </c>
      <c r="J26" s="472" t="s">
        <v>2492</v>
      </c>
      <c r="K26" s="478" t="s">
        <v>662</v>
      </c>
      <c r="L26" s="479" t="s">
        <v>530</v>
      </c>
      <c r="M26" s="479" t="s">
        <v>2481</v>
      </c>
      <c r="N26" s="479" t="s">
        <v>204</v>
      </c>
      <c r="O26" s="480" t="s">
        <v>2510</v>
      </c>
    </row>
    <row r="27" spans="1:15" s="475" customFormat="1" ht="12" hidden="1">
      <c r="A27" s="465">
        <v>10131000053768</v>
      </c>
      <c r="B27" s="476" t="s">
        <v>2489</v>
      </c>
      <c r="C27" s="476" t="s">
        <v>2511</v>
      </c>
      <c r="D27" s="467" t="s">
        <v>1045</v>
      </c>
      <c r="E27" s="472" t="s">
        <v>2491</v>
      </c>
      <c r="F27" s="477">
        <v>0</v>
      </c>
      <c r="G27" s="469" t="s">
        <v>2472</v>
      </c>
      <c r="H27" s="470">
        <v>1E-8</v>
      </c>
      <c r="I27" s="471">
        <v>0</v>
      </c>
      <c r="J27" s="472" t="s">
        <v>2492</v>
      </c>
      <c r="K27" s="478" t="s">
        <v>662</v>
      </c>
      <c r="L27" s="479" t="s">
        <v>530</v>
      </c>
      <c r="M27" s="479" t="s">
        <v>2481</v>
      </c>
      <c r="N27" s="479" t="s">
        <v>204</v>
      </c>
      <c r="O27" s="480" t="s">
        <v>2512</v>
      </c>
    </row>
    <row r="28" spans="1:15" s="475" customFormat="1" ht="12" hidden="1">
      <c r="A28" s="465">
        <v>10131000015684</v>
      </c>
      <c r="B28" s="476" t="s">
        <v>2489</v>
      </c>
      <c r="C28" s="476" t="s">
        <v>2513</v>
      </c>
      <c r="D28" s="467" t="s">
        <v>1045</v>
      </c>
      <c r="E28" s="478" t="s">
        <v>2514</v>
      </c>
      <c r="F28" s="477">
        <v>0</v>
      </c>
      <c r="G28" s="469" t="s">
        <v>2472</v>
      </c>
      <c r="H28" s="481">
        <v>0</v>
      </c>
      <c r="I28" s="482">
        <v>0</v>
      </c>
      <c r="J28" s="483" t="s">
        <v>2515</v>
      </c>
      <c r="K28" s="483" t="s">
        <v>2515</v>
      </c>
      <c r="L28" s="473" t="s">
        <v>530</v>
      </c>
      <c r="M28" s="473" t="s">
        <v>2481</v>
      </c>
      <c r="N28" s="473" t="s">
        <v>204</v>
      </c>
      <c r="O28" s="474" t="s">
        <v>2516</v>
      </c>
    </row>
    <row r="29" spans="1:15" s="475" customFormat="1" ht="12" hidden="1">
      <c r="A29" s="465">
        <v>10131000015725</v>
      </c>
      <c r="B29" s="476" t="s">
        <v>2489</v>
      </c>
      <c r="C29" s="476" t="s">
        <v>2513</v>
      </c>
      <c r="D29" s="467" t="s">
        <v>1045</v>
      </c>
      <c r="E29" s="478" t="s">
        <v>2514</v>
      </c>
      <c r="F29" s="477">
        <v>0</v>
      </c>
      <c r="G29" s="469" t="s">
        <v>2472</v>
      </c>
      <c r="H29" s="481">
        <v>0</v>
      </c>
      <c r="I29" s="482">
        <v>0</v>
      </c>
      <c r="J29" s="483" t="s">
        <v>2515</v>
      </c>
      <c r="K29" s="483" t="s">
        <v>2515</v>
      </c>
      <c r="L29" s="473" t="s">
        <v>530</v>
      </c>
      <c r="M29" s="473" t="s">
        <v>2481</v>
      </c>
      <c r="N29" s="473" t="s">
        <v>204</v>
      </c>
      <c r="O29" s="474" t="s">
        <v>2516</v>
      </c>
    </row>
    <row r="30" spans="1:15" s="475" customFormat="1" ht="12" hidden="1">
      <c r="A30" s="465">
        <v>10131000052446</v>
      </c>
      <c r="B30" s="476" t="s">
        <v>2489</v>
      </c>
      <c r="C30" s="476" t="s">
        <v>2517</v>
      </c>
      <c r="D30" s="467" t="s">
        <v>1045</v>
      </c>
      <c r="E30" s="478" t="s">
        <v>2514</v>
      </c>
      <c r="F30" s="477">
        <v>0</v>
      </c>
      <c r="G30" s="469" t="s">
        <v>2472</v>
      </c>
      <c r="H30" s="481">
        <v>0</v>
      </c>
      <c r="I30" s="482">
        <v>0</v>
      </c>
      <c r="J30" s="483" t="s">
        <v>2515</v>
      </c>
      <c r="K30" s="483" t="s">
        <v>2515</v>
      </c>
      <c r="L30" s="473" t="s">
        <v>530</v>
      </c>
      <c r="M30" s="473" t="s">
        <v>2481</v>
      </c>
      <c r="N30" s="473" t="s">
        <v>204</v>
      </c>
      <c r="O30" s="474" t="s">
        <v>2516</v>
      </c>
    </row>
    <row r="31" spans="1:15" s="475" customFormat="1" ht="12" hidden="1">
      <c r="A31" s="465">
        <v>10131000016339</v>
      </c>
      <c r="B31" s="484" t="s">
        <v>2489</v>
      </c>
      <c r="C31" s="484" t="s">
        <v>2518</v>
      </c>
      <c r="D31" s="467" t="s">
        <v>1045</v>
      </c>
      <c r="E31" s="472" t="s">
        <v>2519</v>
      </c>
      <c r="F31" s="477">
        <v>0</v>
      </c>
      <c r="G31" s="469" t="s">
        <v>2472</v>
      </c>
      <c r="H31" s="470">
        <v>1E-8</v>
      </c>
      <c r="I31" s="471">
        <v>3.0846695000000001E-9</v>
      </c>
      <c r="J31" s="485" t="s">
        <v>421</v>
      </c>
      <c r="K31" s="472" t="s">
        <v>621</v>
      </c>
      <c r="L31" s="473" t="s">
        <v>530</v>
      </c>
      <c r="M31" s="473" t="s">
        <v>2481</v>
      </c>
      <c r="N31" s="473" t="s">
        <v>204</v>
      </c>
      <c r="O31" s="474" t="s">
        <v>2520</v>
      </c>
    </row>
    <row r="32" spans="1:15" s="475" customFormat="1" ht="12" hidden="1">
      <c r="A32" s="465">
        <v>10131000018879</v>
      </c>
      <c r="B32" s="476" t="s">
        <v>2489</v>
      </c>
      <c r="C32" s="476" t="s">
        <v>2521</v>
      </c>
      <c r="D32" s="467" t="s">
        <v>1045</v>
      </c>
      <c r="E32" s="472" t="s">
        <v>2491</v>
      </c>
      <c r="F32" s="477">
        <v>0</v>
      </c>
      <c r="G32" s="469" t="s">
        <v>2472</v>
      </c>
      <c r="H32" s="470">
        <v>1E-8</v>
      </c>
      <c r="I32" s="471">
        <v>0</v>
      </c>
      <c r="J32" s="472" t="s">
        <v>2492</v>
      </c>
      <c r="K32" s="478" t="s">
        <v>2522</v>
      </c>
      <c r="L32" s="479" t="s">
        <v>530</v>
      </c>
      <c r="M32" s="479" t="s">
        <v>2481</v>
      </c>
      <c r="N32" s="479" t="s">
        <v>204</v>
      </c>
      <c r="O32" s="480" t="s">
        <v>2523</v>
      </c>
    </row>
    <row r="33" spans="1:15" s="475" customFormat="1" ht="12" hidden="1">
      <c r="A33" s="465">
        <v>10131000020432</v>
      </c>
      <c r="B33" s="476" t="s">
        <v>2489</v>
      </c>
      <c r="C33" s="476" t="s">
        <v>2524</v>
      </c>
      <c r="D33" s="467" t="s">
        <v>1045</v>
      </c>
      <c r="E33" s="472" t="s">
        <v>2491</v>
      </c>
      <c r="F33" s="477">
        <v>0</v>
      </c>
      <c r="G33" s="469" t="s">
        <v>2472</v>
      </c>
      <c r="H33" s="470">
        <v>1E-8</v>
      </c>
      <c r="I33" s="471">
        <v>0</v>
      </c>
      <c r="J33" s="472" t="s">
        <v>2492</v>
      </c>
      <c r="K33" s="478" t="s">
        <v>2522</v>
      </c>
      <c r="L33" s="479" t="s">
        <v>530</v>
      </c>
      <c r="M33" s="479" t="s">
        <v>2481</v>
      </c>
      <c r="N33" s="479" t="s">
        <v>204</v>
      </c>
      <c r="O33" s="480" t="s">
        <v>2525</v>
      </c>
    </row>
    <row r="34" spans="1:15" s="475" customFormat="1" ht="12" hidden="1">
      <c r="A34" s="465">
        <v>10131000025873</v>
      </c>
      <c r="B34" s="476" t="s">
        <v>2489</v>
      </c>
      <c r="C34" s="476" t="s">
        <v>2526</v>
      </c>
      <c r="D34" s="467" t="s">
        <v>1045</v>
      </c>
      <c r="E34" s="472" t="s">
        <v>2491</v>
      </c>
      <c r="F34" s="477">
        <v>0</v>
      </c>
      <c r="G34" s="469" t="s">
        <v>2472</v>
      </c>
      <c r="H34" s="470">
        <v>1E-8</v>
      </c>
      <c r="I34" s="471">
        <v>0</v>
      </c>
      <c r="J34" s="472" t="s">
        <v>2492</v>
      </c>
      <c r="K34" s="478" t="s">
        <v>2522</v>
      </c>
      <c r="L34" s="479" t="s">
        <v>530</v>
      </c>
      <c r="M34" s="479" t="s">
        <v>2481</v>
      </c>
      <c r="N34" s="479" t="s">
        <v>204</v>
      </c>
      <c r="O34" s="480" t="s">
        <v>2527</v>
      </c>
    </row>
    <row r="35" spans="1:15" s="475" customFormat="1" ht="12" hidden="1">
      <c r="A35" s="465">
        <v>10131000029291</v>
      </c>
      <c r="B35" s="476" t="s">
        <v>2489</v>
      </c>
      <c r="C35" s="476" t="s">
        <v>2528</v>
      </c>
      <c r="D35" s="467" t="s">
        <v>1045</v>
      </c>
      <c r="E35" s="472" t="s">
        <v>2491</v>
      </c>
      <c r="F35" s="477">
        <v>0</v>
      </c>
      <c r="G35" s="469" t="s">
        <v>2472</v>
      </c>
      <c r="H35" s="470">
        <v>1E-8</v>
      </c>
      <c r="I35" s="471">
        <v>0</v>
      </c>
      <c r="J35" s="472" t="s">
        <v>2492</v>
      </c>
      <c r="K35" s="478" t="s">
        <v>2522</v>
      </c>
      <c r="L35" s="479" t="s">
        <v>530</v>
      </c>
      <c r="M35" s="479" t="s">
        <v>2481</v>
      </c>
      <c r="N35" s="479" t="s">
        <v>204</v>
      </c>
      <c r="O35" s="480" t="s">
        <v>2529</v>
      </c>
    </row>
    <row r="36" spans="1:15" s="475" customFormat="1" ht="12" hidden="1">
      <c r="A36" s="465">
        <v>10131000035451</v>
      </c>
      <c r="B36" s="476" t="s">
        <v>2489</v>
      </c>
      <c r="C36" s="476" t="s">
        <v>2530</v>
      </c>
      <c r="D36" s="467" t="s">
        <v>1045</v>
      </c>
      <c r="E36" s="472" t="s">
        <v>2491</v>
      </c>
      <c r="F36" s="477">
        <v>0</v>
      </c>
      <c r="G36" s="469" t="s">
        <v>2472</v>
      </c>
      <c r="H36" s="470">
        <v>1E-8</v>
      </c>
      <c r="I36" s="471">
        <v>0</v>
      </c>
      <c r="J36" s="472" t="s">
        <v>2492</v>
      </c>
      <c r="K36" s="478" t="s">
        <v>2522</v>
      </c>
      <c r="L36" s="479" t="s">
        <v>530</v>
      </c>
      <c r="M36" s="479" t="s">
        <v>2481</v>
      </c>
      <c r="N36" s="479" t="s">
        <v>204</v>
      </c>
      <c r="O36" s="480" t="s">
        <v>2531</v>
      </c>
    </row>
    <row r="37" spans="1:15" s="475" customFormat="1" ht="12" hidden="1">
      <c r="A37" s="465">
        <v>10131000053031</v>
      </c>
      <c r="B37" s="476" t="s">
        <v>2489</v>
      </c>
      <c r="C37" s="476" t="s">
        <v>2532</v>
      </c>
      <c r="D37" s="467" t="s">
        <v>1045</v>
      </c>
      <c r="E37" s="472" t="s">
        <v>2491</v>
      </c>
      <c r="F37" s="477">
        <v>0</v>
      </c>
      <c r="G37" s="469" t="s">
        <v>2472</v>
      </c>
      <c r="H37" s="470">
        <v>1E-8</v>
      </c>
      <c r="I37" s="471">
        <v>0</v>
      </c>
      <c r="J37" s="472" t="s">
        <v>2492</v>
      </c>
      <c r="K37" s="478" t="s">
        <v>2522</v>
      </c>
      <c r="L37" s="479" t="s">
        <v>530</v>
      </c>
      <c r="M37" s="479" t="s">
        <v>2481</v>
      </c>
      <c r="N37" s="479" t="s">
        <v>204</v>
      </c>
      <c r="O37" s="480" t="s">
        <v>2533</v>
      </c>
    </row>
    <row r="38" spans="1:15" s="475" customFormat="1" ht="12" hidden="1">
      <c r="A38" s="465">
        <v>10131000053769</v>
      </c>
      <c r="B38" s="476" t="s">
        <v>2489</v>
      </c>
      <c r="C38" s="476" t="s">
        <v>2534</v>
      </c>
      <c r="D38" s="467" t="s">
        <v>1045</v>
      </c>
      <c r="E38" s="472" t="s">
        <v>2491</v>
      </c>
      <c r="F38" s="477">
        <v>0</v>
      </c>
      <c r="G38" s="469" t="s">
        <v>2472</v>
      </c>
      <c r="H38" s="470">
        <v>1E-8</v>
      </c>
      <c r="I38" s="471">
        <v>0</v>
      </c>
      <c r="J38" s="472" t="s">
        <v>2492</v>
      </c>
      <c r="K38" s="478" t="s">
        <v>2522</v>
      </c>
      <c r="L38" s="479" t="s">
        <v>530</v>
      </c>
      <c r="M38" s="479" t="s">
        <v>2481</v>
      </c>
      <c r="N38" s="479" t="s">
        <v>204</v>
      </c>
      <c r="O38" s="480" t="s">
        <v>2493</v>
      </c>
    </row>
    <row r="39" spans="1:15" s="475" customFormat="1" ht="12" hidden="1">
      <c r="A39" s="465">
        <v>10131000054510</v>
      </c>
      <c r="B39" s="476" t="s">
        <v>2489</v>
      </c>
      <c r="C39" s="476" t="s">
        <v>2489</v>
      </c>
      <c r="D39" s="467" t="s">
        <v>1045</v>
      </c>
      <c r="E39" s="472" t="s">
        <v>2491</v>
      </c>
      <c r="F39" s="477">
        <v>0</v>
      </c>
      <c r="G39" s="469" t="s">
        <v>2472</v>
      </c>
      <c r="H39" s="470">
        <v>1E-8</v>
      </c>
      <c r="I39" s="471">
        <v>0</v>
      </c>
      <c r="J39" s="472" t="s">
        <v>2492</v>
      </c>
      <c r="K39" s="478" t="s">
        <v>2522</v>
      </c>
      <c r="L39" s="479" t="s">
        <v>530</v>
      </c>
      <c r="M39" s="479" t="s">
        <v>2481</v>
      </c>
      <c r="N39" s="479" t="s">
        <v>204</v>
      </c>
      <c r="O39" s="480" t="s">
        <v>2535</v>
      </c>
    </row>
    <row r="40" spans="1:15" s="475" customFormat="1" ht="12" hidden="1">
      <c r="A40" s="465">
        <v>10131000057445</v>
      </c>
      <c r="B40" s="476" t="s">
        <v>2489</v>
      </c>
      <c r="C40" s="476" t="s">
        <v>2536</v>
      </c>
      <c r="D40" s="467" t="s">
        <v>1045</v>
      </c>
      <c r="E40" s="472" t="s">
        <v>2491</v>
      </c>
      <c r="F40" s="477">
        <v>0</v>
      </c>
      <c r="G40" s="469" t="s">
        <v>2472</v>
      </c>
      <c r="H40" s="470">
        <v>1E-8</v>
      </c>
      <c r="I40" s="471">
        <v>0</v>
      </c>
      <c r="J40" s="472" t="s">
        <v>2492</v>
      </c>
      <c r="K40" s="478" t="s">
        <v>2522</v>
      </c>
      <c r="L40" s="479" t="s">
        <v>530</v>
      </c>
      <c r="M40" s="479" t="s">
        <v>2481</v>
      </c>
      <c r="N40" s="479" t="s">
        <v>204</v>
      </c>
      <c r="O40" s="480" t="s">
        <v>2496</v>
      </c>
    </row>
    <row r="41" spans="1:15" s="475" customFormat="1" ht="12" hidden="1">
      <c r="A41" s="465">
        <v>10131000039030</v>
      </c>
      <c r="B41" s="476" t="s">
        <v>2489</v>
      </c>
      <c r="C41" s="484" t="s">
        <v>2537</v>
      </c>
      <c r="D41" s="467" t="s">
        <v>1045</v>
      </c>
      <c r="E41" s="472" t="s">
        <v>2491</v>
      </c>
      <c r="F41" s="477">
        <v>0</v>
      </c>
      <c r="G41" s="469" t="s">
        <v>2472</v>
      </c>
      <c r="H41" s="470">
        <v>1E-8</v>
      </c>
      <c r="I41" s="471">
        <v>1E-8</v>
      </c>
      <c r="J41" s="485" t="s">
        <v>421</v>
      </c>
      <c r="K41" s="472" t="s">
        <v>637</v>
      </c>
      <c r="L41" s="473" t="s">
        <v>530</v>
      </c>
      <c r="M41" s="473" t="s">
        <v>2481</v>
      </c>
      <c r="N41" s="473" t="s">
        <v>204</v>
      </c>
      <c r="O41" s="474" t="s">
        <v>2538</v>
      </c>
    </row>
    <row r="42" spans="1:15" s="475" customFormat="1" ht="12" hidden="1">
      <c r="A42" s="465">
        <v>10131000057293</v>
      </c>
      <c r="B42" s="484" t="s">
        <v>2489</v>
      </c>
      <c r="C42" s="484" t="s">
        <v>2539</v>
      </c>
      <c r="D42" s="467" t="s">
        <v>1045</v>
      </c>
      <c r="E42" s="472" t="s">
        <v>2491</v>
      </c>
      <c r="F42" s="477">
        <v>0</v>
      </c>
      <c r="G42" s="469" t="s">
        <v>2472</v>
      </c>
      <c r="H42" s="470">
        <v>1E-8</v>
      </c>
      <c r="I42" s="471">
        <v>1E-8</v>
      </c>
      <c r="J42" s="485" t="s">
        <v>421</v>
      </c>
      <c r="K42" s="472" t="s">
        <v>651</v>
      </c>
      <c r="L42" s="473" t="s">
        <v>530</v>
      </c>
      <c r="M42" s="473" t="s">
        <v>2481</v>
      </c>
      <c r="N42" s="473" t="s">
        <v>204</v>
      </c>
      <c r="O42" s="474" t="s">
        <v>2520</v>
      </c>
    </row>
    <row r="43" spans="1:15" s="475" customFormat="1" ht="12" hidden="1">
      <c r="A43" s="465">
        <v>10131000056272</v>
      </c>
      <c r="B43" s="476" t="s">
        <v>2489</v>
      </c>
      <c r="C43" s="476" t="s">
        <v>2540</v>
      </c>
      <c r="D43" s="467" t="s">
        <v>1045</v>
      </c>
      <c r="E43" s="472" t="s">
        <v>2541</v>
      </c>
      <c r="F43" s="477">
        <v>0</v>
      </c>
      <c r="G43" s="469" t="s">
        <v>2472</v>
      </c>
      <c r="H43" s="470">
        <v>1E-8</v>
      </c>
      <c r="I43" s="471">
        <v>1.5324781650000001E-8</v>
      </c>
      <c r="J43" s="485" t="s">
        <v>421</v>
      </c>
      <c r="K43" s="472" t="s">
        <v>651</v>
      </c>
      <c r="L43" s="473" t="s">
        <v>530</v>
      </c>
      <c r="M43" s="473" t="s">
        <v>2481</v>
      </c>
      <c r="N43" s="473" t="s">
        <v>204</v>
      </c>
      <c r="O43" s="486" t="s">
        <v>2542</v>
      </c>
    </row>
    <row r="44" spans="1:15" s="475" customFormat="1" ht="12" hidden="1">
      <c r="A44" s="465">
        <v>10131000057350</v>
      </c>
      <c r="B44" s="476" t="s">
        <v>2489</v>
      </c>
      <c r="C44" s="476" t="s">
        <v>2543</v>
      </c>
      <c r="D44" s="467" t="s">
        <v>1045</v>
      </c>
      <c r="E44" s="472" t="s">
        <v>2541</v>
      </c>
      <c r="F44" s="477">
        <v>0</v>
      </c>
      <c r="G44" s="469" t="s">
        <v>2472</v>
      </c>
      <c r="H44" s="470">
        <v>1E-8</v>
      </c>
      <c r="I44" s="471">
        <v>1.5324781650000001E-8</v>
      </c>
      <c r="J44" s="485" t="s">
        <v>421</v>
      </c>
      <c r="K44" s="472" t="s">
        <v>651</v>
      </c>
      <c r="L44" s="473" t="s">
        <v>530</v>
      </c>
      <c r="M44" s="473" t="s">
        <v>2481</v>
      </c>
      <c r="N44" s="473" t="s">
        <v>204</v>
      </c>
      <c r="O44" s="474" t="s">
        <v>2544</v>
      </c>
    </row>
    <row r="45" spans="1:15" s="475" customFormat="1" ht="12" hidden="1">
      <c r="A45" s="465">
        <v>10131000057351</v>
      </c>
      <c r="B45" s="476" t="s">
        <v>2489</v>
      </c>
      <c r="C45" s="476" t="s">
        <v>2543</v>
      </c>
      <c r="D45" s="467" t="s">
        <v>1045</v>
      </c>
      <c r="E45" s="472" t="s">
        <v>2541</v>
      </c>
      <c r="F45" s="477">
        <v>0</v>
      </c>
      <c r="G45" s="469" t="s">
        <v>2472</v>
      </c>
      <c r="H45" s="470">
        <v>1E-8</v>
      </c>
      <c r="I45" s="471">
        <v>1.5324781650000001E-8</v>
      </c>
      <c r="J45" s="485" t="s">
        <v>421</v>
      </c>
      <c r="K45" s="472" t="s">
        <v>651</v>
      </c>
      <c r="L45" s="473" t="s">
        <v>530</v>
      </c>
      <c r="M45" s="473" t="s">
        <v>2481</v>
      </c>
      <c r="N45" s="473" t="s">
        <v>204</v>
      </c>
      <c r="O45" s="474" t="s">
        <v>2544</v>
      </c>
    </row>
    <row r="46" spans="1:15" s="475" customFormat="1" ht="12" hidden="1">
      <c r="A46" s="465">
        <v>10131000015900</v>
      </c>
      <c r="B46" s="476" t="s">
        <v>2489</v>
      </c>
      <c r="C46" s="466" t="s">
        <v>2489</v>
      </c>
      <c r="D46" s="467" t="s">
        <v>1045</v>
      </c>
      <c r="E46" s="468" t="s">
        <v>2491</v>
      </c>
      <c r="F46" s="477">
        <v>0</v>
      </c>
      <c r="G46" s="469" t="s">
        <v>2472</v>
      </c>
      <c r="H46" s="470">
        <v>0</v>
      </c>
      <c r="I46" s="471">
        <v>0</v>
      </c>
      <c r="J46" s="472" t="s">
        <v>423</v>
      </c>
      <c r="K46" s="472" t="s">
        <v>534</v>
      </c>
      <c r="L46" s="473" t="s">
        <v>530</v>
      </c>
      <c r="M46" s="473" t="s">
        <v>2481</v>
      </c>
      <c r="N46" s="473" t="s">
        <v>204</v>
      </c>
      <c r="O46" s="474" t="s">
        <v>2516</v>
      </c>
    </row>
    <row r="47" spans="1:15" s="475" customFormat="1" ht="12" hidden="1">
      <c r="A47" s="465">
        <v>10131000020726</v>
      </c>
      <c r="B47" s="476" t="s">
        <v>2489</v>
      </c>
      <c r="C47" s="466" t="s">
        <v>2489</v>
      </c>
      <c r="D47" s="467" t="s">
        <v>1045</v>
      </c>
      <c r="E47" s="468" t="s">
        <v>2491</v>
      </c>
      <c r="F47" s="477">
        <v>0</v>
      </c>
      <c r="G47" s="469" t="s">
        <v>2472</v>
      </c>
      <c r="H47" s="470">
        <v>0</v>
      </c>
      <c r="I47" s="471">
        <v>0</v>
      </c>
      <c r="J47" s="472" t="s">
        <v>423</v>
      </c>
      <c r="K47" s="472" t="s">
        <v>534</v>
      </c>
      <c r="L47" s="473" t="s">
        <v>530</v>
      </c>
      <c r="M47" s="473" t="s">
        <v>2481</v>
      </c>
      <c r="N47" s="473" t="s">
        <v>204</v>
      </c>
      <c r="O47" s="474" t="s">
        <v>2516</v>
      </c>
    </row>
    <row r="48" spans="1:15" s="475" customFormat="1" ht="12" hidden="1">
      <c r="A48" s="465">
        <v>10131000051999</v>
      </c>
      <c r="B48" s="476" t="s">
        <v>2545</v>
      </c>
      <c r="C48" s="476" t="s">
        <v>2545</v>
      </c>
      <c r="D48" s="467" t="s">
        <v>1045</v>
      </c>
      <c r="E48" s="472" t="s">
        <v>2541</v>
      </c>
      <c r="F48" s="477">
        <v>0</v>
      </c>
      <c r="G48" s="469" t="s">
        <v>2472</v>
      </c>
      <c r="H48" s="470">
        <v>1E-8</v>
      </c>
      <c r="I48" s="471">
        <v>1.5324781650000001E-8</v>
      </c>
      <c r="J48" s="485" t="s">
        <v>421</v>
      </c>
      <c r="K48" s="472" t="s">
        <v>651</v>
      </c>
      <c r="L48" s="473" t="s">
        <v>530</v>
      </c>
      <c r="M48" s="473" t="s">
        <v>2481</v>
      </c>
      <c r="N48" s="473" t="s">
        <v>204</v>
      </c>
      <c r="O48" s="474" t="s">
        <v>2546</v>
      </c>
    </row>
    <row r="49" spans="1:15" s="475" customFormat="1" ht="12" hidden="1">
      <c r="A49" s="465">
        <v>10131000053747</v>
      </c>
      <c r="B49" s="476" t="s">
        <v>2545</v>
      </c>
      <c r="C49" s="476" t="s">
        <v>2545</v>
      </c>
      <c r="D49" s="467" t="s">
        <v>1045</v>
      </c>
      <c r="E49" s="472" t="s">
        <v>2491</v>
      </c>
      <c r="F49" s="477">
        <v>0</v>
      </c>
      <c r="G49" s="469" t="s">
        <v>2472</v>
      </c>
      <c r="H49" s="470">
        <v>1E-8</v>
      </c>
      <c r="I49" s="471">
        <v>1E-8</v>
      </c>
      <c r="J49" s="485" t="s">
        <v>421</v>
      </c>
      <c r="K49" s="472" t="s">
        <v>651</v>
      </c>
      <c r="L49" s="473" t="s">
        <v>530</v>
      </c>
      <c r="M49" s="473" t="s">
        <v>2481</v>
      </c>
      <c r="N49" s="473" t="s">
        <v>204</v>
      </c>
      <c r="O49" s="474" t="s">
        <v>2546</v>
      </c>
    </row>
    <row r="50" spans="1:15" s="475" customFormat="1" ht="12" hidden="1">
      <c r="A50" s="465">
        <v>10131000053748</v>
      </c>
      <c r="B50" s="476" t="s">
        <v>2545</v>
      </c>
      <c r="C50" s="476" t="s">
        <v>2545</v>
      </c>
      <c r="D50" s="467" t="s">
        <v>1045</v>
      </c>
      <c r="E50" s="472" t="s">
        <v>2541</v>
      </c>
      <c r="F50" s="477">
        <v>0</v>
      </c>
      <c r="G50" s="469" t="s">
        <v>2472</v>
      </c>
      <c r="H50" s="470">
        <v>1E-8</v>
      </c>
      <c r="I50" s="471">
        <v>1.5324781650000001E-8</v>
      </c>
      <c r="J50" s="485" t="s">
        <v>421</v>
      </c>
      <c r="K50" s="472" t="s">
        <v>651</v>
      </c>
      <c r="L50" s="473" t="s">
        <v>530</v>
      </c>
      <c r="M50" s="473" t="s">
        <v>2481</v>
      </c>
      <c r="N50" s="473" t="s">
        <v>204</v>
      </c>
      <c r="O50" s="474" t="s">
        <v>2546</v>
      </c>
    </row>
    <row r="51" spans="1:15" s="475" customFormat="1" ht="12" hidden="1">
      <c r="A51" s="465">
        <v>10131000058617</v>
      </c>
      <c r="B51" s="476" t="s">
        <v>2547</v>
      </c>
      <c r="C51" s="476" t="s">
        <v>2548</v>
      </c>
      <c r="D51" s="467" t="s">
        <v>1045</v>
      </c>
      <c r="E51" s="472" t="s">
        <v>2541</v>
      </c>
      <c r="F51" s="469" t="s">
        <v>2472</v>
      </c>
      <c r="G51" s="469" t="s">
        <v>2472</v>
      </c>
      <c r="H51" s="470">
        <v>1E-8</v>
      </c>
      <c r="I51" s="471">
        <v>1.5324781650000001E-8</v>
      </c>
      <c r="J51" s="485" t="s">
        <v>421</v>
      </c>
      <c r="K51" s="472" t="s">
        <v>651</v>
      </c>
      <c r="L51" s="473" t="s">
        <v>530</v>
      </c>
      <c r="M51" s="473" t="s">
        <v>2481</v>
      </c>
      <c r="N51" s="473" t="s">
        <v>204</v>
      </c>
      <c r="O51" s="486" t="s">
        <v>2549</v>
      </c>
    </row>
    <row r="52" spans="1:15" s="475" customFormat="1" ht="12" hidden="1">
      <c r="A52" s="465">
        <v>10131000057248</v>
      </c>
      <c r="B52" s="466" t="s">
        <v>2550</v>
      </c>
      <c r="C52" s="466" t="s">
        <v>2550</v>
      </c>
      <c r="D52" s="467" t="s">
        <v>990</v>
      </c>
      <c r="E52" s="468" t="s">
        <v>2491</v>
      </c>
      <c r="F52" s="477">
        <v>1500</v>
      </c>
      <c r="G52" s="469" t="s">
        <v>2472</v>
      </c>
      <c r="H52" s="470">
        <v>1500</v>
      </c>
      <c r="I52" s="471">
        <v>1500</v>
      </c>
      <c r="J52" s="472" t="s">
        <v>423</v>
      </c>
      <c r="K52" s="472" t="s">
        <v>534</v>
      </c>
      <c r="L52" s="473" t="s">
        <v>530</v>
      </c>
      <c r="M52" s="473" t="s">
        <v>2481</v>
      </c>
      <c r="N52" s="473" t="s">
        <v>204</v>
      </c>
      <c r="O52" s="474" t="s">
        <v>1829</v>
      </c>
    </row>
    <row r="53" spans="1:15" s="475" customFormat="1" ht="12" hidden="1">
      <c r="A53" s="465">
        <v>10131000057247</v>
      </c>
      <c r="B53" s="466" t="s">
        <v>2551</v>
      </c>
      <c r="C53" s="466" t="s">
        <v>2551</v>
      </c>
      <c r="D53" s="467" t="s">
        <v>2552</v>
      </c>
      <c r="E53" s="468" t="s">
        <v>2491</v>
      </c>
      <c r="F53" s="477">
        <v>0.95</v>
      </c>
      <c r="G53" s="469" t="s">
        <v>2472</v>
      </c>
      <c r="H53" s="470">
        <v>0.95</v>
      </c>
      <c r="I53" s="471">
        <v>0.95</v>
      </c>
      <c r="J53" s="472" t="s">
        <v>423</v>
      </c>
      <c r="K53" s="472" t="s">
        <v>534</v>
      </c>
      <c r="L53" s="473" t="s">
        <v>530</v>
      </c>
      <c r="M53" s="473" t="s">
        <v>2481</v>
      </c>
      <c r="N53" s="473" t="s">
        <v>204</v>
      </c>
      <c r="O53" s="474" t="s">
        <v>2553</v>
      </c>
    </row>
    <row r="54" spans="1:15" s="475" customFormat="1" ht="12" hidden="1">
      <c r="A54" s="465">
        <v>10131000029986</v>
      </c>
      <c r="B54" s="476" t="s">
        <v>2554</v>
      </c>
      <c r="C54" s="476" t="s">
        <v>2554</v>
      </c>
      <c r="D54" s="467" t="s">
        <v>1045</v>
      </c>
      <c r="E54" s="472" t="s">
        <v>2491</v>
      </c>
      <c r="F54" s="477">
        <v>0</v>
      </c>
      <c r="G54" s="469" t="s">
        <v>2472</v>
      </c>
      <c r="H54" s="470">
        <v>1E-8</v>
      </c>
      <c r="I54" s="471">
        <v>0</v>
      </c>
      <c r="J54" s="472" t="s">
        <v>2492</v>
      </c>
      <c r="K54" s="478" t="s">
        <v>2522</v>
      </c>
      <c r="L54" s="479" t="s">
        <v>530</v>
      </c>
      <c r="M54" s="479" t="s">
        <v>2555</v>
      </c>
      <c r="N54" s="479" t="s">
        <v>2556</v>
      </c>
      <c r="O54" s="480" t="s">
        <v>2557</v>
      </c>
    </row>
    <row r="55" spans="1:15" s="475" customFormat="1" ht="12" hidden="1">
      <c r="A55" s="465">
        <v>10131000056359</v>
      </c>
      <c r="B55" s="466" t="s">
        <v>2558</v>
      </c>
      <c r="C55" s="466" t="s">
        <v>2558</v>
      </c>
      <c r="D55" s="467" t="s">
        <v>1245</v>
      </c>
      <c r="E55" s="468" t="s">
        <v>2491</v>
      </c>
      <c r="F55" s="477">
        <v>215.625</v>
      </c>
      <c r="G55" s="469" t="s">
        <v>2472</v>
      </c>
      <c r="H55" s="470">
        <v>238.4</v>
      </c>
      <c r="I55" s="471">
        <v>238.4</v>
      </c>
      <c r="J55" s="472" t="s">
        <v>423</v>
      </c>
      <c r="K55" s="472" t="s">
        <v>534</v>
      </c>
      <c r="L55" s="473" t="s">
        <v>530</v>
      </c>
      <c r="M55" s="473" t="s">
        <v>2559</v>
      </c>
      <c r="N55" s="473" t="s">
        <v>2560</v>
      </c>
      <c r="O55" s="474" t="s">
        <v>2561</v>
      </c>
    </row>
    <row r="56" spans="1:15" s="475" customFormat="1" ht="12" hidden="1">
      <c r="A56" s="465">
        <v>10131000056460</v>
      </c>
      <c r="B56" s="476" t="s">
        <v>2562</v>
      </c>
      <c r="C56" s="476" t="s">
        <v>2562</v>
      </c>
      <c r="D56" s="467" t="s">
        <v>12</v>
      </c>
      <c r="E56" s="472" t="s">
        <v>2491</v>
      </c>
      <c r="F56" s="477">
        <v>150</v>
      </c>
      <c r="G56" s="469" t="s">
        <v>2472</v>
      </c>
      <c r="H56" s="487">
        <v>154.41</v>
      </c>
      <c r="I56" s="471">
        <v>154.41</v>
      </c>
      <c r="J56" s="488" t="s">
        <v>2492</v>
      </c>
      <c r="K56" s="472" t="s">
        <v>2522</v>
      </c>
      <c r="L56" s="473" t="s">
        <v>530</v>
      </c>
      <c r="M56" s="473" t="s">
        <v>2559</v>
      </c>
      <c r="N56" s="473" t="s">
        <v>2560</v>
      </c>
      <c r="O56" s="474" t="s">
        <v>2563</v>
      </c>
    </row>
    <row r="57" spans="1:15" s="475" customFormat="1" ht="12" hidden="1">
      <c r="A57" s="465">
        <v>1000058586</v>
      </c>
      <c r="B57" s="476" t="s">
        <v>2562</v>
      </c>
      <c r="C57" s="476" t="s">
        <v>2564</v>
      </c>
      <c r="D57" s="467" t="s">
        <v>12</v>
      </c>
      <c r="E57" s="472" t="s">
        <v>2491</v>
      </c>
      <c r="F57" s="469" t="s">
        <v>2472</v>
      </c>
      <c r="G57" s="469" t="s">
        <v>2472</v>
      </c>
      <c r="H57" s="487">
        <v>154.41</v>
      </c>
      <c r="I57" s="471">
        <v>154.41</v>
      </c>
      <c r="J57" s="488" t="s">
        <v>2492</v>
      </c>
      <c r="K57" s="472" t="s">
        <v>658</v>
      </c>
      <c r="L57" s="473" t="s">
        <v>530</v>
      </c>
      <c r="M57" s="473" t="s">
        <v>2559</v>
      </c>
      <c r="N57" s="473" t="s">
        <v>2560</v>
      </c>
      <c r="O57" s="474" t="s">
        <v>2563</v>
      </c>
    </row>
    <row r="58" spans="1:15" s="475" customFormat="1" ht="12" hidden="1">
      <c r="A58" s="465">
        <v>10131000024885</v>
      </c>
      <c r="B58" s="476" t="s">
        <v>2565</v>
      </c>
      <c r="C58" s="476" t="s">
        <v>2565</v>
      </c>
      <c r="D58" s="467" t="s">
        <v>12</v>
      </c>
      <c r="E58" s="472" t="s">
        <v>2541</v>
      </c>
      <c r="F58" s="477">
        <v>1.40076</v>
      </c>
      <c r="G58" s="469" t="s">
        <v>2472</v>
      </c>
      <c r="H58" s="470">
        <v>1.18</v>
      </c>
      <c r="I58" s="471">
        <v>1.8083242346999997</v>
      </c>
      <c r="J58" s="485" t="s">
        <v>421</v>
      </c>
      <c r="K58" s="472" t="s">
        <v>651</v>
      </c>
      <c r="L58" s="473" t="s">
        <v>530</v>
      </c>
      <c r="M58" s="473" t="s">
        <v>2559</v>
      </c>
      <c r="N58" s="473" t="s">
        <v>820</v>
      </c>
      <c r="O58" s="474" t="s">
        <v>2566</v>
      </c>
    </row>
    <row r="59" spans="1:15" s="475" customFormat="1" ht="12" hidden="1">
      <c r="A59" s="465">
        <v>10131000024887</v>
      </c>
      <c r="B59" s="476" t="s">
        <v>2565</v>
      </c>
      <c r="C59" s="476" t="s">
        <v>2565</v>
      </c>
      <c r="D59" s="467" t="s">
        <v>12</v>
      </c>
      <c r="E59" s="472" t="s">
        <v>2541</v>
      </c>
      <c r="F59" s="477">
        <v>1.40076</v>
      </c>
      <c r="G59" s="469" t="s">
        <v>2472</v>
      </c>
      <c r="H59" s="470">
        <v>1.18</v>
      </c>
      <c r="I59" s="471">
        <v>1.8083242346999997</v>
      </c>
      <c r="J59" s="485" t="s">
        <v>421</v>
      </c>
      <c r="K59" s="472" t="s">
        <v>651</v>
      </c>
      <c r="L59" s="473" t="s">
        <v>530</v>
      </c>
      <c r="M59" s="473" t="s">
        <v>2559</v>
      </c>
      <c r="N59" s="473" t="s">
        <v>820</v>
      </c>
      <c r="O59" s="474" t="s">
        <v>2566</v>
      </c>
    </row>
    <row r="60" spans="1:15" s="475" customFormat="1" ht="12" hidden="1">
      <c r="A60" s="465">
        <v>10131000024891</v>
      </c>
      <c r="B60" s="476" t="s">
        <v>2565</v>
      </c>
      <c r="C60" s="476" t="s">
        <v>2565</v>
      </c>
      <c r="D60" s="467" t="s">
        <v>12</v>
      </c>
      <c r="E60" s="472" t="s">
        <v>2541</v>
      </c>
      <c r="F60" s="477">
        <v>1.40076</v>
      </c>
      <c r="G60" s="469" t="s">
        <v>2472</v>
      </c>
      <c r="H60" s="470">
        <v>1.18</v>
      </c>
      <c r="I60" s="471">
        <v>1.8083242346999997</v>
      </c>
      <c r="J60" s="485" t="s">
        <v>421</v>
      </c>
      <c r="K60" s="472" t="s">
        <v>651</v>
      </c>
      <c r="L60" s="473" t="s">
        <v>530</v>
      </c>
      <c r="M60" s="473" t="s">
        <v>2559</v>
      </c>
      <c r="N60" s="473" t="s">
        <v>820</v>
      </c>
      <c r="O60" s="474" t="s">
        <v>2566</v>
      </c>
    </row>
    <row r="61" spans="1:15" s="475" customFormat="1" ht="12" hidden="1">
      <c r="A61" s="465">
        <v>10131000024893</v>
      </c>
      <c r="B61" s="476" t="s">
        <v>2565</v>
      </c>
      <c r="C61" s="476" t="s">
        <v>2565</v>
      </c>
      <c r="D61" s="467" t="s">
        <v>12</v>
      </c>
      <c r="E61" s="472" t="s">
        <v>2541</v>
      </c>
      <c r="F61" s="477">
        <v>1.40076</v>
      </c>
      <c r="G61" s="469" t="s">
        <v>2472</v>
      </c>
      <c r="H61" s="470">
        <v>1.18</v>
      </c>
      <c r="I61" s="471">
        <v>1.8083242346999997</v>
      </c>
      <c r="J61" s="485" t="s">
        <v>421</v>
      </c>
      <c r="K61" s="472" t="s">
        <v>651</v>
      </c>
      <c r="L61" s="473" t="s">
        <v>530</v>
      </c>
      <c r="M61" s="473" t="s">
        <v>2559</v>
      </c>
      <c r="N61" s="473" t="s">
        <v>820</v>
      </c>
      <c r="O61" s="474" t="s">
        <v>2566</v>
      </c>
    </row>
    <row r="62" spans="1:15" s="475" customFormat="1" ht="12" hidden="1">
      <c r="A62" s="465">
        <v>10131000024888</v>
      </c>
      <c r="B62" s="476" t="s">
        <v>2565</v>
      </c>
      <c r="C62" s="476" t="s">
        <v>2565</v>
      </c>
      <c r="D62" s="467" t="s">
        <v>12</v>
      </c>
      <c r="E62" s="472" t="s">
        <v>2491</v>
      </c>
      <c r="F62" s="477">
        <v>1.4039999999999999</v>
      </c>
      <c r="G62" s="469" t="s">
        <v>2472</v>
      </c>
      <c r="H62" s="470">
        <v>1.8</v>
      </c>
      <c r="I62" s="471">
        <v>1.8</v>
      </c>
      <c r="J62" s="485" t="s">
        <v>421</v>
      </c>
      <c r="K62" s="472" t="s">
        <v>651</v>
      </c>
      <c r="L62" s="473" t="s">
        <v>530</v>
      </c>
      <c r="M62" s="473" t="s">
        <v>2559</v>
      </c>
      <c r="N62" s="473" t="s">
        <v>820</v>
      </c>
      <c r="O62" s="474" t="s">
        <v>2566</v>
      </c>
    </row>
    <row r="63" spans="1:15" s="475" customFormat="1" ht="12" hidden="1">
      <c r="A63" s="465">
        <v>10131000024894</v>
      </c>
      <c r="B63" s="476" t="s">
        <v>2565</v>
      </c>
      <c r="C63" s="476" t="s">
        <v>2565</v>
      </c>
      <c r="D63" s="467" t="s">
        <v>12</v>
      </c>
      <c r="E63" s="472" t="s">
        <v>2491</v>
      </c>
      <c r="F63" s="477">
        <v>1.4039999999999999</v>
      </c>
      <c r="G63" s="469" t="s">
        <v>2472</v>
      </c>
      <c r="H63" s="470">
        <v>1.8</v>
      </c>
      <c r="I63" s="471">
        <v>1.8</v>
      </c>
      <c r="J63" s="485" t="s">
        <v>421</v>
      </c>
      <c r="K63" s="472" t="s">
        <v>651</v>
      </c>
      <c r="L63" s="473" t="s">
        <v>530</v>
      </c>
      <c r="M63" s="473" t="s">
        <v>2559</v>
      </c>
      <c r="N63" s="473" t="s">
        <v>820</v>
      </c>
      <c r="O63" s="474" t="s">
        <v>2566</v>
      </c>
    </row>
    <row r="64" spans="1:15" s="475" customFormat="1" ht="12" hidden="1">
      <c r="A64" s="465">
        <v>10131000007233</v>
      </c>
      <c r="B64" s="476" t="s">
        <v>2565</v>
      </c>
      <c r="C64" s="476" t="s">
        <v>2565</v>
      </c>
      <c r="D64" s="467" t="s">
        <v>12</v>
      </c>
      <c r="E64" s="472" t="s">
        <v>2541</v>
      </c>
      <c r="F64" s="477">
        <v>1.47858</v>
      </c>
      <c r="G64" s="469" t="s">
        <v>2472</v>
      </c>
      <c r="H64" s="470">
        <v>1.18</v>
      </c>
      <c r="I64" s="471">
        <v>1.8083242346999997</v>
      </c>
      <c r="J64" s="485" t="s">
        <v>421</v>
      </c>
      <c r="K64" s="472" t="s">
        <v>651</v>
      </c>
      <c r="L64" s="473" t="s">
        <v>530</v>
      </c>
      <c r="M64" s="473" t="s">
        <v>2559</v>
      </c>
      <c r="N64" s="473" t="s">
        <v>820</v>
      </c>
      <c r="O64" s="474" t="s">
        <v>2566</v>
      </c>
    </row>
    <row r="65" spans="1:15" s="475" customFormat="1" ht="12" hidden="1">
      <c r="A65" s="465">
        <v>10131000007235</v>
      </c>
      <c r="B65" s="476" t="s">
        <v>2565</v>
      </c>
      <c r="C65" s="476" t="s">
        <v>2565</v>
      </c>
      <c r="D65" s="467" t="s">
        <v>12</v>
      </c>
      <c r="E65" s="472" t="s">
        <v>2541</v>
      </c>
      <c r="F65" s="477">
        <v>1.47858</v>
      </c>
      <c r="G65" s="469" t="s">
        <v>2472</v>
      </c>
      <c r="H65" s="470">
        <v>1.18</v>
      </c>
      <c r="I65" s="471">
        <v>1.8083242346999997</v>
      </c>
      <c r="J65" s="485" t="s">
        <v>421</v>
      </c>
      <c r="K65" s="472" t="s">
        <v>651</v>
      </c>
      <c r="L65" s="473" t="s">
        <v>530</v>
      </c>
      <c r="M65" s="473" t="s">
        <v>2559</v>
      </c>
      <c r="N65" s="473" t="s">
        <v>820</v>
      </c>
      <c r="O65" s="474" t="s">
        <v>2566</v>
      </c>
    </row>
    <row r="66" spans="1:15" s="475" customFormat="1" ht="12" hidden="1">
      <c r="A66" s="465">
        <v>10131000007236</v>
      </c>
      <c r="B66" s="476" t="s">
        <v>2565</v>
      </c>
      <c r="C66" s="476" t="s">
        <v>2565</v>
      </c>
      <c r="D66" s="467" t="s">
        <v>12</v>
      </c>
      <c r="E66" s="472" t="s">
        <v>2491</v>
      </c>
      <c r="F66" s="477">
        <v>1.48</v>
      </c>
      <c r="G66" s="469" t="s">
        <v>2472</v>
      </c>
      <c r="H66" s="470">
        <v>1.8</v>
      </c>
      <c r="I66" s="471">
        <v>1.8</v>
      </c>
      <c r="J66" s="485" t="s">
        <v>421</v>
      </c>
      <c r="K66" s="472" t="s">
        <v>651</v>
      </c>
      <c r="L66" s="473" t="s">
        <v>530</v>
      </c>
      <c r="M66" s="473" t="s">
        <v>2559</v>
      </c>
      <c r="N66" s="473" t="s">
        <v>820</v>
      </c>
      <c r="O66" s="474" t="s">
        <v>2566</v>
      </c>
    </row>
    <row r="67" spans="1:15" s="475" customFormat="1" ht="12" hidden="1">
      <c r="A67" s="465">
        <v>10131000056459</v>
      </c>
      <c r="B67" s="476" t="s">
        <v>2567</v>
      </c>
      <c r="C67" s="476" t="s">
        <v>2567</v>
      </c>
      <c r="D67" s="467" t="s">
        <v>12</v>
      </c>
      <c r="E67" s="472" t="s">
        <v>2491</v>
      </c>
      <c r="F67" s="477">
        <v>1828.75</v>
      </c>
      <c r="G67" s="469" t="s">
        <v>2472</v>
      </c>
      <c r="H67" s="487">
        <v>2244.21</v>
      </c>
      <c r="I67" s="471">
        <v>2244.21</v>
      </c>
      <c r="J67" s="488" t="s">
        <v>2492</v>
      </c>
      <c r="K67" s="472" t="s">
        <v>2522</v>
      </c>
      <c r="L67" s="473" t="s">
        <v>530</v>
      </c>
      <c r="M67" s="473" t="s">
        <v>2559</v>
      </c>
      <c r="N67" s="473" t="s">
        <v>2568</v>
      </c>
      <c r="O67" s="474" t="s">
        <v>198</v>
      </c>
    </row>
    <row r="68" spans="1:15" s="475" customFormat="1" ht="12" hidden="1">
      <c r="A68" s="465">
        <v>10131000009899</v>
      </c>
      <c r="B68" s="466" t="s">
        <v>2569</v>
      </c>
      <c r="C68" s="466" t="s">
        <v>2569</v>
      </c>
      <c r="D68" s="467" t="s">
        <v>1045</v>
      </c>
      <c r="E68" s="468" t="s">
        <v>2491</v>
      </c>
      <c r="F68" s="477">
        <v>0</v>
      </c>
      <c r="G68" s="469" t="s">
        <v>2472</v>
      </c>
      <c r="H68" s="470">
        <v>0</v>
      </c>
      <c r="I68" s="471">
        <v>0</v>
      </c>
      <c r="J68" s="472" t="s">
        <v>423</v>
      </c>
      <c r="K68" s="472" t="s">
        <v>534</v>
      </c>
      <c r="L68" s="473" t="s">
        <v>530</v>
      </c>
      <c r="M68" s="473" t="s">
        <v>2559</v>
      </c>
      <c r="N68" s="473" t="s">
        <v>2570</v>
      </c>
      <c r="O68" s="474" t="s">
        <v>2571</v>
      </c>
    </row>
    <row r="69" spans="1:15" s="475" customFormat="1" ht="12" hidden="1">
      <c r="A69" s="465">
        <v>10131000056455</v>
      </c>
      <c r="B69" s="476" t="s">
        <v>2572</v>
      </c>
      <c r="C69" s="476" t="s">
        <v>2572</v>
      </c>
      <c r="D69" s="467" t="s">
        <v>1278</v>
      </c>
      <c r="E69" s="472" t="s">
        <v>2491</v>
      </c>
      <c r="F69" s="477">
        <v>9.6479999999999997</v>
      </c>
      <c r="G69" s="469" t="s">
        <v>2472</v>
      </c>
      <c r="H69" s="487">
        <v>10.58</v>
      </c>
      <c r="I69" s="471">
        <v>10.58</v>
      </c>
      <c r="J69" s="488" t="s">
        <v>2492</v>
      </c>
      <c r="K69" s="472" t="s">
        <v>2522</v>
      </c>
      <c r="L69" s="473" t="s">
        <v>530</v>
      </c>
      <c r="M69" s="473" t="s">
        <v>2559</v>
      </c>
      <c r="N69" s="473" t="s">
        <v>2573</v>
      </c>
      <c r="O69" s="474" t="s">
        <v>2574</v>
      </c>
    </row>
    <row r="70" spans="1:15" s="475" customFormat="1" ht="12" hidden="1">
      <c r="A70" s="465">
        <v>10131000056464</v>
      </c>
      <c r="B70" s="476" t="s">
        <v>2575</v>
      </c>
      <c r="C70" s="476" t="s">
        <v>2575</v>
      </c>
      <c r="D70" s="467" t="s">
        <v>1045</v>
      </c>
      <c r="E70" s="472" t="s">
        <v>2491</v>
      </c>
      <c r="F70" s="477">
        <v>0</v>
      </c>
      <c r="G70" s="469" t="s">
        <v>2472</v>
      </c>
      <c r="H70" s="487">
        <v>1427.93</v>
      </c>
      <c r="I70" s="471">
        <v>1427.93</v>
      </c>
      <c r="J70" s="488" t="s">
        <v>2492</v>
      </c>
      <c r="K70" s="472" t="s">
        <v>2522</v>
      </c>
      <c r="L70" s="473" t="s">
        <v>530</v>
      </c>
      <c r="M70" s="473" t="s">
        <v>2559</v>
      </c>
      <c r="N70" s="473" t="s">
        <v>2573</v>
      </c>
      <c r="O70" s="474" t="s">
        <v>2576</v>
      </c>
    </row>
    <row r="71" spans="1:15" s="475" customFormat="1" ht="12" hidden="1">
      <c r="A71" s="465">
        <v>1000058588</v>
      </c>
      <c r="B71" s="476" t="s">
        <v>2575</v>
      </c>
      <c r="C71" s="476" t="s">
        <v>2577</v>
      </c>
      <c r="D71" s="467" t="s">
        <v>2578</v>
      </c>
      <c r="E71" s="472" t="s">
        <v>2491</v>
      </c>
      <c r="F71" s="469" t="s">
        <v>2472</v>
      </c>
      <c r="G71" s="469" t="s">
        <v>2472</v>
      </c>
      <c r="H71" s="487">
        <v>1427.93</v>
      </c>
      <c r="I71" s="471">
        <v>1427.93</v>
      </c>
      <c r="J71" s="488" t="s">
        <v>2492</v>
      </c>
      <c r="K71" s="472" t="s">
        <v>658</v>
      </c>
      <c r="L71" s="473" t="s">
        <v>530</v>
      </c>
      <c r="M71" s="473" t="s">
        <v>2559</v>
      </c>
      <c r="N71" s="473" t="s">
        <v>2573</v>
      </c>
      <c r="O71" s="474" t="s">
        <v>2576</v>
      </c>
    </row>
    <row r="72" spans="1:15" s="475" customFormat="1" ht="12" hidden="1">
      <c r="A72" s="465">
        <v>10131000056456</v>
      </c>
      <c r="B72" s="476" t="s">
        <v>2579</v>
      </c>
      <c r="C72" s="476" t="s">
        <v>2579</v>
      </c>
      <c r="D72" s="467" t="s">
        <v>990</v>
      </c>
      <c r="E72" s="472" t="s">
        <v>2491</v>
      </c>
      <c r="F72" s="477">
        <v>19.872</v>
      </c>
      <c r="G72" s="469" t="s">
        <v>2472</v>
      </c>
      <c r="H72" s="487">
        <v>76.27</v>
      </c>
      <c r="I72" s="471">
        <v>76.27</v>
      </c>
      <c r="J72" s="488" t="s">
        <v>2492</v>
      </c>
      <c r="K72" s="472" t="s">
        <v>2522</v>
      </c>
      <c r="L72" s="473" t="s">
        <v>530</v>
      </c>
      <c r="M72" s="473" t="s">
        <v>2559</v>
      </c>
      <c r="N72" s="473" t="s">
        <v>2580</v>
      </c>
      <c r="O72" s="474" t="s">
        <v>2581</v>
      </c>
    </row>
    <row r="73" spans="1:15" s="475" customFormat="1" ht="12" hidden="1">
      <c r="A73" s="465">
        <v>10131000056354</v>
      </c>
      <c r="B73" s="466" t="s">
        <v>2579</v>
      </c>
      <c r="C73" s="466" t="s">
        <v>2579</v>
      </c>
      <c r="D73" s="467" t="s">
        <v>990</v>
      </c>
      <c r="E73" s="468" t="s">
        <v>2491</v>
      </c>
      <c r="F73" s="477">
        <v>146.25</v>
      </c>
      <c r="G73" s="469" t="s">
        <v>2472</v>
      </c>
      <c r="H73" s="470">
        <v>161.69999999999999</v>
      </c>
      <c r="I73" s="471">
        <v>161.69999999999999</v>
      </c>
      <c r="J73" s="472" t="s">
        <v>423</v>
      </c>
      <c r="K73" s="472" t="s">
        <v>534</v>
      </c>
      <c r="L73" s="473" t="s">
        <v>530</v>
      </c>
      <c r="M73" s="473" t="s">
        <v>2559</v>
      </c>
      <c r="N73" s="473" t="s">
        <v>2580</v>
      </c>
      <c r="O73" s="474" t="s">
        <v>2581</v>
      </c>
    </row>
    <row r="74" spans="1:15" s="475" customFormat="1" ht="12" hidden="1">
      <c r="A74" s="465">
        <v>1000058592</v>
      </c>
      <c r="B74" s="476" t="s">
        <v>2579</v>
      </c>
      <c r="C74" s="476" t="s">
        <v>2582</v>
      </c>
      <c r="D74" s="467" t="s">
        <v>990</v>
      </c>
      <c r="E74" s="472" t="s">
        <v>2491</v>
      </c>
      <c r="F74" s="469" t="s">
        <v>2472</v>
      </c>
      <c r="G74" s="469" t="s">
        <v>2472</v>
      </c>
      <c r="H74" s="487">
        <v>74.040000000000006</v>
      </c>
      <c r="I74" s="471">
        <v>74.040000000000006</v>
      </c>
      <c r="J74" s="488" t="s">
        <v>2492</v>
      </c>
      <c r="K74" s="472" t="s">
        <v>658</v>
      </c>
      <c r="L74" s="473" t="s">
        <v>530</v>
      </c>
      <c r="M74" s="473" t="s">
        <v>2559</v>
      </c>
      <c r="N74" s="473" t="s">
        <v>2580</v>
      </c>
      <c r="O74" s="474" t="s">
        <v>2581</v>
      </c>
    </row>
    <row r="75" spans="1:15" s="475" customFormat="1" ht="12" hidden="1">
      <c r="A75" s="465">
        <v>1000099025</v>
      </c>
      <c r="B75" s="466" t="s">
        <v>2579</v>
      </c>
      <c r="C75" s="466" t="s">
        <v>2579</v>
      </c>
      <c r="D75" s="467" t="s">
        <v>1278</v>
      </c>
      <c r="E75" s="468" t="s">
        <v>2471</v>
      </c>
      <c r="F75" s="469" t="s">
        <v>2472</v>
      </c>
      <c r="G75" s="469" t="s">
        <v>2472</v>
      </c>
      <c r="H75" s="470">
        <v>1105</v>
      </c>
      <c r="I75" s="471">
        <v>85.328185328185327</v>
      </c>
      <c r="J75" s="472" t="s">
        <v>422</v>
      </c>
      <c r="K75" s="472" t="s">
        <v>2473</v>
      </c>
      <c r="L75" s="473" t="s">
        <v>530</v>
      </c>
      <c r="M75" s="473" t="s">
        <v>2559</v>
      </c>
      <c r="N75" s="473" t="s">
        <v>2580</v>
      </c>
      <c r="O75" s="474" t="s">
        <v>2581</v>
      </c>
    </row>
    <row r="76" spans="1:15" s="475" customFormat="1" ht="12" hidden="1">
      <c r="A76" s="465">
        <v>10131000056452</v>
      </c>
      <c r="B76" s="476" t="s">
        <v>2583</v>
      </c>
      <c r="C76" s="476" t="s">
        <v>2583</v>
      </c>
      <c r="D76" s="467" t="s">
        <v>1278</v>
      </c>
      <c r="E76" s="472" t="s">
        <v>2491</v>
      </c>
      <c r="F76" s="477">
        <v>2.6280000000000001</v>
      </c>
      <c r="G76" s="469" t="s">
        <v>2472</v>
      </c>
      <c r="H76" s="487">
        <v>3.06</v>
      </c>
      <c r="I76" s="471">
        <v>3.06</v>
      </c>
      <c r="J76" s="488" t="s">
        <v>2492</v>
      </c>
      <c r="K76" s="472" t="s">
        <v>2522</v>
      </c>
      <c r="L76" s="473" t="s">
        <v>530</v>
      </c>
      <c r="M76" s="473" t="s">
        <v>2559</v>
      </c>
      <c r="N76" s="473" t="s">
        <v>2580</v>
      </c>
      <c r="O76" s="474" t="s">
        <v>2584</v>
      </c>
    </row>
    <row r="77" spans="1:15" s="475" customFormat="1" ht="12" hidden="1">
      <c r="A77" s="465">
        <v>10131000056350</v>
      </c>
      <c r="B77" s="466" t="s">
        <v>2583</v>
      </c>
      <c r="C77" s="466" t="s">
        <v>2583</v>
      </c>
      <c r="D77" s="467" t="s">
        <v>1278</v>
      </c>
      <c r="E77" s="468" t="s">
        <v>2491</v>
      </c>
      <c r="F77" s="477">
        <v>4.125</v>
      </c>
      <c r="G77" s="469" t="s">
        <v>2472</v>
      </c>
      <c r="H77" s="470">
        <v>4.5999999999999996</v>
      </c>
      <c r="I77" s="471">
        <v>4.5999999999999996</v>
      </c>
      <c r="J77" s="472" t="s">
        <v>423</v>
      </c>
      <c r="K77" s="472" t="s">
        <v>534</v>
      </c>
      <c r="L77" s="473" t="s">
        <v>530</v>
      </c>
      <c r="M77" s="473" t="s">
        <v>2559</v>
      </c>
      <c r="N77" s="473" t="s">
        <v>2580</v>
      </c>
      <c r="O77" s="474" t="s">
        <v>2584</v>
      </c>
    </row>
    <row r="78" spans="1:15" s="475" customFormat="1" ht="12" hidden="1">
      <c r="A78" s="465">
        <v>1000058590</v>
      </c>
      <c r="B78" s="476" t="s">
        <v>2583</v>
      </c>
      <c r="C78" s="476" t="s">
        <v>2585</v>
      </c>
      <c r="D78" s="467" t="s">
        <v>1278</v>
      </c>
      <c r="E78" s="472" t="s">
        <v>2491</v>
      </c>
      <c r="F78" s="469" t="s">
        <v>2472</v>
      </c>
      <c r="G78" s="469" t="s">
        <v>2472</v>
      </c>
      <c r="H78" s="487">
        <v>3.04</v>
      </c>
      <c r="I78" s="471">
        <v>3.04</v>
      </c>
      <c r="J78" s="488" t="s">
        <v>2492</v>
      </c>
      <c r="K78" s="472" t="s">
        <v>658</v>
      </c>
      <c r="L78" s="473" t="s">
        <v>530</v>
      </c>
      <c r="M78" s="473" t="s">
        <v>2559</v>
      </c>
      <c r="N78" s="473" t="s">
        <v>2580</v>
      </c>
      <c r="O78" s="474" t="s">
        <v>2584</v>
      </c>
    </row>
    <row r="79" spans="1:15" s="475" customFormat="1" ht="12" hidden="1">
      <c r="A79" s="465">
        <v>10131000056351</v>
      </c>
      <c r="B79" s="466" t="s">
        <v>2586</v>
      </c>
      <c r="C79" s="466" t="s">
        <v>2586</v>
      </c>
      <c r="D79" s="467" t="s">
        <v>990</v>
      </c>
      <c r="E79" s="468" t="s">
        <v>2491</v>
      </c>
      <c r="F79" s="477">
        <v>63.375</v>
      </c>
      <c r="G79" s="469" t="s">
        <v>2472</v>
      </c>
      <c r="H79" s="470">
        <v>70.099999999999994</v>
      </c>
      <c r="I79" s="471">
        <v>70.099999999999994</v>
      </c>
      <c r="J79" s="472" t="s">
        <v>423</v>
      </c>
      <c r="K79" s="472" t="s">
        <v>534</v>
      </c>
      <c r="L79" s="473" t="s">
        <v>530</v>
      </c>
      <c r="M79" s="473" t="s">
        <v>2559</v>
      </c>
      <c r="N79" s="473" t="s">
        <v>2580</v>
      </c>
      <c r="O79" s="474" t="s">
        <v>2587</v>
      </c>
    </row>
    <row r="80" spans="1:15" s="475" customFormat="1" ht="12" hidden="1">
      <c r="A80" s="465">
        <v>10131000056453</v>
      </c>
      <c r="B80" s="476" t="s">
        <v>2586</v>
      </c>
      <c r="C80" s="476" t="s">
        <v>2586</v>
      </c>
      <c r="D80" s="467" t="s">
        <v>990</v>
      </c>
      <c r="E80" s="472" t="s">
        <v>2491</v>
      </c>
      <c r="F80" s="477">
        <v>297</v>
      </c>
      <c r="G80" s="469" t="s">
        <v>2472</v>
      </c>
      <c r="H80" s="487">
        <v>352.39</v>
      </c>
      <c r="I80" s="471">
        <v>352.39</v>
      </c>
      <c r="J80" s="488" t="s">
        <v>2492</v>
      </c>
      <c r="K80" s="472" t="s">
        <v>2522</v>
      </c>
      <c r="L80" s="473" t="s">
        <v>530</v>
      </c>
      <c r="M80" s="473" t="s">
        <v>2559</v>
      </c>
      <c r="N80" s="473" t="s">
        <v>2580</v>
      </c>
      <c r="O80" s="474" t="s">
        <v>2587</v>
      </c>
    </row>
    <row r="81" spans="1:15" s="475" customFormat="1" ht="12" hidden="1">
      <c r="A81" s="465">
        <v>1000099024</v>
      </c>
      <c r="B81" s="466" t="s">
        <v>2586</v>
      </c>
      <c r="C81" s="466" t="s">
        <v>2586</v>
      </c>
      <c r="D81" s="467" t="s">
        <v>1278</v>
      </c>
      <c r="E81" s="468" t="s">
        <v>2471</v>
      </c>
      <c r="F81" s="469" t="s">
        <v>2472</v>
      </c>
      <c r="G81" s="469" t="s">
        <v>2472</v>
      </c>
      <c r="H81" s="470">
        <v>1495</v>
      </c>
      <c r="I81" s="471">
        <v>115.44401544401545</v>
      </c>
      <c r="J81" s="472" t="s">
        <v>422</v>
      </c>
      <c r="K81" s="472" t="s">
        <v>2473</v>
      </c>
      <c r="L81" s="473" t="s">
        <v>530</v>
      </c>
      <c r="M81" s="473" t="s">
        <v>2559</v>
      </c>
      <c r="N81" s="473" t="s">
        <v>2580</v>
      </c>
      <c r="O81" s="474" t="s">
        <v>2587</v>
      </c>
    </row>
    <row r="82" spans="1:15" s="475" customFormat="1" ht="12" hidden="1">
      <c r="A82" s="465">
        <v>10131000056352</v>
      </c>
      <c r="B82" s="466" t="s">
        <v>2588</v>
      </c>
      <c r="C82" s="466" t="s">
        <v>2588</v>
      </c>
      <c r="D82" s="467" t="s">
        <v>1278</v>
      </c>
      <c r="E82" s="468" t="s">
        <v>2491</v>
      </c>
      <c r="F82" s="477">
        <v>9.3750000030000002</v>
      </c>
      <c r="G82" s="469" t="s">
        <v>2472</v>
      </c>
      <c r="H82" s="470">
        <v>10.4</v>
      </c>
      <c r="I82" s="471">
        <v>10.4</v>
      </c>
      <c r="J82" s="472" t="s">
        <v>423</v>
      </c>
      <c r="K82" s="472" t="s">
        <v>534</v>
      </c>
      <c r="L82" s="473" t="s">
        <v>530</v>
      </c>
      <c r="M82" s="473" t="s">
        <v>2559</v>
      </c>
      <c r="N82" s="473" t="s">
        <v>2580</v>
      </c>
      <c r="O82" s="474" t="s">
        <v>2589</v>
      </c>
    </row>
    <row r="83" spans="1:15" s="475" customFormat="1" ht="12" hidden="1">
      <c r="A83" s="465">
        <v>10131000056454</v>
      </c>
      <c r="B83" s="476" t="s">
        <v>2588</v>
      </c>
      <c r="C83" s="476" t="s">
        <v>2588</v>
      </c>
      <c r="D83" s="467" t="s">
        <v>1278</v>
      </c>
      <c r="E83" s="472" t="s">
        <v>2491</v>
      </c>
      <c r="F83" s="477">
        <v>9.3780000000000001</v>
      </c>
      <c r="G83" s="469" t="s">
        <v>2472</v>
      </c>
      <c r="H83" s="487">
        <v>12.61</v>
      </c>
      <c r="I83" s="471">
        <v>12.61</v>
      </c>
      <c r="J83" s="488" t="s">
        <v>2492</v>
      </c>
      <c r="K83" s="472" t="s">
        <v>2522</v>
      </c>
      <c r="L83" s="473" t="s">
        <v>530</v>
      </c>
      <c r="M83" s="473" t="s">
        <v>2559</v>
      </c>
      <c r="N83" s="473" t="s">
        <v>2580</v>
      </c>
      <c r="O83" s="474" t="s">
        <v>2589</v>
      </c>
    </row>
    <row r="84" spans="1:15" s="475" customFormat="1" ht="12" hidden="1">
      <c r="A84" s="465">
        <v>1000058591</v>
      </c>
      <c r="B84" s="476" t="s">
        <v>2588</v>
      </c>
      <c r="C84" s="476" t="s">
        <v>2590</v>
      </c>
      <c r="D84" s="467" t="s">
        <v>1278</v>
      </c>
      <c r="E84" s="472" t="s">
        <v>2491</v>
      </c>
      <c r="F84" s="469" t="s">
        <v>2472</v>
      </c>
      <c r="G84" s="469" t="s">
        <v>2472</v>
      </c>
      <c r="H84" s="487">
        <v>11.88</v>
      </c>
      <c r="I84" s="471">
        <v>11.88</v>
      </c>
      <c r="J84" s="488" t="s">
        <v>2492</v>
      </c>
      <c r="K84" s="472" t="s">
        <v>658</v>
      </c>
      <c r="L84" s="473" t="s">
        <v>530</v>
      </c>
      <c r="M84" s="473" t="s">
        <v>2559</v>
      </c>
      <c r="N84" s="473" t="s">
        <v>2580</v>
      </c>
      <c r="O84" s="474" t="s">
        <v>2589</v>
      </c>
    </row>
    <row r="85" spans="1:15" s="475" customFormat="1" ht="12" hidden="1">
      <c r="A85" s="465">
        <v>10131000056462</v>
      </c>
      <c r="B85" s="476" t="s">
        <v>2591</v>
      </c>
      <c r="C85" s="476" t="s">
        <v>2591</v>
      </c>
      <c r="D85" s="467" t="s">
        <v>990</v>
      </c>
      <c r="E85" s="472" t="s">
        <v>2491</v>
      </c>
      <c r="F85" s="477">
        <v>0</v>
      </c>
      <c r="G85" s="469" t="s">
        <v>2472</v>
      </c>
      <c r="H85" s="487">
        <v>0.85</v>
      </c>
      <c r="I85" s="471">
        <v>0.85</v>
      </c>
      <c r="J85" s="488" t="s">
        <v>2492</v>
      </c>
      <c r="K85" s="472" t="s">
        <v>2522</v>
      </c>
      <c r="L85" s="473" t="s">
        <v>530</v>
      </c>
      <c r="M85" s="473" t="s">
        <v>2559</v>
      </c>
      <c r="N85" s="473" t="s">
        <v>2592</v>
      </c>
      <c r="O85" s="474" t="s">
        <v>2593</v>
      </c>
    </row>
    <row r="86" spans="1:15" s="475" customFormat="1" ht="12" hidden="1">
      <c r="A86" s="465">
        <v>1000058587</v>
      </c>
      <c r="B86" s="476" t="s">
        <v>2591</v>
      </c>
      <c r="C86" s="476" t="s">
        <v>2594</v>
      </c>
      <c r="D86" s="467" t="s">
        <v>990</v>
      </c>
      <c r="E86" s="472" t="s">
        <v>2491</v>
      </c>
      <c r="F86" s="469" t="s">
        <v>2472</v>
      </c>
      <c r="G86" s="469" t="s">
        <v>2472</v>
      </c>
      <c r="H86" s="487">
        <v>0.85</v>
      </c>
      <c r="I86" s="471">
        <v>0.85</v>
      </c>
      <c r="J86" s="488" t="s">
        <v>2492</v>
      </c>
      <c r="K86" s="472" t="s">
        <v>658</v>
      </c>
      <c r="L86" s="473" t="s">
        <v>530</v>
      </c>
      <c r="M86" s="473" t="s">
        <v>2559</v>
      </c>
      <c r="N86" s="473" t="s">
        <v>2592</v>
      </c>
      <c r="O86" s="474" t="s">
        <v>2593</v>
      </c>
    </row>
    <row r="87" spans="1:15" s="475" customFormat="1" ht="12" hidden="1">
      <c r="A87" s="465">
        <v>10131000056457</v>
      </c>
      <c r="B87" s="476" t="s">
        <v>2595</v>
      </c>
      <c r="C87" s="476" t="s">
        <v>2596</v>
      </c>
      <c r="D87" s="467" t="s">
        <v>990</v>
      </c>
      <c r="E87" s="472" t="s">
        <v>2491</v>
      </c>
      <c r="F87" s="477">
        <v>63.747</v>
      </c>
      <c r="G87" s="469" t="s">
        <v>2472</v>
      </c>
      <c r="H87" s="487">
        <v>133.25</v>
      </c>
      <c r="I87" s="471">
        <v>133.25</v>
      </c>
      <c r="J87" s="488" t="s">
        <v>2492</v>
      </c>
      <c r="K87" s="472" t="s">
        <v>2522</v>
      </c>
      <c r="L87" s="473" t="s">
        <v>530</v>
      </c>
      <c r="M87" s="473" t="s">
        <v>2559</v>
      </c>
      <c r="N87" s="473" t="s">
        <v>205</v>
      </c>
      <c r="O87" s="474" t="s">
        <v>2597</v>
      </c>
    </row>
    <row r="88" spans="1:15" s="475" customFormat="1" ht="12" hidden="1">
      <c r="A88" s="465">
        <v>10131000056355</v>
      </c>
      <c r="B88" s="476" t="s">
        <v>2595</v>
      </c>
      <c r="C88" s="466" t="s">
        <v>2596</v>
      </c>
      <c r="D88" s="467" t="s">
        <v>990</v>
      </c>
      <c r="E88" s="468" t="s">
        <v>2491</v>
      </c>
      <c r="F88" s="477">
        <v>66</v>
      </c>
      <c r="G88" s="469" t="s">
        <v>2472</v>
      </c>
      <c r="H88" s="470">
        <v>73</v>
      </c>
      <c r="I88" s="471">
        <v>73</v>
      </c>
      <c r="J88" s="472" t="s">
        <v>423</v>
      </c>
      <c r="K88" s="472" t="s">
        <v>534</v>
      </c>
      <c r="L88" s="473" t="s">
        <v>530</v>
      </c>
      <c r="M88" s="473" t="s">
        <v>2559</v>
      </c>
      <c r="N88" s="473" t="s">
        <v>205</v>
      </c>
      <c r="O88" s="474" t="s">
        <v>2597</v>
      </c>
    </row>
    <row r="89" spans="1:15" s="475" customFormat="1" ht="12" hidden="1">
      <c r="A89" s="465">
        <v>10131000024897</v>
      </c>
      <c r="B89" s="476" t="s">
        <v>2595</v>
      </c>
      <c r="C89" s="489" t="s">
        <v>2598</v>
      </c>
      <c r="D89" s="467" t="s">
        <v>990</v>
      </c>
      <c r="E89" s="478" t="s">
        <v>2514</v>
      </c>
      <c r="F89" s="477">
        <v>513.30084933599994</v>
      </c>
      <c r="G89" s="469" t="s">
        <v>2472</v>
      </c>
      <c r="H89" s="481">
        <v>63840</v>
      </c>
      <c r="I89" s="482">
        <v>651.71</v>
      </c>
      <c r="J89" s="483" t="s">
        <v>2515</v>
      </c>
      <c r="K89" s="483" t="s">
        <v>2515</v>
      </c>
      <c r="L89" s="473" t="s">
        <v>530</v>
      </c>
      <c r="M89" s="473" t="s">
        <v>2559</v>
      </c>
      <c r="N89" s="473" t="s">
        <v>205</v>
      </c>
      <c r="O89" s="474" t="s">
        <v>2597</v>
      </c>
    </row>
    <row r="90" spans="1:15" s="475" customFormat="1" ht="12" hidden="1">
      <c r="A90" s="465">
        <v>1000058585</v>
      </c>
      <c r="B90" s="476" t="s">
        <v>2595</v>
      </c>
      <c r="C90" s="476" t="s">
        <v>2599</v>
      </c>
      <c r="D90" s="467" t="s">
        <v>990</v>
      </c>
      <c r="E90" s="472" t="s">
        <v>2491</v>
      </c>
      <c r="F90" s="477" t="s">
        <v>2472</v>
      </c>
      <c r="G90" s="469" t="s">
        <v>2472</v>
      </c>
      <c r="H90" s="487">
        <v>133.25</v>
      </c>
      <c r="I90" s="471">
        <v>133.25</v>
      </c>
      <c r="J90" s="488" t="s">
        <v>2492</v>
      </c>
      <c r="K90" s="472" t="s">
        <v>658</v>
      </c>
      <c r="L90" s="473" t="s">
        <v>530</v>
      </c>
      <c r="M90" s="473" t="s">
        <v>2559</v>
      </c>
      <c r="N90" s="473" t="s">
        <v>205</v>
      </c>
      <c r="O90" s="474" t="s">
        <v>2597</v>
      </c>
    </row>
    <row r="91" spans="1:15" s="475" customFormat="1" ht="12" hidden="1">
      <c r="A91" s="465">
        <v>10131000052465</v>
      </c>
      <c r="B91" s="476" t="s">
        <v>2595</v>
      </c>
      <c r="C91" s="489" t="s">
        <v>2600</v>
      </c>
      <c r="D91" s="467" t="s">
        <v>990</v>
      </c>
      <c r="E91" s="478" t="s">
        <v>2514</v>
      </c>
      <c r="F91" s="477" t="s">
        <v>2472</v>
      </c>
      <c r="G91" s="469" t="s">
        <v>2472</v>
      </c>
      <c r="H91" s="481">
        <v>63840</v>
      </c>
      <c r="I91" s="482">
        <v>651.71</v>
      </c>
      <c r="J91" s="483" t="s">
        <v>2515</v>
      </c>
      <c r="K91" s="483" t="s">
        <v>2515</v>
      </c>
      <c r="L91" s="473" t="s">
        <v>530</v>
      </c>
      <c r="M91" s="473" t="s">
        <v>2559</v>
      </c>
      <c r="N91" s="473" t="s">
        <v>205</v>
      </c>
      <c r="O91" s="474" t="s">
        <v>2597</v>
      </c>
    </row>
    <row r="92" spans="1:15" s="475" customFormat="1" ht="12" hidden="1">
      <c r="A92" s="465">
        <v>10131000023847</v>
      </c>
      <c r="B92" s="466" t="s">
        <v>2601</v>
      </c>
      <c r="C92" s="466" t="s">
        <v>2601</v>
      </c>
      <c r="D92" s="467" t="s">
        <v>1045</v>
      </c>
      <c r="E92" s="468" t="s">
        <v>2491</v>
      </c>
      <c r="F92" s="477">
        <v>0</v>
      </c>
      <c r="G92" s="469" t="s">
        <v>2472</v>
      </c>
      <c r="H92" s="470">
        <v>0</v>
      </c>
      <c r="I92" s="471">
        <v>0</v>
      </c>
      <c r="J92" s="472" t="s">
        <v>423</v>
      </c>
      <c r="K92" s="472" t="s">
        <v>534</v>
      </c>
      <c r="L92" s="473" t="s">
        <v>530</v>
      </c>
      <c r="M92" s="473" t="s">
        <v>2559</v>
      </c>
      <c r="N92" s="473" t="s">
        <v>2602</v>
      </c>
      <c r="O92" s="474" t="s">
        <v>2602</v>
      </c>
    </row>
    <row r="93" spans="1:15" s="475" customFormat="1" ht="12" hidden="1">
      <c r="A93" s="465">
        <v>10131000056343</v>
      </c>
      <c r="B93" s="466" t="s">
        <v>2603</v>
      </c>
      <c r="C93" s="466" t="s">
        <v>2603</v>
      </c>
      <c r="D93" s="467" t="s">
        <v>2604</v>
      </c>
      <c r="E93" s="468" t="s">
        <v>2491</v>
      </c>
      <c r="F93" s="477">
        <v>95</v>
      </c>
      <c r="G93" s="469" t="s">
        <v>2472</v>
      </c>
      <c r="H93" s="470">
        <v>105</v>
      </c>
      <c r="I93" s="471">
        <v>105</v>
      </c>
      <c r="J93" s="472" t="s">
        <v>423</v>
      </c>
      <c r="K93" s="472" t="s">
        <v>534</v>
      </c>
      <c r="L93" s="473" t="s">
        <v>530</v>
      </c>
      <c r="M93" s="473" t="s">
        <v>2559</v>
      </c>
      <c r="N93" s="473" t="s">
        <v>820</v>
      </c>
      <c r="O93" s="474" t="s">
        <v>2605</v>
      </c>
    </row>
    <row r="94" spans="1:15" s="475" customFormat="1" ht="12" hidden="1">
      <c r="A94" s="465">
        <v>10131000016058</v>
      </c>
      <c r="B94" s="484" t="s">
        <v>2606</v>
      </c>
      <c r="C94" s="484" t="s">
        <v>2606</v>
      </c>
      <c r="D94" s="467" t="s">
        <v>2607</v>
      </c>
      <c r="E94" s="472" t="s">
        <v>2541</v>
      </c>
      <c r="F94" s="477">
        <v>22.650289200000003</v>
      </c>
      <c r="G94" s="469" t="s">
        <v>2472</v>
      </c>
      <c r="H94" s="470">
        <v>17.100000000000001</v>
      </c>
      <c r="I94" s="471">
        <v>26.205376621500001</v>
      </c>
      <c r="J94" s="485" t="s">
        <v>421</v>
      </c>
      <c r="K94" s="472" t="s">
        <v>651</v>
      </c>
      <c r="L94" s="473" t="s">
        <v>530</v>
      </c>
      <c r="M94" s="473" t="s">
        <v>2481</v>
      </c>
      <c r="N94" s="473" t="s">
        <v>204</v>
      </c>
      <c r="O94" s="474" t="s">
        <v>2608</v>
      </c>
    </row>
    <row r="95" spans="1:15" s="475" customFormat="1" ht="12" hidden="1">
      <c r="A95" s="465">
        <v>10131000016059</v>
      </c>
      <c r="B95" s="484" t="s">
        <v>2606</v>
      </c>
      <c r="C95" s="484" t="s">
        <v>2606</v>
      </c>
      <c r="D95" s="467" t="s">
        <v>2607</v>
      </c>
      <c r="E95" s="472" t="s">
        <v>2541</v>
      </c>
      <c r="F95" s="477">
        <v>22.650289200000003</v>
      </c>
      <c r="G95" s="469" t="s">
        <v>2472</v>
      </c>
      <c r="H95" s="470">
        <v>17.100000000000001</v>
      </c>
      <c r="I95" s="471">
        <v>26.205376621500001</v>
      </c>
      <c r="J95" s="485" t="s">
        <v>421</v>
      </c>
      <c r="K95" s="472" t="s">
        <v>651</v>
      </c>
      <c r="L95" s="473" t="s">
        <v>530</v>
      </c>
      <c r="M95" s="473" t="s">
        <v>2481</v>
      </c>
      <c r="N95" s="473" t="s">
        <v>204</v>
      </c>
      <c r="O95" s="474" t="s">
        <v>2608</v>
      </c>
    </row>
    <row r="96" spans="1:15" s="475" customFormat="1" ht="12" hidden="1">
      <c r="A96" s="465">
        <v>10131000016060</v>
      </c>
      <c r="B96" s="484" t="s">
        <v>2606</v>
      </c>
      <c r="C96" s="484" t="s">
        <v>2606</v>
      </c>
      <c r="D96" s="467" t="s">
        <v>2607</v>
      </c>
      <c r="E96" s="472" t="s">
        <v>2491</v>
      </c>
      <c r="F96" s="477">
        <v>22.760999999999999</v>
      </c>
      <c r="G96" s="469" t="s">
        <v>2472</v>
      </c>
      <c r="H96" s="470">
        <v>26.21</v>
      </c>
      <c r="I96" s="471">
        <v>26.21</v>
      </c>
      <c r="J96" s="485" t="s">
        <v>421</v>
      </c>
      <c r="K96" s="472" t="s">
        <v>651</v>
      </c>
      <c r="L96" s="473" t="s">
        <v>530</v>
      </c>
      <c r="M96" s="473" t="s">
        <v>2481</v>
      </c>
      <c r="N96" s="473" t="s">
        <v>204</v>
      </c>
      <c r="O96" s="474" t="s">
        <v>2608</v>
      </c>
    </row>
    <row r="97" spans="1:15" s="475" customFormat="1" ht="12" hidden="1">
      <c r="A97" s="465">
        <v>10131000033089</v>
      </c>
      <c r="B97" s="484" t="s">
        <v>2606</v>
      </c>
      <c r="C97" s="489" t="s">
        <v>2609</v>
      </c>
      <c r="D97" s="467" t="s">
        <v>2607</v>
      </c>
      <c r="E97" s="478" t="s">
        <v>2514</v>
      </c>
      <c r="F97" s="477">
        <v>80.190887543999992</v>
      </c>
      <c r="G97" s="469" t="s">
        <v>2472</v>
      </c>
      <c r="H97" s="481">
        <v>9448</v>
      </c>
      <c r="I97" s="482">
        <v>96.45</v>
      </c>
      <c r="J97" s="483" t="s">
        <v>2515</v>
      </c>
      <c r="K97" s="483" t="s">
        <v>2515</v>
      </c>
      <c r="L97" s="473" t="s">
        <v>530</v>
      </c>
      <c r="M97" s="473" t="s">
        <v>2481</v>
      </c>
      <c r="N97" s="473" t="s">
        <v>204</v>
      </c>
      <c r="O97" s="474" t="s">
        <v>2608</v>
      </c>
    </row>
    <row r="98" spans="1:15" s="475" customFormat="1" ht="12" hidden="1">
      <c r="A98" s="465">
        <v>10131000052462</v>
      </c>
      <c r="B98" s="484" t="s">
        <v>2606</v>
      </c>
      <c r="C98" s="489" t="s">
        <v>2610</v>
      </c>
      <c r="D98" s="467" t="s">
        <v>2607</v>
      </c>
      <c r="E98" s="478" t="s">
        <v>2514</v>
      </c>
      <c r="F98" s="477">
        <v>80.190887543999992</v>
      </c>
      <c r="G98" s="469" t="s">
        <v>2472</v>
      </c>
      <c r="H98" s="481">
        <v>9448</v>
      </c>
      <c r="I98" s="482">
        <v>96.45</v>
      </c>
      <c r="J98" s="483" t="s">
        <v>2515</v>
      </c>
      <c r="K98" s="483" t="s">
        <v>2515</v>
      </c>
      <c r="L98" s="473" t="s">
        <v>530</v>
      </c>
      <c r="M98" s="473" t="s">
        <v>2481</v>
      </c>
      <c r="N98" s="473" t="s">
        <v>204</v>
      </c>
      <c r="O98" s="474" t="s">
        <v>2608</v>
      </c>
    </row>
    <row r="99" spans="1:15" s="475" customFormat="1" ht="12" hidden="1">
      <c r="A99" s="465">
        <v>1000058546</v>
      </c>
      <c r="B99" s="476" t="s">
        <v>2606</v>
      </c>
      <c r="C99" s="476" t="s">
        <v>2611</v>
      </c>
      <c r="D99" s="467" t="s">
        <v>2607</v>
      </c>
      <c r="E99" s="472" t="s">
        <v>2491</v>
      </c>
      <c r="F99" s="477" t="s">
        <v>2472</v>
      </c>
      <c r="G99" s="469" t="s">
        <v>2472</v>
      </c>
      <c r="H99" s="487">
        <v>20</v>
      </c>
      <c r="I99" s="471">
        <v>20</v>
      </c>
      <c r="J99" s="488" t="s">
        <v>2492</v>
      </c>
      <c r="K99" s="472" t="s">
        <v>658</v>
      </c>
      <c r="L99" s="473" t="s">
        <v>530</v>
      </c>
      <c r="M99" s="473" t="s">
        <v>2481</v>
      </c>
      <c r="N99" s="473" t="s">
        <v>204</v>
      </c>
      <c r="O99" s="474" t="s">
        <v>2608</v>
      </c>
    </row>
    <row r="100" spans="1:15" s="475" customFormat="1" ht="12" hidden="1">
      <c r="A100" s="465">
        <v>10131000058558</v>
      </c>
      <c r="B100" s="476" t="s">
        <v>2606</v>
      </c>
      <c r="C100" s="476" t="s">
        <v>2606</v>
      </c>
      <c r="D100" s="467" t="s">
        <v>2607</v>
      </c>
      <c r="E100" s="472" t="s">
        <v>2491</v>
      </c>
      <c r="F100" s="477" t="s">
        <v>2472</v>
      </c>
      <c r="G100" s="469" t="s">
        <v>2472</v>
      </c>
      <c r="H100" s="487">
        <v>20</v>
      </c>
      <c r="I100" s="471">
        <v>20</v>
      </c>
      <c r="J100" s="488" t="s">
        <v>2492</v>
      </c>
      <c r="K100" s="472" t="s">
        <v>2495</v>
      </c>
      <c r="L100" s="473" t="s">
        <v>530</v>
      </c>
      <c r="M100" s="473" t="s">
        <v>2481</v>
      </c>
      <c r="N100" s="473" t="s">
        <v>204</v>
      </c>
      <c r="O100" s="474" t="s">
        <v>2608</v>
      </c>
    </row>
    <row r="101" spans="1:15" s="475" customFormat="1" ht="12" hidden="1">
      <c r="A101" s="465">
        <v>10131000058576</v>
      </c>
      <c r="B101" s="476" t="s">
        <v>2606</v>
      </c>
      <c r="C101" s="476" t="s">
        <v>2612</v>
      </c>
      <c r="D101" s="467" t="s">
        <v>2607</v>
      </c>
      <c r="E101" s="472" t="s">
        <v>2491</v>
      </c>
      <c r="F101" s="477" t="s">
        <v>2472</v>
      </c>
      <c r="G101" s="469" t="s">
        <v>2472</v>
      </c>
      <c r="H101" s="487">
        <v>20</v>
      </c>
      <c r="I101" s="471">
        <v>20</v>
      </c>
      <c r="J101" s="488" t="s">
        <v>2492</v>
      </c>
      <c r="K101" s="472" t="s">
        <v>666</v>
      </c>
      <c r="L101" s="473" t="s">
        <v>530</v>
      </c>
      <c r="M101" s="473" t="s">
        <v>2481</v>
      </c>
      <c r="N101" s="473" t="s">
        <v>204</v>
      </c>
      <c r="O101" s="474" t="s">
        <v>2608</v>
      </c>
    </row>
    <row r="102" spans="1:15" s="475" customFormat="1" ht="12" hidden="1">
      <c r="A102" s="465">
        <v>10131000058607</v>
      </c>
      <c r="B102" s="476" t="s">
        <v>2606</v>
      </c>
      <c r="C102" s="476" t="s">
        <v>2606</v>
      </c>
      <c r="D102" s="467" t="s">
        <v>2607</v>
      </c>
      <c r="E102" s="472" t="s">
        <v>2491</v>
      </c>
      <c r="F102" s="477" t="s">
        <v>2472</v>
      </c>
      <c r="G102" s="469" t="s">
        <v>2472</v>
      </c>
      <c r="H102" s="487">
        <v>20</v>
      </c>
      <c r="I102" s="471">
        <v>20</v>
      </c>
      <c r="J102" s="488" t="s">
        <v>2492</v>
      </c>
      <c r="K102" s="472" t="s">
        <v>2522</v>
      </c>
      <c r="L102" s="473" t="s">
        <v>530</v>
      </c>
      <c r="M102" s="473" t="s">
        <v>2481</v>
      </c>
      <c r="N102" s="473" t="s">
        <v>204</v>
      </c>
      <c r="O102" s="474" t="s">
        <v>2608</v>
      </c>
    </row>
    <row r="103" spans="1:15" s="475" customFormat="1" ht="12" hidden="1">
      <c r="A103" s="465">
        <v>10131000057187</v>
      </c>
      <c r="B103" s="466" t="s">
        <v>2613</v>
      </c>
      <c r="C103" s="466" t="s">
        <v>2613</v>
      </c>
      <c r="D103" s="467" t="s">
        <v>990</v>
      </c>
      <c r="E103" s="468" t="s">
        <v>2491</v>
      </c>
      <c r="F103" s="477">
        <v>1000</v>
      </c>
      <c r="G103" s="469" t="s">
        <v>2472</v>
      </c>
      <c r="H103" s="470">
        <v>1000</v>
      </c>
      <c r="I103" s="471">
        <v>1000</v>
      </c>
      <c r="J103" s="472" t="s">
        <v>423</v>
      </c>
      <c r="K103" s="472" t="s">
        <v>534</v>
      </c>
      <c r="L103" s="473" t="s">
        <v>530</v>
      </c>
      <c r="M103" s="473" t="s">
        <v>2559</v>
      </c>
      <c r="N103" s="473" t="s">
        <v>2614</v>
      </c>
      <c r="O103" s="474" t="s">
        <v>2615</v>
      </c>
    </row>
    <row r="104" spans="1:15" s="475" customFormat="1" ht="12" hidden="1">
      <c r="A104" s="465">
        <v>1000099020</v>
      </c>
      <c r="B104" s="466" t="s">
        <v>2613</v>
      </c>
      <c r="C104" s="466" t="s">
        <v>2613</v>
      </c>
      <c r="D104" s="467" t="s">
        <v>12</v>
      </c>
      <c r="E104" s="468" t="s">
        <v>2471</v>
      </c>
      <c r="F104" s="477" t="s">
        <v>2472</v>
      </c>
      <c r="G104" s="469" t="s">
        <v>2472</v>
      </c>
      <c r="H104" s="470">
        <v>13000</v>
      </c>
      <c r="I104" s="471">
        <v>1003.861003861004</v>
      </c>
      <c r="J104" s="472" t="s">
        <v>422</v>
      </c>
      <c r="K104" s="472" t="s">
        <v>2473</v>
      </c>
      <c r="L104" s="473" t="s">
        <v>530</v>
      </c>
      <c r="M104" s="473" t="s">
        <v>2559</v>
      </c>
      <c r="N104" s="473" t="s">
        <v>2614</v>
      </c>
      <c r="O104" s="474" t="s">
        <v>2615</v>
      </c>
    </row>
    <row r="105" spans="1:15" s="475" customFormat="1" ht="12" hidden="1">
      <c r="A105" s="465">
        <v>10131000035614</v>
      </c>
      <c r="B105" s="476" t="s">
        <v>2616</v>
      </c>
      <c r="C105" s="476" t="s">
        <v>2616</v>
      </c>
      <c r="D105" s="467" t="s">
        <v>990</v>
      </c>
      <c r="E105" s="472" t="s">
        <v>2541</v>
      </c>
      <c r="F105" s="477">
        <v>0</v>
      </c>
      <c r="G105" s="469" t="s">
        <v>2472</v>
      </c>
      <c r="H105" s="470">
        <v>63.96</v>
      </c>
      <c r="I105" s="471">
        <v>98.017303433399988</v>
      </c>
      <c r="J105" s="485" t="s">
        <v>421</v>
      </c>
      <c r="K105" s="472" t="s">
        <v>651</v>
      </c>
      <c r="L105" s="473" t="s">
        <v>530</v>
      </c>
      <c r="M105" s="473" t="s">
        <v>2559</v>
      </c>
      <c r="N105" s="473" t="s">
        <v>2614</v>
      </c>
      <c r="O105" s="474" t="s">
        <v>2617</v>
      </c>
    </row>
    <row r="106" spans="1:15" s="475" customFormat="1" ht="12" hidden="1">
      <c r="A106" s="465">
        <v>10131000035616</v>
      </c>
      <c r="B106" s="476" t="s">
        <v>2616</v>
      </c>
      <c r="C106" s="476" t="s">
        <v>2616</v>
      </c>
      <c r="D106" s="467" t="s">
        <v>990</v>
      </c>
      <c r="E106" s="472" t="s">
        <v>2541</v>
      </c>
      <c r="F106" s="477">
        <v>0</v>
      </c>
      <c r="G106" s="469" t="s">
        <v>2472</v>
      </c>
      <c r="H106" s="470">
        <v>63.96</v>
      </c>
      <c r="I106" s="471">
        <v>98.017303433399988</v>
      </c>
      <c r="J106" s="485" t="s">
        <v>421</v>
      </c>
      <c r="K106" s="472" t="s">
        <v>651</v>
      </c>
      <c r="L106" s="473" t="s">
        <v>530</v>
      </c>
      <c r="M106" s="473" t="s">
        <v>2559</v>
      </c>
      <c r="N106" s="473" t="s">
        <v>2614</v>
      </c>
      <c r="O106" s="474" t="s">
        <v>2617</v>
      </c>
    </row>
    <row r="107" spans="1:15" s="475" customFormat="1" ht="12" hidden="1">
      <c r="A107" s="465">
        <v>10131000035617</v>
      </c>
      <c r="B107" s="476" t="s">
        <v>2616</v>
      </c>
      <c r="C107" s="476" t="s">
        <v>2616</v>
      </c>
      <c r="D107" s="467" t="s">
        <v>990</v>
      </c>
      <c r="E107" s="472" t="s">
        <v>2491</v>
      </c>
      <c r="F107" s="477">
        <v>0</v>
      </c>
      <c r="G107" s="469" t="s">
        <v>2472</v>
      </c>
      <c r="H107" s="470">
        <v>100</v>
      </c>
      <c r="I107" s="471">
        <v>100</v>
      </c>
      <c r="J107" s="485" t="s">
        <v>421</v>
      </c>
      <c r="K107" s="472" t="s">
        <v>651</v>
      </c>
      <c r="L107" s="473" t="s">
        <v>530</v>
      </c>
      <c r="M107" s="473" t="s">
        <v>2559</v>
      </c>
      <c r="N107" s="473" t="s">
        <v>2614</v>
      </c>
      <c r="O107" s="474" t="s">
        <v>2617</v>
      </c>
    </row>
    <row r="108" spans="1:15" s="475" customFormat="1" ht="12" hidden="1">
      <c r="A108" s="465">
        <v>10131000016022</v>
      </c>
      <c r="B108" s="466" t="s">
        <v>2616</v>
      </c>
      <c r="C108" s="466" t="s">
        <v>2618</v>
      </c>
      <c r="D108" s="467" t="s">
        <v>990</v>
      </c>
      <c r="E108" s="468" t="s">
        <v>2619</v>
      </c>
      <c r="F108" s="477">
        <v>99.255583000000001</v>
      </c>
      <c r="G108" s="469" t="s">
        <v>2472</v>
      </c>
      <c r="H108" s="470">
        <v>100</v>
      </c>
      <c r="I108" s="471">
        <v>100</v>
      </c>
      <c r="J108" s="472" t="s">
        <v>423</v>
      </c>
      <c r="K108" s="472" t="s">
        <v>2620</v>
      </c>
      <c r="L108" s="473" t="s">
        <v>530</v>
      </c>
      <c r="M108" s="473" t="s">
        <v>2559</v>
      </c>
      <c r="N108" s="473" t="s">
        <v>2614</v>
      </c>
      <c r="O108" s="474" t="s">
        <v>2617</v>
      </c>
    </row>
    <row r="109" spans="1:15" s="475" customFormat="1" ht="12" hidden="1">
      <c r="A109" s="465">
        <v>10131000054447</v>
      </c>
      <c r="B109" s="476" t="s">
        <v>2616</v>
      </c>
      <c r="C109" s="476" t="s">
        <v>2616</v>
      </c>
      <c r="D109" s="467" t="s">
        <v>990</v>
      </c>
      <c r="E109" s="472" t="s">
        <v>2541</v>
      </c>
      <c r="F109" s="477">
        <v>99.547343999999995</v>
      </c>
      <c r="G109" s="469" t="s">
        <v>2472</v>
      </c>
      <c r="H109" s="470">
        <v>63.96</v>
      </c>
      <c r="I109" s="471">
        <v>98.017303433399988</v>
      </c>
      <c r="J109" s="485" t="s">
        <v>421</v>
      </c>
      <c r="K109" s="472" t="s">
        <v>651</v>
      </c>
      <c r="L109" s="473" t="s">
        <v>530</v>
      </c>
      <c r="M109" s="473" t="s">
        <v>2559</v>
      </c>
      <c r="N109" s="473" t="s">
        <v>2614</v>
      </c>
      <c r="O109" s="474" t="s">
        <v>2617</v>
      </c>
    </row>
    <row r="110" spans="1:15" s="475" customFormat="1" ht="12" hidden="1">
      <c r="A110" s="465">
        <v>10131000054449</v>
      </c>
      <c r="B110" s="476" t="s">
        <v>2616</v>
      </c>
      <c r="C110" s="476" t="s">
        <v>2616</v>
      </c>
      <c r="D110" s="467" t="s">
        <v>990</v>
      </c>
      <c r="E110" s="472" t="s">
        <v>2541</v>
      </c>
      <c r="F110" s="477">
        <v>99.547343999999995</v>
      </c>
      <c r="G110" s="469" t="s">
        <v>2472</v>
      </c>
      <c r="H110" s="470">
        <v>63.96</v>
      </c>
      <c r="I110" s="471">
        <v>98.017303433399988</v>
      </c>
      <c r="J110" s="485" t="s">
        <v>421</v>
      </c>
      <c r="K110" s="472" t="s">
        <v>651</v>
      </c>
      <c r="L110" s="473" t="s">
        <v>530</v>
      </c>
      <c r="M110" s="473" t="s">
        <v>2559</v>
      </c>
      <c r="N110" s="473" t="s">
        <v>2614</v>
      </c>
      <c r="O110" s="474" t="s">
        <v>2617</v>
      </c>
    </row>
    <row r="111" spans="1:15" s="475" customFormat="1" ht="12" hidden="1">
      <c r="A111" s="465">
        <v>10131000016021</v>
      </c>
      <c r="B111" s="466" t="s">
        <v>2616</v>
      </c>
      <c r="C111" s="466" t="s">
        <v>2618</v>
      </c>
      <c r="D111" s="467" t="s">
        <v>990</v>
      </c>
      <c r="E111" s="468" t="s">
        <v>2491</v>
      </c>
      <c r="F111" s="477">
        <v>100</v>
      </c>
      <c r="G111" s="469" t="s">
        <v>2472</v>
      </c>
      <c r="H111" s="470">
        <v>100</v>
      </c>
      <c r="I111" s="471">
        <v>100</v>
      </c>
      <c r="J111" s="472" t="s">
        <v>423</v>
      </c>
      <c r="K111" s="472" t="s">
        <v>2620</v>
      </c>
      <c r="L111" s="473" t="s">
        <v>530</v>
      </c>
      <c r="M111" s="473" t="s">
        <v>2559</v>
      </c>
      <c r="N111" s="473" t="s">
        <v>2614</v>
      </c>
      <c r="O111" s="474" t="s">
        <v>2617</v>
      </c>
    </row>
    <row r="112" spans="1:15" s="475" customFormat="1" ht="12" hidden="1">
      <c r="A112" s="465">
        <v>10131000051863</v>
      </c>
      <c r="B112" s="476" t="s">
        <v>2616</v>
      </c>
      <c r="C112" s="476" t="s">
        <v>2616</v>
      </c>
      <c r="D112" s="467" t="s">
        <v>990</v>
      </c>
      <c r="E112" s="472" t="s">
        <v>2491</v>
      </c>
      <c r="F112" s="477">
        <v>100</v>
      </c>
      <c r="G112" s="469" t="s">
        <v>2472</v>
      </c>
      <c r="H112" s="487">
        <v>100</v>
      </c>
      <c r="I112" s="471">
        <v>100</v>
      </c>
      <c r="J112" s="488" t="s">
        <v>2492</v>
      </c>
      <c r="K112" s="472" t="s">
        <v>2495</v>
      </c>
      <c r="L112" s="473" t="s">
        <v>530</v>
      </c>
      <c r="M112" s="473" t="s">
        <v>2559</v>
      </c>
      <c r="N112" s="473" t="s">
        <v>2614</v>
      </c>
      <c r="O112" s="474" t="s">
        <v>2617</v>
      </c>
    </row>
    <row r="113" spans="1:15" s="475" customFormat="1" ht="12" hidden="1">
      <c r="A113" s="465">
        <v>10131000018438</v>
      </c>
      <c r="B113" s="476" t="s">
        <v>2616</v>
      </c>
      <c r="C113" s="476" t="s">
        <v>2616</v>
      </c>
      <c r="D113" s="467" t="s">
        <v>990</v>
      </c>
      <c r="E113" s="472" t="s">
        <v>2491</v>
      </c>
      <c r="F113" s="477">
        <v>100</v>
      </c>
      <c r="G113" s="469" t="s">
        <v>2472</v>
      </c>
      <c r="H113" s="487">
        <v>100</v>
      </c>
      <c r="I113" s="471">
        <v>100</v>
      </c>
      <c r="J113" s="488" t="s">
        <v>2492</v>
      </c>
      <c r="K113" s="472" t="s">
        <v>2522</v>
      </c>
      <c r="L113" s="473" t="s">
        <v>530</v>
      </c>
      <c r="M113" s="473" t="s">
        <v>2559</v>
      </c>
      <c r="N113" s="473" t="s">
        <v>2614</v>
      </c>
      <c r="O113" s="474" t="s">
        <v>2617</v>
      </c>
    </row>
    <row r="114" spans="1:15" s="475" customFormat="1" ht="12" hidden="1">
      <c r="A114" s="465">
        <v>10131000054435</v>
      </c>
      <c r="B114" s="476" t="s">
        <v>2616</v>
      </c>
      <c r="C114" s="476" t="s">
        <v>2616</v>
      </c>
      <c r="D114" s="467" t="s">
        <v>990</v>
      </c>
      <c r="E114" s="472" t="s">
        <v>2491</v>
      </c>
      <c r="F114" s="477">
        <v>100</v>
      </c>
      <c r="G114" s="469" t="s">
        <v>2472</v>
      </c>
      <c r="H114" s="470">
        <v>100</v>
      </c>
      <c r="I114" s="471">
        <v>100</v>
      </c>
      <c r="J114" s="485" t="s">
        <v>421</v>
      </c>
      <c r="K114" s="472" t="s">
        <v>651</v>
      </c>
      <c r="L114" s="473" t="s">
        <v>530</v>
      </c>
      <c r="M114" s="473" t="s">
        <v>2559</v>
      </c>
      <c r="N114" s="473" t="s">
        <v>2614</v>
      </c>
      <c r="O114" s="474" t="s">
        <v>2617</v>
      </c>
    </row>
    <row r="115" spans="1:15" s="475" customFormat="1" ht="12" hidden="1">
      <c r="A115" s="465">
        <v>10131000016019</v>
      </c>
      <c r="B115" s="466" t="s">
        <v>2616</v>
      </c>
      <c r="C115" s="466" t="s">
        <v>2616</v>
      </c>
      <c r="D115" s="467" t="s">
        <v>990</v>
      </c>
      <c r="E115" s="468" t="s">
        <v>2491</v>
      </c>
      <c r="F115" s="477">
        <v>100</v>
      </c>
      <c r="G115" s="469" t="s">
        <v>2472</v>
      </c>
      <c r="H115" s="470">
        <v>100</v>
      </c>
      <c r="I115" s="471">
        <v>100</v>
      </c>
      <c r="J115" s="472" t="s">
        <v>423</v>
      </c>
      <c r="K115" s="472" t="s">
        <v>534</v>
      </c>
      <c r="L115" s="473" t="s">
        <v>530</v>
      </c>
      <c r="M115" s="473" t="s">
        <v>2559</v>
      </c>
      <c r="N115" s="473" t="s">
        <v>2614</v>
      </c>
      <c r="O115" s="474" t="s">
        <v>2617</v>
      </c>
    </row>
    <row r="116" spans="1:15" s="475" customFormat="1" ht="12" hidden="1">
      <c r="A116" s="465">
        <v>1000099017</v>
      </c>
      <c r="B116" s="466" t="s">
        <v>2616</v>
      </c>
      <c r="C116" s="466" t="s">
        <v>2616</v>
      </c>
      <c r="D116" s="467" t="s">
        <v>12</v>
      </c>
      <c r="E116" s="468" t="s">
        <v>2471</v>
      </c>
      <c r="F116" s="477" t="s">
        <v>2472</v>
      </c>
      <c r="G116" s="469" t="s">
        <v>2472</v>
      </c>
      <c r="H116" s="470">
        <v>1300</v>
      </c>
      <c r="I116" s="471">
        <v>100.3861003861004</v>
      </c>
      <c r="J116" s="472" t="s">
        <v>422</v>
      </c>
      <c r="K116" s="472" t="s">
        <v>2473</v>
      </c>
      <c r="L116" s="473" t="s">
        <v>530</v>
      </c>
      <c r="M116" s="473" t="s">
        <v>2559</v>
      </c>
      <c r="N116" s="473" t="s">
        <v>2614</v>
      </c>
      <c r="O116" s="474" t="s">
        <v>2617</v>
      </c>
    </row>
    <row r="117" spans="1:15" s="475" customFormat="1" ht="12" hidden="1">
      <c r="A117" s="465">
        <v>10131000051864</v>
      </c>
      <c r="B117" s="476" t="s">
        <v>2621</v>
      </c>
      <c r="C117" s="476" t="s">
        <v>2621</v>
      </c>
      <c r="D117" s="467" t="s">
        <v>990</v>
      </c>
      <c r="E117" s="472" t="s">
        <v>2491</v>
      </c>
      <c r="F117" s="477">
        <v>375</v>
      </c>
      <c r="G117" s="469" t="s">
        <v>2472</v>
      </c>
      <c r="H117" s="487">
        <v>375</v>
      </c>
      <c r="I117" s="471">
        <v>375</v>
      </c>
      <c r="J117" s="488" t="s">
        <v>2492</v>
      </c>
      <c r="K117" s="472" t="s">
        <v>2495</v>
      </c>
      <c r="L117" s="473" t="s">
        <v>530</v>
      </c>
      <c r="M117" s="473" t="s">
        <v>2559</v>
      </c>
      <c r="N117" s="473" t="s">
        <v>2614</v>
      </c>
      <c r="O117" s="474" t="s">
        <v>2622</v>
      </c>
    </row>
    <row r="118" spans="1:15" s="475" customFormat="1" ht="12" hidden="1">
      <c r="A118" s="465">
        <v>10131000018440</v>
      </c>
      <c r="B118" s="476" t="s">
        <v>2621</v>
      </c>
      <c r="C118" s="476" t="s">
        <v>2621</v>
      </c>
      <c r="D118" s="467" t="s">
        <v>990</v>
      </c>
      <c r="E118" s="472" t="s">
        <v>2491</v>
      </c>
      <c r="F118" s="477">
        <v>375</v>
      </c>
      <c r="G118" s="469" t="s">
        <v>2472</v>
      </c>
      <c r="H118" s="487">
        <v>375</v>
      </c>
      <c r="I118" s="471">
        <v>375</v>
      </c>
      <c r="J118" s="488" t="s">
        <v>2492</v>
      </c>
      <c r="K118" s="472" t="s">
        <v>2522</v>
      </c>
      <c r="L118" s="473" t="s">
        <v>530</v>
      </c>
      <c r="M118" s="473" t="s">
        <v>2559</v>
      </c>
      <c r="N118" s="473" t="s">
        <v>2614</v>
      </c>
      <c r="O118" s="474" t="s">
        <v>2622</v>
      </c>
    </row>
    <row r="119" spans="1:15" s="475" customFormat="1" ht="12" hidden="1">
      <c r="A119" s="465">
        <v>10131000054445</v>
      </c>
      <c r="B119" s="476" t="s">
        <v>2621</v>
      </c>
      <c r="C119" s="476" t="s">
        <v>2621</v>
      </c>
      <c r="D119" s="467" t="s">
        <v>990</v>
      </c>
      <c r="E119" s="472" t="s">
        <v>2491</v>
      </c>
      <c r="F119" s="477">
        <v>375</v>
      </c>
      <c r="G119" s="469" t="s">
        <v>2472</v>
      </c>
      <c r="H119" s="470">
        <v>375</v>
      </c>
      <c r="I119" s="471">
        <v>375</v>
      </c>
      <c r="J119" s="485" t="s">
        <v>421</v>
      </c>
      <c r="K119" s="472" t="s">
        <v>651</v>
      </c>
      <c r="L119" s="473" t="s">
        <v>530</v>
      </c>
      <c r="M119" s="473" t="s">
        <v>2559</v>
      </c>
      <c r="N119" s="473" t="s">
        <v>2614</v>
      </c>
      <c r="O119" s="474" t="s">
        <v>2622</v>
      </c>
    </row>
    <row r="120" spans="1:15" s="475" customFormat="1" ht="12" hidden="1">
      <c r="A120" s="465">
        <v>10131000016024</v>
      </c>
      <c r="B120" s="466" t="s">
        <v>2621</v>
      </c>
      <c r="C120" s="466" t="s">
        <v>2621</v>
      </c>
      <c r="D120" s="467" t="s">
        <v>990</v>
      </c>
      <c r="E120" s="468" t="s">
        <v>2491</v>
      </c>
      <c r="F120" s="477">
        <v>375</v>
      </c>
      <c r="G120" s="469" t="s">
        <v>2472</v>
      </c>
      <c r="H120" s="470">
        <v>375</v>
      </c>
      <c r="I120" s="471">
        <v>375</v>
      </c>
      <c r="J120" s="472" t="s">
        <v>423</v>
      </c>
      <c r="K120" s="472" t="s">
        <v>534</v>
      </c>
      <c r="L120" s="473" t="s">
        <v>530</v>
      </c>
      <c r="M120" s="473" t="s">
        <v>2559</v>
      </c>
      <c r="N120" s="473" t="s">
        <v>2614</v>
      </c>
      <c r="O120" s="474" t="s">
        <v>2622</v>
      </c>
    </row>
    <row r="121" spans="1:15" s="475" customFormat="1" ht="12" hidden="1">
      <c r="A121" s="465">
        <v>10131000054442</v>
      </c>
      <c r="B121" s="476" t="s">
        <v>2621</v>
      </c>
      <c r="C121" s="476" t="s">
        <v>2621</v>
      </c>
      <c r="D121" s="467" t="s">
        <v>990</v>
      </c>
      <c r="E121" s="472" t="s">
        <v>2541</v>
      </c>
      <c r="F121" s="477">
        <v>583.65</v>
      </c>
      <c r="G121" s="469" t="s">
        <v>2472</v>
      </c>
      <c r="H121" s="470">
        <v>239.85</v>
      </c>
      <c r="I121" s="471">
        <v>367.56488787524995</v>
      </c>
      <c r="J121" s="485" t="s">
        <v>421</v>
      </c>
      <c r="K121" s="472" t="s">
        <v>651</v>
      </c>
      <c r="L121" s="473" t="s">
        <v>530</v>
      </c>
      <c r="M121" s="473" t="s">
        <v>2559</v>
      </c>
      <c r="N121" s="473" t="s">
        <v>2614</v>
      </c>
      <c r="O121" s="474" t="s">
        <v>2622</v>
      </c>
    </row>
    <row r="122" spans="1:15" s="475" customFormat="1" ht="12" hidden="1">
      <c r="A122" s="465">
        <v>10131000054446</v>
      </c>
      <c r="B122" s="476" t="s">
        <v>2621</v>
      </c>
      <c r="C122" s="476" t="s">
        <v>2621</v>
      </c>
      <c r="D122" s="467" t="s">
        <v>990</v>
      </c>
      <c r="E122" s="472" t="s">
        <v>2541</v>
      </c>
      <c r="F122" s="477">
        <v>583.65</v>
      </c>
      <c r="G122" s="469" t="s">
        <v>2472</v>
      </c>
      <c r="H122" s="470">
        <v>239.85</v>
      </c>
      <c r="I122" s="471">
        <v>367.56488787524995</v>
      </c>
      <c r="J122" s="485" t="s">
        <v>421</v>
      </c>
      <c r="K122" s="472" t="s">
        <v>651</v>
      </c>
      <c r="L122" s="473" t="s">
        <v>530</v>
      </c>
      <c r="M122" s="473" t="s">
        <v>2559</v>
      </c>
      <c r="N122" s="473" t="s">
        <v>2614</v>
      </c>
      <c r="O122" s="474" t="s">
        <v>2622</v>
      </c>
    </row>
    <row r="123" spans="1:15" s="475" customFormat="1" ht="12" hidden="1">
      <c r="A123" s="465">
        <v>1000099018</v>
      </c>
      <c r="B123" s="466" t="s">
        <v>2621</v>
      </c>
      <c r="C123" s="466" t="s">
        <v>2621</v>
      </c>
      <c r="D123" s="467" t="s">
        <v>12</v>
      </c>
      <c r="E123" s="468" t="s">
        <v>2471</v>
      </c>
      <c r="F123" s="477" t="s">
        <v>2472</v>
      </c>
      <c r="G123" s="469" t="s">
        <v>2472</v>
      </c>
      <c r="H123" s="470">
        <v>4875</v>
      </c>
      <c r="I123" s="471">
        <v>376.44787644787647</v>
      </c>
      <c r="J123" s="472" t="s">
        <v>422</v>
      </c>
      <c r="K123" s="472" t="s">
        <v>2473</v>
      </c>
      <c r="L123" s="473" t="s">
        <v>530</v>
      </c>
      <c r="M123" s="473" t="s">
        <v>2559</v>
      </c>
      <c r="N123" s="473" t="s">
        <v>2614</v>
      </c>
      <c r="O123" s="474" t="s">
        <v>2622</v>
      </c>
    </row>
    <row r="124" spans="1:15" s="475" customFormat="1" ht="12" hidden="1">
      <c r="A124" s="465">
        <v>10131000054495</v>
      </c>
      <c r="B124" s="476" t="s">
        <v>2623</v>
      </c>
      <c r="C124" s="476" t="s">
        <v>2623</v>
      </c>
      <c r="D124" s="467" t="s">
        <v>990</v>
      </c>
      <c r="E124" s="472" t="s">
        <v>2491</v>
      </c>
      <c r="F124" s="477">
        <v>500</v>
      </c>
      <c r="G124" s="469" t="s">
        <v>2472</v>
      </c>
      <c r="H124" s="487">
        <v>500</v>
      </c>
      <c r="I124" s="471">
        <v>500</v>
      </c>
      <c r="J124" s="488" t="s">
        <v>2492</v>
      </c>
      <c r="K124" s="472" t="s">
        <v>2495</v>
      </c>
      <c r="L124" s="473" t="s">
        <v>530</v>
      </c>
      <c r="M124" s="473" t="s">
        <v>2559</v>
      </c>
      <c r="N124" s="473" t="s">
        <v>2614</v>
      </c>
      <c r="O124" s="474" t="s">
        <v>2624</v>
      </c>
    </row>
    <row r="125" spans="1:15" s="475" customFormat="1" ht="12" hidden="1">
      <c r="A125" s="465">
        <v>10131000018443</v>
      </c>
      <c r="B125" s="476" t="s">
        <v>2623</v>
      </c>
      <c r="C125" s="476" t="s">
        <v>2623</v>
      </c>
      <c r="D125" s="467" t="s">
        <v>990</v>
      </c>
      <c r="E125" s="472" t="s">
        <v>2491</v>
      </c>
      <c r="F125" s="477">
        <v>500</v>
      </c>
      <c r="G125" s="469" t="s">
        <v>2472</v>
      </c>
      <c r="H125" s="487">
        <v>500</v>
      </c>
      <c r="I125" s="471">
        <v>500</v>
      </c>
      <c r="J125" s="488" t="s">
        <v>2492</v>
      </c>
      <c r="K125" s="472" t="s">
        <v>2522</v>
      </c>
      <c r="L125" s="473" t="s">
        <v>530</v>
      </c>
      <c r="M125" s="473" t="s">
        <v>2559</v>
      </c>
      <c r="N125" s="473" t="s">
        <v>2614</v>
      </c>
      <c r="O125" s="474" t="s">
        <v>2624</v>
      </c>
    </row>
    <row r="126" spans="1:15" s="475" customFormat="1" ht="12" hidden="1">
      <c r="A126" s="465">
        <v>10131000054443</v>
      </c>
      <c r="B126" s="476" t="s">
        <v>2623</v>
      </c>
      <c r="C126" s="476" t="s">
        <v>2623</v>
      </c>
      <c r="D126" s="467" t="s">
        <v>990</v>
      </c>
      <c r="E126" s="472" t="s">
        <v>2491</v>
      </c>
      <c r="F126" s="477">
        <v>500</v>
      </c>
      <c r="G126" s="469" t="s">
        <v>2472</v>
      </c>
      <c r="H126" s="470">
        <v>500</v>
      </c>
      <c r="I126" s="471">
        <v>500</v>
      </c>
      <c r="J126" s="485" t="s">
        <v>421</v>
      </c>
      <c r="K126" s="472" t="s">
        <v>651</v>
      </c>
      <c r="L126" s="473" t="s">
        <v>530</v>
      </c>
      <c r="M126" s="473" t="s">
        <v>2559</v>
      </c>
      <c r="N126" s="473" t="s">
        <v>2614</v>
      </c>
      <c r="O126" s="474" t="s">
        <v>2624</v>
      </c>
    </row>
    <row r="127" spans="1:15" s="475" customFormat="1" ht="12" hidden="1">
      <c r="A127" s="465">
        <v>10131000052439</v>
      </c>
      <c r="B127" s="466" t="s">
        <v>2623</v>
      </c>
      <c r="C127" s="466" t="s">
        <v>2623</v>
      </c>
      <c r="D127" s="467" t="s">
        <v>990</v>
      </c>
      <c r="E127" s="468" t="s">
        <v>2491</v>
      </c>
      <c r="F127" s="477">
        <v>500</v>
      </c>
      <c r="G127" s="469" t="s">
        <v>2472</v>
      </c>
      <c r="H127" s="470">
        <v>500</v>
      </c>
      <c r="I127" s="471">
        <v>500</v>
      </c>
      <c r="J127" s="472" t="s">
        <v>423</v>
      </c>
      <c r="K127" s="472" t="s">
        <v>534</v>
      </c>
      <c r="L127" s="473" t="s">
        <v>530</v>
      </c>
      <c r="M127" s="473" t="s">
        <v>2559</v>
      </c>
      <c r="N127" s="473" t="s">
        <v>2614</v>
      </c>
      <c r="O127" s="474" t="s">
        <v>2624</v>
      </c>
    </row>
    <row r="128" spans="1:15" s="475" customFormat="1" ht="12" hidden="1">
      <c r="A128" s="465">
        <v>10131000054436</v>
      </c>
      <c r="B128" s="476" t="s">
        <v>2623</v>
      </c>
      <c r="C128" s="476" t="s">
        <v>2623</v>
      </c>
      <c r="D128" s="467" t="s">
        <v>990</v>
      </c>
      <c r="E128" s="472" t="s">
        <v>2541</v>
      </c>
      <c r="F128" s="477">
        <v>778.2</v>
      </c>
      <c r="G128" s="469" t="s">
        <v>2472</v>
      </c>
      <c r="H128" s="470">
        <v>319.8</v>
      </c>
      <c r="I128" s="471">
        <v>490.08651716700001</v>
      </c>
      <c r="J128" s="485" t="s">
        <v>421</v>
      </c>
      <c r="K128" s="472" t="s">
        <v>651</v>
      </c>
      <c r="L128" s="473" t="s">
        <v>530</v>
      </c>
      <c r="M128" s="473" t="s">
        <v>2559</v>
      </c>
      <c r="N128" s="473" t="s">
        <v>2614</v>
      </c>
      <c r="O128" s="474" t="s">
        <v>2624</v>
      </c>
    </row>
    <row r="129" spans="1:15" s="475" customFormat="1" ht="12" hidden="1">
      <c r="A129" s="465">
        <v>10131000054452</v>
      </c>
      <c r="B129" s="476" t="s">
        <v>2623</v>
      </c>
      <c r="C129" s="476" t="s">
        <v>2623</v>
      </c>
      <c r="D129" s="467" t="s">
        <v>990</v>
      </c>
      <c r="E129" s="472" t="s">
        <v>2541</v>
      </c>
      <c r="F129" s="477">
        <v>778.2</v>
      </c>
      <c r="G129" s="469" t="s">
        <v>2472</v>
      </c>
      <c r="H129" s="470">
        <v>319.8</v>
      </c>
      <c r="I129" s="471">
        <v>490.08651716700001</v>
      </c>
      <c r="J129" s="485" t="s">
        <v>421</v>
      </c>
      <c r="K129" s="472" t="s">
        <v>651</v>
      </c>
      <c r="L129" s="473" t="s">
        <v>530</v>
      </c>
      <c r="M129" s="473" t="s">
        <v>2559</v>
      </c>
      <c r="N129" s="473" t="s">
        <v>2614</v>
      </c>
      <c r="O129" s="474" t="s">
        <v>2624</v>
      </c>
    </row>
    <row r="130" spans="1:15" s="475" customFormat="1" ht="12" hidden="1">
      <c r="A130" s="465">
        <v>1000099019</v>
      </c>
      <c r="B130" s="466" t="s">
        <v>2623</v>
      </c>
      <c r="C130" s="466" t="s">
        <v>2623</v>
      </c>
      <c r="D130" s="467" t="s">
        <v>12</v>
      </c>
      <c r="E130" s="468" t="s">
        <v>2471</v>
      </c>
      <c r="F130" s="477" t="s">
        <v>2472</v>
      </c>
      <c r="G130" s="469" t="s">
        <v>2472</v>
      </c>
      <c r="H130" s="470">
        <v>6500</v>
      </c>
      <c r="I130" s="471">
        <v>501.93050193050198</v>
      </c>
      <c r="J130" s="472" t="s">
        <v>422</v>
      </c>
      <c r="K130" s="472" t="s">
        <v>2473</v>
      </c>
      <c r="L130" s="473" t="s">
        <v>530</v>
      </c>
      <c r="M130" s="473" t="s">
        <v>2559</v>
      </c>
      <c r="N130" s="473" t="s">
        <v>2614</v>
      </c>
      <c r="O130" s="474" t="s">
        <v>2624</v>
      </c>
    </row>
    <row r="131" spans="1:15" s="475" customFormat="1" ht="12" hidden="1">
      <c r="A131" s="465">
        <v>10131000056451</v>
      </c>
      <c r="B131" s="476" t="s">
        <v>2625</v>
      </c>
      <c r="C131" s="476" t="s">
        <v>2625</v>
      </c>
      <c r="D131" s="467" t="s">
        <v>1278</v>
      </c>
      <c r="E131" s="472" t="s">
        <v>2491</v>
      </c>
      <c r="F131" s="477">
        <v>1.83</v>
      </c>
      <c r="G131" s="469" t="s">
        <v>2472</v>
      </c>
      <c r="H131" s="487">
        <v>2.2000000000000002</v>
      </c>
      <c r="I131" s="471">
        <v>2.2000000000000002</v>
      </c>
      <c r="J131" s="488" t="s">
        <v>2492</v>
      </c>
      <c r="K131" s="472" t="s">
        <v>2522</v>
      </c>
      <c r="L131" s="473" t="s">
        <v>530</v>
      </c>
      <c r="M131" s="473" t="s">
        <v>2559</v>
      </c>
      <c r="N131" s="473" t="s">
        <v>2626</v>
      </c>
      <c r="O131" s="474" t="s">
        <v>206</v>
      </c>
    </row>
    <row r="132" spans="1:15" s="475" customFormat="1" ht="12" hidden="1">
      <c r="A132" s="465">
        <v>10131000056349</v>
      </c>
      <c r="B132" s="466" t="s">
        <v>2625</v>
      </c>
      <c r="C132" s="466" t="s">
        <v>2625</v>
      </c>
      <c r="D132" s="467" t="s">
        <v>1278</v>
      </c>
      <c r="E132" s="468" t="s">
        <v>2491</v>
      </c>
      <c r="F132" s="477">
        <v>2.5499999999999998</v>
      </c>
      <c r="G132" s="469" t="s">
        <v>2472</v>
      </c>
      <c r="H132" s="470">
        <v>2.8</v>
      </c>
      <c r="I132" s="471">
        <v>2.8</v>
      </c>
      <c r="J132" s="472" t="s">
        <v>423</v>
      </c>
      <c r="K132" s="472" t="s">
        <v>534</v>
      </c>
      <c r="L132" s="473" t="s">
        <v>530</v>
      </c>
      <c r="M132" s="473" t="s">
        <v>2559</v>
      </c>
      <c r="N132" s="473" t="s">
        <v>2626</v>
      </c>
      <c r="O132" s="474" t="s">
        <v>206</v>
      </c>
    </row>
    <row r="133" spans="1:15" s="475" customFormat="1" ht="12" hidden="1">
      <c r="A133" s="465">
        <v>1000058589</v>
      </c>
      <c r="B133" s="476" t="s">
        <v>2625</v>
      </c>
      <c r="C133" s="476" t="s">
        <v>2627</v>
      </c>
      <c r="D133" s="467" t="s">
        <v>1278</v>
      </c>
      <c r="E133" s="472" t="s">
        <v>2491</v>
      </c>
      <c r="F133" s="477" t="s">
        <v>2472</v>
      </c>
      <c r="G133" s="469" t="s">
        <v>2472</v>
      </c>
      <c r="H133" s="487">
        <v>2.0699999999999998</v>
      </c>
      <c r="I133" s="471">
        <v>2.0699999999999998</v>
      </c>
      <c r="J133" s="488" t="s">
        <v>2492</v>
      </c>
      <c r="K133" s="472" t="s">
        <v>658</v>
      </c>
      <c r="L133" s="473" t="s">
        <v>530</v>
      </c>
      <c r="M133" s="473" t="s">
        <v>2559</v>
      </c>
      <c r="N133" s="473" t="s">
        <v>2626</v>
      </c>
      <c r="O133" s="474" t="s">
        <v>206</v>
      </c>
    </row>
    <row r="134" spans="1:15" s="475" customFormat="1" ht="12" hidden="1">
      <c r="A134" s="465">
        <v>10131000058618</v>
      </c>
      <c r="B134" s="476" t="s">
        <v>2628</v>
      </c>
      <c r="C134" s="476" t="s">
        <v>2628</v>
      </c>
      <c r="D134" s="467" t="s">
        <v>12</v>
      </c>
      <c r="E134" s="472" t="s">
        <v>2541</v>
      </c>
      <c r="F134" s="477" t="s">
        <v>2472</v>
      </c>
      <c r="G134" s="469" t="s">
        <v>2472</v>
      </c>
      <c r="H134" s="470">
        <v>1E-8</v>
      </c>
      <c r="I134" s="471">
        <v>1.5324781650000001E-8</v>
      </c>
      <c r="J134" s="485" t="s">
        <v>421</v>
      </c>
      <c r="K134" s="472" t="s">
        <v>651</v>
      </c>
      <c r="L134" s="473" t="s">
        <v>530</v>
      </c>
      <c r="M134" s="473" t="s">
        <v>2559</v>
      </c>
      <c r="N134" s="473" t="s">
        <v>2626</v>
      </c>
      <c r="O134" s="474" t="s">
        <v>118</v>
      </c>
    </row>
    <row r="135" spans="1:15" s="475" customFormat="1" ht="12" hidden="1">
      <c r="A135" s="465">
        <v>10131000056347</v>
      </c>
      <c r="B135" s="466" t="s">
        <v>2629</v>
      </c>
      <c r="C135" s="466" t="s">
        <v>2629</v>
      </c>
      <c r="D135" s="467" t="s">
        <v>990</v>
      </c>
      <c r="E135" s="468" t="s">
        <v>2491</v>
      </c>
      <c r="F135" s="477">
        <v>266.25</v>
      </c>
      <c r="G135" s="469" t="s">
        <v>2472</v>
      </c>
      <c r="H135" s="470">
        <v>294.39999999999998</v>
      </c>
      <c r="I135" s="471">
        <v>294.39999999999998</v>
      </c>
      <c r="J135" s="472" t="s">
        <v>423</v>
      </c>
      <c r="K135" s="472" t="s">
        <v>534</v>
      </c>
      <c r="L135" s="473" t="s">
        <v>530</v>
      </c>
      <c r="M135" s="473" t="s">
        <v>2559</v>
      </c>
      <c r="N135" s="473" t="s">
        <v>2630</v>
      </c>
      <c r="O135" s="474" t="s">
        <v>2630</v>
      </c>
    </row>
    <row r="136" spans="1:15" s="475" customFormat="1" ht="12" hidden="1">
      <c r="A136" s="465">
        <v>10131000058285</v>
      </c>
      <c r="B136" s="489" t="s">
        <v>2629</v>
      </c>
      <c r="C136" s="489" t="s">
        <v>2631</v>
      </c>
      <c r="D136" s="467" t="s">
        <v>990</v>
      </c>
      <c r="E136" s="478" t="s">
        <v>2514</v>
      </c>
      <c r="F136" s="477" t="s">
        <v>2472</v>
      </c>
      <c r="G136" s="469" t="s">
        <v>2472</v>
      </c>
      <c r="H136" s="481">
        <v>84691</v>
      </c>
      <c r="I136" s="482">
        <v>864.56</v>
      </c>
      <c r="J136" s="483" t="s">
        <v>2515</v>
      </c>
      <c r="K136" s="483" t="s">
        <v>2515</v>
      </c>
      <c r="L136" s="473" t="s">
        <v>530</v>
      </c>
      <c r="M136" s="473" t="s">
        <v>2559</v>
      </c>
      <c r="N136" s="473" t="s">
        <v>2630</v>
      </c>
      <c r="O136" s="474" t="s">
        <v>2630</v>
      </c>
    </row>
    <row r="137" spans="1:15" s="475" customFormat="1" ht="12" hidden="1">
      <c r="A137" s="465">
        <v>10131000058284</v>
      </c>
      <c r="B137" s="489" t="s">
        <v>2629</v>
      </c>
      <c r="C137" s="489" t="s">
        <v>2632</v>
      </c>
      <c r="D137" s="467" t="s">
        <v>990</v>
      </c>
      <c r="E137" s="478" t="s">
        <v>2514</v>
      </c>
      <c r="F137" s="477" t="s">
        <v>2472</v>
      </c>
      <c r="G137" s="469" t="s">
        <v>2472</v>
      </c>
      <c r="H137" s="481">
        <v>84691</v>
      </c>
      <c r="I137" s="482">
        <v>864.56</v>
      </c>
      <c r="J137" s="483" t="s">
        <v>2515</v>
      </c>
      <c r="K137" s="483" t="s">
        <v>2515</v>
      </c>
      <c r="L137" s="473" t="s">
        <v>530</v>
      </c>
      <c r="M137" s="473" t="s">
        <v>2559</v>
      </c>
      <c r="N137" s="473" t="s">
        <v>2630</v>
      </c>
      <c r="O137" s="474" t="s">
        <v>2630</v>
      </c>
    </row>
    <row r="138" spans="1:15" s="475" customFormat="1" ht="12" hidden="1">
      <c r="A138" s="465">
        <v>1000099022</v>
      </c>
      <c r="B138" s="466" t="s">
        <v>2629</v>
      </c>
      <c r="C138" s="466" t="s">
        <v>2629</v>
      </c>
      <c r="D138" s="467" t="s">
        <v>990</v>
      </c>
      <c r="E138" s="468" t="s">
        <v>2471</v>
      </c>
      <c r="F138" s="477" t="s">
        <v>2472</v>
      </c>
      <c r="G138" s="469" t="s">
        <v>2472</v>
      </c>
      <c r="H138" s="470">
        <v>273</v>
      </c>
      <c r="I138" s="471">
        <v>21.081081081081081</v>
      </c>
      <c r="J138" s="472" t="s">
        <v>422</v>
      </c>
      <c r="K138" s="472" t="s">
        <v>2473</v>
      </c>
      <c r="L138" s="473" t="s">
        <v>530</v>
      </c>
      <c r="M138" s="473" t="s">
        <v>2559</v>
      </c>
      <c r="N138" s="473" t="s">
        <v>2630</v>
      </c>
      <c r="O138" s="474" t="s">
        <v>2630</v>
      </c>
    </row>
    <row r="139" spans="1:15" s="475" customFormat="1" ht="12" hidden="1">
      <c r="A139" s="465">
        <v>10131000056348</v>
      </c>
      <c r="B139" s="466" t="s">
        <v>2633</v>
      </c>
      <c r="C139" s="466" t="s">
        <v>2633</v>
      </c>
      <c r="D139" s="467" t="s">
        <v>990</v>
      </c>
      <c r="E139" s="468" t="s">
        <v>2491</v>
      </c>
      <c r="F139" s="477">
        <v>384.375</v>
      </c>
      <c r="G139" s="469" t="s">
        <v>2472</v>
      </c>
      <c r="H139" s="470">
        <v>425</v>
      </c>
      <c r="I139" s="471">
        <v>425</v>
      </c>
      <c r="J139" s="472" t="s">
        <v>423</v>
      </c>
      <c r="K139" s="472" t="s">
        <v>534</v>
      </c>
      <c r="L139" s="473" t="s">
        <v>530</v>
      </c>
      <c r="M139" s="473" t="s">
        <v>2559</v>
      </c>
      <c r="N139" s="473" t="s">
        <v>2630</v>
      </c>
      <c r="O139" s="474" t="s">
        <v>2630</v>
      </c>
    </row>
    <row r="140" spans="1:15" s="475" customFormat="1" ht="12" hidden="1">
      <c r="A140" s="465">
        <v>1000099023</v>
      </c>
      <c r="B140" s="466" t="s">
        <v>2633</v>
      </c>
      <c r="C140" s="466" t="s">
        <v>2633</v>
      </c>
      <c r="D140" s="467" t="s">
        <v>990</v>
      </c>
      <c r="E140" s="468" t="s">
        <v>2471</v>
      </c>
      <c r="F140" s="477" t="s">
        <v>2472</v>
      </c>
      <c r="G140" s="469" t="s">
        <v>2472</v>
      </c>
      <c r="H140" s="470">
        <v>312</v>
      </c>
      <c r="I140" s="471">
        <v>24.092664092664094</v>
      </c>
      <c r="J140" s="472" t="s">
        <v>422</v>
      </c>
      <c r="K140" s="472" t="s">
        <v>2473</v>
      </c>
      <c r="L140" s="473" t="s">
        <v>530</v>
      </c>
      <c r="M140" s="473" t="s">
        <v>2559</v>
      </c>
      <c r="N140" s="473" t="s">
        <v>2630</v>
      </c>
      <c r="O140" s="474" t="s">
        <v>2630</v>
      </c>
    </row>
    <row r="141" spans="1:15" s="475" customFormat="1" ht="12" hidden="1">
      <c r="A141" s="465">
        <v>10131000056346</v>
      </c>
      <c r="B141" s="466" t="s">
        <v>2634</v>
      </c>
      <c r="C141" s="466" t="s">
        <v>2634</v>
      </c>
      <c r="D141" s="467" t="s">
        <v>990</v>
      </c>
      <c r="E141" s="468" t="s">
        <v>2491</v>
      </c>
      <c r="F141" s="477">
        <v>101.25</v>
      </c>
      <c r="G141" s="469" t="s">
        <v>2472</v>
      </c>
      <c r="H141" s="470">
        <v>109.5</v>
      </c>
      <c r="I141" s="471">
        <v>109.5</v>
      </c>
      <c r="J141" s="472" t="s">
        <v>423</v>
      </c>
      <c r="K141" s="472" t="s">
        <v>534</v>
      </c>
      <c r="L141" s="473" t="s">
        <v>530</v>
      </c>
      <c r="M141" s="473" t="s">
        <v>2559</v>
      </c>
      <c r="N141" s="473" t="s">
        <v>2635</v>
      </c>
      <c r="O141" s="474" t="s">
        <v>2635</v>
      </c>
    </row>
    <row r="142" spans="1:15" s="475" customFormat="1" ht="12" hidden="1">
      <c r="A142" s="465">
        <v>10131000038516</v>
      </c>
      <c r="B142" s="489" t="s">
        <v>2634</v>
      </c>
      <c r="C142" s="489" t="s">
        <v>2636</v>
      </c>
      <c r="D142" s="467" t="s">
        <v>990</v>
      </c>
      <c r="E142" s="478" t="s">
        <v>2514</v>
      </c>
      <c r="F142" s="477">
        <v>126.80857259999999</v>
      </c>
      <c r="G142" s="469" t="s">
        <v>2472</v>
      </c>
      <c r="H142" s="481">
        <v>60300</v>
      </c>
      <c r="I142" s="482">
        <v>615.57000000000005</v>
      </c>
      <c r="J142" s="483" t="s">
        <v>2515</v>
      </c>
      <c r="K142" s="483" t="s">
        <v>2515</v>
      </c>
      <c r="L142" s="473" t="s">
        <v>530</v>
      </c>
      <c r="M142" s="473" t="s">
        <v>2559</v>
      </c>
      <c r="N142" s="473" t="s">
        <v>2635</v>
      </c>
      <c r="O142" s="474" t="s">
        <v>2635</v>
      </c>
    </row>
    <row r="143" spans="1:15" s="475" customFormat="1" ht="12" hidden="1">
      <c r="A143" s="465">
        <v>10131000052464</v>
      </c>
      <c r="B143" s="489" t="s">
        <v>2634</v>
      </c>
      <c r="C143" s="489" t="s">
        <v>2637</v>
      </c>
      <c r="D143" s="467" t="s">
        <v>990</v>
      </c>
      <c r="E143" s="478" t="s">
        <v>2514</v>
      </c>
      <c r="F143" s="477" t="s">
        <v>2472</v>
      </c>
      <c r="G143" s="469" t="s">
        <v>2472</v>
      </c>
      <c r="H143" s="481">
        <v>60300</v>
      </c>
      <c r="I143" s="482">
        <v>615.57000000000005</v>
      </c>
      <c r="J143" s="483" t="s">
        <v>2515</v>
      </c>
      <c r="K143" s="483" t="s">
        <v>2515</v>
      </c>
      <c r="L143" s="473" t="s">
        <v>530</v>
      </c>
      <c r="M143" s="473" t="s">
        <v>2559</v>
      </c>
      <c r="N143" s="473" t="s">
        <v>2635</v>
      </c>
      <c r="O143" s="474" t="s">
        <v>2635</v>
      </c>
    </row>
    <row r="144" spans="1:15" s="475" customFormat="1" ht="12" hidden="1">
      <c r="A144" s="465">
        <v>1000099021</v>
      </c>
      <c r="B144" s="466" t="s">
        <v>2634</v>
      </c>
      <c r="C144" s="466" t="s">
        <v>2634</v>
      </c>
      <c r="D144" s="467" t="s">
        <v>990</v>
      </c>
      <c r="E144" s="468" t="s">
        <v>2471</v>
      </c>
      <c r="F144" s="477" t="s">
        <v>2472</v>
      </c>
      <c r="G144" s="469" t="s">
        <v>2472</v>
      </c>
      <c r="H144" s="470">
        <v>247</v>
      </c>
      <c r="I144" s="471">
        <v>19.073359073359075</v>
      </c>
      <c r="J144" s="472" t="s">
        <v>422</v>
      </c>
      <c r="K144" s="472" t="s">
        <v>2473</v>
      </c>
      <c r="L144" s="473" t="s">
        <v>530</v>
      </c>
      <c r="M144" s="473" t="s">
        <v>2559</v>
      </c>
      <c r="N144" s="473" t="s">
        <v>2635</v>
      </c>
      <c r="O144" s="474" t="s">
        <v>2635</v>
      </c>
    </row>
    <row r="145" spans="1:15" s="475" customFormat="1" ht="12" hidden="1">
      <c r="A145" s="465">
        <v>10131000038214</v>
      </c>
      <c r="B145" s="466" t="s">
        <v>2638</v>
      </c>
      <c r="C145" s="466" t="s">
        <v>2638</v>
      </c>
      <c r="D145" s="467" t="s">
        <v>1045</v>
      </c>
      <c r="E145" s="468" t="s">
        <v>2491</v>
      </c>
      <c r="F145" s="477">
        <v>93</v>
      </c>
      <c r="G145" s="469" t="s">
        <v>2472</v>
      </c>
      <c r="H145" s="470">
        <v>0</v>
      </c>
      <c r="I145" s="471">
        <v>0</v>
      </c>
      <c r="J145" s="472" t="s">
        <v>423</v>
      </c>
      <c r="K145" s="472" t="s">
        <v>534</v>
      </c>
      <c r="L145" s="473" t="s">
        <v>530</v>
      </c>
      <c r="M145" s="473" t="s">
        <v>2559</v>
      </c>
      <c r="N145" s="473" t="s">
        <v>2639</v>
      </c>
      <c r="O145" s="474" t="s">
        <v>2639</v>
      </c>
    </row>
    <row r="146" spans="1:15" s="475" customFormat="1" ht="12" hidden="1">
      <c r="A146" s="465">
        <v>1000099103</v>
      </c>
      <c r="B146" s="466" t="s">
        <v>2640</v>
      </c>
      <c r="C146" s="466" t="s">
        <v>2640</v>
      </c>
      <c r="D146" s="467" t="s">
        <v>2641</v>
      </c>
      <c r="E146" s="468" t="s">
        <v>2471</v>
      </c>
      <c r="F146" s="477" t="s">
        <v>2472</v>
      </c>
      <c r="G146" s="469" t="s">
        <v>2472</v>
      </c>
      <c r="H146" s="470">
        <v>1190.5</v>
      </c>
      <c r="I146" s="471">
        <v>91.930501930501933</v>
      </c>
      <c r="J146" s="472" t="s">
        <v>422</v>
      </c>
      <c r="K146" s="472" t="s">
        <v>2473</v>
      </c>
      <c r="L146" s="473" t="s">
        <v>1608</v>
      </c>
      <c r="M146" s="473" t="s">
        <v>2642</v>
      </c>
      <c r="N146" s="473" t="s">
        <v>2643</v>
      </c>
      <c r="O146" s="474" t="s">
        <v>2640</v>
      </c>
    </row>
    <row r="147" spans="1:15" s="475" customFormat="1" ht="12" hidden="1">
      <c r="A147" s="465">
        <v>1000099106</v>
      </c>
      <c r="B147" s="466" t="s">
        <v>2644</v>
      </c>
      <c r="C147" s="466" t="s">
        <v>2644</v>
      </c>
      <c r="D147" s="467" t="s">
        <v>2641</v>
      </c>
      <c r="E147" s="468" t="s">
        <v>2471</v>
      </c>
      <c r="F147" s="477" t="s">
        <v>2472</v>
      </c>
      <c r="G147" s="469" t="s">
        <v>2472</v>
      </c>
      <c r="H147" s="470">
        <v>1309.5500000000002</v>
      </c>
      <c r="I147" s="471">
        <v>101.12355212355214</v>
      </c>
      <c r="J147" s="472" t="s">
        <v>422</v>
      </c>
      <c r="K147" s="472" t="s">
        <v>2473</v>
      </c>
      <c r="L147" s="473" t="s">
        <v>1608</v>
      </c>
      <c r="M147" s="473" t="s">
        <v>2642</v>
      </c>
      <c r="N147" s="473" t="s">
        <v>2643</v>
      </c>
      <c r="O147" s="474" t="s">
        <v>2640</v>
      </c>
    </row>
    <row r="148" spans="1:15" s="475" customFormat="1" ht="12" hidden="1">
      <c r="A148" s="465">
        <v>10131000008001</v>
      </c>
      <c r="B148" s="466" t="s">
        <v>2645</v>
      </c>
      <c r="C148" s="466" t="s">
        <v>2645</v>
      </c>
      <c r="D148" s="467" t="s">
        <v>1045</v>
      </c>
      <c r="E148" s="468" t="s">
        <v>2491</v>
      </c>
      <c r="F148" s="477" t="s">
        <v>2472</v>
      </c>
      <c r="G148" s="469" t="s">
        <v>2472</v>
      </c>
      <c r="H148" s="470">
        <v>0</v>
      </c>
      <c r="I148" s="471">
        <v>0</v>
      </c>
      <c r="J148" s="472" t="s">
        <v>423</v>
      </c>
      <c r="K148" s="472" t="s">
        <v>534</v>
      </c>
      <c r="L148" s="473" t="s">
        <v>2474</v>
      </c>
      <c r="M148" s="473" t="s">
        <v>1491</v>
      </c>
      <c r="N148" s="473" t="s">
        <v>2645</v>
      </c>
      <c r="O148" s="474" t="s">
        <v>2645</v>
      </c>
    </row>
    <row r="149" spans="1:15" s="475" customFormat="1" ht="12" hidden="1">
      <c r="A149" s="465">
        <v>1000099134</v>
      </c>
      <c r="B149" s="466" t="s">
        <v>2646</v>
      </c>
      <c r="C149" s="466" t="s">
        <v>2647</v>
      </c>
      <c r="D149" s="467" t="s">
        <v>1045</v>
      </c>
      <c r="E149" s="468" t="s">
        <v>2471</v>
      </c>
      <c r="F149" s="477" t="s">
        <v>2472</v>
      </c>
      <c r="G149" s="469" t="s">
        <v>2472</v>
      </c>
      <c r="H149" s="470">
        <v>0</v>
      </c>
      <c r="I149" s="471">
        <v>0</v>
      </c>
      <c r="J149" s="472" t="s">
        <v>422</v>
      </c>
      <c r="K149" s="472" t="s">
        <v>2473</v>
      </c>
      <c r="L149" s="473" t="s">
        <v>2474</v>
      </c>
      <c r="M149" s="473" t="s">
        <v>1835</v>
      </c>
      <c r="N149" s="473" t="s">
        <v>204</v>
      </c>
      <c r="O149" s="474" t="s">
        <v>2646</v>
      </c>
    </row>
    <row r="150" spans="1:15" s="475" customFormat="1" ht="12" hidden="1">
      <c r="A150" s="465">
        <v>1000099171</v>
      </c>
      <c r="B150" s="466" t="s">
        <v>2648</v>
      </c>
      <c r="C150" s="466" t="s">
        <v>2649</v>
      </c>
      <c r="D150" s="467" t="s">
        <v>1045</v>
      </c>
      <c r="E150" s="468" t="s">
        <v>2471</v>
      </c>
      <c r="F150" s="477" t="s">
        <v>2472</v>
      </c>
      <c r="G150" s="469" t="s">
        <v>2472</v>
      </c>
      <c r="H150" s="470">
        <v>0</v>
      </c>
      <c r="I150" s="471">
        <v>0</v>
      </c>
      <c r="J150" s="472" t="s">
        <v>422</v>
      </c>
      <c r="K150" s="472" t="s">
        <v>2473</v>
      </c>
      <c r="L150" s="473" t="s">
        <v>2474</v>
      </c>
      <c r="M150" s="473" t="s">
        <v>1835</v>
      </c>
      <c r="N150" s="473" t="s">
        <v>204</v>
      </c>
      <c r="O150" s="474" t="s">
        <v>2646</v>
      </c>
    </row>
    <row r="151" spans="1:15" s="475" customFormat="1" ht="12" hidden="1">
      <c r="A151" s="465">
        <v>1000099110</v>
      </c>
      <c r="B151" s="466" t="s">
        <v>2650</v>
      </c>
      <c r="C151" s="466" t="s">
        <v>2651</v>
      </c>
      <c r="D151" s="467" t="s">
        <v>2470</v>
      </c>
      <c r="E151" s="468" t="s">
        <v>2471</v>
      </c>
      <c r="F151" s="477" t="s">
        <v>2472</v>
      </c>
      <c r="G151" s="469" t="s">
        <v>2472</v>
      </c>
      <c r="H151" s="470">
        <v>2.09</v>
      </c>
      <c r="I151" s="471">
        <v>0.16138996138996139</v>
      </c>
      <c r="J151" s="472" t="s">
        <v>422</v>
      </c>
      <c r="K151" s="472" t="s">
        <v>2473</v>
      </c>
      <c r="L151" s="473" t="s">
        <v>2474</v>
      </c>
      <c r="M151" s="473" t="s">
        <v>1491</v>
      </c>
      <c r="N151" s="473" t="s">
        <v>2645</v>
      </c>
      <c r="O151" s="474" t="s">
        <v>2645</v>
      </c>
    </row>
    <row r="152" spans="1:15" s="475" customFormat="1" ht="12" hidden="1">
      <c r="A152" s="465">
        <v>1000099147</v>
      </c>
      <c r="B152" s="466" t="s">
        <v>2650</v>
      </c>
      <c r="C152" s="466" t="s">
        <v>2652</v>
      </c>
      <c r="D152" s="467" t="s">
        <v>2470</v>
      </c>
      <c r="E152" s="468" t="s">
        <v>2471</v>
      </c>
      <c r="F152" s="477" t="s">
        <v>2472</v>
      </c>
      <c r="G152" s="469" t="s">
        <v>2472</v>
      </c>
      <c r="H152" s="470">
        <v>2.2799999999999998</v>
      </c>
      <c r="I152" s="471">
        <v>0.17606177606177606</v>
      </c>
      <c r="J152" s="472" t="s">
        <v>422</v>
      </c>
      <c r="K152" s="472" t="s">
        <v>2473</v>
      </c>
      <c r="L152" s="473" t="s">
        <v>2474</v>
      </c>
      <c r="M152" s="473" t="s">
        <v>1491</v>
      </c>
      <c r="N152" s="473" t="s">
        <v>2645</v>
      </c>
      <c r="O152" s="474" t="s">
        <v>2645</v>
      </c>
    </row>
    <row r="153" spans="1:15" s="475" customFormat="1" ht="12" hidden="1">
      <c r="A153" s="465">
        <v>10131000058296</v>
      </c>
      <c r="B153" s="489" t="s">
        <v>2653</v>
      </c>
      <c r="C153" s="489" t="s">
        <v>2654</v>
      </c>
      <c r="D153" s="467" t="s">
        <v>2655</v>
      </c>
      <c r="E153" s="478" t="s">
        <v>2514</v>
      </c>
      <c r="F153" s="477" t="s">
        <v>2472</v>
      </c>
      <c r="G153" s="469" t="s">
        <v>2472</v>
      </c>
      <c r="H153" s="481">
        <v>39117</v>
      </c>
      <c r="I153" s="482">
        <v>399.32</v>
      </c>
      <c r="J153" s="483" t="s">
        <v>2515</v>
      </c>
      <c r="K153" s="483" t="s">
        <v>2515</v>
      </c>
      <c r="L153" s="473" t="s">
        <v>1608</v>
      </c>
      <c r="M153" s="473" t="s">
        <v>1609</v>
      </c>
      <c r="N153" s="473" t="s">
        <v>1611</v>
      </c>
      <c r="O153" s="474" t="s">
        <v>1611</v>
      </c>
    </row>
    <row r="154" spans="1:15" s="475" customFormat="1" ht="12" hidden="1">
      <c r="A154" s="465">
        <v>10131000058297</v>
      </c>
      <c r="B154" s="489" t="s">
        <v>2653</v>
      </c>
      <c r="C154" s="489" t="s">
        <v>2656</v>
      </c>
      <c r="D154" s="467" t="s">
        <v>2655</v>
      </c>
      <c r="E154" s="478" t="s">
        <v>2514</v>
      </c>
      <c r="F154" s="477" t="s">
        <v>2472</v>
      </c>
      <c r="G154" s="469" t="s">
        <v>2472</v>
      </c>
      <c r="H154" s="481">
        <v>39117</v>
      </c>
      <c r="I154" s="482">
        <v>399.32</v>
      </c>
      <c r="J154" s="483" t="s">
        <v>2515</v>
      </c>
      <c r="K154" s="483" t="s">
        <v>2515</v>
      </c>
      <c r="L154" s="473" t="s">
        <v>1608</v>
      </c>
      <c r="M154" s="473" t="s">
        <v>1609</v>
      </c>
      <c r="N154" s="473" t="s">
        <v>1611</v>
      </c>
      <c r="O154" s="474" t="s">
        <v>1611</v>
      </c>
    </row>
    <row r="155" spans="1:15" s="475" customFormat="1" ht="12" hidden="1">
      <c r="A155" s="465">
        <v>10131000052442</v>
      </c>
      <c r="B155" s="489" t="s">
        <v>2653</v>
      </c>
      <c r="C155" s="466" t="s">
        <v>2653</v>
      </c>
      <c r="D155" s="467" t="s">
        <v>1045</v>
      </c>
      <c r="E155" s="468" t="s">
        <v>2491</v>
      </c>
      <c r="F155" s="477" t="s">
        <v>2472</v>
      </c>
      <c r="G155" s="469" t="s">
        <v>2472</v>
      </c>
      <c r="H155" s="470">
        <v>0</v>
      </c>
      <c r="I155" s="471">
        <v>0</v>
      </c>
      <c r="J155" s="472" t="s">
        <v>423</v>
      </c>
      <c r="K155" s="472" t="s">
        <v>534</v>
      </c>
      <c r="L155" s="473" t="s">
        <v>1608</v>
      </c>
      <c r="M155" s="473" t="s">
        <v>1609</v>
      </c>
      <c r="N155" s="473" t="s">
        <v>1611</v>
      </c>
      <c r="O155" s="474" t="s">
        <v>1611</v>
      </c>
    </row>
    <row r="156" spans="1:15" s="475" customFormat="1" ht="12" hidden="1">
      <c r="A156" s="465">
        <v>10131000008617</v>
      </c>
      <c r="B156" s="489" t="s">
        <v>2657</v>
      </c>
      <c r="C156" s="466" t="s">
        <v>2657</v>
      </c>
      <c r="D156" s="467" t="s">
        <v>2655</v>
      </c>
      <c r="E156" s="468" t="s">
        <v>2619</v>
      </c>
      <c r="F156" s="477">
        <v>744.41687250000007</v>
      </c>
      <c r="G156" s="469" t="s">
        <v>2472</v>
      </c>
      <c r="H156" s="470">
        <v>825</v>
      </c>
      <c r="I156" s="471">
        <v>825</v>
      </c>
      <c r="J156" s="472" t="s">
        <v>423</v>
      </c>
      <c r="K156" s="472" t="s">
        <v>2620</v>
      </c>
      <c r="L156" s="473" t="s">
        <v>1608</v>
      </c>
      <c r="M156" s="473" t="s">
        <v>1609</v>
      </c>
      <c r="N156" s="473" t="s">
        <v>1615</v>
      </c>
      <c r="O156" s="474" t="s">
        <v>1615</v>
      </c>
    </row>
    <row r="157" spans="1:15" s="475" customFormat="1" ht="12" hidden="1">
      <c r="A157" s="465">
        <v>10131000008616</v>
      </c>
      <c r="B157" s="489" t="s">
        <v>2657</v>
      </c>
      <c r="C157" s="466" t="s">
        <v>2657</v>
      </c>
      <c r="D157" s="467" t="s">
        <v>2655</v>
      </c>
      <c r="E157" s="468" t="s">
        <v>2491</v>
      </c>
      <c r="F157" s="477">
        <v>750</v>
      </c>
      <c r="G157" s="469" t="s">
        <v>2472</v>
      </c>
      <c r="H157" s="470">
        <v>825</v>
      </c>
      <c r="I157" s="471">
        <v>825</v>
      </c>
      <c r="J157" s="472" t="s">
        <v>423</v>
      </c>
      <c r="K157" s="472" t="s">
        <v>2620</v>
      </c>
      <c r="L157" s="473" t="s">
        <v>1608</v>
      </c>
      <c r="M157" s="473" t="s">
        <v>1609</v>
      </c>
      <c r="N157" s="473" t="s">
        <v>1615</v>
      </c>
      <c r="O157" s="474" t="s">
        <v>1615</v>
      </c>
    </row>
    <row r="158" spans="1:15" s="475" customFormat="1" ht="12" hidden="1">
      <c r="A158" s="465">
        <v>10131000008614</v>
      </c>
      <c r="B158" s="489" t="s">
        <v>2657</v>
      </c>
      <c r="C158" s="466" t="s">
        <v>2657</v>
      </c>
      <c r="D158" s="467" t="s">
        <v>2655</v>
      </c>
      <c r="E158" s="468" t="s">
        <v>2491</v>
      </c>
      <c r="F158" s="477">
        <v>750</v>
      </c>
      <c r="G158" s="469" t="s">
        <v>2472</v>
      </c>
      <c r="H158" s="470">
        <v>825</v>
      </c>
      <c r="I158" s="471">
        <v>825</v>
      </c>
      <c r="J158" s="472" t="s">
        <v>423</v>
      </c>
      <c r="K158" s="472" t="s">
        <v>534</v>
      </c>
      <c r="L158" s="473" t="s">
        <v>1608</v>
      </c>
      <c r="M158" s="473" t="s">
        <v>1609</v>
      </c>
      <c r="N158" s="473" t="s">
        <v>1615</v>
      </c>
      <c r="O158" s="474" t="s">
        <v>1615</v>
      </c>
    </row>
    <row r="159" spans="1:15" s="475" customFormat="1" ht="12" hidden="1">
      <c r="A159" s="465">
        <v>10131000058298</v>
      </c>
      <c r="B159" s="489" t="s">
        <v>2657</v>
      </c>
      <c r="C159" s="489" t="s">
        <v>2658</v>
      </c>
      <c r="D159" s="467" t="s">
        <v>2655</v>
      </c>
      <c r="E159" s="478" t="s">
        <v>2514</v>
      </c>
      <c r="F159" s="477" t="s">
        <v>2472</v>
      </c>
      <c r="G159" s="469" t="s">
        <v>2472</v>
      </c>
      <c r="H159" s="481">
        <v>124200</v>
      </c>
      <c r="I159" s="482">
        <v>1267.8900000000001</v>
      </c>
      <c r="J159" s="483" t="s">
        <v>2515</v>
      </c>
      <c r="K159" s="483" t="s">
        <v>2515</v>
      </c>
      <c r="L159" s="473" t="s">
        <v>1608</v>
      </c>
      <c r="M159" s="473" t="s">
        <v>1609</v>
      </c>
      <c r="N159" s="473" t="s">
        <v>1615</v>
      </c>
      <c r="O159" s="474" t="s">
        <v>1615</v>
      </c>
    </row>
    <row r="160" spans="1:15" s="475" customFormat="1" ht="12" hidden="1">
      <c r="A160" s="465">
        <v>10131000058299</v>
      </c>
      <c r="B160" s="489" t="s">
        <v>2657</v>
      </c>
      <c r="C160" s="489" t="s">
        <v>2659</v>
      </c>
      <c r="D160" s="467" t="s">
        <v>2655</v>
      </c>
      <c r="E160" s="478" t="s">
        <v>2514</v>
      </c>
      <c r="F160" s="477" t="s">
        <v>2472</v>
      </c>
      <c r="G160" s="469" t="s">
        <v>2472</v>
      </c>
      <c r="H160" s="481">
        <v>124200</v>
      </c>
      <c r="I160" s="482">
        <v>1267.8900000000001</v>
      </c>
      <c r="J160" s="483" t="s">
        <v>2515</v>
      </c>
      <c r="K160" s="483" t="s">
        <v>2515</v>
      </c>
      <c r="L160" s="473" t="s">
        <v>1608</v>
      </c>
      <c r="M160" s="473" t="s">
        <v>1609</v>
      </c>
      <c r="N160" s="473" t="s">
        <v>1615</v>
      </c>
      <c r="O160" s="474" t="s">
        <v>1615</v>
      </c>
    </row>
    <row r="161" spans="1:15" s="475" customFormat="1" ht="12" hidden="1">
      <c r="A161" s="465">
        <v>10131000008620</v>
      </c>
      <c r="B161" s="466" t="s">
        <v>2660</v>
      </c>
      <c r="C161" s="466" t="s">
        <v>2660</v>
      </c>
      <c r="D161" s="467" t="s">
        <v>1045</v>
      </c>
      <c r="E161" s="468" t="s">
        <v>2491</v>
      </c>
      <c r="F161" s="477">
        <v>0</v>
      </c>
      <c r="G161" s="469" t="s">
        <v>2472</v>
      </c>
      <c r="H161" s="470">
        <v>0</v>
      </c>
      <c r="I161" s="471">
        <v>0</v>
      </c>
      <c r="J161" s="472" t="s">
        <v>423</v>
      </c>
      <c r="K161" s="472" t="s">
        <v>534</v>
      </c>
      <c r="L161" s="473" t="s">
        <v>1608</v>
      </c>
      <c r="M161" s="473" t="s">
        <v>1609</v>
      </c>
      <c r="N161" s="473" t="s">
        <v>1618</v>
      </c>
      <c r="O161" s="474" t="s">
        <v>1618</v>
      </c>
    </row>
    <row r="162" spans="1:15" s="475" customFormat="1" ht="12" hidden="1">
      <c r="A162" s="465">
        <v>10131000057189</v>
      </c>
      <c r="B162" s="466" t="s">
        <v>2661</v>
      </c>
      <c r="C162" s="466" t="s">
        <v>2661</v>
      </c>
      <c r="D162" s="467" t="s">
        <v>571</v>
      </c>
      <c r="E162" s="468" t="s">
        <v>2491</v>
      </c>
      <c r="F162" s="477">
        <v>1800</v>
      </c>
      <c r="G162" s="469" t="s">
        <v>2472</v>
      </c>
      <c r="H162" s="470">
        <v>1980</v>
      </c>
      <c r="I162" s="471">
        <v>1980</v>
      </c>
      <c r="J162" s="472" t="s">
        <v>423</v>
      </c>
      <c r="K162" s="472" t="s">
        <v>534</v>
      </c>
      <c r="L162" s="473" t="s">
        <v>1608</v>
      </c>
      <c r="M162" s="473" t="s">
        <v>1609</v>
      </c>
      <c r="N162" s="473" t="s">
        <v>2662</v>
      </c>
      <c r="O162" s="474" t="s">
        <v>2661</v>
      </c>
    </row>
    <row r="163" spans="1:15" s="475" customFormat="1" ht="12" hidden="1">
      <c r="A163" s="465">
        <v>10131000058300</v>
      </c>
      <c r="B163" s="489" t="s">
        <v>2661</v>
      </c>
      <c r="C163" s="489" t="s">
        <v>2663</v>
      </c>
      <c r="D163" s="467" t="s">
        <v>571</v>
      </c>
      <c r="E163" s="478" t="s">
        <v>2514</v>
      </c>
      <c r="F163" s="477" t="s">
        <v>2472</v>
      </c>
      <c r="G163" s="469" t="s">
        <v>2472</v>
      </c>
      <c r="H163" s="481">
        <v>68921</v>
      </c>
      <c r="I163" s="482">
        <v>703.58</v>
      </c>
      <c r="J163" s="483" t="s">
        <v>2515</v>
      </c>
      <c r="K163" s="483" t="s">
        <v>2515</v>
      </c>
      <c r="L163" s="473" t="s">
        <v>1608</v>
      </c>
      <c r="M163" s="473" t="s">
        <v>1609</v>
      </c>
      <c r="N163" s="473" t="s">
        <v>2662</v>
      </c>
      <c r="O163" s="474" t="s">
        <v>2661</v>
      </c>
    </row>
    <row r="164" spans="1:15" s="475" customFormat="1" ht="12" hidden="1">
      <c r="A164" s="465">
        <v>10131000058301</v>
      </c>
      <c r="B164" s="489" t="s">
        <v>2661</v>
      </c>
      <c r="C164" s="489" t="s">
        <v>2664</v>
      </c>
      <c r="D164" s="467" t="s">
        <v>571</v>
      </c>
      <c r="E164" s="478" t="s">
        <v>2514</v>
      </c>
      <c r="F164" s="477" t="s">
        <v>2472</v>
      </c>
      <c r="G164" s="469" t="s">
        <v>2472</v>
      </c>
      <c r="H164" s="481">
        <v>68921</v>
      </c>
      <c r="I164" s="482">
        <v>703.58</v>
      </c>
      <c r="J164" s="483" t="s">
        <v>2515</v>
      </c>
      <c r="K164" s="483" t="s">
        <v>2515</v>
      </c>
      <c r="L164" s="473" t="s">
        <v>1608</v>
      </c>
      <c r="M164" s="473" t="s">
        <v>1609</v>
      </c>
      <c r="N164" s="473" t="s">
        <v>2662</v>
      </c>
      <c r="O164" s="474" t="s">
        <v>2661</v>
      </c>
    </row>
    <row r="165" spans="1:15" s="475" customFormat="1" ht="12" hidden="1">
      <c r="A165" s="465">
        <v>10131000008626</v>
      </c>
      <c r="B165" s="466" t="s">
        <v>2665</v>
      </c>
      <c r="C165" s="466" t="s">
        <v>2666</v>
      </c>
      <c r="D165" s="467" t="s">
        <v>571</v>
      </c>
      <c r="E165" s="468" t="s">
        <v>2619</v>
      </c>
      <c r="F165" s="477">
        <v>276.92307657000003</v>
      </c>
      <c r="G165" s="469" t="s">
        <v>2472</v>
      </c>
      <c r="H165" s="470">
        <v>307</v>
      </c>
      <c r="I165" s="471">
        <v>307</v>
      </c>
      <c r="J165" s="472" t="s">
        <v>423</v>
      </c>
      <c r="K165" s="472" t="s">
        <v>2620</v>
      </c>
      <c r="L165" s="473" t="s">
        <v>1608</v>
      </c>
      <c r="M165" s="473" t="s">
        <v>1609</v>
      </c>
      <c r="N165" s="473" t="s">
        <v>2662</v>
      </c>
      <c r="O165" s="474" t="s">
        <v>2665</v>
      </c>
    </row>
    <row r="166" spans="1:15" s="475" customFormat="1" ht="12" hidden="1">
      <c r="A166" s="465">
        <v>10131000008625</v>
      </c>
      <c r="B166" s="466" t="s">
        <v>2665</v>
      </c>
      <c r="C166" s="466" t="s">
        <v>2666</v>
      </c>
      <c r="D166" s="467" t="s">
        <v>571</v>
      </c>
      <c r="E166" s="468" t="s">
        <v>2491</v>
      </c>
      <c r="F166" s="477">
        <v>279</v>
      </c>
      <c r="G166" s="469" t="s">
        <v>2472</v>
      </c>
      <c r="H166" s="470">
        <v>307</v>
      </c>
      <c r="I166" s="471">
        <v>307</v>
      </c>
      <c r="J166" s="472" t="s">
        <v>423</v>
      </c>
      <c r="K166" s="472" t="s">
        <v>2620</v>
      </c>
      <c r="L166" s="473" t="s">
        <v>1608</v>
      </c>
      <c r="M166" s="473" t="s">
        <v>1609</v>
      </c>
      <c r="N166" s="473" t="s">
        <v>2662</v>
      </c>
      <c r="O166" s="474" t="s">
        <v>2665</v>
      </c>
    </row>
    <row r="167" spans="1:15" s="475" customFormat="1" ht="12" hidden="1">
      <c r="A167" s="465">
        <v>10131000008623</v>
      </c>
      <c r="B167" s="466" t="s">
        <v>2665</v>
      </c>
      <c r="C167" s="466" t="s">
        <v>2665</v>
      </c>
      <c r="D167" s="467" t="s">
        <v>571</v>
      </c>
      <c r="E167" s="468" t="s">
        <v>2491</v>
      </c>
      <c r="F167" s="477">
        <v>279</v>
      </c>
      <c r="G167" s="469" t="s">
        <v>2472</v>
      </c>
      <c r="H167" s="470">
        <v>307</v>
      </c>
      <c r="I167" s="471">
        <v>307</v>
      </c>
      <c r="J167" s="472" t="s">
        <v>423</v>
      </c>
      <c r="K167" s="472" t="s">
        <v>534</v>
      </c>
      <c r="L167" s="473" t="s">
        <v>1608</v>
      </c>
      <c r="M167" s="473" t="s">
        <v>1609</v>
      </c>
      <c r="N167" s="473" t="s">
        <v>2662</v>
      </c>
      <c r="O167" s="474" t="s">
        <v>2665</v>
      </c>
    </row>
    <row r="168" spans="1:15" s="475" customFormat="1" ht="12" hidden="1">
      <c r="A168" s="465">
        <v>10131000058302</v>
      </c>
      <c r="B168" s="489" t="s">
        <v>2665</v>
      </c>
      <c r="C168" s="489" t="s">
        <v>2667</v>
      </c>
      <c r="D168" s="467" t="s">
        <v>571</v>
      </c>
      <c r="E168" s="478" t="s">
        <v>2514</v>
      </c>
      <c r="F168" s="477" t="s">
        <v>2472</v>
      </c>
      <c r="G168" s="469" t="s">
        <v>2472</v>
      </c>
      <c r="H168" s="481">
        <v>24954</v>
      </c>
      <c r="I168" s="482">
        <v>254.74</v>
      </c>
      <c r="J168" s="483" t="s">
        <v>2515</v>
      </c>
      <c r="K168" s="483" t="s">
        <v>2515</v>
      </c>
      <c r="L168" s="473" t="s">
        <v>1608</v>
      </c>
      <c r="M168" s="473" t="s">
        <v>1609</v>
      </c>
      <c r="N168" s="473" t="s">
        <v>2662</v>
      </c>
      <c r="O168" s="474" t="s">
        <v>2665</v>
      </c>
    </row>
    <row r="169" spans="1:15" s="475" customFormat="1" ht="12" hidden="1">
      <c r="A169" s="465">
        <v>10131000058303</v>
      </c>
      <c r="B169" s="489" t="s">
        <v>2665</v>
      </c>
      <c r="C169" s="489" t="s">
        <v>2668</v>
      </c>
      <c r="D169" s="467" t="s">
        <v>571</v>
      </c>
      <c r="E169" s="478" t="s">
        <v>2514</v>
      </c>
      <c r="F169" s="477" t="s">
        <v>2472</v>
      </c>
      <c r="G169" s="469" t="s">
        <v>2472</v>
      </c>
      <c r="H169" s="481">
        <v>24954</v>
      </c>
      <c r="I169" s="482">
        <v>254.74</v>
      </c>
      <c r="J169" s="483" t="s">
        <v>2515</v>
      </c>
      <c r="K169" s="483" t="s">
        <v>2515</v>
      </c>
      <c r="L169" s="473" t="s">
        <v>1608</v>
      </c>
      <c r="M169" s="473" t="s">
        <v>1609</v>
      </c>
      <c r="N169" s="473" t="s">
        <v>2662</v>
      </c>
      <c r="O169" s="474" t="s">
        <v>2665</v>
      </c>
    </row>
    <row r="170" spans="1:15" s="475" customFormat="1" ht="12" hidden="1">
      <c r="A170" s="465">
        <v>10131000051810</v>
      </c>
      <c r="B170" s="466" t="s">
        <v>1860</v>
      </c>
      <c r="C170" s="476" t="s">
        <v>2669</v>
      </c>
      <c r="D170" s="467" t="s">
        <v>1862</v>
      </c>
      <c r="E170" s="472" t="s">
        <v>2491</v>
      </c>
      <c r="F170" s="477">
        <v>6.9678000000000004</v>
      </c>
      <c r="G170" s="469" t="s">
        <v>2472</v>
      </c>
      <c r="H170" s="487">
        <v>7.09</v>
      </c>
      <c r="I170" s="471">
        <v>7.09</v>
      </c>
      <c r="J170" s="488" t="s">
        <v>2492</v>
      </c>
      <c r="K170" s="472" t="s">
        <v>668</v>
      </c>
      <c r="L170" s="473" t="s">
        <v>2474</v>
      </c>
      <c r="M170" s="473" t="s">
        <v>1835</v>
      </c>
      <c r="N170" s="473" t="s">
        <v>1858</v>
      </c>
      <c r="O170" s="474" t="s">
        <v>1860</v>
      </c>
    </row>
    <row r="171" spans="1:15" s="475" customFormat="1" ht="12" hidden="1">
      <c r="A171" s="465">
        <v>10131000051807</v>
      </c>
      <c r="B171" s="466" t="s">
        <v>1860</v>
      </c>
      <c r="C171" s="476" t="s">
        <v>2670</v>
      </c>
      <c r="D171" s="467" t="s">
        <v>1862</v>
      </c>
      <c r="E171" s="472" t="s">
        <v>2491</v>
      </c>
      <c r="F171" s="477">
        <v>7.3108000000000004</v>
      </c>
      <c r="G171" s="469" t="s">
        <v>2472</v>
      </c>
      <c r="H171" s="487">
        <v>14.11</v>
      </c>
      <c r="I171" s="471">
        <v>14.11</v>
      </c>
      <c r="J171" s="488" t="s">
        <v>2492</v>
      </c>
      <c r="K171" s="472" t="s">
        <v>660</v>
      </c>
      <c r="L171" s="473" t="s">
        <v>2474</v>
      </c>
      <c r="M171" s="473" t="s">
        <v>1835</v>
      </c>
      <c r="N171" s="473" t="s">
        <v>1858</v>
      </c>
      <c r="O171" s="474" t="s">
        <v>1860</v>
      </c>
    </row>
    <row r="172" spans="1:15" s="475" customFormat="1" ht="12" hidden="1">
      <c r="A172" s="465">
        <v>10131000051811</v>
      </c>
      <c r="B172" s="466" t="s">
        <v>1860</v>
      </c>
      <c r="C172" s="476" t="s">
        <v>2671</v>
      </c>
      <c r="D172" s="467" t="s">
        <v>1862</v>
      </c>
      <c r="E172" s="472" t="s">
        <v>2491</v>
      </c>
      <c r="F172" s="477">
        <v>7.5852000000000004</v>
      </c>
      <c r="G172" s="469" t="s">
        <v>2472</v>
      </c>
      <c r="H172" s="487">
        <v>7.18</v>
      </c>
      <c r="I172" s="471">
        <v>7.18</v>
      </c>
      <c r="J172" s="488" t="s">
        <v>2492</v>
      </c>
      <c r="K172" s="472" t="s">
        <v>670</v>
      </c>
      <c r="L172" s="473" t="s">
        <v>2474</v>
      </c>
      <c r="M172" s="473" t="s">
        <v>1835</v>
      </c>
      <c r="N172" s="473" t="s">
        <v>1858</v>
      </c>
      <c r="O172" s="474" t="s">
        <v>1860</v>
      </c>
    </row>
    <row r="173" spans="1:15" s="475" customFormat="1" ht="12" hidden="1">
      <c r="A173" s="465">
        <v>10131000051806</v>
      </c>
      <c r="B173" s="466" t="s">
        <v>1860</v>
      </c>
      <c r="C173" s="476" t="s">
        <v>2672</v>
      </c>
      <c r="D173" s="467" t="s">
        <v>1862</v>
      </c>
      <c r="E173" s="472" t="s">
        <v>2491</v>
      </c>
      <c r="F173" s="477">
        <v>8.6338000000000008</v>
      </c>
      <c r="G173" s="469" t="s">
        <v>2472</v>
      </c>
      <c r="H173" s="487">
        <v>14.12</v>
      </c>
      <c r="I173" s="471">
        <v>14.12</v>
      </c>
      <c r="J173" s="488" t="s">
        <v>2492</v>
      </c>
      <c r="K173" s="472" t="s">
        <v>658</v>
      </c>
      <c r="L173" s="473" t="s">
        <v>2474</v>
      </c>
      <c r="M173" s="473" t="s">
        <v>1835</v>
      </c>
      <c r="N173" s="473" t="s">
        <v>1858</v>
      </c>
      <c r="O173" s="474" t="s">
        <v>1860</v>
      </c>
    </row>
    <row r="174" spans="1:15" s="475" customFormat="1" ht="12" hidden="1">
      <c r="A174" s="465">
        <v>10131000051808</v>
      </c>
      <c r="B174" s="466" t="s">
        <v>1860</v>
      </c>
      <c r="C174" s="476" t="s">
        <v>2673</v>
      </c>
      <c r="D174" s="467" t="s">
        <v>1862</v>
      </c>
      <c r="E174" s="472" t="s">
        <v>2491</v>
      </c>
      <c r="F174" s="477">
        <v>8.8003999999999998</v>
      </c>
      <c r="G174" s="469" t="s">
        <v>2472</v>
      </c>
      <c r="H174" s="487">
        <v>20.309999999999999</v>
      </c>
      <c r="I174" s="471">
        <v>20.309999999999999</v>
      </c>
      <c r="J174" s="488" t="s">
        <v>2492</v>
      </c>
      <c r="K174" s="472" t="s">
        <v>664</v>
      </c>
      <c r="L174" s="473" t="s">
        <v>2474</v>
      </c>
      <c r="M174" s="473" t="s">
        <v>1835</v>
      </c>
      <c r="N174" s="473" t="s">
        <v>1858</v>
      </c>
      <c r="O174" s="474" t="s">
        <v>1860</v>
      </c>
    </row>
    <row r="175" spans="1:15" s="475" customFormat="1" ht="12" hidden="1">
      <c r="A175" s="465">
        <v>10131000051812</v>
      </c>
      <c r="B175" s="466" t="s">
        <v>1860</v>
      </c>
      <c r="C175" s="476" t="s">
        <v>2674</v>
      </c>
      <c r="D175" s="467" t="s">
        <v>1862</v>
      </c>
      <c r="E175" s="472" t="s">
        <v>2491</v>
      </c>
      <c r="F175" s="477">
        <v>12.691000000000001</v>
      </c>
      <c r="G175" s="469" t="s">
        <v>2472</v>
      </c>
      <c r="H175" s="487">
        <v>18.78</v>
      </c>
      <c r="I175" s="471">
        <v>18.78</v>
      </c>
      <c r="J175" s="488" t="s">
        <v>2492</v>
      </c>
      <c r="K175" s="472" t="s">
        <v>672</v>
      </c>
      <c r="L175" s="473" t="s">
        <v>2474</v>
      </c>
      <c r="M175" s="473" t="s">
        <v>1835</v>
      </c>
      <c r="N175" s="473" t="s">
        <v>1858</v>
      </c>
      <c r="O175" s="474" t="s">
        <v>1860</v>
      </c>
    </row>
    <row r="176" spans="1:15" s="475" customFormat="1" ht="12" hidden="1">
      <c r="A176" s="465">
        <v>10131000052003</v>
      </c>
      <c r="B176" s="466" t="s">
        <v>1860</v>
      </c>
      <c r="C176" s="476" t="s">
        <v>2675</v>
      </c>
      <c r="D176" s="467" t="s">
        <v>1862</v>
      </c>
      <c r="E176" s="472" t="s">
        <v>2491</v>
      </c>
      <c r="F176" s="477">
        <v>15.660399999999999</v>
      </c>
      <c r="G176" s="469" t="s">
        <v>2472</v>
      </c>
      <c r="H176" s="487">
        <v>14.27</v>
      </c>
      <c r="I176" s="471">
        <v>14.27</v>
      </c>
      <c r="J176" s="488" t="s">
        <v>2492</v>
      </c>
      <c r="K176" s="472" t="s">
        <v>666</v>
      </c>
      <c r="L176" s="473" t="s">
        <v>2474</v>
      </c>
      <c r="M176" s="473" t="s">
        <v>1835</v>
      </c>
      <c r="N176" s="473" t="s">
        <v>1858</v>
      </c>
      <c r="O176" s="474" t="s">
        <v>1860</v>
      </c>
    </row>
    <row r="177" spans="1:15" s="475" customFormat="1" ht="12" hidden="1">
      <c r="A177" s="465">
        <v>10131000051813</v>
      </c>
      <c r="B177" s="466" t="s">
        <v>1860</v>
      </c>
      <c r="C177" s="476" t="s">
        <v>2676</v>
      </c>
      <c r="D177" s="467" t="s">
        <v>1862</v>
      </c>
      <c r="E177" s="472" t="s">
        <v>2491</v>
      </c>
      <c r="F177" s="477">
        <v>15.875999999999999</v>
      </c>
      <c r="G177" s="469" t="s">
        <v>2472</v>
      </c>
      <c r="H177" s="487">
        <v>12.18</v>
      </c>
      <c r="I177" s="471">
        <v>12.18</v>
      </c>
      <c r="J177" s="488" t="s">
        <v>2492</v>
      </c>
      <c r="K177" s="472" t="s">
        <v>676</v>
      </c>
      <c r="L177" s="473" t="s">
        <v>2474</v>
      </c>
      <c r="M177" s="473" t="s">
        <v>1835</v>
      </c>
      <c r="N177" s="473" t="s">
        <v>1858</v>
      </c>
      <c r="O177" s="474" t="s">
        <v>1860</v>
      </c>
    </row>
    <row r="178" spans="1:15" s="475" customFormat="1" ht="12" hidden="1">
      <c r="A178" s="465">
        <v>10131000051814</v>
      </c>
      <c r="B178" s="466" t="s">
        <v>1860</v>
      </c>
      <c r="C178" s="476" t="s">
        <v>2677</v>
      </c>
      <c r="D178" s="467" t="s">
        <v>1862</v>
      </c>
      <c r="E178" s="472" t="s">
        <v>2491</v>
      </c>
      <c r="F178" s="477">
        <v>16.9148</v>
      </c>
      <c r="G178" s="469" t="s">
        <v>2472</v>
      </c>
      <c r="H178" s="487">
        <v>17.87</v>
      </c>
      <c r="I178" s="471">
        <v>17.87</v>
      </c>
      <c r="J178" s="488" t="s">
        <v>2492</v>
      </c>
      <c r="K178" s="472" t="s">
        <v>674</v>
      </c>
      <c r="L178" s="473" t="s">
        <v>2474</v>
      </c>
      <c r="M178" s="473" t="s">
        <v>1835</v>
      </c>
      <c r="N178" s="473" t="s">
        <v>1858</v>
      </c>
      <c r="O178" s="474" t="s">
        <v>1860</v>
      </c>
    </row>
    <row r="179" spans="1:15" s="475" customFormat="1" ht="12" hidden="1">
      <c r="A179" s="465">
        <v>10131000051809</v>
      </c>
      <c r="B179" s="466" t="s">
        <v>1860</v>
      </c>
      <c r="C179" s="476" t="s">
        <v>2678</v>
      </c>
      <c r="D179" s="467" t="s">
        <v>1862</v>
      </c>
      <c r="E179" s="472" t="s">
        <v>2491</v>
      </c>
      <c r="F179" s="477">
        <v>17.855599999999999</v>
      </c>
      <c r="G179" s="469" t="s">
        <v>2472</v>
      </c>
      <c r="H179" s="487">
        <v>23.14</v>
      </c>
      <c r="I179" s="471">
        <v>23.14</v>
      </c>
      <c r="J179" s="488" t="s">
        <v>2492</v>
      </c>
      <c r="K179" s="472" t="s">
        <v>662</v>
      </c>
      <c r="L179" s="473" t="s">
        <v>2474</v>
      </c>
      <c r="M179" s="473" t="s">
        <v>1835</v>
      </c>
      <c r="N179" s="473" t="s">
        <v>1858</v>
      </c>
      <c r="O179" s="474" t="s">
        <v>1860</v>
      </c>
    </row>
    <row r="180" spans="1:15" s="475" customFormat="1" ht="12" hidden="1">
      <c r="A180" s="465">
        <v>10131000056412</v>
      </c>
      <c r="B180" s="466" t="s">
        <v>1860</v>
      </c>
      <c r="C180" s="466" t="s">
        <v>2679</v>
      </c>
      <c r="D180" s="467" t="s">
        <v>1862</v>
      </c>
      <c r="E180" s="468" t="s">
        <v>2491</v>
      </c>
      <c r="F180" s="477">
        <v>29.89</v>
      </c>
      <c r="G180" s="469" t="s">
        <v>2472</v>
      </c>
      <c r="H180" s="470">
        <v>29.76</v>
      </c>
      <c r="I180" s="471">
        <v>29.76</v>
      </c>
      <c r="J180" s="472" t="s">
        <v>423</v>
      </c>
      <c r="K180" s="472" t="s">
        <v>534</v>
      </c>
      <c r="L180" s="473" t="s">
        <v>2474</v>
      </c>
      <c r="M180" s="473" t="s">
        <v>1835</v>
      </c>
      <c r="N180" s="473" t="s">
        <v>1858</v>
      </c>
      <c r="O180" s="474" t="s">
        <v>1860</v>
      </c>
    </row>
    <row r="181" spans="1:15" s="475" customFormat="1" ht="12" hidden="1">
      <c r="A181" s="465">
        <v>10131000057863</v>
      </c>
      <c r="B181" s="466" t="s">
        <v>1860</v>
      </c>
      <c r="C181" s="466" t="s">
        <v>2680</v>
      </c>
      <c r="D181" s="467" t="s">
        <v>1862</v>
      </c>
      <c r="E181" s="468" t="s">
        <v>2619</v>
      </c>
      <c r="F181" s="477">
        <v>39.593052058700003</v>
      </c>
      <c r="G181" s="469" t="s">
        <v>2472</v>
      </c>
      <c r="H181" s="470">
        <v>29.76</v>
      </c>
      <c r="I181" s="471">
        <v>29.76</v>
      </c>
      <c r="J181" s="472" t="s">
        <v>423</v>
      </c>
      <c r="K181" s="472" t="s">
        <v>2620</v>
      </c>
      <c r="L181" s="473" t="s">
        <v>2474</v>
      </c>
      <c r="M181" s="473" t="s">
        <v>1835</v>
      </c>
      <c r="N181" s="473" t="s">
        <v>1858</v>
      </c>
      <c r="O181" s="474" t="s">
        <v>1860</v>
      </c>
    </row>
    <row r="182" spans="1:15" s="475" customFormat="1" ht="12" hidden="1">
      <c r="A182" s="465">
        <v>10131000039842</v>
      </c>
      <c r="B182" s="489" t="s">
        <v>1860</v>
      </c>
      <c r="C182" s="489" t="s">
        <v>2681</v>
      </c>
      <c r="D182" s="467" t="s">
        <v>1862</v>
      </c>
      <c r="E182" s="478" t="s">
        <v>2514</v>
      </c>
      <c r="F182" s="477">
        <v>47.854522531200004</v>
      </c>
      <c r="G182" s="469" t="s">
        <v>2472</v>
      </c>
      <c r="H182" s="481">
        <v>5477</v>
      </c>
      <c r="I182" s="482">
        <v>55.91</v>
      </c>
      <c r="J182" s="483" t="s">
        <v>2515</v>
      </c>
      <c r="K182" s="483" t="s">
        <v>2515</v>
      </c>
      <c r="L182" s="473" t="s">
        <v>2474</v>
      </c>
      <c r="M182" s="473" t="s">
        <v>1835</v>
      </c>
      <c r="N182" s="473" t="s">
        <v>1858</v>
      </c>
      <c r="O182" s="474" t="s">
        <v>1860</v>
      </c>
    </row>
    <row r="183" spans="1:15" s="475" customFormat="1" ht="12" hidden="1">
      <c r="A183" s="465">
        <v>10131000051763</v>
      </c>
      <c r="B183" s="489" t="s">
        <v>1860</v>
      </c>
      <c r="C183" s="489" t="s">
        <v>2682</v>
      </c>
      <c r="D183" s="467" t="s">
        <v>1862</v>
      </c>
      <c r="E183" s="478" t="s">
        <v>2514</v>
      </c>
      <c r="F183" s="477">
        <v>48.83114544</v>
      </c>
      <c r="G183" s="469" t="s">
        <v>2472</v>
      </c>
      <c r="H183" s="481">
        <v>5477</v>
      </c>
      <c r="I183" s="482">
        <v>55.91</v>
      </c>
      <c r="J183" s="483" t="s">
        <v>2515</v>
      </c>
      <c r="K183" s="483" t="s">
        <v>2515</v>
      </c>
      <c r="L183" s="473" t="s">
        <v>2474</v>
      </c>
      <c r="M183" s="473" t="s">
        <v>1835</v>
      </c>
      <c r="N183" s="473" t="s">
        <v>1858</v>
      </c>
      <c r="O183" s="474" t="s">
        <v>1860</v>
      </c>
    </row>
    <row r="184" spans="1:15" s="475" customFormat="1" ht="12" hidden="1">
      <c r="A184" s="465">
        <v>10131000057336</v>
      </c>
      <c r="B184" s="466" t="s">
        <v>1860</v>
      </c>
      <c r="C184" s="476" t="s">
        <v>2683</v>
      </c>
      <c r="D184" s="467" t="s">
        <v>1862</v>
      </c>
      <c r="E184" s="472" t="s">
        <v>2491</v>
      </c>
      <c r="F184" s="477">
        <v>52.16</v>
      </c>
      <c r="G184" s="469" t="s">
        <v>2472</v>
      </c>
      <c r="H184" s="487">
        <v>6.26</v>
      </c>
      <c r="I184" s="471">
        <v>6.26</v>
      </c>
      <c r="J184" s="488" t="s">
        <v>2492</v>
      </c>
      <c r="K184" s="472" t="s">
        <v>678</v>
      </c>
      <c r="L184" s="473" t="s">
        <v>2474</v>
      </c>
      <c r="M184" s="473" t="s">
        <v>1835</v>
      </c>
      <c r="N184" s="473" t="s">
        <v>1858</v>
      </c>
      <c r="O184" s="474" t="s">
        <v>1860</v>
      </c>
    </row>
    <row r="185" spans="1:15" s="475" customFormat="1" ht="12" hidden="1">
      <c r="A185" s="465">
        <v>10131000051805</v>
      </c>
      <c r="B185" s="466" t="s">
        <v>1860</v>
      </c>
      <c r="C185" s="476" t="s">
        <v>2684</v>
      </c>
      <c r="D185" s="467" t="s">
        <v>1862</v>
      </c>
      <c r="E185" s="472" t="s">
        <v>2491</v>
      </c>
      <c r="F185" s="477">
        <v>68.629400000000004</v>
      </c>
      <c r="G185" s="469" t="s">
        <v>2472</v>
      </c>
      <c r="H185" s="487">
        <v>39.24</v>
      </c>
      <c r="I185" s="471">
        <v>39.24</v>
      </c>
      <c r="J185" s="488" t="s">
        <v>2492</v>
      </c>
      <c r="K185" s="472" t="s">
        <v>656</v>
      </c>
      <c r="L185" s="473" t="s">
        <v>2474</v>
      </c>
      <c r="M185" s="473" t="s">
        <v>1835</v>
      </c>
      <c r="N185" s="473" t="s">
        <v>1858</v>
      </c>
      <c r="O185" s="474" t="s">
        <v>1860</v>
      </c>
    </row>
    <row r="186" spans="1:15" s="475" customFormat="1" ht="12" hidden="1">
      <c r="A186" s="465">
        <v>1000099145</v>
      </c>
      <c r="B186" s="466" t="s">
        <v>1860</v>
      </c>
      <c r="C186" s="466" t="s">
        <v>1860</v>
      </c>
      <c r="D186" s="467" t="s">
        <v>2685</v>
      </c>
      <c r="E186" s="468" t="s">
        <v>2471</v>
      </c>
      <c r="F186" s="477" t="s">
        <v>2472</v>
      </c>
      <c r="G186" s="469" t="s">
        <v>2472</v>
      </c>
      <c r="H186" s="470">
        <v>590.82072000000005</v>
      </c>
      <c r="I186" s="471">
        <v>45.623221621621632</v>
      </c>
      <c r="J186" s="472" t="s">
        <v>422</v>
      </c>
      <c r="K186" s="472" t="s">
        <v>2473</v>
      </c>
      <c r="L186" s="473" t="s">
        <v>2474</v>
      </c>
      <c r="M186" s="473" t="s">
        <v>1835</v>
      </c>
      <c r="N186" s="473" t="s">
        <v>1858</v>
      </c>
      <c r="O186" s="474" t="s">
        <v>1860</v>
      </c>
    </row>
    <row r="187" spans="1:15" s="475" customFormat="1" ht="12" hidden="1">
      <c r="A187" s="465">
        <v>1000099182</v>
      </c>
      <c r="B187" s="466" t="s">
        <v>1860</v>
      </c>
      <c r="C187" s="466" t="s">
        <v>2686</v>
      </c>
      <c r="D187" s="467" t="s">
        <v>2685</v>
      </c>
      <c r="E187" s="468" t="s">
        <v>2471</v>
      </c>
      <c r="F187" s="477" t="s">
        <v>2472</v>
      </c>
      <c r="G187" s="469" t="s">
        <v>2472</v>
      </c>
      <c r="H187" s="470">
        <v>620.36175600000013</v>
      </c>
      <c r="I187" s="471">
        <v>47.904382702702712</v>
      </c>
      <c r="J187" s="472" t="s">
        <v>422</v>
      </c>
      <c r="K187" s="472" t="s">
        <v>2473</v>
      </c>
      <c r="L187" s="473" t="s">
        <v>2474</v>
      </c>
      <c r="M187" s="473" t="s">
        <v>1835</v>
      </c>
      <c r="N187" s="473" t="s">
        <v>1858</v>
      </c>
      <c r="O187" s="474" t="s">
        <v>1860</v>
      </c>
    </row>
    <row r="188" spans="1:15" s="475" customFormat="1" ht="12" hidden="1">
      <c r="A188" s="465">
        <v>10131000051793</v>
      </c>
      <c r="B188" s="476" t="s">
        <v>1876</v>
      </c>
      <c r="C188" s="476" t="s">
        <v>1876</v>
      </c>
      <c r="D188" s="467" t="s">
        <v>1862</v>
      </c>
      <c r="E188" s="472" t="s">
        <v>2491</v>
      </c>
      <c r="F188" s="477">
        <v>4.49</v>
      </c>
      <c r="G188" s="469" t="s">
        <v>2472</v>
      </c>
      <c r="H188" s="487">
        <v>6.22</v>
      </c>
      <c r="I188" s="471">
        <v>6.22</v>
      </c>
      <c r="J188" s="488" t="s">
        <v>2492</v>
      </c>
      <c r="K188" s="472" t="s">
        <v>2522</v>
      </c>
      <c r="L188" s="473" t="s">
        <v>2474</v>
      </c>
      <c r="M188" s="473" t="s">
        <v>1835</v>
      </c>
      <c r="N188" s="473" t="s">
        <v>1858</v>
      </c>
      <c r="O188" s="474" t="s">
        <v>1860</v>
      </c>
    </row>
    <row r="189" spans="1:15" s="475" customFormat="1" ht="12" hidden="1">
      <c r="A189" s="465">
        <v>10131000051794</v>
      </c>
      <c r="B189" s="476" t="s">
        <v>1878</v>
      </c>
      <c r="C189" s="476" t="s">
        <v>1878</v>
      </c>
      <c r="D189" s="467" t="s">
        <v>1862</v>
      </c>
      <c r="E189" s="472" t="s">
        <v>2491</v>
      </c>
      <c r="F189" s="477">
        <v>0.33</v>
      </c>
      <c r="G189" s="469" t="s">
        <v>2472</v>
      </c>
      <c r="H189" s="487">
        <v>1.91</v>
      </c>
      <c r="I189" s="471">
        <v>1.91</v>
      </c>
      <c r="J189" s="488" t="s">
        <v>2492</v>
      </c>
      <c r="K189" s="472" t="s">
        <v>2522</v>
      </c>
      <c r="L189" s="473" t="s">
        <v>2474</v>
      </c>
      <c r="M189" s="473" t="s">
        <v>1835</v>
      </c>
      <c r="N189" s="473" t="s">
        <v>1858</v>
      </c>
      <c r="O189" s="474" t="s">
        <v>1860</v>
      </c>
    </row>
    <row r="190" spans="1:15" s="475" customFormat="1" ht="12" hidden="1">
      <c r="A190" s="465">
        <v>10131000057432</v>
      </c>
      <c r="B190" s="466" t="s">
        <v>2687</v>
      </c>
      <c r="C190" s="466" t="s">
        <v>2688</v>
      </c>
      <c r="D190" s="467" t="s">
        <v>2487</v>
      </c>
      <c r="E190" s="468" t="s">
        <v>2491</v>
      </c>
      <c r="F190" s="477">
        <v>787.38</v>
      </c>
      <c r="G190" s="469" t="s">
        <v>2472</v>
      </c>
      <c r="H190" s="470">
        <v>780</v>
      </c>
      <c r="I190" s="471">
        <v>780</v>
      </c>
      <c r="J190" s="472" t="s">
        <v>423</v>
      </c>
      <c r="K190" s="472" t="s">
        <v>534</v>
      </c>
      <c r="L190" s="473" t="s">
        <v>530</v>
      </c>
      <c r="M190" s="473" t="s">
        <v>2689</v>
      </c>
      <c r="N190" s="473" t="s">
        <v>2687</v>
      </c>
      <c r="O190" s="474" t="s">
        <v>2687</v>
      </c>
    </row>
    <row r="191" spans="1:15" s="475" customFormat="1" ht="12" hidden="1">
      <c r="A191" s="465">
        <v>10131000057433</v>
      </c>
      <c r="B191" s="466" t="s">
        <v>2687</v>
      </c>
      <c r="C191" s="466" t="s">
        <v>2688</v>
      </c>
      <c r="D191" s="467" t="s">
        <v>2487</v>
      </c>
      <c r="E191" s="468" t="s">
        <v>2491</v>
      </c>
      <c r="F191" s="477">
        <v>790.52</v>
      </c>
      <c r="G191" s="469" t="s">
        <v>2472</v>
      </c>
      <c r="H191" s="470">
        <v>780</v>
      </c>
      <c r="I191" s="471">
        <v>780</v>
      </c>
      <c r="J191" s="472" t="s">
        <v>423</v>
      </c>
      <c r="K191" s="472" t="s">
        <v>534</v>
      </c>
      <c r="L191" s="473" t="s">
        <v>530</v>
      </c>
      <c r="M191" s="473" t="s">
        <v>2689</v>
      </c>
      <c r="N191" s="473" t="s">
        <v>2687</v>
      </c>
      <c r="O191" s="474" t="s">
        <v>2687</v>
      </c>
    </row>
    <row r="192" spans="1:15" s="475" customFormat="1" ht="12" hidden="1">
      <c r="A192" s="465">
        <v>10131000057434</v>
      </c>
      <c r="B192" s="466" t="s">
        <v>2687</v>
      </c>
      <c r="C192" s="466" t="s">
        <v>2688</v>
      </c>
      <c r="D192" s="467" t="s">
        <v>2487</v>
      </c>
      <c r="E192" s="468" t="s">
        <v>2491</v>
      </c>
      <c r="F192" s="477">
        <v>937.22</v>
      </c>
      <c r="G192" s="469" t="s">
        <v>2472</v>
      </c>
      <c r="H192" s="470">
        <v>780</v>
      </c>
      <c r="I192" s="471">
        <v>780</v>
      </c>
      <c r="J192" s="472" t="s">
        <v>423</v>
      </c>
      <c r="K192" s="472" t="s">
        <v>534</v>
      </c>
      <c r="L192" s="473" t="s">
        <v>530</v>
      </c>
      <c r="M192" s="473" t="s">
        <v>2689</v>
      </c>
      <c r="N192" s="473" t="s">
        <v>2687</v>
      </c>
      <c r="O192" s="474" t="s">
        <v>2687</v>
      </c>
    </row>
    <row r="193" spans="1:15" s="475" customFormat="1" ht="12" hidden="1">
      <c r="A193" s="465">
        <v>10131000058620</v>
      </c>
      <c r="B193" s="476" t="s">
        <v>2687</v>
      </c>
      <c r="C193" s="476" t="s">
        <v>2690</v>
      </c>
      <c r="D193" s="467" t="s">
        <v>2487</v>
      </c>
      <c r="E193" s="472" t="s">
        <v>2541</v>
      </c>
      <c r="F193" s="477" t="s">
        <v>2472</v>
      </c>
      <c r="G193" s="469" t="s">
        <v>2472</v>
      </c>
      <c r="H193" s="470">
        <v>1E-8</v>
      </c>
      <c r="I193" s="471">
        <v>1.5324781650000001E-8</v>
      </c>
      <c r="J193" s="485" t="s">
        <v>421</v>
      </c>
      <c r="K193" s="472" t="s">
        <v>651</v>
      </c>
      <c r="L193" s="473" t="s">
        <v>530</v>
      </c>
      <c r="M193" s="473" t="s">
        <v>2689</v>
      </c>
      <c r="N193" s="473" t="s">
        <v>2687</v>
      </c>
      <c r="O193" s="474" t="s">
        <v>2687</v>
      </c>
    </row>
    <row r="194" spans="1:15" s="475" customFormat="1" ht="12" hidden="1">
      <c r="A194" s="465">
        <v>10131000029558</v>
      </c>
      <c r="B194" s="476" t="s">
        <v>2691</v>
      </c>
      <c r="C194" s="476" t="s">
        <v>2692</v>
      </c>
      <c r="D194" s="467" t="s">
        <v>571</v>
      </c>
      <c r="E194" s="472" t="s">
        <v>2491</v>
      </c>
      <c r="F194" s="477">
        <v>5.15</v>
      </c>
      <c r="G194" s="469" t="s">
        <v>2472</v>
      </c>
      <c r="H194" s="487">
        <v>14.77</v>
      </c>
      <c r="I194" s="471">
        <v>14.77</v>
      </c>
      <c r="J194" s="488" t="s">
        <v>2492</v>
      </c>
      <c r="K194" s="472" t="s">
        <v>2522</v>
      </c>
      <c r="L194" s="473" t="s">
        <v>2693</v>
      </c>
      <c r="M194" s="473" t="s">
        <v>1575</v>
      </c>
      <c r="N194" s="473" t="s">
        <v>2691</v>
      </c>
      <c r="O194" s="474" t="s">
        <v>2691</v>
      </c>
    </row>
    <row r="195" spans="1:15" s="475" customFormat="1" ht="12" hidden="1">
      <c r="A195" s="465">
        <v>10131000009377</v>
      </c>
      <c r="B195" s="476" t="s">
        <v>2691</v>
      </c>
      <c r="C195" s="476" t="s">
        <v>2694</v>
      </c>
      <c r="D195" s="467" t="s">
        <v>571</v>
      </c>
      <c r="E195" s="472" t="s">
        <v>2541</v>
      </c>
      <c r="F195" s="477">
        <v>6.6147</v>
      </c>
      <c r="G195" s="469" t="s">
        <v>2472</v>
      </c>
      <c r="H195" s="470">
        <v>7.36</v>
      </c>
      <c r="I195" s="471">
        <v>11.2790392944</v>
      </c>
      <c r="J195" s="485" t="s">
        <v>421</v>
      </c>
      <c r="K195" s="472" t="s">
        <v>651</v>
      </c>
      <c r="L195" s="473" t="s">
        <v>2693</v>
      </c>
      <c r="M195" s="473" t="s">
        <v>1575</v>
      </c>
      <c r="N195" s="473" t="s">
        <v>2691</v>
      </c>
      <c r="O195" s="474" t="s">
        <v>2691</v>
      </c>
    </row>
    <row r="196" spans="1:15" s="475" customFormat="1" ht="12" hidden="1">
      <c r="A196" s="465">
        <v>10131000009378</v>
      </c>
      <c r="B196" s="476" t="s">
        <v>2691</v>
      </c>
      <c r="C196" s="476" t="s">
        <v>2694</v>
      </c>
      <c r="D196" s="467" t="s">
        <v>571</v>
      </c>
      <c r="E196" s="472" t="s">
        <v>2541</v>
      </c>
      <c r="F196" s="477">
        <v>6.6147</v>
      </c>
      <c r="G196" s="469" t="s">
        <v>2472</v>
      </c>
      <c r="H196" s="470">
        <v>7.36</v>
      </c>
      <c r="I196" s="471">
        <v>11.2790392944</v>
      </c>
      <c r="J196" s="485" t="s">
        <v>421</v>
      </c>
      <c r="K196" s="472" t="s">
        <v>651</v>
      </c>
      <c r="L196" s="473" t="s">
        <v>2693</v>
      </c>
      <c r="M196" s="473" t="s">
        <v>1575</v>
      </c>
      <c r="N196" s="473" t="s">
        <v>2691</v>
      </c>
      <c r="O196" s="474" t="s">
        <v>2691</v>
      </c>
    </row>
    <row r="197" spans="1:15" s="475" customFormat="1" ht="12" hidden="1">
      <c r="A197" s="465">
        <v>10131000039193</v>
      </c>
      <c r="B197" s="476" t="s">
        <v>2691</v>
      </c>
      <c r="C197" s="476" t="s">
        <v>2694</v>
      </c>
      <c r="D197" s="467" t="s">
        <v>571</v>
      </c>
      <c r="E197" s="472" t="s">
        <v>2491</v>
      </c>
      <c r="F197" s="477">
        <v>6.65</v>
      </c>
      <c r="G197" s="469" t="s">
        <v>2472</v>
      </c>
      <c r="H197" s="470">
        <v>11.28</v>
      </c>
      <c r="I197" s="471">
        <v>11.28</v>
      </c>
      <c r="J197" s="485" t="s">
        <v>421</v>
      </c>
      <c r="K197" s="472" t="s">
        <v>651</v>
      </c>
      <c r="L197" s="473" t="s">
        <v>2693</v>
      </c>
      <c r="M197" s="473" t="s">
        <v>1575</v>
      </c>
      <c r="N197" s="473" t="s">
        <v>2691</v>
      </c>
      <c r="O197" s="474" t="s">
        <v>2691</v>
      </c>
    </row>
    <row r="198" spans="1:15" s="475" customFormat="1" ht="12" hidden="1">
      <c r="A198" s="465">
        <v>10131000009392</v>
      </c>
      <c r="B198" s="466" t="s">
        <v>2691</v>
      </c>
      <c r="C198" s="466" t="s">
        <v>2695</v>
      </c>
      <c r="D198" s="467" t="s">
        <v>571</v>
      </c>
      <c r="E198" s="468" t="s">
        <v>2491</v>
      </c>
      <c r="F198" s="477">
        <v>6.7</v>
      </c>
      <c r="G198" s="469" t="s">
        <v>2472</v>
      </c>
      <c r="H198" s="470">
        <v>7.7</v>
      </c>
      <c r="I198" s="471">
        <v>7.7</v>
      </c>
      <c r="J198" s="472" t="s">
        <v>423</v>
      </c>
      <c r="K198" s="472" t="s">
        <v>534</v>
      </c>
      <c r="L198" s="473" t="s">
        <v>2693</v>
      </c>
      <c r="M198" s="473" t="s">
        <v>1575</v>
      </c>
      <c r="N198" s="473" t="s">
        <v>2691</v>
      </c>
      <c r="O198" s="474" t="s">
        <v>2691</v>
      </c>
    </row>
    <row r="199" spans="1:15" s="475" customFormat="1" ht="12" hidden="1">
      <c r="A199" s="465">
        <v>10131000025057</v>
      </c>
      <c r="B199" s="489" t="s">
        <v>2691</v>
      </c>
      <c r="C199" s="489" t="s">
        <v>2696</v>
      </c>
      <c r="D199" s="467" t="s">
        <v>571</v>
      </c>
      <c r="E199" s="478" t="s">
        <v>2514</v>
      </c>
      <c r="F199" s="477">
        <v>26.768141519999997</v>
      </c>
      <c r="G199" s="469" t="s">
        <v>2472</v>
      </c>
      <c r="H199" s="481">
        <v>2006</v>
      </c>
      <c r="I199" s="482">
        <v>20.48</v>
      </c>
      <c r="J199" s="483" t="s">
        <v>2515</v>
      </c>
      <c r="K199" s="483" t="s">
        <v>2515</v>
      </c>
      <c r="L199" s="473" t="s">
        <v>2693</v>
      </c>
      <c r="M199" s="473" t="s">
        <v>1575</v>
      </c>
      <c r="N199" s="473" t="s">
        <v>2691</v>
      </c>
      <c r="O199" s="474" t="s">
        <v>2691</v>
      </c>
    </row>
    <row r="200" spans="1:15" s="475" customFormat="1" ht="12" hidden="1">
      <c r="A200" s="465">
        <v>10131000052490</v>
      </c>
      <c r="B200" s="489" t="s">
        <v>2691</v>
      </c>
      <c r="C200" s="489" t="s">
        <v>2697</v>
      </c>
      <c r="D200" s="467" t="s">
        <v>571</v>
      </c>
      <c r="E200" s="478" t="s">
        <v>2514</v>
      </c>
      <c r="F200" s="477">
        <v>26.768141519999997</v>
      </c>
      <c r="G200" s="469" t="s">
        <v>2472</v>
      </c>
      <c r="H200" s="481">
        <v>2006</v>
      </c>
      <c r="I200" s="482">
        <v>20.48</v>
      </c>
      <c r="J200" s="483" t="s">
        <v>2515</v>
      </c>
      <c r="K200" s="483" t="s">
        <v>2515</v>
      </c>
      <c r="L200" s="473" t="s">
        <v>2693</v>
      </c>
      <c r="M200" s="473" t="s">
        <v>1575</v>
      </c>
      <c r="N200" s="473" t="s">
        <v>2691</v>
      </c>
      <c r="O200" s="474" t="s">
        <v>2691</v>
      </c>
    </row>
    <row r="201" spans="1:15" s="475" customFormat="1" ht="12" hidden="1">
      <c r="A201" s="465">
        <v>1000099079</v>
      </c>
      <c r="B201" s="466" t="s">
        <v>2691</v>
      </c>
      <c r="C201" s="466" t="s">
        <v>2691</v>
      </c>
      <c r="D201" s="467" t="s">
        <v>571</v>
      </c>
      <c r="E201" s="468" t="s">
        <v>2471</v>
      </c>
      <c r="F201" s="477" t="s">
        <v>2472</v>
      </c>
      <c r="G201" s="469" t="s">
        <v>2472</v>
      </c>
      <c r="H201" s="470">
        <v>157.13999999999999</v>
      </c>
      <c r="I201" s="471">
        <v>12.134362934362933</v>
      </c>
      <c r="J201" s="472" t="s">
        <v>422</v>
      </c>
      <c r="K201" s="472" t="s">
        <v>2473</v>
      </c>
      <c r="L201" s="473" t="s">
        <v>2693</v>
      </c>
      <c r="M201" s="473" t="s">
        <v>1575</v>
      </c>
      <c r="N201" s="473" t="s">
        <v>2691</v>
      </c>
      <c r="O201" s="474" t="s">
        <v>2691</v>
      </c>
    </row>
    <row r="202" spans="1:15" s="475" customFormat="1" ht="12" hidden="1">
      <c r="A202" s="465">
        <v>1000099087</v>
      </c>
      <c r="B202" s="466" t="s">
        <v>2691</v>
      </c>
      <c r="C202" s="466" t="s">
        <v>2698</v>
      </c>
      <c r="D202" s="467" t="s">
        <v>571</v>
      </c>
      <c r="E202" s="468" t="s">
        <v>2471</v>
      </c>
      <c r="F202" s="477" t="s">
        <v>2472</v>
      </c>
      <c r="G202" s="469" t="s">
        <v>2472</v>
      </c>
      <c r="H202" s="470">
        <v>193.67</v>
      </c>
      <c r="I202" s="471">
        <v>14.955212355212355</v>
      </c>
      <c r="J202" s="472" t="s">
        <v>422</v>
      </c>
      <c r="K202" s="472" t="s">
        <v>2473</v>
      </c>
      <c r="L202" s="473" t="s">
        <v>2693</v>
      </c>
      <c r="M202" s="473" t="s">
        <v>1575</v>
      </c>
      <c r="N202" s="473" t="s">
        <v>2691</v>
      </c>
      <c r="O202" s="474" t="s">
        <v>2691</v>
      </c>
    </row>
    <row r="203" spans="1:15" s="475" customFormat="1" ht="12" hidden="1">
      <c r="A203" s="465">
        <v>10131000009383</v>
      </c>
      <c r="B203" s="476" t="s">
        <v>1586</v>
      </c>
      <c r="C203" s="476" t="s">
        <v>2699</v>
      </c>
      <c r="D203" s="467" t="s">
        <v>571</v>
      </c>
      <c r="E203" s="472" t="s">
        <v>2541</v>
      </c>
      <c r="F203" s="477">
        <v>12.435636000000001</v>
      </c>
      <c r="G203" s="469" t="s">
        <v>2472</v>
      </c>
      <c r="H203" s="470">
        <v>9</v>
      </c>
      <c r="I203" s="471">
        <v>13.792303485</v>
      </c>
      <c r="J203" s="485" t="s">
        <v>421</v>
      </c>
      <c r="K203" s="472" t="s">
        <v>651</v>
      </c>
      <c r="L203" s="473" t="s">
        <v>2693</v>
      </c>
      <c r="M203" s="473" t="s">
        <v>1575</v>
      </c>
      <c r="N203" s="473" t="s">
        <v>2691</v>
      </c>
      <c r="O203" s="474" t="s">
        <v>1586</v>
      </c>
    </row>
    <row r="204" spans="1:15" s="475" customFormat="1" ht="12" hidden="1">
      <c r="A204" s="465">
        <v>10131000009384</v>
      </c>
      <c r="B204" s="476" t="s">
        <v>1586</v>
      </c>
      <c r="C204" s="476" t="s">
        <v>2699</v>
      </c>
      <c r="D204" s="467" t="s">
        <v>571</v>
      </c>
      <c r="E204" s="472" t="s">
        <v>2541</v>
      </c>
      <c r="F204" s="477">
        <v>12.435636000000001</v>
      </c>
      <c r="G204" s="469" t="s">
        <v>2472</v>
      </c>
      <c r="H204" s="470">
        <v>9</v>
      </c>
      <c r="I204" s="471">
        <v>13.792303485</v>
      </c>
      <c r="J204" s="485" t="s">
        <v>421</v>
      </c>
      <c r="K204" s="472" t="s">
        <v>651</v>
      </c>
      <c r="L204" s="473" t="s">
        <v>2693</v>
      </c>
      <c r="M204" s="473" t="s">
        <v>1575</v>
      </c>
      <c r="N204" s="473" t="s">
        <v>2691</v>
      </c>
      <c r="O204" s="474" t="s">
        <v>1586</v>
      </c>
    </row>
    <row r="205" spans="1:15" s="475" customFormat="1" ht="12" hidden="1">
      <c r="A205" s="465">
        <v>10131000009372</v>
      </c>
      <c r="B205" s="489" t="s">
        <v>1586</v>
      </c>
      <c r="C205" s="489" t="s">
        <v>2700</v>
      </c>
      <c r="D205" s="467" t="s">
        <v>571</v>
      </c>
      <c r="E205" s="478" t="s">
        <v>2514</v>
      </c>
      <c r="F205" s="477">
        <v>265.94255999999996</v>
      </c>
      <c r="G205" s="469" t="s">
        <v>2472</v>
      </c>
      <c r="H205" s="481">
        <v>30648</v>
      </c>
      <c r="I205" s="482">
        <v>312.87</v>
      </c>
      <c r="J205" s="483" t="s">
        <v>2515</v>
      </c>
      <c r="K205" s="483" t="s">
        <v>2515</v>
      </c>
      <c r="L205" s="473" t="s">
        <v>2693</v>
      </c>
      <c r="M205" s="473" t="s">
        <v>1575</v>
      </c>
      <c r="N205" s="473" t="s">
        <v>2691</v>
      </c>
      <c r="O205" s="474" t="s">
        <v>1586</v>
      </c>
    </row>
    <row r="206" spans="1:15" s="475" customFormat="1" ht="12" hidden="1">
      <c r="A206" s="465">
        <v>10131000052493</v>
      </c>
      <c r="B206" s="489" t="s">
        <v>1586</v>
      </c>
      <c r="C206" s="489" t="s">
        <v>2701</v>
      </c>
      <c r="D206" s="467" t="s">
        <v>571</v>
      </c>
      <c r="E206" s="478" t="s">
        <v>2514</v>
      </c>
      <c r="F206" s="477">
        <v>265.94255999999996</v>
      </c>
      <c r="G206" s="469" t="s">
        <v>2472</v>
      </c>
      <c r="H206" s="481">
        <v>30648</v>
      </c>
      <c r="I206" s="482">
        <v>312.87</v>
      </c>
      <c r="J206" s="483" t="s">
        <v>2515</v>
      </c>
      <c r="K206" s="483" t="s">
        <v>2515</v>
      </c>
      <c r="L206" s="473" t="s">
        <v>2693</v>
      </c>
      <c r="M206" s="473" t="s">
        <v>1575</v>
      </c>
      <c r="N206" s="473" t="s">
        <v>2691</v>
      </c>
      <c r="O206" s="474" t="s">
        <v>1586</v>
      </c>
    </row>
    <row r="207" spans="1:15" s="475" customFormat="1" ht="12" hidden="1">
      <c r="A207" s="465">
        <v>10131000009329</v>
      </c>
      <c r="B207" s="476" t="s">
        <v>2702</v>
      </c>
      <c r="C207" s="476" t="s">
        <v>2703</v>
      </c>
      <c r="D207" s="467" t="s">
        <v>1045</v>
      </c>
      <c r="E207" s="472" t="s">
        <v>2704</v>
      </c>
      <c r="F207" s="477">
        <v>0</v>
      </c>
      <c r="G207" s="469" t="s">
        <v>2472</v>
      </c>
      <c r="H207" s="470">
        <v>1E-8</v>
      </c>
      <c r="I207" s="471">
        <v>1.2513470333333332E-9</v>
      </c>
      <c r="J207" s="485" t="s">
        <v>421</v>
      </c>
      <c r="K207" s="472" t="s">
        <v>589</v>
      </c>
      <c r="L207" s="473" t="s">
        <v>2693</v>
      </c>
      <c r="M207" s="473" t="s">
        <v>1575</v>
      </c>
      <c r="N207" s="473" t="s">
        <v>2691</v>
      </c>
      <c r="O207" s="474" t="s">
        <v>2702</v>
      </c>
    </row>
    <row r="208" spans="1:15" s="475" customFormat="1" ht="12" hidden="1">
      <c r="A208" s="465">
        <v>10131000051988</v>
      </c>
      <c r="B208" s="476" t="s">
        <v>2702</v>
      </c>
      <c r="C208" s="476" t="s">
        <v>2705</v>
      </c>
      <c r="D208" s="467" t="s">
        <v>1045</v>
      </c>
      <c r="E208" s="472" t="s">
        <v>2706</v>
      </c>
      <c r="F208" s="477">
        <v>0</v>
      </c>
      <c r="G208" s="469" t="s">
        <v>2472</v>
      </c>
      <c r="H208" s="470">
        <v>1E-8</v>
      </c>
      <c r="I208" s="471">
        <v>4.3820658333333323E-11</v>
      </c>
      <c r="J208" s="485" t="s">
        <v>421</v>
      </c>
      <c r="K208" s="472" t="s">
        <v>595</v>
      </c>
      <c r="L208" s="473" t="s">
        <v>2693</v>
      </c>
      <c r="M208" s="473" t="s">
        <v>1575</v>
      </c>
      <c r="N208" s="473" t="s">
        <v>2691</v>
      </c>
      <c r="O208" s="474" t="s">
        <v>2702</v>
      </c>
    </row>
    <row r="209" spans="1:15" s="475" customFormat="1" ht="12" hidden="1">
      <c r="A209" s="465">
        <v>10131000009341</v>
      </c>
      <c r="B209" s="476" t="s">
        <v>2702</v>
      </c>
      <c r="C209" s="476" t="s">
        <v>2707</v>
      </c>
      <c r="D209" s="467" t="s">
        <v>1045</v>
      </c>
      <c r="E209" s="472" t="s">
        <v>2519</v>
      </c>
      <c r="F209" s="477">
        <v>0</v>
      </c>
      <c r="G209" s="469" t="s">
        <v>2472</v>
      </c>
      <c r="H209" s="470">
        <v>1E-8</v>
      </c>
      <c r="I209" s="471">
        <v>3.0846695000000001E-9</v>
      </c>
      <c r="J209" s="485" t="s">
        <v>421</v>
      </c>
      <c r="K209" s="472" t="s">
        <v>621</v>
      </c>
      <c r="L209" s="473" t="s">
        <v>2693</v>
      </c>
      <c r="M209" s="473" t="s">
        <v>1575</v>
      </c>
      <c r="N209" s="473" t="s">
        <v>2691</v>
      </c>
      <c r="O209" s="474" t="s">
        <v>2702</v>
      </c>
    </row>
    <row r="210" spans="1:15" s="475" customFormat="1" ht="12" hidden="1">
      <c r="A210" s="465">
        <v>10131000009403</v>
      </c>
      <c r="B210" s="476" t="s">
        <v>2702</v>
      </c>
      <c r="C210" s="476" t="s">
        <v>2708</v>
      </c>
      <c r="D210" s="467" t="s">
        <v>1045</v>
      </c>
      <c r="E210" s="472" t="s">
        <v>2541</v>
      </c>
      <c r="F210" s="477">
        <v>0</v>
      </c>
      <c r="G210" s="469" t="s">
        <v>2472</v>
      </c>
      <c r="H210" s="470">
        <v>1E-8</v>
      </c>
      <c r="I210" s="471">
        <v>1.5324781650000001E-8</v>
      </c>
      <c r="J210" s="485" t="s">
        <v>421</v>
      </c>
      <c r="K210" s="472" t="s">
        <v>651</v>
      </c>
      <c r="L210" s="473" t="s">
        <v>2693</v>
      </c>
      <c r="M210" s="473" t="s">
        <v>1575</v>
      </c>
      <c r="N210" s="473" t="s">
        <v>2691</v>
      </c>
      <c r="O210" s="474" t="s">
        <v>2702</v>
      </c>
    </row>
    <row r="211" spans="1:15" s="475" customFormat="1" ht="12" hidden="1">
      <c r="A211" s="465">
        <v>10131000009404</v>
      </c>
      <c r="B211" s="476" t="s">
        <v>2702</v>
      </c>
      <c r="C211" s="476" t="s">
        <v>2708</v>
      </c>
      <c r="D211" s="467" t="s">
        <v>1045</v>
      </c>
      <c r="E211" s="472" t="s">
        <v>2541</v>
      </c>
      <c r="F211" s="477">
        <v>0</v>
      </c>
      <c r="G211" s="469" t="s">
        <v>2472</v>
      </c>
      <c r="H211" s="470">
        <v>1E-8</v>
      </c>
      <c r="I211" s="471">
        <v>1.5324781650000001E-8</v>
      </c>
      <c r="J211" s="485" t="s">
        <v>421</v>
      </c>
      <c r="K211" s="472" t="s">
        <v>651</v>
      </c>
      <c r="L211" s="473" t="s">
        <v>2693</v>
      </c>
      <c r="M211" s="473" t="s">
        <v>1575</v>
      </c>
      <c r="N211" s="473" t="s">
        <v>2691</v>
      </c>
      <c r="O211" s="474" t="s">
        <v>2702</v>
      </c>
    </row>
    <row r="212" spans="1:15" s="475" customFormat="1" ht="12" hidden="1">
      <c r="A212" s="465">
        <v>10131000039192</v>
      </c>
      <c r="B212" s="476" t="s">
        <v>2702</v>
      </c>
      <c r="C212" s="476" t="s">
        <v>2708</v>
      </c>
      <c r="D212" s="467" t="s">
        <v>1045</v>
      </c>
      <c r="E212" s="472" t="s">
        <v>2491</v>
      </c>
      <c r="F212" s="477">
        <v>0</v>
      </c>
      <c r="G212" s="469" t="s">
        <v>2472</v>
      </c>
      <c r="H212" s="470">
        <v>1E-8</v>
      </c>
      <c r="I212" s="471">
        <v>1E-8</v>
      </c>
      <c r="J212" s="485" t="s">
        <v>421</v>
      </c>
      <c r="K212" s="472" t="s">
        <v>651</v>
      </c>
      <c r="L212" s="473" t="s">
        <v>2693</v>
      </c>
      <c r="M212" s="473" t="s">
        <v>1575</v>
      </c>
      <c r="N212" s="473" t="s">
        <v>2691</v>
      </c>
      <c r="O212" s="474" t="s">
        <v>2702</v>
      </c>
    </row>
    <row r="213" spans="1:15" s="475" customFormat="1" ht="12" hidden="1">
      <c r="A213" s="465">
        <v>10131000056525</v>
      </c>
      <c r="B213" s="489" t="s">
        <v>2702</v>
      </c>
      <c r="C213" s="489" t="s">
        <v>2709</v>
      </c>
      <c r="D213" s="467" t="s">
        <v>571</v>
      </c>
      <c r="E213" s="478" t="s">
        <v>2514</v>
      </c>
      <c r="F213" s="477">
        <v>35.482874639999999</v>
      </c>
      <c r="G213" s="469" t="s">
        <v>2472</v>
      </c>
      <c r="H213" s="481">
        <v>3561</v>
      </c>
      <c r="I213" s="482">
        <v>36.35</v>
      </c>
      <c r="J213" s="483" t="s">
        <v>2515</v>
      </c>
      <c r="K213" s="483" t="s">
        <v>2515</v>
      </c>
      <c r="L213" s="473" t="s">
        <v>2693</v>
      </c>
      <c r="M213" s="473" t="s">
        <v>1575</v>
      </c>
      <c r="N213" s="473" t="s">
        <v>2691</v>
      </c>
      <c r="O213" s="474" t="s">
        <v>2702</v>
      </c>
    </row>
    <row r="214" spans="1:15" s="475" customFormat="1" ht="12" hidden="1">
      <c r="A214" s="465">
        <v>10131000056549</v>
      </c>
      <c r="B214" s="489" t="s">
        <v>2702</v>
      </c>
      <c r="C214" s="489" t="s">
        <v>2710</v>
      </c>
      <c r="D214" s="467" t="s">
        <v>571</v>
      </c>
      <c r="E214" s="478" t="s">
        <v>2514</v>
      </c>
      <c r="F214" s="477">
        <v>35.482874639999999</v>
      </c>
      <c r="G214" s="469" t="s">
        <v>2472</v>
      </c>
      <c r="H214" s="481">
        <v>3561</v>
      </c>
      <c r="I214" s="482">
        <v>36.35</v>
      </c>
      <c r="J214" s="483" t="s">
        <v>2515</v>
      </c>
      <c r="K214" s="483" t="s">
        <v>2515</v>
      </c>
      <c r="L214" s="473" t="s">
        <v>2693</v>
      </c>
      <c r="M214" s="473" t="s">
        <v>1575</v>
      </c>
      <c r="N214" s="473" t="s">
        <v>2691</v>
      </c>
      <c r="O214" s="474" t="s">
        <v>2702</v>
      </c>
    </row>
    <row r="215" spans="1:15" s="475" customFormat="1" ht="12" hidden="1">
      <c r="A215" s="465">
        <v>10131000009369</v>
      </c>
      <c r="B215" s="476" t="s">
        <v>2702</v>
      </c>
      <c r="C215" s="476" t="s">
        <v>2711</v>
      </c>
      <c r="D215" s="467" t="s">
        <v>1045</v>
      </c>
      <c r="E215" s="472" t="s">
        <v>2712</v>
      </c>
      <c r="F215" s="477">
        <v>80.31581795000001</v>
      </c>
      <c r="G215" s="469" t="s">
        <v>2472</v>
      </c>
      <c r="H215" s="470">
        <v>1E-8</v>
      </c>
      <c r="I215" s="471">
        <v>2.7225701000000009E-9</v>
      </c>
      <c r="J215" s="485" t="s">
        <v>421</v>
      </c>
      <c r="K215" s="472" t="s">
        <v>2713</v>
      </c>
      <c r="L215" s="473" t="s">
        <v>2693</v>
      </c>
      <c r="M215" s="473" t="s">
        <v>1575</v>
      </c>
      <c r="N215" s="473" t="s">
        <v>2691</v>
      </c>
      <c r="O215" s="474" t="s">
        <v>2702</v>
      </c>
    </row>
    <row r="216" spans="1:15" s="475" customFormat="1" ht="12" hidden="1">
      <c r="A216" s="465">
        <v>10131000058314</v>
      </c>
      <c r="B216" s="476" t="s">
        <v>2702</v>
      </c>
      <c r="C216" s="476" t="s">
        <v>2714</v>
      </c>
      <c r="D216" s="467" t="s">
        <v>1045</v>
      </c>
      <c r="E216" s="472" t="s">
        <v>2715</v>
      </c>
      <c r="F216" s="477" t="s">
        <v>2472</v>
      </c>
      <c r="G216" s="469" t="s">
        <v>2472</v>
      </c>
      <c r="H216" s="470">
        <v>1E-8</v>
      </c>
      <c r="I216" s="471">
        <v>1.3280192891666669E-8</v>
      </c>
      <c r="J216" s="485" t="s">
        <v>421</v>
      </c>
      <c r="K216" s="472" t="s">
        <v>615</v>
      </c>
      <c r="L216" s="473" t="s">
        <v>2693</v>
      </c>
      <c r="M216" s="473" t="s">
        <v>1575</v>
      </c>
      <c r="N216" s="473" t="s">
        <v>2691</v>
      </c>
      <c r="O216" s="474" t="s">
        <v>2702</v>
      </c>
    </row>
    <row r="217" spans="1:15" s="475" customFormat="1" ht="12" hidden="1">
      <c r="A217" s="465">
        <v>10131000058308</v>
      </c>
      <c r="B217" s="476" t="s">
        <v>2702</v>
      </c>
      <c r="C217" s="476" t="s">
        <v>2707</v>
      </c>
      <c r="D217" s="467" t="s">
        <v>1045</v>
      </c>
      <c r="E217" s="472" t="s">
        <v>2519</v>
      </c>
      <c r="F217" s="477" t="s">
        <v>2472</v>
      </c>
      <c r="G217" s="469" t="s">
        <v>2472</v>
      </c>
      <c r="H217" s="470">
        <v>1E-8</v>
      </c>
      <c r="I217" s="471">
        <v>3.0846695000000001E-9</v>
      </c>
      <c r="J217" s="485" t="s">
        <v>421</v>
      </c>
      <c r="K217" s="472" t="s">
        <v>621</v>
      </c>
      <c r="L217" s="473" t="s">
        <v>2693</v>
      </c>
      <c r="M217" s="473" t="s">
        <v>1575</v>
      </c>
      <c r="N217" s="473" t="s">
        <v>2691</v>
      </c>
      <c r="O217" s="474" t="s">
        <v>2702</v>
      </c>
    </row>
    <row r="218" spans="1:15" s="475" customFormat="1" ht="12" hidden="1">
      <c r="A218" s="465">
        <v>10131000009583</v>
      </c>
      <c r="B218" s="476" t="s">
        <v>2716</v>
      </c>
      <c r="C218" s="476" t="s">
        <v>2717</v>
      </c>
      <c r="D218" s="467" t="s">
        <v>1045</v>
      </c>
      <c r="E218" s="472" t="s">
        <v>2718</v>
      </c>
      <c r="F218" s="477">
        <v>0</v>
      </c>
      <c r="G218" s="469" t="s">
        <v>2472</v>
      </c>
      <c r="H218" s="470">
        <v>1E-8</v>
      </c>
      <c r="I218" s="471">
        <v>2.9145899166666672E-10</v>
      </c>
      <c r="J218" s="485" t="s">
        <v>421</v>
      </c>
      <c r="K218" s="472" t="s">
        <v>625</v>
      </c>
      <c r="L218" s="473" t="s">
        <v>1608</v>
      </c>
      <c r="M218" s="473" t="s">
        <v>2642</v>
      </c>
      <c r="N218" s="476" t="s">
        <v>2716</v>
      </c>
      <c r="O218" s="486" t="s">
        <v>2716</v>
      </c>
    </row>
    <row r="219" spans="1:15" s="475" customFormat="1" ht="12" hidden="1">
      <c r="A219" s="465">
        <v>10131000058614</v>
      </c>
      <c r="B219" s="476" t="s">
        <v>2719</v>
      </c>
      <c r="C219" s="476" t="s">
        <v>2720</v>
      </c>
      <c r="D219" s="467" t="s">
        <v>2721</v>
      </c>
      <c r="E219" s="472" t="s">
        <v>2541</v>
      </c>
      <c r="F219" s="477" t="s">
        <v>2472</v>
      </c>
      <c r="G219" s="469" t="s">
        <v>2472</v>
      </c>
      <c r="H219" s="470">
        <v>1E-8</v>
      </c>
      <c r="I219" s="471">
        <v>1.5324781650000001E-8</v>
      </c>
      <c r="J219" s="485" t="s">
        <v>421</v>
      </c>
      <c r="K219" s="472" t="s">
        <v>651</v>
      </c>
      <c r="L219" s="473" t="s">
        <v>2693</v>
      </c>
      <c r="M219" s="473" t="s">
        <v>1575</v>
      </c>
      <c r="N219" s="473" t="s">
        <v>2722</v>
      </c>
      <c r="O219" s="486" t="s">
        <v>2719</v>
      </c>
    </row>
    <row r="220" spans="1:15" s="475" customFormat="1" ht="12" hidden="1">
      <c r="A220" s="465">
        <v>10131000052441</v>
      </c>
      <c r="B220" s="466" t="s">
        <v>2723</v>
      </c>
      <c r="C220" s="466" t="s">
        <v>2724</v>
      </c>
      <c r="D220" s="467" t="s">
        <v>571</v>
      </c>
      <c r="E220" s="468" t="s">
        <v>2491</v>
      </c>
      <c r="F220" s="477">
        <v>8.2899999999999991</v>
      </c>
      <c r="G220" s="469" t="s">
        <v>2472</v>
      </c>
      <c r="H220" s="470">
        <v>8.2899999999999991</v>
      </c>
      <c r="I220" s="471">
        <v>8.2899999999999991</v>
      </c>
      <c r="J220" s="472" t="s">
        <v>423</v>
      </c>
      <c r="K220" s="472" t="s">
        <v>534</v>
      </c>
      <c r="L220" s="473" t="s">
        <v>2693</v>
      </c>
      <c r="M220" s="473" t="s">
        <v>1575</v>
      </c>
      <c r="N220" s="473" t="s">
        <v>2722</v>
      </c>
      <c r="O220" s="474" t="s">
        <v>2723</v>
      </c>
    </row>
    <row r="221" spans="1:15" s="475" customFormat="1" ht="12" hidden="1">
      <c r="A221" s="465">
        <v>10131000051995</v>
      </c>
      <c r="B221" s="476" t="s">
        <v>2723</v>
      </c>
      <c r="C221" s="476" t="s">
        <v>2725</v>
      </c>
      <c r="D221" s="467" t="s">
        <v>982</v>
      </c>
      <c r="E221" s="472" t="s">
        <v>2541</v>
      </c>
      <c r="F221" s="477">
        <v>9.0582480000000007</v>
      </c>
      <c r="G221" s="469" t="s">
        <v>2472</v>
      </c>
      <c r="H221" s="470">
        <v>2.06</v>
      </c>
      <c r="I221" s="471">
        <v>3.1569050198999999</v>
      </c>
      <c r="J221" s="485" t="s">
        <v>421</v>
      </c>
      <c r="K221" s="472" t="s">
        <v>651</v>
      </c>
      <c r="L221" s="473" t="s">
        <v>2693</v>
      </c>
      <c r="M221" s="473" t="s">
        <v>1575</v>
      </c>
      <c r="N221" s="473" t="s">
        <v>2722</v>
      </c>
      <c r="O221" s="474" t="s">
        <v>2723</v>
      </c>
    </row>
    <row r="222" spans="1:15" s="475" customFormat="1" ht="12" hidden="1">
      <c r="A222" s="465">
        <v>10131000051997</v>
      </c>
      <c r="B222" s="476" t="s">
        <v>2723</v>
      </c>
      <c r="C222" s="476" t="s">
        <v>2725</v>
      </c>
      <c r="D222" s="467" t="s">
        <v>982</v>
      </c>
      <c r="E222" s="472" t="s">
        <v>2541</v>
      </c>
      <c r="F222" s="477">
        <v>9.0582480000000007</v>
      </c>
      <c r="G222" s="469" t="s">
        <v>2472</v>
      </c>
      <c r="H222" s="470">
        <v>2.06</v>
      </c>
      <c r="I222" s="471">
        <v>3.1569050198999999</v>
      </c>
      <c r="J222" s="485" t="s">
        <v>421</v>
      </c>
      <c r="K222" s="472" t="s">
        <v>651</v>
      </c>
      <c r="L222" s="473" t="s">
        <v>2693</v>
      </c>
      <c r="M222" s="473" t="s">
        <v>1575</v>
      </c>
      <c r="N222" s="473" t="s">
        <v>2722</v>
      </c>
      <c r="O222" s="474" t="s">
        <v>2723</v>
      </c>
    </row>
    <row r="223" spans="1:15" s="475" customFormat="1" ht="12" hidden="1">
      <c r="A223" s="465">
        <v>10131000051877</v>
      </c>
      <c r="B223" s="476" t="s">
        <v>2723</v>
      </c>
      <c r="C223" s="476" t="s">
        <v>2726</v>
      </c>
      <c r="D223" s="467" t="s">
        <v>571</v>
      </c>
      <c r="E223" s="472" t="s">
        <v>2491</v>
      </c>
      <c r="F223" s="477">
        <v>15.91</v>
      </c>
      <c r="G223" s="469" t="s">
        <v>2472</v>
      </c>
      <c r="H223" s="487">
        <v>16.62</v>
      </c>
      <c r="I223" s="471">
        <v>16.62</v>
      </c>
      <c r="J223" s="488" t="s">
        <v>2492</v>
      </c>
      <c r="K223" s="472" t="s">
        <v>2522</v>
      </c>
      <c r="L223" s="473" t="s">
        <v>2693</v>
      </c>
      <c r="M223" s="473" t="s">
        <v>1575</v>
      </c>
      <c r="N223" s="473" t="s">
        <v>2722</v>
      </c>
      <c r="O223" s="474" t="s">
        <v>2723</v>
      </c>
    </row>
    <row r="224" spans="1:15" s="475" customFormat="1" ht="12" hidden="1">
      <c r="A224" s="465">
        <v>10131000052488</v>
      </c>
      <c r="B224" s="489" t="s">
        <v>2723</v>
      </c>
      <c r="C224" s="489" t="s">
        <v>2727</v>
      </c>
      <c r="D224" s="467" t="s">
        <v>571</v>
      </c>
      <c r="E224" s="478" t="s">
        <v>2514</v>
      </c>
      <c r="F224" s="477">
        <v>24.149630159999997</v>
      </c>
      <c r="G224" s="469" t="s">
        <v>2472</v>
      </c>
      <c r="H224" s="481">
        <v>957</v>
      </c>
      <c r="I224" s="482">
        <v>9.77</v>
      </c>
      <c r="J224" s="483" t="s">
        <v>2515</v>
      </c>
      <c r="K224" s="483" t="s">
        <v>2515</v>
      </c>
      <c r="L224" s="473" t="s">
        <v>2693</v>
      </c>
      <c r="M224" s="473" t="s">
        <v>1575</v>
      </c>
      <c r="N224" s="473" t="s">
        <v>2722</v>
      </c>
      <c r="O224" s="474" t="s">
        <v>2723</v>
      </c>
    </row>
    <row r="225" spans="1:15" s="475" customFormat="1" ht="12" hidden="1">
      <c r="A225" s="465">
        <v>10131000052489</v>
      </c>
      <c r="B225" s="489" t="s">
        <v>2723</v>
      </c>
      <c r="C225" s="489" t="s">
        <v>2728</v>
      </c>
      <c r="D225" s="467" t="s">
        <v>571</v>
      </c>
      <c r="E225" s="478" t="s">
        <v>2514</v>
      </c>
      <c r="F225" s="477">
        <v>24.149630159999997</v>
      </c>
      <c r="G225" s="469" t="s">
        <v>2472</v>
      </c>
      <c r="H225" s="481">
        <v>957</v>
      </c>
      <c r="I225" s="482">
        <v>9.77</v>
      </c>
      <c r="J225" s="483" t="s">
        <v>2515</v>
      </c>
      <c r="K225" s="483" t="s">
        <v>2515</v>
      </c>
      <c r="L225" s="473" t="s">
        <v>2693</v>
      </c>
      <c r="M225" s="473" t="s">
        <v>1575</v>
      </c>
      <c r="N225" s="473" t="s">
        <v>2722</v>
      </c>
      <c r="O225" s="474" t="s">
        <v>2723</v>
      </c>
    </row>
    <row r="226" spans="1:15" s="475" customFormat="1" ht="12" hidden="1">
      <c r="A226" s="465">
        <v>1000099080</v>
      </c>
      <c r="B226" s="466" t="s">
        <v>2723</v>
      </c>
      <c r="C226" s="466" t="s">
        <v>2723</v>
      </c>
      <c r="D226" s="467" t="s">
        <v>982</v>
      </c>
      <c r="E226" s="468" t="s">
        <v>2471</v>
      </c>
      <c r="F226" s="477" t="s">
        <v>2472</v>
      </c>
      <c r="G226" s="469" t="s">
        <v>2472</v>
      </c>
      <c r="H226" s="470">
        <v>172.16</v>
      </c>
      <c r="I226" s="471">
        <v>13.294208494208494</v>
      </c>
      <c r="J226" s="472" t="s">
        <v>422</v>
      </c>
      <c r="K226" s="472" t="s">
        <v>2473</v>
      </c>
      <c r="L226" s="473" t="s">
        <v>2693</v>
      </c>
      <c r="M226" s="473" t="s">
        <v>1575</v>
      </c>
      <c r="N226" s="473" t="s">
        <v>2722</v>
      </c>
      <c r="O226" s="474" t="s">
        <v>2723</v>
      </c>
    </row>
    <row r="227" spans="1:15" s="475" customFormat="1" ht="12" hidden="1">
      <c r="A227" s="465">
        <v>1000099088</v>
      </c>
      <c r="B227" s="466" t="s">
        <v>2723</v>
      </c>
      <c r="C227" s="466" t="s">
        <v>2729</v>
      </c>
      <c r="D227" s="467" t="s">
        <v>982</v>
      </c>
      <c r="E227" s="468" t="s">
        <v>2471</v>
      </c>
      <c r="F227" s="477" t="s">
        <v>2472</v>
      </c>
      <c r="G227" s="469" t="s">
        <v>2472</v>
      </c>
      <c r="H227" s="470">
        <v>212.19</v>
      </c>
      <c r="I227" s="471">
        <v>16.385328185328188</v>
      </c>
      <c r="J227" s="472" t="s">
        <v>422</v>
      </c>
      <c r="K227" s="472" t="s">
        <v>2473</v>
      </c>
      <c r="L227" s="473" t="s">
        <v>2693</v>
      </c>
      <c r="M227" s="473" t="s">
        <v>1575</v>
      </c>
      <c r="N227" s="473" t="s">
        <v>2722</v>
      </c>
      <c r="O227" s="474" t="s">
        <v>2723</v>
      </c>
    </row>
    <row r="228" spans="1:15" s="475" customFormat="1" ht="12" hidden="1">
      <c r="A228" s="465">
        <v>10131000009957</v>
      </c>
      <c r="B228" s="476" t="s">
        <v>2730</v>
      </c>
      <c r="C228" s="476" t="s">
        <v>2731</v>
      </c>
      <c r="D228" s="467" t="s">
        <v>1045</v>
      </c>
      <c r="E228" s="472" t="s">
        <v>2541</v>
      </c>
      <c r="F228" s="477">
        <v>0</v>
      </c>
      <c r="G228" s="469" t="s">
        <v>2472</v>
      </c>
      <c r="H228" s="470">
        <v>1E-8</v>
      </c>
      <c r="I228" s="471">
        <v>1.5324781650000001E-8</v>
      </c>
      <c r="J228" s="485" t="s">
        <v>421</v>
      </c>
      <c r="K228" s="472" t="s">
        <v>651</v>
      </c>
      <c r="L228" s="473" t="s">
        <v>570</v>
      </c>
      <c r="M228" s="473" t="s">
        <v>2732</v>
      </c>
      <c r="N228" s="473" t="s">
        <v>2733</v>
      </c>
      <c r="O228" s="474" t="s">
        <v>2733</v>
      </c>
    </row>
    <row r="229" spans="1:15" s="475" customFormat="1" ht="12" hidden="1">
      <c r="A229" s="465">
        <v>10131000009958</v>
      </c>
      <c r="B229" s="476" t="s">
        <v>2730</v>
      </c>
      <c r="C229" s="476" t="s">
        <v>2731</v>
      </c>
      <c r="D229" s="467" t="s">
        <v>1045</v>
      </c>
      <c r="E229" s="472" t="s">
        <v>2541</v>
      </c>
      <c r="F229" s="477">
        <v>0</v>
      </c>
      <c r="G229" s="469" t="s">
        <v>2472</v>
      </c>
      <c r="H229" s="470">
        <v>1E-8</v>
      </c>
      <c r="I229" s="471">
        <v>1.5324781650000001E-8</v>
      </c>
      <c r="J229" s="485" t="s">
        <v>421</v>
      </c>
      <c r="K229" s="472" t="s">
        <v>651</v>
      </c>
      <c r="L229" s="473" t="s">
        <v>570</v>
      </c>
      <c r="M229" s="473" t="s">
        <v>2732</v>
      </c>
      <c r="N229" s="473" t="s">
        <v>2733</v>
      </c>
      <c r="O229" s="474" t="s">
        <v>2733</v>
      </c>
    </row>
    <row r="230" spans="1:15" s="475" customFormat="1" ht="12" hidden="1">
      <c r="A230" s="465">
        <v>10131000039207</v>
      </c>
      <c r="B230" s="476" t="s">
        <v>2730</v>
      </c>
      <c r="C230" s="476" t="s">
        <v>2731</v>
      </c>
      <c r="D230" s="467" t="s">
        <v>1045</v>
      </c>
      <c r="E230" s="472" t="s">
        <v>2491</v>
      </c>
      <c r="F230" s="477">
        <v>0</v>
      </c>
      <c r="G230" s="469" t="s">
        <v>2472</v>
      </c>
      <c r="H230" s="470">
        <v>1E-8</v>
      </c>
      <c r="I230" s="471">
        <v>1E-8</v>
      </c>
      <c r="J230" s="485" t="s">
        <v>421</v>
      </c>
      <c r="K230" s="472" t="s">
        <v>651</v>
      </c>
      <c r="L230" s="473" t="s">
        <v>570</v>
      </c>
      <c r="M230" s="473" t="s">
        <v>2732</v>
      </c>
      <c r="N230" s="473" t="s">
        <v>2733</v>
      </c>
      <c r="O230" s="474" t="s">
        <v>2733</v>
      </c>
    </row>
    <row r="231" spans="1:15" s="475" customFormat="1" ht="12" hidden="1">
      <c r="A231" s="465">
        <v>10131000056382</v>
      </c>
      <c r="B231" s="466" t="s">
        <v>980</v>
      </c>
      <c r="C231" s="466" t="s">
        <v>2734</v>
      </c>
      <c r="D231" s="467" t="s">
        <v>982</v>
      </c>
      <c r="E231" s="468" t="s">
        <v>2491</v>
      </c>
      <c r="F231" s="477">
        <v>20</v>
      </c>
      <c r="G231" s="469" t="s">
        <v>2472</v>
      </c>
      <c r="H231" s="470">
        <v>42.2</v>
      </c>
      <c r="I231" s="471">
        <v>42.2</v>
      </c>
      <c r="J231" s="472" t="s">
        <v>423</v>
      </c>
      <c r="K231" s="472" t="s">
        <v>534</v>
      </c>
      <c r="L231" s="473" t="s">
        <v>570</v>
      </c>
      <c r="M231" s="473" t="s">
        <v>2735</v>
      </c>
      <c r="N231" s="473" t="s">
        <v>980</v>
      </c>
      <c r="O231" s="474" t="s">
        <v>980</v>
      </c>
    </row>
    <row r="232" spans="1:15" s="475" customFormat="1" ht="12" hidden="1">
      <c r="A232" s="465">
        <v>10131000057093</v>
      </c>
      <c r="B232" s="476" t="s">
        <v>980</v>
      </c>
      <c r="C232" s="476" t="s">
        <v>2736</v>
      </c>
      <c r="D232" s="467" t="s">
        <v>982</v>
      </c>
      <c r="E232" s="472" t="s">
        <v>2491</v>
      </c>
      <c r="F232" s="477">
        <v>20.84</v>
      </c>
      <c r="G232" s="469" t="s">
        <v>2472</v>
      </c>
      <c r="H232" s="487">
        <v>17.8</v>
      </c>
      <c r="I232" s="471">
        <v>17.8</v>
      </c>
      <c r="J232" s="488" t="s">
        <v>2492</v>
      </c>
      <c r="K232" s="472" t="s">
        <v>656</v>
      </c>
      <c r="L232" s="473" t="s">
        <v>570</v>
      </c>
      <c r="M232" s="473" t="s">
        <v>2735</v>
      </c>
      <c r="N232" s="473" t="s">
        <v>980</v>
      </c>
      <c r="O232" s="474" t="s">
        <v>980</v>
      </c>
    </row>
    <row r="233" spans="1:15" s="475" customFormat="1" ht="12" hidden="1">
      <c r="A233" s="465">
        <v>10131000056538</v>
      </c>
      <c r="B233" s="476" t="s">
        <v>980</v>
      </c>
      <c r="C233" s="476" t="s">
        <v>2737</v>
      </c>
      <c r="D233" s="467" t="s">
        <v>982</v>
      </c>
      <c r="E233" s="472" t="s">
        <v>2491</v>
      </c>
      <c r="F233" s="477">
        <v>21.4</v>
      </c>
      <c r="G233" s="469" t="s">
        <v>2472</v>
      </c>
      <c r="H233" s="487">
        <v>28.5</v>
      </c>
      <c r="I233" s="471">
        <v>28.5</v>
      </c>
      <c r="J233" s="488" t="s">
        <v>2492</v>
      </c>
      <c r="K233" s="472" t="s">
        <v>2522</v>
      </c>
      <c r="L233" s="473" t="s">
        <v>570</v>
      </c>
      <c r="M233" s="473" t="s">
        <v>2735</v>
      </c>
      <c r="N233" s="473" t="s">
        <v>980</v>
      </c>
      <c r="O233" s="474" t="s">
        <v>980</v>
      </c>
    </row>
    <row r="234" spans="1:15" s="475" customFormat="1" ht="12" hidden="1">
      <c r="A234" s="465">
        <v>10131000056855</v>
      </c>
      <c r="B234" s="476" t="s">
        <v>980</v>
      </c>
      <c r="C234" s="476" t="s">
        <v>2738</v>
      </c>
      <c r="D234" s="467" t="s">
        <v>982</v>
      </c>
      <c r="E234" s="472" t="s">
        <v>2541</v>
      </c>
      <c r="F234" s="477">
        <v>26.038572000000002</v>
      </c>
      <c r="G234" s="469" t="s">
        <v>2472</v>
      </c>
      <c r="H234" s="470">
        <v>42.04</v>
      </c>
      <c r="I234" s="471">
        <v>64.4253820566</v>
      </c>
      <c r="J234" s="485" t="s">
        <v>421</v>
      </c>
      <c r="K234" s="472" t="s">
        <v>651</v>
      </c>
      <c r="L234" s="473" t="s">
        <v>570</v>
      </c>
      <c r="M234" s="473" t="s">
        <v>2735</v>
      </c>
      <c r="N234" s="473" t="s">
        <v>980</v>
      </c>
      <c r="O234" s="474" t="s">
        <v>980</v>
      </c>
    </row>
    <row r="235" spans="1:15" s="475" customFormat="1" ht="12" hidden="1">
      <c r="A235" s="465">
        <v>10131000056856</v>
      </c>
      <c r="B235" s="476" t="s">
        <v>980</v>
      </c>
      <c r="C235" s="476" t="s">
        <v>2738</v>
      </c>
      <c r="D235" s="467" t="s">
        <v>982</v>
      </c>
      <c r="E235" s="472" t="s">
        <v>2541</v>
      </c>
      <c r="F235" s="477">
        <v>26.038572000000002</v>
      </c>
      <c r="G235" s="469" t="s">
        <v>2472</v>
      </c>
      <c r="H235" s="470">
        <v>42.04</v>
      </c>
      <c r="I235" s="471">
        <v>64.4253820566</v>
      </c>
      <c r="J235" s="485" t="s">
        <v>421</v>
      </c>
      <c r="K235" s="472" t="s">
        <v>651</v>
      </c>
      <c r="L235" s="473" t="s">
        <v>570</v>
      </c>
      <c r="M235" s="473" t="s">
        <v>2735</v>
      </c>
      <c r="N235" s="473" t="s">
        <v>980</v>
      </c>
      <c r="O235" s="474" t="s">
        <v>980</v>
      </c>
    </row>
    <row r="236" spans="1:15" s="475" customFormat="1" ht="12" hidden="1">
      <c r="A236" s="465">
        <v>10131000056863</v>
      </c>
      <c r="B236" s="476" t="s">
        <v>980</v>
      </c>
      <c r="C236" s="476" t="s">
        <v>2738</v>
      </c>
      <c r="D236" s="467" t="s">
        <v>982</v>
      </c>
      <c r="E236" s="472" t="s">
        <v>2491</v>
      </c>
      <c r="F236" s="477">
        <v>26.16</v>
      </c>
      <c r="G236" s="469" t="s">
        <v>2472</v>
      </c>
      <c r="H236" s="470">
        <v>64.42</v>
      </c>
      <c r="I236" s="471">
        <v>64.42</v>
      </c>
      <c r="J236" s="485" t="s">
        <v>421</v>
      </c>
      <c r="K236" s="472" t="s">
        <v>651</v>
      </c>
      <c r="L236" s="473" t="s">
        <v>570</v>
      </c>
      <c r="M236" s="473" t="s">
        <v>2735</v>
      </c>
      <c r="N236" s="473" t="s">
        <v>980</v>
      </c>
      <c r="O236" s="474" t="s">
        <v>980</v>
      </c>
    </row>
    <row r="237" spans="1:15" s="475" customFormat="1" ht="12" hidden="1">
      <c r="A237" s="465">
        <v>10131000056521</v>
      </c>
      <c r="B237" s="489" t="s">
        <v>980</v>
      </c>
      <c r="C237" s="489" t="s">
        <v>2739</v>
      </c>
      <c r="D237" s="467" t="s">
        <v>982</v>
      </c>
      <c r="E237" s="478" t="s">
        <v>2514</v>
      </c>
      <c r="F237" s="477">
        <v>36.587559119999995</v>
      </c>
      <c r="G237" s="469" t="s">
        <v>2472</v>
      </c>
      <c r="H237" s="481">
        <v>4269</v>
      </c>
      <c r="I237" s="482">
        <v>43.58</v>
      </c>
      <c r="J237" s="483" t="s">
        <v>2515</v>
      </c>
      <c r="K237" s="483" t="s">
        <v>2515</v>
      </c>
      <c r="L237" s="473" t="s">
        <v>570</v>
      </c>
      <c r="M237" s="473" t="s">
        <v>2735</v>
      </c>
      <c r="N237" s="473" t="s">
        <v>980</v>
      </c>
      <c r="O237" s="474" t="s">
        <v>980</v>
      </c>
    </row>
    <row r="238" spans="1:15" s="475" customFormat="1" ht="12" hidden="1">
      <c r="A238" s="465">
        <v>10131000056548</v>
      </c>
      <c r="B238" s="489" t="s">
        <v>980</v>
      </c>
      <c r="C238" s="489" t="s">
        <v>2740</v>
      </c>
      <c r="D238" s="467" t="s">
        <v>982</v>
      </c>
      <c r="E238" s="478" t="s">
        <v>2514</v>
      </c>
      <c r="F238" s="477">
        <v>36.587559119999995</v>
      </c>
      <c r="G238" s="469" t="s">
        <v>2472</v>
      </c>
      <c r="H238" s="481">
        <v>4269</v>
      </c>
      <c r="I238" s="482">
        <v>43.58</v>
      </c>
      <c r="J238" s="483" t="s">
        <v>2515</v>
      </c>
      <c r="K238" s="483" t="s">
        <v>2515</v>
      </c>
      <c r="L238" s="473" t="s">
        <v>570</v>
      </c>
      <c r="M238" s="473" t="s">
        <v>2735</v>
      </c>
      <c r="N238" s="473" t="s">
        <v>980</v>
      </c>
      <c r="O238" s="474" t="s">
        <v>980</v>
      </c>
    </row>
    <row r="239" spans="1:15" s="475" customFormat="1" ht="12" hidden="1">
      <c r="A239" s="465">
        <v>1000099058</v>
      </c>
      <c r="B239" s="466" t="s">
        <v>980</v>
      </c>
      <c r="C239" s="466" t="s">
        <v>2741</v>
      </c>
      <c r="D239" s="467" t="s">
        <v>982</v>
      </c>
      <c r="E239" s="468" t="s">
        <v>2471</v>
      </c>
      <c r="F239" s="477" t="s">
        <v>2472</v>
      </c>
      <c r="G239" s="469" t="s">
        <v>2472</v>
      </c>
      <c r="H239" s="470">
        <v>315.81</v>
      </c>
      <c r="I239" s="471">
        <v>24.386872586872588</v>
      </c>
      <c r="J239" s="472" t="s">
        <v>422</v>
      </c>
      <c r="K239" s="472" t="s">
        <v>2473</v>
      </c>
      <c r="L239" s="473" t="s">
        <v>570</v>
      </c>
      <c r="M239" s="473" t="s">
        <v>2735</v>
      </c>
      <c r="N239" s="473" t="s">
        <v>980</v>
      </c>
      <c r="O239" s="474" t="s">
        <v>980</v>
      </c>
    </row>
    <row r="240" spans="1:15" s="475" customFormat="1" ht="12" hidden="1">
      <c r="A240" s="465">
        <v>1000099077</v>
      </c>
      <c r="B240" s="466" t="s">
        <v>980</v>
      </c>
      <c r="C240" s="466" t="s">
        <v>2742</v>
      </c>
      <c r="D240" s="467" t="s">
        <v>982</v>
      </c>
      <c r="E240" s="468" t="s">
        <v>2471</v>
      </c>
      <c r="F240" s="477" t="s">
        <v>2472</v>
      </c>
      <c r="G240" s="469" t="s">
        <v>2472</v>
      </c>
      <c r="H240" s="470">
        <v>389.23</v>
      </c>
      <c r="I240" s="471">
        <v>30.05637065637066</v>
      </c>
      <c r="J240" s="472" t="s">
        <v>422</v>
      </c>
      <c r="K240" s="472" t="s">
        <v>2473</v>
      </c>
      <c r="L240" s="473" t="s">
        <v>570</v>
      </c>
      <c r="M240" s="473" t="s">
        <v>2735</v>
      </c>
      <c r="N240" s="473" t="s">
        <v>980</v>
      </c>
      <c r="O240" s="474" t="s">
        <v>980</v>
      </c>
    </row>
    <row r="241" spans="1:15" s="475" customFormat="1" ht="12" hidden="1">
      <c r="A241" s="465">
        <v>10131000056487</v>
      </c>
      <c r="B241" s="476" t="s">
        <v>2743</v>
      </c>
      <c r="C241" s="476" t="s">
        <v>2744</v>
      </c>
      <c r="D241" s="467" t="s">
        <v>982</v>
      </c>
      <c r="E241" s="472" t="s">
        <v>2491</v>
      </c>
      <c r="F241" s="477" t="s">
        <v>2472</v>
      </c>
      <c r="G241" s="469" t="s">
        <v>2472</v>
      </c>
      <c r="H241" s="487">
        <v>71.37</v>
      </c>
      <c r="I241" s="471">
        <v>71.37</v>
      </c>
      <c r="J241" s="488" t="s">
        <v>2492</v>
      </c>
      <c r="K241" s="472" t="s">
        <v>2522</v>
      </c>
      <c r="L241" s="473" t="s">
        <v>570</v>
      </c>
      <c r="M241" s="473" t="s">
        <v>2735</v>
      </c>
      <c r="N241" s="473" t="s">
        <v>980</v>
      </c>
      <c r="O241" s="474" t="s">
        <v>980</v>
      </c>
    </row>
    <row r="242" spans="1:15" s="475" customFormat="1" ht="12" hidden="1">
      <c r="A242" s="465">
        <v>10131000056489</v>
      </c>
      <c r="B242" s="476" t="s">
        <v>2743</v>
      </c>
      <c r="C242" s="476" t="s">
        <v>2745</v>
      </c>
      <c r="D242" s="467" t="s">
        <v>982</v>
      </c>
      <c r="E242" s="472" t="s">
        <v>2491</v>
      </c>
      <c r="F242" s="477" t="s">
        <v>2472</v>
      </c>
      <c r="G242" s="469" t="s">
        <v>2472</v>
      </c>
      <c r="H242" s="487">
        <v>43.26</v>
      </c>
      <c r="I242" s="471">
        <v>43.26</v>
      </c>
      <c r="J242" s="488" t="s">
        <v>2492</v>
      </c>
      <c r="K242" s="472" t="s">
        <v>2522</v>
      </c>
      <c r="L242" s="473" t="s">
        <v>570</v>
      </c>
      <c r="M242" s="473" t="s">
        <v>2735</v>
      </c>
      <c r="N242" s="473" t="s">
        <v>980</v>
      </c>
      <c r="O242" s="474" t="s">
        <v>980</v>
      </c>
    </row>
    <row r="243" spans="1:15" s="475" customFormat="1" ht="12" hidden="1">
      <c r="A243" s="465">
        <v>10131000056491</v>
      </c>
      <c r="B243" s="476" t="s">
        <v>2743</v>
      </c>
      <c r="C243" s="476" t="s">
        <v>2746</v>
      </c>
      <c r="D243" s="467" t="s">
        <v>982</v>
      </c>
      <c r="E243" s="472" t="s">
        <v>2491</v>
      </c>
      <c r="F243" s="477" t="s">
        <v>2472</v>
      </c>
      <c r="G243" s="469" t="s">
        <v>2472</v>
      </c>
      <c r="H243" s="487">
        <v>29.31</v>
      </c>
      <c r="I243" s="471">
        <v>29.31</v>
      </c>
      <c r="J243" s="488" t="s">
        <v>2492</v>
      </c>
      <c r="K243" s="472" t="s">
        <v>2522</v>
      </c>
      <c r="L243" s="473" t="s">
        <v>570</v>
      </c>
      <c r="M243" s="473" t="s">
        <v>2735</v>
      </c>
      <c r="N243" s="473" t="s">
        <v>980</v>
      </c>
      <c r="O243" s="474" t="s">
        <v>980</v>
      </c>
    </row>
    <row r="244" spans="1:15" s="475" customFormat="1" ht="12" hidden="1">
      <c r="A244" s="465">
        <v>10131000056494</v>
      </c>
      <c r="B244" s="476" t="s">
        <v>2743</v>
      </c>
      <c r="C244" s="476" t="s">
        <v>2747</v>
      </c>
      <c r="D244" s="467" t="s">
        <v>982</v>
      </c>
      <c r="E244" s="472" t="s">
        <v>2491</v>
      </c>
      <c r="F244" s="477" t="s">
        <v>2472</v>
      </c>
      <c r="G244" s="469" t="s">
        <v>2472</v>
      </c>
      <c r="H244" s="487">
        <v>59.76</v>
      </c>
      <c r="I244" s="471">
        <v>59.76</v>
      </c>
      <c r="J244" s="488" t="s">
        <v>2492</v>
      </c>
      <c r="K244" s="472" t="s">
        <v>2522</v>
      </c>
      <c r="L244" s="473" t="s">
        <v>570</v>
      </c>
      <c r="M244" s="473" t="s">
        <v>2735</v>
      </c>
      <c r="N244" s="473" t="s">
        <v>980</v>
      </c>
      <c r="O244" s="474" t="s">
        <v>980</v>
      </c>
    </row>
    <row r="245" spans="1:15" s="475" customFormat="1" ht="12" hidden="1">
      <c r="A245" s="465">
        <v>10131000056496</v>
      </c>
      <c r="B245" s="476" t="s">
        <v>2743</v>
      </c>
      <c r="C245" s="476" t="s">
        <v>2748</v>
      </c>
      <c r="D245" s="467" t="s">
        <v>982</v>
      </c>
      <c r="E245" s="472" t="s">
        <v>2491</v>
      </c>
      <c r="F245" s="477" t="s">
        <v>2472</v>
      </c>
      <c r="G245" s="469" t="s">
        <v>2472</v>
      </c>
      <c r="H245" s="487">
        <v>34.450000000000003</v>
      </c>
      <c r="I245" s="471">
        <v>34.450000000000003</v>
      </c>
      <c r="J245" s="488" t="s">
        <v>2492</v>
      </c>
      <c r="K245" s="472" t="s">
        <v>2522</v>
      </c>
      <c r="L245" s="473" t="s">
        <v>570</v>
      </c>
      <c r="M245" s="473" t="s">
        <v>2735</v>
      </c>
      <c r="N245" s="473" t="s">
        <v>980</v>
      </c>
      <c r="O245" s="474" t="s">
        <v>980</v>
      </c>
    </row>
    <row r="246" spans="1:15" s="475" customFormat="1" ht="12" hidden="1">
      <c r="A246" s="465">
        <v>10131000056497</v>
      </c>
      <c r="B246" s="476" t="s">
        <v>2743</v>
      </c>
      <c r="C246" s="476" t="s">
        <v>2749</v>
      </c>
      <c r="D246" s="467" t="s">
        <v>982</v>
      </c>
      <c r="E246" s="472" t="s">
        <v>2491</v>
      </c>
      <c r="F246" s="477" t="s">
        <v>2472</v>
      </c>
      <c r="G246" s="469" t="s">
        <v>2472</v>
      </c>
      <c r="H246" s="487">
        <v>45.61</v>
      </c>
      <c r="I246" s="471">
        <v>45.61</v>
      </c>
      <c r="J246" s="488" t="s">
        <v>2492</v>
      </c>
      <c r="K246" s="472" t="s">
        <v>2522</v>
      </c>
      <c r="L246" s="473" t="s">
        <v>570</v>
      </c>
      <c r="M246" s="473" t="s">
        <v>2735</v>
      </c>
      <c r="N246" s="473" t="s">
        <v>980</v>
      </c>
      <c r="O246" s="474" t="s">
        <v>980</v>
      </c>
    </row>
    <row r="247" spans="1:15" s="475" customFormat="1" ht="12" hidden="1">
      <c r="A247" s="465">
        <v>10131000056498</v>
      </c>
      <c r="B247" s="476" t="s">
        <v>2743</v>
      </c>
      <c r="C247" s="476" t="s">
        <v>2750</v>
      </c>
      <c r="D247" s="467" t="s">
        <v>982</v>
      </c>
      <c r="E247" s="472" t="s">
        <v>2491</v>
      </c>
      <c r="F247" s="477" t="s">
        <v>2472</v>
      </c>
      <c r="G247" s="469" t="s">
        <v>2472</v>
      </c>
      <c r="H247" s="487">
        <v>42.45</v>
      </c>
      <c r="I247" s="471">
        <v>42.45</v>
      </c>
      <c r="J247" s="488" t="s">
        <v>2492</v>
      </c>
      <c r="K247" s="472" t="s">
        <v>2522</v>
      </c>
      <c r="L247" s="473" t="s">
        <v>570</v>
      </c>
      <c r="M247" s="473" t="s">
        <v>2735</v>
      </c>
      <c r="N247" s="473" t="s">
        <v>980</v>
      </c>
      <c r="O247" s="474" t="s">
        <v>980</v>
      </c>
    </row>
    <row r="248" spans="1:15" s="475" customFormat="1" ht="12" hidden="1">
      <c r="A248" s="465">
        <v>10131000056499</v>
      </c>
      <c r="B248" s="476" t="s">
        <v>2743</v>
      </c>
      <c r="C248" s="476" t="s">
        <v>2751</v>
      </c>
      <c r="D248" s="467" t="s">
        <v>982</v>
      </c>
      <c r="E248" s="472" t="s">
        <v>2491</v>
      </c>
      <c r="F248" s="477" t="s">
        <v>2472</v>
      </c>
      <c r="G248" s="469" t="s">
        <v>2472</v>
      </c>
      <c r="H248" s="487">
        <v>24.86</v>
      </c>
      <c r="I248" s="471">
        <v>24.86</v>
      </c>
      <c r="J248" s="488" t="s">
        <v>2492</v>
      </c>
      <c r="K248" s="472" t="s">
        <v>2522</v>
      </c>
      <c r="L248" s="473" t="s">
        <v>570</v>
      </c>
      <c r="M248" s="473" t="s">
        <v>2735</v>
      </c>
      <c r="N248" s="473" t="s">
        <v>980</v>
      </c>
      <c r="O248" s="474" t="s">
        <v>980</v>
      </c>
    </row>
    <row r="249" spans="1:15" s="475" customFormat="1" ht="12" hidden="1">
      <c r="A249" s="465">
        <v>10131000056500</v>
      </c>
      <c r="B249" s="476" t="s">
        <v>2743</v>
      </c>
      <c r="C249" s="476" t="s">
        <v>2752</v>
      </c>
      <c r="D249" s="467" t="s">
        <v>982</v>
      </c>
      <c r="E249" s="472" t="s">
        <v>2491</v>
      </c>
      <c r="F249" s="477" t="s">
        <v>2472</v>
      </c>
      <c r="G249" s="469" t="s">
        <v>2472</v>
      </c>
      <c r="H249" s="487">
        <v>58.15</v>
      </c>
      <c r="I249" s="471">
        <v>58.15</v>
      </c>
      <c r="J249" s="488" t="s">
        <v>2492</v>
      </c>
      <c r="K249" s="472" t="s">
        <v>2522</v>
      </c>
      <c r="L249" s="473" t="s">
        <v>570</v>
      </c>
      <c r="M249" s="473" t="s">
        <v>2735</v>
      </c>
      <c r="N249" s="473" t="s">
        <v>980</v>
      </c>
      <c r="O249" s="474" t="s">
        <v>980</v>
      </c>
    </row>
    <row r="250" spans="1:15" s="475" customFormat="1" ht="12" hidden="1">
      <c r="A250" s="465">
        <v>10131000056502</v>
      </c>
      <c r="B250" s="476" t="s">
        <v>2743</v>
      </c>
      <c r="C250" s="476" t="s">
        <v>2753</v>
      </c>
      <c r="D250" s="467" t="s">
        <v>982</v>
      </c>
      <c r="E250" s="472" t="s">
        <v>2491</v>
      </c>
      <c r="F250" s="477" t="s">
        <v>2472</v>
      </c>
      <c r="G250" s="469" t="s">
        <v>2472</v>
      </c>
      <c r="H250" s="487">
        <v>46.96</v>
      </c>
      <c r="I250" s="471">
        <v>46.96</v>
      </c>
      <c r="J250" s="488" t="s">
        <v>2492</v>
      </c>
      <c r="K250" s="472" t="s">
        <v>2522</v>
      </c>
      <c r="L250" s="473" t="s">
        <v>570</v>
      </c>
      <c r="M250" s="473" t="s">
        <v>2735</v>
      </c>
      <c r="N250" s="473" t="s">
        <v>980</v>
      </c>
      <c r="O250" s="474" t="s">
        <v>980</v>
      </c>
    </row>
    <row r="251" spans="1:15" s="475" customFormat="1" ht="12" hidden="1">
      <c r="A251" s="465">
        <v>10131000056503</v>
      </c>
      <c r="B251" s="476" t="s">
        <v>2743</v>
      </c>
      <c r="C251" s="476" t="s">
        <v>2754</v>
      </c>
      <c r="D251" s="467" t="s">
        <v>982</v>
      </c>
      <c r="E251" s="472" t="s">
        <v>2491</v>
      </c>
      <c r="F251" s="477" t="s">
        <v>2472</v>
      </c>
      <c r="G251" s="469" t="s">
        <v>2472</v>
      </c>
      <c r="H251" s="487">
        <v>53.32</v>
      </c>
      <c r="I251" s="471">
        <v>53.32</v>
      </c>
      <c r="J251" s="488" t="s">
        <v>2492</v>
      </c>
      <c r="K251" s="472" t="s">
        <v>2522</v>
      </c>
      <c r="L251" s="473" t="s">
        <v>570</v>
      </c>
      <c r="M251" s="473" t="s">
        <v>2735</v>
      </c>
      <c r="N251" s="473" t="s">
        <v>980</v>
      </c>
      <c r="O251" s="474" t="s">
        <v>980</v>
      </c>
    </row>
    <row r="252" spans="1:15" s="475" customFormat="1" ht="12" hidden="1">
      <c r="A252" s="465">
        <v>10131000056506</v>
      </c>
      <c r="B252" s="476" t="s">
        <v>2743</v>
      </c>
      <c r="C252" s="476" t="s">
        <v>2755</v>
      </c>
      <c r="D252" s="467" t="s">
        <v>982</v>
      </c>
      <c r="E252" s="472" t="s">
        <v>2491</v>
      </c>
      <c r="F252" s="477" t="s">
        <v>2472</v>
      </c>
      <c r="G252" s="469" t="s">
        <v>2472</v>
      </c>
      <c r="H252" s="487">
        <v>102.73</v>
      </c>
      <c r="I252" s="471">
        <v>102.73</v>
      </c>
      <c r="J252" s="488" t="s">
        <v>2492</v>
      </c>
      <c r="K252" s="472" t="s">
        <v>2522</v>
      </c>
      <c r="L252" s="473" t="s">
        <v>570</v>
      </c>
      <c r="M252" s="473" t="s">
        <v>2735</v>
      </c>
      <c r="N252" s="473" t="s">
        <v>980</v>
      </c>
      <c r="O252" s="474" t="s">
        <v>980</v>
      </c>
    </row>
    <row r="253" spans="1:15" s="475" customFormat="1" ht="12" hidden="1">
      <c r="A253" s="465">
        <v>10131000033053</v>
      </c>
      <c r="B253" s="476" t="s">
        <v>2756</v>
      </c>
      <c r="C253" s="476" t="s">
        <v>2757</v>
      </c>
      <c r="D253" s="467" t="s">
        <v>1045</v>
      </c>
      <c r="E253" s="472" t="s">
        <v>2541</v>
      </c>
      <c r="F253" s="477">
        <v>0</v>
      </c>
      <c r="G253" s="469" t="s">
        <v>2472</v>
      </c>
      <c r="H253" s="470">
        <v>1E-8</v>
      </c>
      <c r="I253" s="471">
        <v>1.5324781650000001E-8</v>
      </c>
      <c r="J253" s="485" t="s">
        <v>421</v>
      </c>
      <c r="K253" s="472" t="s">
        <v>651</v>
      </c>
      <c r="L253" s="473" t="s">
        <v>204</v>
      </c>
      <c r="M253" s="473" t="s">
        <v>2758</v>
      </c>
      <c r="N253" s="473" t="s">
        <v>2758</v>
      </c>
      <c r="O253" s="474" t="s">
        <v>2756</v>
      </c>
    </row>
    <row r="254" spans="1:15" s="475" customFormat="1" ht="12" hidden="1">
      <c r="A254" s="465">
        <v>10131000033054</v>
      </c>
      <c r="B254" s="476" t="s">
        <v>2756</v>
      </c>
      <c r="C254" s="476" t="s">
        <v>2757</v>
      </c>
      <c r="D254" s="467" t="s">
        <v>1045</v>
      </c>
      <c r="E254" s="472" t="s">
        <v>2491</v>
      </c>
      <c r="F254" s="477">
        <v>0</v>
      </c>
      <c r="G254" s="469" t="s">
        <v>2472</v>
      </c>
      <c r="H254" s="470">
        <v>1E-8</v>
      </c>
      <c r="I254" s="471">
        <v>1E-8</v>
      </c>
      <c r="J254" s="485" t="s">
        <v>421</v>
      </c>
      <c r="K254" s="472" t="s">
        <v>651</v>
      </c>
      <c r="L254" s="473" t="s">
        <v>204</v>
      </c>
      <c r="M254" s="473" t="s">
        <v>2758</v>
      </c>
      <c r="N254" s="473" t="s">
        <v>2758</v>
      </c>
      <c r="O254" s="474" t="s">
        <v>2756</v>
      </c>
    </row>
    <row r="255" spans="1:15" s="475" customFormat="1" ht="12" hidden="1">
      <c r="A255" s="465">
        <v>10131000033055</v>
      </c>
      <c r="B255" s="476" t="s">
        <v>2756</v>
      </c>
      <c r="C255" s="476" t="s">
        <v>2757</v>
      </c>
      <c r="D255" s="467" t="s">
        <v>1045</v>
      </c>
      <c r="E255" s="472" t="s">
        <v>2541</v>
      </c>
      <c r="F255" s="477">
        <v>0</v>
      </c>
      <c r="G255" s="469" t="s">
        <v>2472</v>
      </c>
      <c r="H255" s="470">
        <v>1E-8</v>
      </c>
      <c r="I255" s="471">
        <v>1.5324781650000001E-8</v>
      </c>
      <c r="J255" s="485" t="s">
        <v>421</v>
      </c>
      <c r="K255" s="472" t="s">
        <v>651</v>
      </c>
      <c r="L255" s="473" t="s">
        <v>204</v>
      </c>
      <c r="M255" s="473" t="s">
        <v>2758</v>
      </c>
      <c r="N255" s="473" t="s">
        <v>2758</v>
      </c>
      <c r="O255" s="474" t="s">
        <v>2756</v>
      </c>
    </row>
    <row r="256" spans="1:15" s="475" customFormat="1" ht="12" hidden="1">
      <c r="A256" s="465">
        <v>10131000033057</v>
      </c>
      <c r="B256" s="476" t="s">
        <v>2756</v>
      </c>
      <c r="C256" s="476" t="s">
        <v>2757</v>
      </c>
      <c r="D256" s="467" t="s">
        <v>1045</v>
      </c>
      <c r="E256" s="472" t="s">
        <v>2541</v>
      </c>
      <c r="F256" s="477">
        <v>0</v>
      </c>
      <c r="G256" s="469" t="s">
        <v>2472</v>
      </c>
      <c r="H256" s="470">
        <v>1E-8</v>
      </c>
      <c r="I256" s="471">
        <v>1.5324781650000001E-8</v>
      </c>
      <c r="J256" s="485" t="s">
        <v>421</v>
      </c>
      <c r="K256" s="472" t="s">
        <v>651</v>
      </c>
      <c r="L256" s="473" t="s">
        <v>204</v>
      </c>
      <c r="M256" s="473" t="s">
        <v>2758</v>
      </c>
      <c r="N256" s="473" t="s">
        <v>2758</v>
      </c>
      <c r="O256" s="474" t="s">
        <v>2756</v>
      </c>
    </row>
    <row r="257" spans="1:15" s="475" customFormat="1" ht="12" hidden="1">
      <c r="A257" s="465">
        <v>10131000026006</v>
      </c>
      <c r="B257" s="466" t="s">
        <v>2759</v>
      </c>
      <c r="C257" s="466" t="s">
        <v>2759</v>
      </c>
      <c r="D257" s="467" t="s">
        <v>2760</v>
      </c>
      <c r="E257" s="468" t="s">
        <v>2491</v>
      </c>
      <c r="F257" s="477">
        <v>2.2848000000000002</v>
      </c>
      <c r="G257" s="469" t="s">
        <v>2472</v>
      </c>
      <c r="H257" s="470">
        <v>4.5</v>
      </c>
      <c r="I257" s="471">
        <v>4.5</v>
      </c>
      <c r="J257" s="472" t="s">
        <v>423</v>
      </c>
      <c r="K257" s="472" t="s">
        <v>534</v>
      </c>
      <c r="L257" s="473" t="s">
        <v>2693</v>
      </c>
      <c r="M257" s="473" t="s">
        <v>1478</v>
      </c>
      <c r="N257" s="473" t="s">
        <v>2761</v>
      </c>
      <c r="O257" s="474" t="s">
        <v>2759</v>
      </c>
    </row>
    <row r="258" spans="1:15" s="475" customFormat="1" ht="12" hidden="1">
      <c r="A258" s="465">
        <v>1000099085</v>
      </c>
      <c r="B258" s="466" t="s">
        <v>2762</v>
      </c>
      <c r="C258" s="466" t="s">
        <v>2762</v>
      </c>
      <c r="D258" s="467" t="s">
        <v>982</v>
      </c>
      <c r="E258" s="468" t="s">
        <v>2471</v>
      </c>
      <c r="F258" s="477" t="s">
        <v>2472</v>
      </c>
      <c r="G258" s="469" t="s">
        <v>2472</v>
      </c>
      <c r="H258" s="470">
        <v>44.35</v>
      </c>
      <c r="I258" s="471">
        <v>3.4247104247104252</v>
      </c>
      <c r="J258" s="472" t="s">
        <v>422</v>
      </c>
      <c r="K258" s="472" t="s">
        <v>2473</v>
      </c>
      <c r="L258" s="473" t="s">
        <v>2693</v>
      </c>
      <c r="M258" s="473" t="s">
        <v>1478</v>
      </c>
      <c r="N258" s="473" t="s">
        <v>2761</v>
      </c>
      <c r="O258" s="474" t="s">
        <v>2759</v>
      </c>
    </row>
    <row r="259" spans="1:15" s="475" customFormat="1" ht="12" hidden="1">
      <c r="A259" s="465">
        <v>1000099093</v>
      </c>
      <c r="B259" s="466" t="s">
        <v>2762</v>
      </c>
      <c r="C259" s="466" t="s">
        <v>2763</v>
      </c>
      <c r="D259" s="467" t="s">
        <v>982</v>
      </c>
      <c r="E259" s="468" t="s">
        <v>2471</v>
      </c>
      <c r="F259" s="477" t="s">
        <v>2472</v>
      </c>
      <c r="G259" s="469" t="s">
        <v>2472</v>
      </c>
      <c r="H259" s="470">
        <v>54.66</v>
      </c>
      <c r="I259" s="471">
        <v>4.2208494208494205</v>
      </c>
      <c r="J259" s="472" t="s">
        <v>422</v>
      </c>
      <c r="K259" s="472" t="s">
        <v>2473</v>
      </c>
      <c r="L259" s="473" t="s">
        <v>2693</v>
      </c>
      <c r="M259" s="473" t="s">
        <v>1478</v>
      </c>
      <c r="N259" s="473" t="s">
        <v>2761</v>
      </c>
      <c r="O259" s="474" t="s">
        <v>2759</v>
      </c>
    </row>
    <row r="260" spans="1:15" s="475" customFormat="1" ht="12">
      <c r="A260" s="465">
        <v>10131000057186</v>
      </c>
      <c r="B260" s="466" t="s">
        <v>3918</v>
      </c>
      <c r="C260" s="466" t="s">
        <v>2764</v>
      </c>
      <c r="D260" s="467" t="s">
        <v>12</v>
      </c>
      <c r="E260" s="468" t="s">
        <v>2491</v>
      </c>
      <c r="F260" s="511">
        <v>2.27</v>
      </c>
      <c r="G260" s="469" t="s">
        <v>2472</v>
      </c>
      <c r="H260" s="470">
        <v>3.07</v>
      </c>
      <c r="I260" s="510">
        <v>3.07</v>
      </c>
      <c r="J260" s="472" t="s">
        <v>423</v>
      </c>
      <c r="K260" s="472" t="s">
        <v>534</v>
      </c>
      <c r="L260" s="473" t="s">
        <v>530</v>
      </c>
      <c r="M260" s="473" t="s">
        <v>2765</v>
      </c>
      <c r="N260" s="473" t="s">
        <v>2766</v>
      </c>
      <c r="O260" s="474" t="s">
        <v>2766</v>
      </c>
    </row>
    <row r="261" spans="1:15" s="475" customFormat="1" ht="12" hidden="1">
      <c r="A261" s="465">
        <v>10131000056643</v>
      </c>
      <c r="B261" s="476" t="s">
        <v>2764</v>
      </c>
      <c r="C261" s="476" t="s">
        <v>2764</v>
      </c>
      <c r="D261" s="467" t="s">
        <v>12</v>
      </c>
      <c r="E261" s="472" t="s">
        <v>2491</v>
      </c>
      <c r="F261" s="477" t="s">
        <v>2472</v>
      </c>
      <c r="G261" s="469">
        <v>5.88</v>
      </c>
      <c r="H261" s="487">
        <v>5.08</v>
      </c>
      <c r="I261" s="471">
        <v>5.08</v>
      </c>
      <c r="J261" s="488" t="s">
        <v>2492</v>
      </c>
      <c r="K261" s="472" t="s">
        <v>2522</v>
      </c>
      <c r="L261" s="473" t="s">
        <v>530</v>
      </c>
      <c r="M261" s="473" t="s">
        <v>2765</v>
      </c>
      <c r="N261" s="473" t="s">
        <v>2766</v>
      </c>
      <c r="O261" s="474" t="s">
        <v>2766</v>
      </c>
    </row>
    <row r="262" spans="1:15" s="475" customFormat="1" ht="12" hidden="1">
      <c r="A262" s="465">
        <v>10131000057593</v>
      </c>
      <c r="B262" s="466" t="s">
        <v>2767</v>
      </c>
      <c r="C262" s="466" t="s">
        <v>2767</v>
      </c>
      <c r="D262" s="467" t="s">
        <v>2604</v>
      </c>
      <c r="E262" s="468" t="s">
        <v>2491</v>
      </c>
      <c r="F262" s="477">
        <v>25</v>
      </c>
      <c r="G262" s="469" t="s">
        <v>2472</v>
      </c>
      <c r="H262" s="470">
        <v>25</v>
      </c>
      <c r="I262" s="471">
        <v>25</v>
      </c>
      <c r="J262" s="472" t="s">
        <v>423</v>
      </c>
      <c r="K262" s="472" t="s">
        <v>534</v>
      </c>
      <c r="L262" s="473" t="s">
        <v>530</v>
      </c>
      <c r="M262" s="473" t="s">
        <v>2765</v>
      </c>
      <c r="N262" s="473" t="s">
        <v>2768</v>
      </c>
      <c r="O262" s="474" t="s">
        <v>2768</v>
      </c>
    </row>
    <row r="263" spans="1:15" s="475" customFormat="1" ht="12" hidden="1">
      <c r="A263" s="465">
        <v>10131000056365</v>
      </c>
      <c r="B263" s="466" t="s">
        <v>2769</v>
      </c>
      <c r="C263" s="466" t="s">
        <v>2770</v>
      </c>
      <c r="D263" s="467" t="s">
        <v>1045</v>
      </c>
      <c r="E263" s="468" t="s">
        <v>2491</v>
      </c>
      <c r="F263" s="477">
        <v>0</v>
      </c>
      <c r="G263" s="469" t="s">
        <v>2472</v>
      </c>
      <c r="H263" s="470">
        <v>0</v>
      </c>
      <c r="I263" s="471">
        <v>0</v>
      </c>
      <c r="J263" s="472" t="s">
        <v>423</v>
      </c>
      <c r="K263" s="472" t="s">
        <v>534</v>
      </c>
      <c r="L263" s="473" t="s">
        <v>530</v>
      </c>
      <c r="M263" s="473" t="s">
        <v>2689</v>
      </c>
      <c r="N263" s="473" t="s">
        <v>2769</v>
      </c>
      <c r="O263" s="474" t="s">
        <v>2769</v>
      </c>
    </row>
    <row r="264" spans="1:15" s="475" customFormat="1" ht="12" hidden="1">
      <c r="A264" s="465">
        <v>10131000019999</v>
      </c>
      <c r="B264" s="476" t="s">
        <v>2769</v>
      </c>
      <c r="C264" s="476" t="s">
        <v>2771</v>
      </c>
      <c r="D264" s="467" t="s">
        <v>1045</v>
      </c>
      <c r="E264" s="472" t="s">
        <v>2541</v>
      </c>
      <c r="F264" s="477">
        <v>371.57493600000004</v>
      </c>
      <c r="G264" s="469" t="s">
        <v>2472</v>
      </c>
      <c r="H264" s="470">
        <v>280.52</v>
      </c>
      <c r="I264" s="471">
        <v>429.89077484579997</v>
      </c>
      <c r="J264" s="485" t="s">
        <v>421</v>
      </c>
      <c r="K264" s="472" t="s">
        <v>651</v>
      </c>
      <c r="L264" s="473" t="s">
        <v>530</v>
      </c>
      <c r="M264" s="473" t="s">
        <v>2689</v>
      </c>
      <c r="N264" s="473" t="s">
        <v>2769</v>
      </c>
      <c r="O264" s="474" t="s">
        <v>2769</v>
      </c>
    </row>
    <row r="265" spans="1:15" s="475" customFormat="1" ht="12" hidden="1">
      <c r="A265" s="465">
        <v>10131000020000</v>
      </c>
      <c r="B265" s="476" t="s">
        <v>2769</v>
      </c>
      <c r="C265" s="476" t="s">
        <v>2771</v>
      </c>
      <c r="D265" s="467" t="s">
        <v>1045</v>
      </c>
      <c r="E265" s="472" t="s">
        <v>2541</v>
      </c>
      <c r="F265" s="477">
        <v>371.57493600000004</v>
      </c>
      <c r="G265" s="469" t="s">
        <v>2472</v>
      </c>
      <c r="H265" s="470">
        <v>280.52</v>
      </c>
      <c r="I265" s="471">
        <v>429.89077484579997</v>
      </c>
      <c r="J265" s="485" t="s">
        <v>421</v>
      </c>
      <c r="K265" s="472" t="s">
        <v>651</v>
      </c>
      <c r="L265" s="473" t="s">
        <v>530</v>
      </c>
      <c r="M265" s="473" t="s">
        <v>2689</v>
      </c>
      <c r="N265" s="473" t="s">
        <v>2769</v>
      </c>
      <c r="O265" s="474" t="s">
        <v>2769</v>
      </c>
    </row>
    <row r="266" spans="1:15" s="475" customFormat="1" ht="12" hidden="1">
      <c r="A266" s="465">
        <v>10131000020001</v>
      </c>
      <c r="B266" s="476" t="s">
        <v>2769</v>
      </c>
      <c r="C266" s="476" t="s">
        <v>2771</v>
      </c>
      <c r="D266" s="467" t="s">
        <v>1045</v>
      </c>
      <c r="E266" s="472" t="s">
        <v>2491</v>
      </c>
      <c r="F266" s="477">
        <v>373.27</v>
      </c>
      <c r="G266" s="469" t="s">
        <v>2472</v>
      </c>
      <c r="H266" s="470">
        <v>429.89</v>
      </c>
      <c r="I266" s="471">
        <v>429.89</v>
      </c>
      <c r="J266" s="485" t="s">
        <v>421</v>
      </c>
      <c r="K266" s="472" t="s">
        <v>651</v>
      </c>
      <c r="L266" s="473" t="s">
        <v>530</v>
      </c>
      <c r="M266" s="473" t="s">
        <v>2689</v>
      </c>
      <c r="N266" s="473" t="s">
        <v>2769</v>
      </c>
      <c r="O266" s="474" t="s">
        <v>2769</v>
      </c>
    </row>
    <row r="267" spans="1:15" s="475" customFormat="1" ht="12" hidden="1">
      <c r="A267" s="465">
        <v>10131000020003</v>
      </c>
      <c r="B267" s="476" t="s">
        <v>2769</v>
      </c>
      <c r="C267" s="476" t="s">
        <v>2771</v>
      </c>
      <c r="D267" s="467" t="s">
        <v>1045</v>
      </c>
      <c r="E267" s="472" t="s">
        <v>2541</v>
      </c>
      <c r="F267" s="477">
        <v>548.94227999999998</v>
      </c>
      <c r="G267" s="469" t="s">
        <v>2472</v>
      </c>
      <c r="H267" s="470">
        <v>1E-8</v>
      </c>
      <c r="I267" s="471">
        <v>1.5324781650000001E-8</v>
      </c>
      <c r="J267" s="485" t="s">
        <v>421</v>
      </c>
      <c r="K267" s="472" t="s">
        <v>651</v>
      </c>
      <c r="L267" s="473" t="s">
        <v>530</v>
      </c>
      <c r="M267" s="473" t="s">
        <v>2689</v>
      </c>
      <c r="N267" s="473" t="s">
        <v>2769</v>
      </c>
      <c r="O267" s="474" t="s">
        <v>2769</v>
      </c>
    </row>
    <row r="268" spans="1:15" s="475" customFormat="1" ht="12" hidden="1">
      <c r="A268" s="465">
        <v>10131000020004</v>
      </c>
      <c r="B268" s="476" t="s">
        <v>2769</v>
      </c>
      <c r="C268" s="476" t="s">
        <v>2771</v>
      </c>
      <c r="D268" s="467" t="s">
        <v>1045</v>
      </c>
      <c r="E268" s="472" t="s">
        <v>2541</v>
      </c>
      <c r="F268" s="477">
        <v>548.94227999999998</v>
      </c>
      <c r="G268" s="469" t="s">
        <v>2472</v>
      </c>
      <c r="H268" s="470">
        <v>1E-8</v>
      </c>
      <c r="I268" s="471">
        <v>1.5324781650000001E-8</v>
      </c>
      <c r="J268" s="485" t="s">
        <v>421</v>
      </c>
      <c r="K268" s="472" t="s">
        <v>651</v>
      </c>
      <c r="L268" s="473" t="s">
        <v>530</v>
      </c>
      <c r="M268" s="473" t="s">
        <v>2689</v>
      </c>
      <c r="N268" s="473" t="s">
        <v>2769</v>
      </c>
      <c r="O268" s="474" t="s">
        <v>2769</v>
      </c>
    </row>
    <row r="269" spans="1:15" s="475" customFormat="1" ht="12" hidden="1">
      <c r="A269" s="465">
        <v>10131000020005</v>
      </c>
      <c r="B269" s="476" t="s">
        <v>2769</v>
      </c>
      <c r="C269" s="476" t="s">
        <v>2771</v>
      </c>
      <c r="D269" s="467" t="s">
        <v>1045</v>
      </c>
      <c r="E269" s="472" t="s">
        <v>2491</v>
      </c>
      <c r="F269" s="477">
        <v>551.45000000000005</v>
      </c>
      <c r="G269" s="469" t="s">
        <v>2472</v>
      </c>
      <c r="H269" s="470">
        <v>1E-8</v>
      </c>
      <c r="I269" s="471">
        <v>1E-8</v>
      </c>
      <c r="J269" s="485" t="s">
        <v>421</v>
      </c>
      <c r="K269" s="472" t="s">
        <v>651</v>
      </c>
      <c r="L269" s="473" t="s">
        <v>530</v>
      </c>
      <c r="M269" s="473" t="s">
        <v>2689</v>
      </c>
      <c r="N269" s="473" t="s">
        <v>2769</v>
      </c>
      <c r="O269" s="474" t="s">
        <v>2769</v>
      </c>
    </row>
    <row r="270" spans="1:15" s="475" customFormat="1" ht="12" hidden="1">
      <c r="A270" s="465">
        <v>1000099049</v>
      </c>
      <c r="B270" s="466" t="s">
        <v>2772</v>
      </c>
      <c r="C270" s="466" t="s">
        <v>2772</v>
      </c>
      <c r="D270" s="467" t="s">
        <v>2655</v>
      </c>
      <c r="E270" s="468" t="s">
        <v>2471</v>
      </c>
      <c r="F270" s="477" t="s">
        <v>2472</v>
      </c>
      <c r="G270" s="469" t="s">
        <v>2472</v>
      </c>
      <c r="H270" s="470">
        <v>33.86</v>
      </c>
      <c r="I270" s="471">
        <v>2.6146718146718149</v>
      </c>
      <c r="J270" s="472" t="s">
        <v>422</v>
      </c>
      <c r="K270" s="472" t="s">
        <v>2473</v>
      </c>
      <c r="L270" s="473" t="s">
        <v>1608</v>
      </c>
      <c r="M270" s="473" t="s">
        <v>2642</v>
      </c>
      <c r="N270" s="473" t="s">
        <v>2643</v>
      </c>
      <c r="O270" s="490" t="s">
        <v>2772</v>
      </c>
    </row>
    <row r="271" spans="1:15" s="475" customFormat="1" ht="12" hidden="1">
      <c r="A271" s="465">
        <v>1000099104</v>
      </c>
      <c r="B271" s="466" t="s">
        <v>2773</v>
      </c>
      <c r="C271" s="466" t="s">
        <v>2773</v>
      </c>
      <c r="D271" s="467" t="s">
        <v>2774</v>
      </c>
      <c r="E271" s="468" t="s">
        <v>2471</v>
      </c>
      <c r="F271" s="477" t="s">
        <v>2472</v>
      </c>
      <c r="G271" s="469" t="s">
        <v>2472</v>
      </c>
      <c r="H271" s="470">
        <v>1606.3</v>
      </c>
      <c r="I271" s="471">
        <v>124.03861003861005</v>
      </c>
      <c r="J271" s="472" t="s">
        <v>422</v>
      </c>
      <c r="K271" s="472" t="s">
        <v>2473</v>
      </c>
      <c r="L271" s="473" t="s">
        <v>1608</v>
      </c>
      <c r="M271" s="473" t="s">
        <v>2642</v>
      </c>
      <c r="N271" s="473" t="s">
        <v>2643</v>
      </c>
      <c r="O271" s="474" t="s">
        <v>2775</v>
      </c>
    </row>
    <row r="272" spans="1:15" s="475" customFormat="1" ht="12" hidden="1">
      <c r="A272" s="465">
        <v>1000099107</v>
      </c>
      <c r="B272" s="466" t="s">
        <v>2773</v>
      </c>
      <c r="C272" s="466" t="s">
        <v>2776</v>
      </c>
      <c r="D272" s="467" t="s">
        <v>2774</v>
      </c>
      <c r="E272" s="468" t="s">
        <v>2471</v>
      </c>
      <c r="F272" s="477" t="s">
        <v>2472</v>
      </c>
      <c r="G272" s="469" t="s">
        <v>2472</v>
      </c>
      <c r="H272" s="470">
        <v>1766.93</v>
      </c>
      <c r="I272" s="471">
        <v>136.44247104247106</v>
      </c>
      <c r="J272" s="472" t="s">
        <v>422</v>
      </c>
      <c r="K272" s="472" t="s">
        <v>2473</v>
      </c>
      <c r="L272" s="473" t="s">
        <v>1608</v>
      </c>
      <c r="M272" s="473" t="s">
        <v>2642</v>
      </c>
      <c r="N272" s="473" t="s">
        <v>2643</v>
      </c>
      <c r="O272" s="474" t="s">
        <v>2775</v>
      </c>
    </row>
    <row r="273" spans="1:15" s="475" customFormat="1" ht="12" hidden="1">
      <c r="A273" s="465">
        <v>10131000012566</v>
      </c>
      <c r="B273" s="484" t="s">
        <v>2777</v>
      </c>
      <c r="C273" s="484" t="s">
        <v>2778</v>
      </c>
      <c r="D273" s="467" t="s">
        <v>1045</v>
      </c>
      <c r="E273" s="472" t="s">
        <v>2491</v>
      </c>
      <c r="F273" s="477">
        <v>0</v>
      </c>
      <c r="G273" s="469" t="s">
        <v>2472</v>
      </c>
      <c r="H273" s="470">
        <v>1E-8</v>
      </c>
      <c r="I273" s="471">
        <v>1E-8</v>
      </c>
      <c r="J273" s="485" t="s">
        <v>421</v>
      </c>
      <c r="K273" s="472" t="s">
        <v>2779</v>
      </c>
      <c r="L273" s="473" t="s">
        <v>204</v>
      </c>
      <c r="M273" s="473" t="s">
        <v>2780</v>
      </c>
      <c r="N273" s="473" t="s">
        <v>2777</v>
      </c>
      <c r="O273" s="474" t="s">
        <v>2777</v>
      </c>
    </row>
    <row r="274" spans="1:15" s="475" customFormat="1" ht="12" hidden="1">
      <c r="A274" s="465">
        <v>10131000012574</v>
      </c>
      <c r="B274" s="484" t="s">
        <v>2777</v>
      </c>
      <c r="C274" s="484" t="s">
        <v>2781</v>
      </c>
      <c r="D274" s="467" t="s">
        <v>1045</v>
      </c>
      <c r="E274" s="472" t="s">
        <v>2491</v>
      </c>
      <c r="F274" s="477">
        <v>0</v>
      </c>
      <c r="G274" s="469" t="s">
        <v>2472</v>
      </c>
      <c r="H274" s="470">
        <v>1E-8</v>
      </c>
      <c r="I274" s="471">
        <v>1E-8</v>
      </c>
      <c r="J274" s="485" t="s">
        <v>421</v>
      </c>
      <c r="K274" s="472" t="s">
        <v>633</v>
      </c>
      <c r="L274" s="473" t="s">
        <v>204</v>
      </c>
      <c r="M274" s="473" t="s">
        <v>2780</v>
      </c>
      <c r="N274" s="473" t="s">
        <v>2777</v>
      </c>
      <c r="O274" s="474" t="s">
        <v>2777</v>
      </c>
    </row>
    <row r="275" spans="1:15" s="475" customFormat="1" ht="12" hidden="1">
      <c r="A275" s="465">
        <v>10131000030258</v>
      </c>
      <c r="B275" s="476" t="s">
        <v>1597</v>
      </c>
      <c r="C275" s="476" t="s">
        <v>2782</v>
      </c>
      <c r="D275" s="467" t="s">
        <v>571</v>
      </c>
      <c r="E275" s="472" t="s">
        <v>2541</v>
      </c>
      <c r="F275" s="477">
        <v>3.3773879999999998</v>
      </c>
      <c r="G275" s="469" t="s">
        <v>2472</v>
      </c>
      <c r="H275" s="470">
        <v>1.95</v>
      </c>
      <c r="I275" s="471">
        <v>2.9883324217499996</v>
      </c>
      <c r="J275" s="485" t="s">
        <v>421</v>
      </c>
      <c r="K275" s="472" t="s">
        <v>651</v>
      </c>
      <c r="L275" s="473" t="s">
        <v>2693</v>
      </c>
      <c r="M275" s="473" t="s">
        <v>1595</v>
      </c>
      <c r="N275" s="473" t="s">
        <v>1595</v>
      </c>
      <c r="O275" s="474" t="s">
        <v>1597</v>
      </c>
    </row>
    <row r="276" spans="1:15" s="475" customFormat="1" ht="12" hidden="1">
      <c r="A276" s="465">
        <v>10131000051879</v>
      </c>
      <c r="B276" s="476" t="s">
        <v>1597</v>
      </c>
      <c r="C276" s="476" t="s">
        <v>2783</v>
      </c>
      <c r="D276" s="467" t="s">
        <v>1599</v>
      </c>
      <c r="E276" s="472" t="s">
        <v>2491</v>
      </c>
      <c r="F276" s="477">
        <v>3.4</v>
      </c>
      <c r="G276" s="469" t="s">
        <v>2472</v>
      </c>
      <c r="H276" s="487">
        <v>3.59</v>
      </c>
      <c r="I276" s="471">
        <v>3.59</v>
      </c>
      <c r="J276" s="488" t="s">
        <v>2492</v>
      </c>
      <c r="K276" s="472" t="s">
        <v>2522</v>
      </c>
      <c r="L276" s="473" t="s">
        <v>2693</v>
      </c>
      <c r="M276" s="473" t="s">
        <v>1595</v>
      </c>
      <c r="N276" s="473" t="s">
        <v>1595</v>
      </c>
      <c r="O276" s="474" t="s">
        <v>1597</v>
      </c>
    </row>
    <row r="277" spans="1:15" s="475" customFormat="1" ht="12" hidden="1">
      <c r="A277" s="465">
        <v>10131000053749</v>
      </c>
      <c r="B277" s="476" t="s">
        <v>1597</v>
      </c>
      <c r="C277" s="476" t="s">
        <v>2782</v>
      </c>
      <c r="D277" s="467" t="s">
        <v>571</v>
      </c>
      <c r="E277" s="472" t="s">
        <v>2491</v>
      </c>
      <c r="F277" s="477">
        <v>3.4</v>
      </c>
      <c r="G277" s="469" t="s">
        <v>2472</v>
      </c>
      <c r="H277" s="470">
        <v>2.99</v>
      </c>
      <c r="I277" s="471">
        <v>2.99</v>
      </c>
      <c r="J277" s="485" t="s">
        <v>421</v>
      </c>
      <c r="K277" s="472" t="s">
        <v>651</v>
      </c>
      <c r="L277" s="473" t="s">
        <v>2693</v>
      </c>
      <c r="M277" s="473" t="s">
        <v>1595</v>
      </c>
      <c r="N277" s="473" t="s">
        <v>1595</v>
      </c>
      <c r="O277" s="474" t="s">
        <v>1597</v>
      </c>
    </row>
    <row r="278" spans="1:15" s="475" customFormat="1" ht="12" hidden="1">
      <c r="A278" s="465">
        <v>10131000052602</v>
      </c>
      <c r="B278" s="466" t="s">
        <v>1597</v>
      </c>
      <c r="C278" s="466" t="s">
        <v>2784</v>
      </c>
      <c r="D278" s="467" t="s">
        <v>1599</v>
      </c>
      <c r="E278" s="468" t="s">
        <v>2491</v>
      </c>
      <c r="F278" s="477">
        <v>3.5</v>
      </c>
      <c r="G278" s="469" t="s">
        <v>2472</v>
      </c>
      <c r="H278" s="470">
        <v>3.6</v>
      </c>
      <c r="I278" s="471">
        <v>3.6</v>
      </c>
      <c r="J278" s="472" t="s">
        <v>423</v>
      </c>
      <c r="K278" s="472" t="s">
        <v>534</v>
      </c>
      <c r="L278" s="473" t="s">
        <v>2693</v>
      </c>
      <c r="M278" s="473" t="s">
        <v>1595</v>
      </c>
      <c r="N278" s="473" t="s">
        <v>1595</v>
      </c>
      <c r="O278" s="474" t="s">
        <v>1597</v>
      </c>
    </row>
    <row r="279" spans="1:15" s="475" customFormat="1" ht="12" hidden="1">
      <c r="A279" s="465">
        <v>10131000030256</v>
      </c>
      <c r="B279" s="476" t="s">
        <v>1597</v>
      </c>
      <c r="C279" s="476" t="s">
        <v>2782</v>
      </c>
      <c r="D279" s="467" t="s">
        <v>571</v>
      </c>
      <c r="E279" s="472" t="s">
        <v>2541</v>
      </c>
      <c r="F279" s="477">
        <v>6.7703399999999991</v>
      </c>
      <c r="G279" s="469" t="s">
        <v>2472</v>
      </c>
      <c r="H279" s="470">
        <v>1.95</v>
      </c>
      <c r="I279" s="471">
        <v>2.9883324217499996</v>
      </c>
      <c r="J279" s="485" t="s">
        <v>421</v>
      </c>
      <c r="K279" s="472" t="s">
        <v>651</v>
      </c>
      <c r="L279" s="473" t="s">
        <v>2693</v>
      </c>
      <c r="M279" s="473" t="s">
        <v>1595</v>
      </c>
      <c r="N279" s="473" t="s">
        <v>1595</v>
      </c>
      <c r="O279" s="474" t="s">
        <v>1597</v>
      </c>
    </row>
    <row r="280" spans="1:15" s="475" customFormat="1" ht="12" hidden="1">
      <c r="A280" s="465">
        <v>10131000058294</v>
      </c>
      <c r="B280" s="489" t="s">
        <v>1597</v>
      </c>
      <c r="C280" s="489" t="s">
        <v>2785</v>
      </c>
      <c r="D280" s="467" t="s">
        <v>1599</v>
      </c>
      <c r="E280" s="478" t="s">
        <v>2514</v>
      </c>
      <c r="F280" s="477" t="s">
        <v>2472</v>
      </c>
      <c r="G280" s="469" t="s">
        <v>2472</v>
      </c>
      <c r="H280" s="481">
        <v>379</v>
      </c>
      <c r="I280" s="482">
        <v>3.87</v>
      </c>
      <c r="J280" s="483" t="s">
        <v>2515</v>
      </c>
      <c r="K280" s="483" t="s">
        <v>2515</v>
      </c>
      <c r="L280" s="473" t="s">
        <v>2693</v>
      </c>
      <c r="M280" s="473" t="s">
        <v>1595</v>
      </c>
      <c r="N280" s="473" t="s">
        <v>1595</v>
      </c>
      <c r="O280" s="474" t="s">
        <v>1597</v>
      </c>
    </row>
    <row r="281" spans="1:15" s="475" customFormat="1" ht="12" hidden="1">
      <c r="A281" s="465">
        <v>10131000058295</v>
      </c>
      <c r="B281" s="489" t="s">
        <v>1597</v>
      </c>
      <c r="C281" s="489" t="s">
        <v>2786</v>
      </c>
      <c r="D281" s="467" t="s">
        <v>1599</v>
      </c>
      <c r="E281" s="478" t="s">
        <v>2514</v>
      </c>
      <c r="F281" s="477" t="s">
        <v>2472</v>
      </c>
      <c r="G281" s="469" t="s">
        <v>2472</v>
      </c>
      <c r="H281" s="481">
        <v>379</v>
      </c>
      <c r="I281" s="482">
        <v>3.87</v>
      </c>
      <c r="J281" s="483" t="s">
        <v>2515</v>
      </c>
      <c r="K281" s="483" t="s">
        <v>2515</v>
      </c>
      <c r="L281" s="473" t="s">
        <v>2693</v>
      </c>
      <c r="M281" s="473" t="s">
        <v>1595</v>
      </c>
      <c r="N281" s="473" t="s">
        <v>1595</v>
      </c>
      <c r="O281" s="474" t="s">
        <v>1597</v>
      </c>
    </row>
    <row r="282" spans="1:15" s="475" customFormat="1" ht="12" hidden="1">
      <c r="A282" s="465">
        <v>1000099094</v>
      </c>
      <c r="B282" s="466" t="s">
        <v>1597</v>
      </c>
      <c r="C282" s="466" t="s">
        <v>1597</v>
      </c>
      <c r="D282" s="467" t="s">
        <v>982</v>
      </c>
      <c r="E282" s="468" t="s">
        <v>2471</v>
      </c>
      <c r="F282" s="477" t="s">
        <v>2472</v>
      </c>
      <c r="G282" s="469" t="s">
        <v>2472</v>
      </c>
      <c r="H282" s="470">
        <v>44.858800000000002</v>
      </c>
      <c r="I282" s="471">
        <v>3.4640000000000004</v>
      </c>
      <c r="J282" s="472" t="s">
        <v>422</v>
      </c>
      <c r="K282" s="472" t="s">
        <v>2473</v>
      </c>
      <c r="L282" s="473" t="s">
        <v>2693</v>
      </c>
      <c r="M282" s="473" t="s">
        <v>1595</v>
      </c>
      <c r="N282" s="473" t="s">
        <v>1595</v>
      </c>
      <c r="O282" s="474" t="s">
        <v>1597</v>
      </c>
    </row>
    <row r="283" spans="1:15" s="475" customFormat="1" ht="12" hidden="1">
      <c r="A283" s="465">
        <v>1000099096</v>
      </c>
      <c r="B283" s="466" t="s">
        <v>1597</v>
      </c>
      <c r="C283" s="466" t="s">
        <v>2787</v>
      </c>
      <c r="D283" s="467" t="s">
        <v>982</v>
      </c>
      <c r="E283" s="468" t="s">
        <v>2471</v>
      </c>
      <c r="F283" s="477" t="s">
        <v>2472</v>
      </c>
      <c r="G283" s="469" t="s">
        <v>2472</v>
      </c>
      <c r="H283" s="470">
        <v>55.288471000000001</v>
      </c>
      <c r="I283" s="471">
        <v>4.26938</v>
      </c>
      <c r="J283" s="472" t="s">
        <v>422</v>
      </c>
      <c r="K283" s="472" t="s">
        <v>2473</v>
      </c>
      <c r="L283" s="473" t="s">
        <v>2693</v>
      </c>
      <c r="M283" s="473" t="s">
        <v>1595</v>
      </c>
      <c r="N283" s="473" t="s">
        <v>1595</v>
      </c>
      <c r="O283" s="474" t="s">
        <v>1597</v>
      </c>
    </row>
    <row r="284" spans="1:15" s="475" customFormat="1" ht="12" hidden="1">
      <c r="A284" s="465">
        <v>10131000057390</v>
      </c>
      <c r="B284" s="476" t="s">
        <v>2788</v>
      </c>
      <c r="C284" s="476" t="s">
        <v>2789</v>
      </c>
      <c r="D284" s="467" t="s">
        <v>1045</v>
      </c>
      <c r="E284" s="472" t="s">
        <v>2541</v>
      </c>
      <c r="F284" s="477">
        <v>0</v>
      </c>
      <c r="G284" s="469" t="s">
        <v>2472</v>
      </c>
      <c r="H284" s="470">
        <v>1E-8</v>
      </c>
      <c r="I284" s="471">
        <v>1.5324781650000001E-8</v>
      </c>
      <c r="J284" s="485" t="s">
        <v>421</v>
      </c>
      <c r="K284" s="472" t="s">
        <v>651</v>
      </c>
      <c r="L284" s="473" t="s">
        <v>204</v>
      </c>
      <c r="M284" s="473" t="s">
        <v>2780</v>
      </c>
      <c r="N284" s="473" t="s">
        <v>2790</v>
      </c>
      <c r="O284" s="474" t="s">
        <v>2790</v>
      </c>
    </row>
    <row r="285" spans="1:15" s="475" customFormat="1" ht="12" hidden="1">
      <c r="A285" s="465">
        <v>10131000015451</v>
      </c>
      <c r="B285" s="476" t="s">
        <v>2790</v>
      </c>
      <c r="C285" s="476" t="s">
        <v>2791</v>
      </c>
      <c r="D285" s="467" t="s">
        <v>1045</v>
      </c>
      <c r="E285" s="472" t="s">
        <v>2792</v>
      </c>
      <c r="F285" s="477">
        <v>0</v>
      </c>
      <c r="G285" s="469" t="s">
        <v>2472</v>
      </c>
      <c r="H285" s="470">
        <v>0</v>
      </c>
      <c r="I285" s="471">
        <v>0</v>
      </c>
      <c r="J285" s="485" t="s">
        <v>421</v>
      </c>
      <c r="K285" s="472" t="s">
        <v>575</v>
      </c>
      <c r="L285" s="473" t="s">
        <v>204</v>
      </c>
      <c r="M285" s="473" t="s">
        <v>2780</v>
      </c>
      <c r="N285" s="473" t="s">
        <v>2790</v>
      </c>
      <c r="O285" s="474" t="s">
        <v>2790</v>
      </c>
    </row>
    <row r="286" spans="1:15" s="475" customFormat="1" ht="12" hidden="1">
      <c r="A286" s="465">
        <v>10131000015452</v>
      </c>
      <c r="B286" s="476" t="s">
        <v>2790</v>
      </c>
      <c r="C286" s="476" t="s">
        <v>2793</v>
      </c>
      <c r="D286" s="467" t="s">
        <v>1045</v>
      </c>
      <c r="E286" s="472" t="s">
        <v>2491</v>
      </c>
      <c r="F286" s="477">
        <v>0</v>
      </c>
      <c r="G286" s="469" t="s">
        <v>2472</v>
      </c>
      <c r="H286" s="470">
        <v>1E-8</v>
      </c>
      <c r="I286" s="471">
        <v>1E-8</v>
      </c>
      <c r="J286" s="485" t="s">
        <v>421</v>
      </c>
      <c r="K286" s="472" t="s">
        <v>577</v>
      </c>
      <c r="L286" s="473" t="s">
        <v>204</v>
      </c>
      <c r="M286" s="473" t="s">
        <v>2780</v>
      </c>
      <c r="N286" s="473" t="s">
        <v>2790</v>
      </c>
      <c r="O286" s="474" t="s">
        <v>2790</v>
      </c>
    </row>
    <row r="287" spans="1:15" s="475" customFormat="1" ht="12" hidden="1">
      <c r="A287" s="465">
        <v>10131000015454</v>
      </c>
      <c r="B287" s="476" t="s">
        <v>2790</v>
      </c>
      <c r="C287" s="476" t="s">
        <v>2794</v>
      </c>
      <c r="D287" s="467" t="s">
        <v>1045</v>
      </c>
      <c r="E287" s="472" t="s">
        <v>2795</v>
      </c>
      <c r="F287" s="477">
        <v>0</v>
      </c>
      <c r="G287" s="469" t="s">
        <v>2472</v>
      </c>
      <c r="H287" s="470">
        <v>1E-8</v>
      </c>
      <c r="I287" s="471">
        <v>2.0248266666666662E-11</v>
      </c>
      <c r="J287" s="485" t="s">
        <v>421</v>
      </c>
      <c r="K287" s="472" t="s">
        <v>583</v>
      </c>
      <c r="L287" s="473" t="s">
        <v>204</v>
      </c>
      <c r="M287" s="473" t="s">
        <v>2780</v>
      </c>
      <c r="N287" s="473" t="s">
        <v>2790</v>
      </c>
      <c r="O287" s="474" t="s">
        <v>2790</v>
      </c>
    </row>
    <row r="288" spans="1:15" s="475" customFormat="1" ht="12" hidden="1">
      <c r="A288" s="465">
        <v>10131000015455</v>
      </c>
      <c r="B288" s="476" t="s">
        <v>2790</v>
      </c>
      <c r="C288" s="476" t="s">
        <v>2796</v>
      </c>
      <c r="D288" s="467" t="s">
        <v>1045</v>
      </c>
      <c r="E288" s="472" t="s">
        <v>2491</v>
      </c>
      <c r="F288" s="477">
        <v>0</v>
      </c>
      <c r="G288" s="469" t="s">
        <v>2472</v>
      </c>
      <c r="H288" s="470">
        <v>1E-8</v>
      </c>
      <c r="I288" s="471">
        <v>1E-8</v>
      </c>
      <c r="J288" s="485" t="s">
        <v>421</v>
      </c>
      <c r="K288" s="472" t="s">
        <v>585</v>
      </c>
      <c r="L288" s="473" t="s">
        <v>204</v>
      </c>
      <c r="M288" s="473" t="s">
        <v>2780</v>
      </c>
      <c r="N288" s="473" t="s">
        <v>2790</v>
      </c>
      <c r="O288" s="474" t="s">
        <v>2790</v>
      </c>
    </row>
    <row r="289" spans="1:15" s="475" customFormat="1" ht="12" hidden="1">
      <c r="A289" s="465">
        <v>10131000015456</v>
      </c>
      <c r="B289" s="476" t="s">
        <v>2790</v>
      </c>
      <c r="C289" s="476" t="s">
        <v>2797</v>
      </c>
      <c r="D289" s="467" t="s">
        <v>1045</v>
      </c>
      <c r="E289" s="472" t="s">
        <v>2795</v>
      </c>
      <c r="F289" s="477">
        <v>0</v>
      </c>
      <c r="G289" s="469" t="s">
        <v>2472</v>
      </c>
      <c r="H289" s="470">
        <v>1E-8</v>
      </c>
      <c r="I289" s="471">
        <v>2.0248266666666662E-11</v>
      </c>
      <c r="J289" s="485" t="s">
        <v>421</v>
      </c>
      <c r="K289" s="472" t="s">
        <v>719</v>
      </c>
      <c r="L289" s="473" t="s">
        <v>204</v>
      </c>
      <c r="M289" s="473" t="s">
        <v>2780</v>
      </c>
      <c r="N289" s="473" t="s">
        <v>2790</v>
      </c>
      <c r="O289" s="474" t="s">
        <v>2790</v>
      </c>
    </row>
    <row r="290" spans="1:15" s="475" customFormat="1" ht="12" hidden="1">
      <c r="A290" s="465">
        <v>10131000021430</v>
      </c>
      <c r="B290" s="476" t="s">
        <v>2790</v>
      </c>
      <c r="C290" s="476" t="s">
        <v>2798</v>
      </c>
      <c r="D290" s="467" t="s">
        <v>1045</v>
      </c>
      <c r="E290" s="472" t="s">
        <v>2491</v>
      </c>
      <c r="F290" s="477">
        <v>0</v>
      </c>
      <c r="G290" s="469" t="s">
        <v>2472</v>
      </c>
      <c r="H290" s="470">
        <v>1E-8</v>
      </c>
      <c r="I290" s="471">
        <v>0</v>
      </c>
      <c r="J290" s="472" t="s">
        <v>2492</v>
      </c>
      <c r="K290" s="472" t="s">
        <v>2495</v>
      </c>
      <c r="L290" s="479" t="s">
        <v>204</v>
      </c>
      <c r="M290" s="479" t="s">
        <v>2780</v>
      </c>
      <c r="N290" s="479" t="s">
        <v>2790</v>
      </c>
      <c r="O290" s="480" t="s">
        <v>2799</v>
      </c>
    </row>
    <row r="291" spans="1:15" s="475" customFormat="1" ht="12" hidden="1">
      <c r="A291" s="465">
        <v>10131000015457</v>
      </c>
      <c r="B291" s="476" t="s">
        <v>2790</v>
      </c>
      <c r="C291" s="476" t="s">
        <v>2800</v>
      </c>
      <c r="D291" s="467" t="s">
        <v>1045</v>
      </c>
      <c r="E291" s="472" t="s">
        <v>2801</v>
      </c>
      <c r="F291" s="477">
        <v>0</v>
      </c>
      <c r="G291" s="469" t="s">
        <v>2472</v>
      </c>
      <c r="H291" s="470">
        <v>1E-8</v>
      </c>
      <c r="I291" s="471">
        <v>5.1278581666666659E-10</v>
      </c>
      <c r="J291" s="485" t="s">
        <v>421</v>
      </c>
      <c r="K291" s="472" t="s">
        <v>587</v>
      </c>
      <c r="L291" s="473" t="s">
        <v>204</v>
      </c>
      <c r="M291" s="473" t="s">
        <v>2780</v>
      </c>
      <c r="N291" s="473" t="s">
        <v>2790</v>
      </c>
      <c r="O291" s="474" t="s">
        <v>2790</v>
      </c>
    </row>
    <row r="292" spans="1:15" s="475" customFormat="1" ht="12" hidden="1">
      <c r="A292" s="465">
        <v>10131000015458</v>
      </c>
      <c r="B292" s="476" t="s">
        <v>2790</v>
      </c>
      <c r="C292" s="476" t="s">
        <v>2802</v>
      </c>
      <c r="D292" s="467" t="s">
        <v>1045</v>
      </c>
      <c r="E292" s="472" t="s">
        <v>2704</v>
      </c>
      <c r="F292" s="477">
        <v>0</v>
      </c>
      <c r="G292" s="469" t="s">
        <v>2472</v>
      </c>
      <c r="H292" s="470">
        <v>1E-8</v>
      </c>
      <c r="I292" s="471">
        <v>1.2513470333333332E-9</v>
      </c>
      <c r="J292" s="485" t="s">
        <v>421</v>
      </c>
      <c r="K292" s="472" t="s">
        <v>589</v>
      </c>
      <c r="L292" s="473" t="s">
        <v>204</v>
      </c>
      <c r="M292" s="473" t="s">
        <v>2780</v>
      </c>
      <c r="N292" s="473" t="s">
        <v>2790</v>
      </c>
      <c r="O292" s="474" t="s">
        <v>2790</v>
      </c>
    </row>
    <row r="293" spans="1:15" s="475" customFormat="1" ht="12" hidden="1">
      <c r="A293" s="465">
        <v>10131000015486</v>
      </c>
      <c r="B293" s="476" t="s">
        <v>2790</v>
      </c>
      <c r="C293" s="476" t="s">
        <v>2803</v>
      </c>
      <c r="D293" s="467" t="s">
        <v>1045</v>
      </c>
      <c r="E293" s="472" t="s">
        <v>2715</v>
      </c>
      <c r="F293" s="477">
        <v>0</v>
      </c>
      <c r="G293" s="469" t="s">
        <v>2472</v>
      </c>
      <c r="H293" s="470">
        <v>1E-8</v>
      </c>
      <c r="I293" s="471">
        <v>1.3280192891666669E-8</v>
      </c>
      <c r="J293" s="485" t="s">
        <v>421</v>
      </c>
      <c r="K293" s="472" t="s">
        <v>591</v>
      </c>
      <c r="L293" s="473" t="s">
        <v>204</v>
      </c>
      <c r="M293" s="473" t="s">
        <v>2780</v>
      </c>
      <c r="N293" s="473" t="s">
        <v>2790</v>
      </c>
      <c r="O293" s="474" t="s">
        <v>2790</v>
      </c>
    </row>
    <row r="294" spans="1:15" s="475" customFormat="1" ht="12" hidden="1">
      <c r="A294" s="465">
        <v>10131000015460</v>
      </c>
      <c r="B294" s="476" t="s">
        <v>2790</v>
      </c>
      <c r="C294" s="476" t="s">
        <v>2804</v>
      </c>
      <c r="D294" s="467" t="s">
        <v>1045</v>
      </c>
      <c r="E294" s="472" t="s">
        <v>2795</v>
      </c>
      <c r="F294" s="477">
        <v>0</v>
      </c>
      <c r="G294" s="469" t="s">
        <v>2472</v>
      </c>
      <c r="H294" s="470">
        <v>1E-8</v>
      </c>
      <c r="I294" s="471">
        <v>2.0248266666666662E-11</v>
      </c>
      <c r="J294" s="485" t="s">
        <v>421</v>
      </c>
      <c r="K294" s="472" t="s">
        <v>724</v>
      </c>
      <c r="L294" s="473" t="s">
        <v>204</v>
      </c>
      <c r="M294" s="473" t="s">
        <v>2780</v>
      </c>
      <c r="N294" s="473" t="s">
        <v>2790</v>
      </c>
      <c r="O294" s="474" t="s">
        <v>2790</v>
      </c>
    </row>
    <row r="295" spans="1:15" s="475" customFormat="1" ht="12" hidden="1">
      <c r="A295" s="465">
        <v>10131000015488</v>
      </c>
      <c r="B295" s="476" t="s">
        <v>2790</v>
      </c>
      <c r="C295" s="476" t="s">
        <v>2805</v>
      </c>
      <c r="D295" s="467" t="s">
        <v>1045</v>
      </c>
      <c r="E295" s="472" t="s">
        <v>2715</v>
      </c>
      <c r="F295" s="477">
        <v>0</v>
      </c>
      <c r="G295" s="469" t="s">
        <v>2472</v>
      </c>
      <c r="H295" s="470">
        <v>1E-8</v>
      </c>
      <c r="I295" s="471">
        <v>1.3280192891666669E-8</v>
      </c>
      <c r="J295" s="485" t="s">
        <v>421</v>
      </c>
      <c r="K295" s="472" t="s">
        <v>593</v>
      </c>
      <c r="L295" s="473" t="s">
        <v>204</v>
      </c>
      <c r="M295" s="473" t="s">
        <v>2780</v>
      </c>
      <c r="N295" s="473" t="s">
        <v>2790</v>
      </c>
      <c r="O295" s="474" t="s">
        <v>2790</v>
      </c>
    </row>
    <row r="296" spans="1:15" s="475" customFormat="1" ht="12" hidden="1">
      <c r="A296" s="465">
        <v>10131000015489</v>
      </c>
      <c r="B296" s="476" t="s">
        <v>2790</v>
      </c>
      <c r="C296" s="476" t="s">
        <v>2806</v>
      </c>
      <c r="D296" s="467" t="s">
        <v>1045</v>
      </c>
      <c r="E296" s="472" t="s">
        <v>2715</v>
      </c>
      <c r="F296" s="477">
        <v>0</v>
      </c>
      <c r="G296" s="469" t="s">
        <v>2472</v>
      </c>
      <c r="H296" s="470">
        <v>1E-8</v>
      </c>
      <c r="I296" s="471">
        <v>1.3280192891666669E-8</v>
      </c>
      <c r="J296" s="485" t="s">
        <v>421</v>
      </c>
      <c r="K296" s="472" t="s">
        <v>597</v>
      </c>
      <c r="L296" s="473" t="s">
        <v>204</v>
      </c>
      <c r="M296" s="473" t="s">
        <v>2780</v>
      </c>
      <c r="N296" s="473" t="s">
        <v>2790</v>
      </c>
      <c r="O296" s="474" t="s">
        <v>2790</v>
      </c>
    </row>
    <row r="297" spans="1:15" s="475" customFormat="1" ht="12" hidden="1">
      <c r="A297" s="465">
        <v>10131000015462</v>
      </c>
      <c r="B297" s="476" t="s">
        <v>2790</v>
      </c>
      <c r="C297" s="476" t="s">
        <v>2807</v>
      </c>
      <c r="D297" s="467" t="s">
        <v>1045</v>
      </c>
      <c r="E297" s="472" t="s">
        <v>2808</v>
      </c>
      <c r="F297" s="477">
        <v>0</v>
      </c>
      <c r="G297" s="469" t="s">
        <v>2472</v>
      </c>
      <c r="H297" s="470">
        <v>1E-8</v>
      </c>
      <c r="I297" s="471">
        <v>2.7946916750000001E-9</v>
      </c>
      <c r="J297" s="485" t="s">
        <v>421</v>
      </c>
      <c r="K297" s="472" t="s">
        <v>599</v>
      </c>
      <c r="L297" s="473" t="s">
        <v>204</v>
      </c>
      <c r="M297" s="473" t="s">
        <v>2780</v>
      </c>
      <c r="N297" s="473" t="s">
        <v>2790</v>
      </c>
      <c r="O297" s="474" t="s">
        <v>2790</v>
      </c>
    </row>
    <row r="298" spans="1:15" s="475" customFormat="1" ht="12" hidden="1">
      <c r="A298" s="465">
        <v>10131000015490</v>
      </c>
      <c r="B298" s="476" t="s">
        <v>2790</v>
      </c>
      <c r="C298" s="476" t="s">
        <v>2809</v>
      </c>
      <c r="D298" s="467" t="s">
        <v>1045</v>
      </c>
      <c r="E298" s="472" t="s">
        <v>2715</v>
      </c>
      <c r="F298" s="477">
        <v>0</v>
      </c>
      <c r="G298" s="469" t="s">
        <v>2472</v>
      </c>
      <c r="H298" s="470">
        <v>1E-8</v>
      </c>
      <c r="I298" s="471">
        <v>1.3280192891666669E-8</v>
      </c>
      <c r="J298" s="485" t="s">
        <v>421</v>
      </c>
      <c r="K298" s="472" t="s">
        <v>601</v>
      </c>
      <c r="L298" s="473" t="s">
        <v>204</v>
      </c>
      <c r="M298" s="473" t="s">
        <v>2780</v>
      </c>
      <c r="N298" s="473" t="s">
        <v>2790</v>
      </c>
      <c r="O298" s="474" t="s">
        <v>2790</v>
      </c>
    </row>
    <row r="299" spans="1:15" s="475" customFormat="1" ht="12" hidden="1">
      <c r="A299" s="465">
        <v>10131000015463</v>
      </c>
      <c r="B299" s="476" t="s">
        <v>2790</v>
      </c>
      <c r="C299" s="476" t="s">
        <v>2810</v>
      </c>
      <c r="D299" s="467" t="s">
        <v>1045</v>
      </c>
      <c r="E299" s="472" t="s">
        <v>2811</v>
      </c>
      <c r="F299" s="477">
        <v>0</v>
      </c>
      <c r="G299" s="469" t="s">
        <v>2472</v>
      </c>
      <c r="H299" s="470">
        <v>1E-8</v>
      </c>
      <c r="I299" s="471">
        <v>1.4104372400000001E-8</v>
      </c>
      <c r="J299" s="485" t="s">
        <v>421</v>
      </c>
      <c r="K299" s="472" t="s">
        <v>603</v>
      </c>
      <c r="L299" s="473" t="s">
        <v>204</v>
      </c>
      <c r="M299" s="473" t="s">
        <v>2780</v>
      </c>
      <c r="N299" s="473" t="s">
        <v>2790</v>
      </c>
      <c r="O299" s="474" t="s">
        <v>2790</v>
      </c>
    </row>
    <row r="300" spans="1:15" s="475" customFormat="1" ht="12" hidden="1">
      <c r="A300" s="465">
        <v>10131000015464</v>
      </c>
      <c r="B300" s="476" t="s">
        <v>2790</v>
      </c>
      <c r="C300" s="476" t="s">
        <v>2812</v>
      </c>
      <c r="D300" s="467" t="s">
        <v>1045</v>
      </c>
      <c r="E300" s="472" t="s">
        <v>2813</v>
      </c>
      <c r="F300" s="477">
        <v>0</v>
      </c>
      <c r="G300" s="469" t="s">
        <v>2472</v>
      </c>
      <c r="H300" s="470">
        <v>1E-8</v>
      </c>
      <c r="I300" s="471">
        <v>6.2309616666666681E-11</v>
      </c>
      <c r="J300" s="485" t="s">
        <v>421</v>
      </c>
      <c r="K300" s="472" t="s">
        <v>605</v>
      </c>
      <c r="L300" s="473" t="s">
        <v>204</v>
      </c>
      <c r="M300" s="473" t="s">
        <v>2780</v>
      </c>
      <c r="N300" s="473" t="s">
        <v>2790</v>
      </c>
      <c r="O300" s="474" t="s">
        <v>2790</v>
      </c>
    </row>
    <row r="301" spans="1:15" s="475" customFormat="1" ht="12" hidden="1">
      <c r="A301" s="465">
        <v>10131000015465</v>
      </c>
      <c r="B301" s="476" t="s">
        <v>2790</v>
      </c>
      <c r="C301" s="476" t="s">
        <v>2814</v>
      </c>
      <c r="D301" s="467" t="s">
        <v>1045</v>
      </c>
      <c r="E301" s="472" t="s">
        <v>2815</v>
      </c>
      <c r="F301" s="477">
        <v>0</v>
      </c>
      <c r="G301" s="469" t="s">
        <v>2472</v>
      </c>
      <c r="H301" s="470">
        <v>1E-8</v>
      </c>
      <c r="I301" s="471">
        <v>1.0630737500000001E-10</v>
      </c>
      <c r="J301" s="485" t="s">
        <v>421</v>
      </c>
      <c r="K301" s="472" t="s">
        <v>607</v>
      </c>
      <c r="L301" s="473" t="s">
        <v>204</v>
      </c>
      <c r="M301" s="473" t="s">
        <v>2780</v>
      </c>
      <c r="N301" s="473" t="s">
        <v>2790</v>
      </c>
      <c r="O301" s="474" t="s">
        <v>2790</v>
      </c>
    </row>
    <row r="302" spans="1:15" s="475" customFormat="1" ht="12" hidden="1">
      <c r="A302" s="465">
        <v>10131000015496</v>
      </c>
      <c r="B302" s="476" t="s">
        <v>2790</v>
      </c>
      <c r="C302" s="476" t="s">
        <v>2816</v>
      </c>
      <c r="D302" s="467" t="s">
        <v>1045</v>
      </c>
      <c r="E302" s="472" t="s">
        <v>2817</v>
      </c>
      <c r="F302" s="477">
        <v>0</v>
      </c>
      <c r="G302" s="469" t="s">
        <v>2472</v>
      </c>
      <c r="H302" s="470">
        <v>1E-8</v>
      </c>
      <c r="I302" s="471">
        <v>3.4997439850000001E-8</v>
      </c>
      <c r="J302" s="485" t="s">
        <v>421</v>
      </c>
      <c r="K302" s="472" t="s">
        <v>609</v>
      </c>
      <c r="L302" s="473" t="s">
        <v>204</v>
      </c>
      <c r="M302" s="473" t="s">
        <v>2780</v>
      </c>
      <c r="N302" s="473" t="s">
        <v>2790</v>
      </c>
      <c r="O302" s="474" t="s">
        <v>2790</v>
      </c>
    </row>
    <row r="303" spans="1:15" s="475" customFormat="1" ht="12" hidden="1">
      <c r="A303" s="465">
        <v>10131000015466</v>
      </c>
      <c r="B303" s="476" t="s">
        <v>2790</v>
      </c>
      <c r="C303" s="476" t="s">
        <v>2818</v>
      </c>
      <c r="D303" s="467" t="s">
        <v>1045</v>
      </c>
      <c r="E303" s="472" t="s">
        <v>2819</v>
      </c>
      <c r="F303" s="477">
        <v>0</v>
      </c>
      <c r="G303" s="469" t="s">
        <v>2472</v>
      </c>
      <c r="H303" s="470">
        <v>1E-8</v>
      </c>
      <c r="I303" s="471">
        <v>6.6335000000000008E-12</v>
      </c>
      <c r="J303" s="485" t="s">
        <v>421</v>
      </c>
      <c r="K303" s="472" t="s">
        <v>735</v>
      </c>
      <c r="L303" s="473" t="s">
        <v>204</v>
      </c>
      <c r="M303" s="473" t="s">
        <v>2780</v>
      </c>
      <c r="N303" s="473" t="s">
        <v>2790</v>
      </c>
      <c r="O303" s="474" t="s">
        <v>2790</v>
      </c>
    </row>
    <row r="304" spans="1:15" s="475" customFormat="1" ht="12" hidden="1">
      <c r="A304" s="465">
        <v>10131000015468</v>
      </c>
      <c r="B304" s="476" t="s">
        <v>2790</v>
      </c>
      <c r="C304" s="476" t="s">
        <v>2820</v>
      </c>
      <c r="D304" s="467" t="s">
        <v>1045</v>
      </c>
      <c r="E304" s="472" t="s">
        <v>2821</v>
      </c>
      <c r="F304" s="477">
        <v>0</v>
      </c>
      <c r="G304" s="469" t="s">
        <v>2472</v>
      </c>
      <c r="H304" s="470">
        <v>1E-8</v>
      </c>
      <c r="I304" s="471">
        <v>6.022738333333333E-11</v>
      </c>
      <c r="J304" s="485" t="s">
        <v>421</v>
      </c>
      <c r="K304" s="472" t="s">
        <v>617</v>
      </c>
      <c r="L304" s="473" t="s">
        <v>204</v>
      </c>
      <c r="M304" s="473" t="s">
        <v>2780</v>
      </c>
      <c r="N304" s="473" t="s">
        <v>2790</v>
      </c>
      <c r="O304" s="474" t="s">
        <v>2790</v>
      </c>
    </row>
    <row r="305" spans="1:15" s="475" customFormat="1" ht="12" hidden="1">
      <c r="A305" s="465">
        <v>10131000015469</v>
      </c>
      <c r="B305" s="476" t="s">
        <v>2790</v>
      </c>
      <c r="C305" s="476" t="s">
        <v>2822</v>
      </c>
      <c r="D305" s="467" t="s">
        <v>1045</v>
      </c>
      <c r="E305" s="472" t="s">
        <v>2823</v>
      </c>
      <c r="F305" s="477">
        <v>0</v>
      </c>
      <c r="G305" s="469" t="s">
        <v>2472</v>
      </c>
      <c r="H305" s="470">
        <v>1E-8</v>
      </c>
      <c r="I305" s="471">
        <v>9.1381658333333352E-11</v>
      </c>
      <c r="J305" s="485" t="s">
        <v>421</v>
      </c>
      <c r="K305" s="472" t="s">
        <v>619</v>
      </c>
      <c r="L305" s="473" t="s">
        <v>204</v>
      </c>
      <c r="M305" s="473" t="s">
        <v>2780</v>
      </c>
      <c r="N305" s="473" t="s">
        <v>2790</v>
      </c>
      <c r="O305" s="474" t="s">
        <v>2790</v>
      </c>
    </row>
    <row r="306" spans="1:15" s="475" customFormat="1" ht="12" hidden="1">
      <c r="A306" s="465">
        <v>10131000015471</v>
      </c>
      <c r="B306" s="476" t="s">
        <v>2790</v>
      </c>
      <c r="C306" s="476" t="s">
        <v>2824</v>
      </c>
      <c r="D306" s="467" t="s">
        <v>1045</v>
      </c>
      <c r="E306" s="472" t="s">
        <v>2519</v>
      </c>
      <c r="F306" s="477">
        <v>0</v>
      </c>
      <c r="G306" s="469" t="s">
        <v>2472</v>
      </c>
      <c r="H306" s="470">
        <v>1E-8</v>
      </c>
      <c r="I306" s="471">
        <v>3.0846695000000001E-9</v>
      </c>
      <c r="J306" s="485" t="s">
        <v>421</v>
      </c>
      <c r="K306" s="472" t="s">
        <v>621</v>
      </c>
      <c r="L306" s="473" t="s">
        <v>204</v>
      </c>
      <c r="M306" s="473" t="s">
        <v>2780</v>
      </c>
      <c r="N306" s="473" t="s">
        <v>2790</v>
      </c>
      <c r="O306" s="474" t="s">
        <v>2790</v>
      </c>
    </row>
    <row r="307" spans="1:15" s="475" customFormat="1" ht="12" hidden="1">
      <c r="A307" s="465">
        <v>10131000015493</v>
      </c>
      <c r="B307" s="476" t="s">
        <v>2790</v>
      </c>
      <c r="C307" s="476" t="s">
        <v>2825</v>
      </c>
      <c r="D307" s="467" t="s">
        <v>1045</v>
      </c>
      <c r="E307" s="472" t="s">
        <v>2715</v>
      </c>
      <c r="F307" s="477">
        <v>0</v>
      </c>
      <c r="G307" s="469" t="s">
        <v>2472</v>
      </c>
      <c r="H307" s="470">
        <v>1E-8</v>
      </c>
      <c r="I307" s="471">
        <v>1.3280192891666669E-8</v>
      </c>
      <c r="J307" s="485" t="s">
        <v>421</v>
      </c>
      <c r="K307" s="472" t="s">
        <v>743</v>
      </c>
      <c r="L307" s="473" t="s">
        <v>204</v>
      </c>
      <c r="M307" s="473" t="s">
        <v>2780</v>
      </c>
      <c r="N307" s="473" t="s">
        <v>2790</v>
      </c>
      <c r="O307" s="474" t="s">
        <v>2790</v>
      </c>
    </row>
    <row r="308" spans="1:15" s="475" customFormat="1" ht="12" hidden="1">
      <c r="A308" s="465">
        <v>10131000029430</v>
      </c>
      <c r="B308" s="476" t="s">
        <v>2790</v>
      </c>
      <c r="C308" s="476" t="s">
        <v>2826</v>
      </c>
      <c r="D308" s="467" t="s">
        <v>1045</v>
      </c>
      <c r="E308" s="472" t="s">
        <v>2491</v>
      </c>
      <c r="F308" s="477">
        <v>0</v>
      </c>
      <c r="G308" s="469" t="s">
        <v>2472</v>
      </c>
      <c r="H308" s="470">
        <v>1E-8</v>
      </c>
      <c r="I308" s="471">
        <v>0</v>
      </c>
      <c r="J308" s="472" t="s">
        <v>2492</v>
      </c>
      <c r="K308" s="478" t="s">
        <v>2522</v>
      </c>
      <c r="L308" s="479" t="s">
        <v>530</v>
      </c>
      <c r="M308" s="479" t="s">
        <v>2555</v>
      </c>
      <c r="N308" s="479" t="s">
        <v>2790</v>
      </c>
      <c r="O308" s="480" t="s">
        <v>2827</v>
      </c>
    </row>
    <row r="309" spans="1:15" s="475" customFormat="1" ht="12" hidden="1">
      <c r="A309" s="465">
        <v>10131000015473</v>
      </c>
      <c r="B309" s="476" t="s">
        <v>2790</v>
      </c>
      <c r="C309" s="476" t="s">
        <v>2828</v>
      </c>
      <c r="D309" s="467" t="s">
        <v>1045</v>
      </c>
      <c r="E309" s="472" t="s">
        <v>2829</v>
      </c>
      <c r="F309" s="477">
        <v>0</v>
      </c>
      <c r="G309" s="469" t="s">
        <v>2472</v>
      </c>
      <c r="H309" s="470">
        <v>1E-8</v>
      </c>
      <c r="I309" s="471">
        <v>2.9191050416666665E-9</v>
      </c>
      <c r="J309" s="485" t="s">
        <v>421</v>
      </c>
      <c r="K309" s="472" t="s">
        <v>623</v>
      </c>
      <c r="L309" s="473" t="s">
        <v>204</v>
      </c>
      <c r="M309" s="473" t="s">
        <v>2780</v>
      </c>
      <c r="N309" s="473" t="s">
        <v>2790</v>
      </c>
      <c r="O309" s="474" t="s">
        <v>2790</v>
      </c>
    </row>
    <row r="310" spans="1:15" s="475" customFormat="1" ht="12" hidden="1">
      <c r="A310" s="465">
        <v>10131000015474</v>
      </c>
      <c r="B310" s="476" t="s">
        <v>2790</v>
      </c>
      <c r="C310" s="476" t="s">
        <v>2830</v>
      </c>
      <c r="D310" s="467" t="s">
        <v>1045</v>
      </c>
      <c r="E310" s="472" t="s">
        <v>2718</v>
      </c>
      <c r="F310" s="477">
        <v>0</v>
      </c>
      <c r="G310" s="469" t="s">
        <v>2472</v>
      </c>
      <c r="H310" s="470">
        <v>1E-8</v>
      </c>
      <c r="I310" s="471">
        <v>2.9145899166666672E-10</v>
      </c>
      <c r="J310" s="485" t="s">
        <v>421</v>
      </c>
      <c r="K310" s="472" t="s">
        <v>625</v>
      </c>
      <c r="L310" s="473" t="s">
        <v>204</v>
      </c>
      <c r="M310" s="473" t="s">
        <v>2780</v>
      </c>
      <c r="N310" s="473" t="s">
        <v>2790</v>
      </c>
      <c r="O310" s="474" t="s">
        <v>2790</v>
      </c>
    </row>
    <row r="311" spans="1:15" s="475" customFormat="1" ht="12" hidden="1">
      <c r="A311" s="465">
        <v>10131000015475</v>
      </c>
      <c r="B311" s="476" t="s">
        <v>2790</v>
      </c>
      <c r="C311" s="476" t="s">
        <v>2831</v>
      </c>
      <c r="D311" s="467" t="s">
        <v>1045</v>
      </c>
      <c r="E311" s="472" t="s">
        <v>2795</v>
      </c>
      <c r="F311" s="477">
        <v>0</v>
      </c>
      <c r="G311" s="469" t="s">
        <v>2472</v>
      </c>
      <c r="H311" s="470">
        <v>1E-8</v>
      </c>
      <c r="I311" s="471">
        <v>2.0248266666666662E-11</v>
      </c>
      <c r="J311" s="485" t="s">
        <v>421</v>
      </c>
      <c r="K311" s="472" t="s">
        <v>627</v>
      </c>
      <c r="L311" s="473" t="s">
        <v>204</v>
      </c>
      <c r="M311" s="473" t="s">
        <v>2780</v>
      </c>
      <c r="N311" s="473" t="s">
        <v>2790</v>
      </c>
      <c r="O311" s="474" t="s">
        <v>2790</v>
      </c>
    </row>
    <row r="312" spans="1:15" s="475" customFormat="1" ht="12" hidden="1">
      <c r="A312" s="465">
        <v>10131000015478</v>
      </c>
      <c r="B312" s="476" t="s">
        <v>2790</v>
      </c>
      <c r="C312" s="476" t="s">
        <v>2832</v>
      </c>
      <c r="D312" s="467" t="s">
        <v>1045</v>
      </c>
      <c r="E312" s="472" t="s">
        <v>2833</v>
      </c>
      <c r="F312" s="477">
        <v>0</v>
      </c>
      <c r="G312" s="469" t="s">
        <v>2472</v>
      </c>
      <c r="H312" s="470">
        <v>1E-8</v>
      </c>
      <c r="I312" s="471">
        <v>9.6662435833333333E-10</v>
      </c>
      <c r="J312" s="485" t="s">
        <v>421</v>
      </c>
      <c r="K312" s="472" t="s">
        <v>631</v>
      </c>
      <c r="L312" s="473" t="s">
        <v>204</v>
      </c>
      <c r="M312" s="473" t="s">
        <v>2780</v>
      </c>
      <c r="N312" s="473" t="s">
        <v>2790</v>
      </c>
      <c r="O312" s="474" t="s">
        <v>2790</v>
      </c>
    </row>
    <row r="313" spans="1:15" s="475" customFormat="1" ht="12" hidden="1">
      <c r="A313" s="465">
        <v>10131000015494</v>
      </c>
      <c r="B313" s="476" t="s">
        <v>2790</v>
      </c>
      <c r="C313" s="476" t="s">
        <v>2834</v>
      </c>
      <c r="D313" s="467" t="s">
        <v>1045</v>
      </c>
      <c r="E313" s="472" t="s">
        <v>2715</v>
      </c>
      <c r="F313" s="477">
        <v>0</v>
      </c>
      <c r="G313" s="469" t="s">
        <v>2472</v>
      </c>
      <c r="H313" s="470">
        <v>1E-8</v>
      </c>
      <c r="I313" s="471">
        <v>1.3280192891666669E-8</v>
      </c>
      <c r="J313" s="485" t="s">
        <v>421</v>
      </c>
      <c r="K313" s="472" t="s">
        <v>633</v>
      </c>
      <c r="L313" s="473" t="s">
        <v>204</v>
      </c>
      <c r="M313" s="473" t="s">
        <v>2780</v>
      </c>
      <c r="N313" s="473" t="s">
        <v>2790</v>
      </c>
      <c r="O313" s="474" t="s">
        <v>2790</v>
      </c>
    </row>
    <row r="314" spans="1:15" s="475" customFormat="1" ht="12" hidden="1">
      <c r="A314" s="465">
        <v>10131000015505</v>
      </c>
      <c r="B314" s="476" t="s">
        <v>2790</v>
      </c>
      <c r="C314" s="476" t="s">
        <v>2834</v>
      </c>
      <c r="D314" s="467" t="s">
        <v>1045</v>
      </c>
      <c r="E314" s="472" t="s">
        <v>2715</v>
      </c>
      <c r="F314" s="477">
        <v>0</v>
      </c>
      <c r="G314" s="469" t="s">
        <v>2472</v>
      </c>
      <c r="H314" s="470">
        <v>1E-8</v>
      </c>
      <c r="I314" s="471">
        <v>1.3280192891666669E-8</v>
      </c>
      <c r="J314" s="485" t="s">
        <v>421</v>
      </c>
      <c r="K314" s="472" t="s">
        <v>633</v>
      </c>
      <c r="L314" s="473" t="s">
        <v>204</v>
      </c>
      <c r="M314" s="473" t="s">
        <v>2780</v>
      </c>
      <c r="N314" s="473" t="s">
        <v>2790</v>
      </c>
      <c r="O314" s="474" t="s">
        <v>2790</v>
      </c>
    </row>
    <row r="315" spans="1:15" s="475" customFormat="1" ht="12" hidden="1">
      <c r="A315" s="465">
        <v>10131000056982</v>
      </c>
      <c r="B315" s="476" t="s">
        <v>2790</v>
      </c>
      <c r="C315" s="476" t="s">
        <v>2834</v>
      </c>
      <c r="D315" s="467" t="s">
        <v>1045</v>
      </c>
      <c r="E315" s="472" t="s">
        <v>2715</v>
      </c>
      <c r="F315" s="477">
        <v>0</v>
      </c>
      <c r="G315" s="469" t="s">
        <v>2472</v>
      </c>
      <c r="H315" s="470">
        <v>1E-8</v>
      </c>
      <c r="I315" s="471">
        <v>1.3280192891666669E-8</v>
      </c>
      <c r="J315" s="485" t="s">
        <v>421</v>
      </c>
      <c r="K315" s="472" t="s">
        <v>633</v>
      </c>
      <c r="L315" s="473" t="s">
        <v>204</v>
      </c>
      <c r="M315" s="473" t="s">
        <v>2780</v>
      </c>
      <c r="N315" s="473" t="s">
        <v>2790</v>
      </c>
      <c r="O315" s="474" t="s">
        <v>2790</v>
      </c>
    </row>
    <row r="316" spans="1:15" s="475" customFormat="1" ht="12" hidden="1">
      <c r="A316" s="465">
        <v>10131000015479</v>
      </c>
      <c r="B316" s="476" t="s">
        <v>2790</v>
      </c>
      <c r="C316" s="476" t="s">
        <v>2835</v>
      </c>
      <c r="D316" s="467" t="s">
        <v>1045</v>
      </c>
      <c r="E316" s="472" t="s">
        <v>2836</v>
      </c>
      <c r="F316" s="477">
        <v>0</v>
      </c>
      <c r="G316" s="469" t="s">
        <v>2472</v>
      </c>
      <c r="H316" s="470">
        <v>1E-8</v>
      </c>
      <c r="I316" s="471">
        <v>5.6639833333333335E-12</v>
      </c>
      <c r="J316" s="485" t="s">
        <v>421</v>
      </c>
      <c r="K316" s="472" t="s">
        <v>639</v>
      </c>
      <c r="L316" s="473" t="s">
        <v>204</v>
      </c>
      <c r="M316" s="473" t="s">
        <v>2780</v>
      </c>
      <c r="N316" s="473" t="s">
        <v>2790</v>
      </c>
      <c r="O316" s="474" t="s">
        <v>2790</v>
      </c>
    </row>
    <row r="317" spans="1:15" s="475" customFormat="1" ht="12" hidden="1">
      <c r="A317" s="465">
        <v>10131000015480</v>
      </c>
      <c r="B317" s="476" t="s">
        <v>2790</v>
      </c>
      <c r="C317" s="476" t="s">
        <v>2837</v>
      </c>
      <c r="D317" s="467" t="s">
        <v>1045</v>
      </c>
      <c r="E317" s="472" t="s">
        <v>2838</v>
      </c>
      <c r="F317" s="477">
        <v>0</v>
      </c>
      <c r="G317" s="469" t="s">
        <v>2472</v>
      </c>
      <c r="H317" s="470">
        <v>1E-8</v>
      </c>
      <c r="I317" s="471">
        <v>5.7635861916666665E-9</v>
      </c>
      <c r="J317" s="485" t="s">
        <v>421</v>
      </c>
      <c r="K317" s="472" t="s">
        <v>641</v>
      </c>
      <c r="L317" s="473" t="s">
        <v>204</v>
      </c>
      <c r="M317" s="473" t="s">
        <v>2780</v>
      </c>
      <c r="N317" s="473" t="s">
        <v>2790</v>
      </c>
      <c r="O317" s="474" t="s">
        <v>2790</v>
      </c>
    </row>
    <row r="318" spans="1:15" s="475" customFormat="1" ht="12" hidden="1">
      <c r="A318" s="465">
        <v>10131000015481</v>
      </c>
      <c r="B318" s="476" t="s">
        <v>2790</v>
      </c>
      <c r="C318" s="476" t="s">
        <v>2839</v>
      </c>
      <c r="D318" s="467" t="s">
        <v>1045</v>
      </c>
      <c r="E318" s="472" t="s">
        <v>2840</v>
      </c>
      <c r="F318" s="477">
        <v>0</v>
      </c>
      <c r="G318" s="469" t="s">
        <v>2472</v>
      </c>
      <c r="H318" s="470">
        <v>1E-8</v>
      </c>
      <c r="I318" s="471">
        <v>4.8453969750000001E-9</v>
      </c>
      <c r="J318" s="485" t="s">
        <v>421</v>
      </c>
      <c r="K318" s="472" t="s">
        <v>643</v>
      </c>
      <c r="L318" s="473" t="s">
        <v>204</v>
      </c>
      <c r="M318" s="473" t="s">
        <v>2780</v>
      </c>
      <c r="N318" s="473" t="s">
        <v>2790</v>
      </c>
      <c r="O318" s="474" t="s">
        <v>2790</v>
      </c>
    </row>
    <row r="319" spans="1:15" s="475" customFormat="1" ht="12" hidden="1">
      <c r="A319" s="465">
        <v>10131000015483</v>
      </c>
      <c r="B319" s="476" t="s">
        <v>2790</v>
      </c>
      <c r="C319" s="476" t="s">
        <v>2841</v>
      </c>
      <c r="D319" s="467" t="s">
        <v>1045</v>
      </c>
      <c r="E319" s="472" t="s">
        <v>2842</v>
      </c>
      <c r="F319" s="477">
        <v>0</v>
      </c>
      <c r="G319" s="469" t="s">
        <v>2472</v>
      </c>
      <c r="H319" s="470">
        <v>1E-8</v>
      </c>
      <c r="I319" s="471">
        <v>3.579516666666666E-12</v>
      </c>
      <c r="J319" s="485" t="s">
        <v>421</v>
      </c>
      <c r="K319" s="472" t="s">
        <v>647</v>
      </c>
      <c r="L319" s="473" t="s">
        <v>204</v>
      </c>
      <c r="M319" s="473" t="s">
        <v>2780</v>
      </c>
      <c r="N319" s="473" t="s">
        <v>2790</v>
      </c>
      <c r="O319" s="474" t="s">
        <v>2790</v>
      </c>
    </row>
    <row r="320" spans="1:15" s="475" customFormat="1" ht="12" hidden="1">
      <c r="A320" s="465">
        <v>10131000015482</v>
      </c>
      <c r="B320" s="476" t="s">
        <v>2790</v>
      </c>
      <c r="C320" s="476" t="s">
        <v>2843</v>
      </c>
      <c r="D320" s="467" t="s">
        <v>1045</v>
      </c>
      <c r="E320" s="472" t="s">
        <v>2712</v>
      </c>
      <c r="F320" s="477">
        <v>0</v>
      </c>
      <c r="G320" s="469" t="s">
        <v>2472</v>
      </c>
      <c r="H320" s="470">
        <v>1E-8</v>
      </c>
      <c r="I320" s="471">
        <v>2.7225701000000009E-9</v>
      </c>
      <c r="J320" s="485" t="s">
        <v>421</v>
      </c>
      <c r="K320" s="472" t="s">
        <v>2713</v>
      </c>
      <c r="L320" s="473" t="s">
        <v>204</v>
      </c>
      <c r="M320" s="473" t="s">
        <v>2780</v>
      </c>
      <c r="N320" s="473" t="s">
        <v>2790</v>
      </c>
      <c r="O320" s="474" t="s">
        <v>2790</v>
      </c>
    </row>
    <row r="321" spans="1:15" s="475" customFormat="1" ht="12" hidden="1">
      <c r="A321" s="465">
        <v>10131000015485</v>
      </c>
      <c r="B321" s="476" t="s">
        <v>2790</v>
      </c>
      <c r="C321" s="476" t="s">
        <v>2844</v>
      </c>
      <c r="D321" s="467" t="s">
        <v>1045</v>
      </c>
      <c r="E321" s="472" t="s">
        <v>2845</v>
      </c>
      <c r="F321" s="477">
        <v>0</v>
      </c>
      <c r="G321" s="469" t="s">
        <v>2472</v>
      </c>
      <c r="H321" s="470">
        <v>1E-8</v>
      </c>
      <c r="I321" s="471">
        <v>1.6875750000000003E-12</v>
      </c>
      <c r="J321" s="485" t="s">
        <v>421</v>
      </c>
      <c r="K321" s="472" t="s">
        <v>653</v>
      </c>
      <c r="L321" s="473" t="s">
        <v>204</v>
      </c>
      <c r="M321" s="473" t="s">
        <v>2780</v>
      </c>
      <c r="N321" s="473" t="s">
        <v>2790</v>
      </c>
      <c r="O321" s="474" t="s">
        <v>2790</v>
      </c>
    </row>
    <row r="322" spans="1:15" s="475" customFormat="1" ht="12" hidden="1">
      <c r="A322" s="465">
        <v>10131000015453</v>
      </c>
      <c r="B322" s="476" t="s">
        <v>2790</v>
      </c>
      <c r="C322" s="476" t="s">
        <v>2846</v>
      </c>
      <c r="D322" s="467" t="s">
        <v>1045</v>
      </c>
      <c r="E322" s="472" t="s">
        <v>2847</v>
      </c>
      <c r="F322" s="477" t="s">
        <v>2472</v>
      </c>
      <c r="G322" s="469" t="s">
        <v>2472</v>
      </c>
      <c r="H322" s="470">
        <v>0</v>
      </c>
      <c r="I322" s="471">
        <v>0</v>
      </c>
      <c r="J322" s="485" t="s">
        <v>421</v>
      </c>
      <c r="K322" s="472" t="s">
        <v>581</v>
      </c>
      <c r="L322" s="473" t="s">
        <v>204</v>
      </c>
      <c r="M322" s="473" t="s">
        <v>2780</v>
      </c>
      <c r="N322" s="473" t="s">
        <v>2790</v>
      </c>
      <c r="O322" s="474" t="s">
        <v>2790</v>
      </c>
    </row>
    <row r="323" spans="1:15" s="475" customFormat="1" ht="12" hidden="1">
      <c r="A323" s="465">
        <v>10131000015501</v>
      </c>
      <c r="B323" s="476" t="s">
        <v>2790</v>
      </c>
      <c r="C323" s="476" t="s">
        <v>2848</v>
      </c>
      <c r="D323" s="467" t="s">
        <v>1045</v>
      </c>
      <c r="E323" s="472" t="s">
        <v>2715</v>
      </c>
      <c r="F323" s="477" t="s">
        <v>2472</v>
      </c>
      <c r="G323" s="469" t="s">
        <v>2472</v>
      </c>
      <c r="H323" s="470">
        <v>1E-8</v>
      </c>
      <c r="I323" s="471">
        <v>1.3280192891666669E-8</v>
      </c>
      <c r="J323" s="485" t="s">
        <v>421</v>
      </c>
      <c r="K323" s="472" t="s">
        <v>2779</v>
      </c>
      <c r="L323" s="473" t="s">
        <v>204</v>
      </c>
      <c r="M323" s="473" t="s">
        <v>2780</v>
      </c>
      <c r="N323" s="473" t="s">
        <v>2790</v>
      </c>
      <c r="O323" s="474" t="s">
        <v>2790</v>
      </c>
    </row>
    <row r="324" spans="1:15" s="475" customFormat="1" ht="12" hidden="1">
      <c r="A324" s="465">
        <v>10131000015461</v>
      </c>
      <c r="B324" s="476" t="s">
        <v>2790</v>
      </c>
      <c r="C324" s="476" t="s">
        <v>2849</v>
      </c>
      <c r="D324" s="467" t="s">
        <v>1045</v>
      </c>
      <c r="E324" s="472" t="s">
        <v>2706</v>
      </c>
      <c r="F324" s="477" t="s">
        <v>2472</v>
      </c>
      <c r="G324" s="469" t="s">
        <v>2472</v>
      </c>
      <c r="H324" s="470">
        <v>1E-8</v>
      </c>
      <c r="I324" s="471">
        <v>4.3820658333333323E-11</v>
      </c>
      <c r="J324" s="485" t="s">
        <v>421</v>
      </c>
      <c r="K324" s="472" t="s">
        <v>595</v>
      </c>
      <c r="L324" s="473" t="s">
        <v>204</v>
      </c>
      <c r="M324" s="473" t="s">
        <v>2780</v>
      </c>
      <c r="N324" s="473" t="s">
        <v>2790</v>
      </c>
      <c r="O324" s="474" t="s">
        <v>2790</v>
      </c>
    </row>
    <row r="325" spans="1:15" s="475" customFormat="1" ht="12" hidden="1">
      <c r="A325" s="465">
        <v>10131000015491</v>
      </c>
      <c r="B325" s="476" t="s">
        <v>2790</v>
      </c>
      <c r="C325" s="476" t="s">
        <v>2850</v>
      </c>
      <c r="D325" s="467" t="s">
        <v>1045</v>
      </c>
      <c r="E325" s="472" t="s">
        <v>2715</v>
      </c>
      <c r="F325" s="477" t="s">
        <v>2472</v>
      </c>
      <c r="G325" s="469" t="s">
        <v>2472</v>
      </c>
      <c r="H325" s="470">
        <v>1E-8</v>
      </c>
      <c r="I325" s="471">
        <v>1.3280192891666669E-8</v>
      </c>
      <c r="J325" s="485" t="s">
        <v>421</v>
      </c>
      <c r="K325" s="472" t="s">
        <v>611</v>
      </c>
      <c r="L325" s="473" t="s">
        <v>204</v>
      </c>
      <c r="M325" s="473" t="s">
        <v>2780</v>
      </c>
      <c r="N325" s="473" t="s">
        <v>2790</v>
      </c>
      <c r="O325" s="474" t="s">
        <v>2790</v>
      </c>
    </row>
    <row r="326" spans="1:15" s="475" customFormat="1" ht="12" hidden="1">
      <c r="A326" s="465">
        <v>10131000015467</v>
      </c>
      <c r="B326" s="476" t="s">
        <v>2790</v>
      </c>
      <c r="C326" s="476" t="s">
        <v>2851</v>
      </c>
      <c r="D326" s="467" t="s">
        <v>1045</v>
      </c>
      <c r="E326" s="472" t="s">
        <v>2852</v>
      </c>
      <c r="F326" s="477" t="s">
        <v>2472</v>
      </c>
      <c r="G326" s="469" t="s">
        <v>2472</v>
      </c>
      <c r="H326" s="470">
        <v>1E-8</v>
      </c>
      <c r="I326" s="471">
        <v>1.1449717833333334E-9</v>
      </c>
      <c r="J326" s="485" t="s">
        <v>421</v>
      </c>
      <c r="K326" s="472" t="s">
        <v>613</v>
      </c>
      <c r="L326" s="473" t="s">
        <v>204</v>
      </c>
      <c r="M326" s="473" t="s">
        <v>2780</v>
      </c>
      <c r="N326" s="473" t="s">
        <v>2790</v>
      </c>
      <c r="O326" s="474" t="s">
        <v>2790</v>
      </c>
    </row>
    <row r="327" spans="1:15" s="475" customFormat="1" ht="12" hidden="1">
      <c r="A327" s="465">
        <v>10131000058310</v>
      </c>
      <c r="B327" s="476" t="s">
        <v>2790</v>
      </c>
      <c r="C327" s="476" t="s">
        <v>2824</v>
      </c>
      <c r="D327" s="467" t="s">
        <v>1045</v>
      </c>
      <c r="E327" s="472" t="s">
        <v>2519</v>
      </c>
      <c r="F327" s="477" t="s">
        <v>2472</v>
      </c>
      <c r="G327" s="469" t="s">
        <v>2472</v>
      </c>
      <c r="H327" s="470">
        <v>1E-8</v>
      </c>
      <c r="I327" s="471">
        <v>3.0846695000000001E-9</v>
      </c>
      <c r="J327" s="485" t="s">
        <v>421</v>
      </c>
      <c r="K327" s="472" t="s">
        <v>621</v>
      </c>
      <c r="L327" s="473" t="s">
        <v>204</v>
      </c>
      <c r="M327" s="473" t="s">
        <v>2780</v>
      </c>
      <c r="N327" s="473" t="s">
        <v>2790</v>
      </c>
      <c r="O327" s="474" t="s">
        <v>2790</v>
      </c>
    </row>
    <row r="328" spans="1:15" s="475" customFormat="1" ht="12" hidden="1">
      <c r="A328" s="465">
        <v>10131000015498</v>
      </c>
      <c r="B328" s="476" t="s">
        <v>2790</v>
      </c>
      <c r="C328" s="476" t="s">
        <v>2853</v>
      </c>
      <c r="D328" s="467" t="s">
        <v>1045</v>
      </c>
      <c r="E328" s="472" t="s">
        <v>2491</v>
      </c>
      <c r="F328" s="477" t="s">
        <v>2472</v>
      </c>
      <c r="G328" s="469" t="s">
        <v>2472</v>
      </c>
      <c r="H328" s="470">
        <v>1E-8</v>
      </c>
      <c r="I328" s="471">
        <v>1E-8</v>
      </c>
      <c r="J328" s="485" t="s">
        <v>421</v>
      </c>
      <c r="K328" s="472" t="s">
        <v>745</v>
      </c>
      <c r="L328" s="473" t="s">
        <v>204</v>
      </c>
      <c r="M328" s="473" t="s">
        <v>2780</v>
      </c>
      <c r="N328" s="473" t="s">
        <v>2790</v>
      </c>
      <c r="O328" s="474" t="s">
        <v>2790</v>
      </c>
    </row>
    <row r="329" spans="1:15" s="475" customFormat="1" ht="12" hidden="1">
      <c r="A329" s="465">
        <v>10131000015477</v>
      </c>
      <c r="B329" s="476" t="s">
        <v>2790</v>
      </c>
      <c r="C329" s="476" t="s">
        <v>2854</v>
      </c>
      <c r="D329" s="467" t="s">
        <v>1045</v>
      </c>
      <c r="E329" s="472" t="s">
        <v>2715</v>
      </c>
      <c r="F329" s="477" t="s">
        <v>2472</v>
      </c>
      <c r="G329" s="469" t="s">
        <v>2472</v>
      </c>
      <c r="H329" s="470">
        <v>1E-8</v>
      </c>
      <c r="I329" s="471">
        <v>1.3280192891666669E-8</v>
      </c>
      <c r="J329" s="485" t="s">
        <v>421</v>
      </c>
      <c r="K329" s="472" t="s">
        <v>629</v>
      </c>
      <c r="L329" s="473" t="s">
        <v>204</v>
      </c>
      <c r="M329" s="473" t="s">
        <v>2780</v>
      </c>
      <c r="N329" s="473" t="s">
        <v>2790</v>
      </c>
      <c r="O329" s="474" t="s">
        <v>2790</v>
      </c>
    </row>
    <row r="330" spans="1:15" s="475" customFormat="1" ht="12" hidden="1">
      <c r="A330" s="465">
        <v>10131000015484</v>
      </c>
      <c r="B330" s="476" t="s">
        <v>2790</v>
      </c>
      <c r="C330" s="476" t="s">
        <v>2855</v>
      </c>
      <c r="D330" s="467" t="s">
        <v>1045</v>
      </c>
      <c r="E330" s="472" t="s">
        <v>2856</v>
      </c>
      <c r="F330" s="477" t="s">
        <v>2472</v>
      </c>
      <c r="G330" s="469" t="s">
        <v>2472</v>
      </c>
      <c r="H330" s="470">
        <v>1E-8</v>
      </c>
      <c r="I330" s="471">
        <v>1.1849980000000001E-9</v>
      </c>
      <c r="J330" s="485" t="s">
        <v>421</v>
      </c>
      <c r="K330" s="472" t="s">
        <v>649</v>
      </c>
      <c r="L330" s="473" t="s">
        <v>204</v>
      </c>
      <c r="M330" s="473" t="s">
        <v>2780</v>
      </c>
      <c r="N330" s="473" t="s">
        <v>2790</v>
      </c>
      <c r="O330" s="474" t="s">
        <v>2790</v>
      </c>
    </row>
    <row r="331" spans="1:15" s="475" customFormat="1" ht="12" hidden="1">
      <c r="A331" s="465">
        <v>10131000015541</v>
      </c>
      <c r="B331" s="476" t="s">
        <v>2857</v>
      </c>
      <c r="C331" s="476" t="s">
        <v>2858</v>
      </c>
      <c r="D331" s="467" t="s">
        <v>2604</v>
      </c>
      <c r="E331" s="472" t="s">
        <v>2715</v>
      </c>
      <c r="F331" s="477">
        <v>0</v>
      </c>
      <c r="G331" s="469" t="s">
        <v>2472</v>
      </c>
      <c r="H331" s="470">
        <v>1E-8</v>
      </c>
      <c r="I331" s="471">
        <v>1.3280192891666669E-8</v>
      </c>
      <c r="J331" s="485" t="s">
        <v>421</v>
      </c>
      <c r="K331" s="472" t="s">
        <v>591</v>
      </c>
      <c r="L331" s="473" t="s">
        <v>204</v>
      </c>
      <c r="M331" s="473" t="s">
        <v>2758</v>
      </c>
      <c r="N331" s="473" t="s">
        <v>2857</v>
      </c>
      <c r="O331" s="474" t="s">
        <v>2857</v>
      </c>
    </row>
    <row r="332" spans="1:15" s="475" customFormat="1" ht="12" hidden="1">
      <c r="A332" s="465">
        <v>10131000015516</v>
      </c>
      <c r="B332" s="476" t="s">
        <v>2857</v>
      </c>
      <c r="C332" s="476" t="s">
        <v>2859</v>
      </c>
      <c r="D332" s="467" t="s">
        <v>2604</v>
      </c>
      <c r="E332" s="472" t="s">
        <v>2706</v>
      </c>
      <c r="F332" s="477">
        <v>0</v>
      </c>
      <c r="G332" s="469" t="s">
        <v>2472</v>
      </c>
      <c r="H332" s="470">
        <v>1E-8</v>
      </c>
      <c r="I332" s="471">
        <v>4.3820658333333323E-11</v>
      </c>
      <c r="J332" s="485" t="s">
        <v>421</v>
      </c>
      <c r="K332" s="472" t="s">
        <v>595</v>
      </c>
      <c r="L332" s="473" t="s">
        <v>204</v>
      </c>
      <c r="M332" s="473" t="s">
        <v>2758</v>
      </c>
      <c r="N332" s="473" t="s">
        <v>2857</v>
      </c>
      <c r="O332" s="474" t="s">
        <v>2857</v>
      </c>
    </row>
    <row r="333" spans="1:15" s="475" customFormat="1" ht="12" hidden="1">
      <c r="A333" s="465">
        <v>10131000015543</v>
      </c>
      <c r="B333" s="476" t="s">
        <v>2857</v>
      </c>
      <c r="C333" s="476" t="s">
        <v>2860</v>
      </c>
      <c r="D333" s="467" t="s">
        <v>2604</v>
      </c>
      <c r="E333" s="472" t="s">
        <v>2715</v>
      </c>
      <c r="F333" s="477">
        <v>0</v>
      </c>
      <c r="G333" s="469" t="s">
        <v>2472</v>
      </c>
      <c r="H333" s="470">
        <v>1E-8</v>
      </c>
      <c r="I333" s="471">
        <v>1.3280192891666669E-8</v>
      </c>
      <c r="J333" s="485" t="s">
        <v>421</v>
      </c>
      <c r="K333" s="472" t="s">
        <v>597</v>
      </c>
      <c r="L333" s="473" t="s">
        <v>204</v>
      </c>
      <c r="M333" s="473" t="s">
        <v>2758</v>
      </c>
      <c r="N333" s="473" t="s">
        <v>2857</v>
      </c>
      <c r="O333" s="474" t="s">
        <v>2857</v>
      </c>
    </row>
    <row r="334" spans="1:15" s="475" customFormat="1" ht="12" hidden="1">
      <c r="A334" s="465">
        <v>10131000015544</v>
      </c>
      <c r="B334" s="476" t="s">
        <v>2857</v>
      </c>
      <c r="C334" s="476" t="s">
        <v>2861</v>
      </c>
      <c r="D334" s="467" t="s">
        <v>2604</v>
      </c>
      <c r="E334" s="472" t="s">
        <v>2715</v>
      </c>
      <c r="F334" s="477">
        <v>0</v>
      </c>
      <c r="G334" s="469" t="s">
        <v>2472</v>
      </c>
      <c r="H334" s="470">
        <v>1E-8</v>
      </c>
      <c r="I334" s="471">
        <v>1.3280192891666669E-8</v>
      </c>
      <c r="J334" s="485" t="s">
        <v>421</v>
      </c>
      <c r="K334" s="472" t="s">
        <v>601</v>
      </c>
      <c r="L334" s="473" t="s">
        <v>204</v>
      </c>
      <c r="M334" s="473" t="s">
        <v>2758</v>
      </c>
      <c r="N334" s="473" t="s">
        <v>2857</v>
      </c>
      <c r="O334" s="474" t="s">
        <v>2857</v>
      </c>
    </row>
    <row r="335" spans="1:15" s="475" customFormat="1" ht="12" hidden="1">
      <c r="A335" s="465">
        <v>10131000015525</v>
      </c>
      <c r="B335" s="476" t="s">
        <v>2857</v>
      </c>
      <c r="C335" s="476" t="s">
        <v>2862</v>
      </c>
      <c r="D335" s="467" t="s">
        <v>2604</v>
      </c>
      <c r="E335" s="472" t="s">
        <v>2519</v>
      </c>
      <c r="F335" s="477">
        <v>0</v>
      </c>
      <c r="G335" s="469" t="s">
        <v>2472</v>
      </c>
      <c r="H335" s="470">
        <v>1E-8</v>
      </c>
      <c r="I335" s="471">
        <v>3.0846695000000001E-9</v>
      </c>
      <c r="J335" s="485" t="s">
        <v>421</v>
      </c>
      <c r="K335" s="472" t="s">
        <v>621</v>
      </c>
      <c r="L335" s="473" t="s">
        <v>204</v>
      </c>
      <c r="M335" s="473" t="s">
        <v>2758</v>
      </c>
      <c r="N335" s="473" t="s">
        <v>2857</v>
      </c>
      <c r="O335" s="474" t="s">
        <v>2857</v>
      </c>
    </row>
    <row r="336" spans="1:15" s="475" customFormat="1" ht="12" hidden="1">
      <c r="A336" s="465">
        <v>10131000015533</v>
      </c>
      <c r="B336" s="476" t="s">
        <v>2857</v>
      </c>
      <c r="C336" s="476" t="s">
        <v>2863</v>
      </c>
      <c r="D336" s="467" t="s">
        <v>2604</v>
      </c>
      <c r="E336" s="472" t="s">
        <v>2840</v>
      </c>
      <c r="F336" s="477">
        <v>0</v>
      </c>
      <c r="G336" s="469" t="s">
        <v>2472</v>
      </c>
      <c r="H336" s="470">
        <v>1E-8</v>
      </c>
      <c r="I336" s="471">
        <v>4.8453969750000001E-9</v>
      </c>
      <c r="J336" s="485" t="s">
        <v>421</v>
      </c>
      <c r="K336" s="472" t="s">
        <v>643</v>
      </c>
      <c r="L336" s="473" t="s">
        <v>204</v>
      </c>
      <c r="M336" s="473" t="s">
        <v>2758</v>
      </c>
      <c r="N336" s="473" t="s">
        <v>2857</v>
      </c>
      <c r="O336" s="474" t="s">
        <v>2857</v>
      </c>
    </row>
    <row r="337" spans="1:15" s="475" customFormat="1" ht="12" hidden="1">
      <c r="A337" s="465">
        <v>10131000015534</v>
      </c>
      <c r="B337" s="476" t="s">
        <v>2857</v>
      </c>
      <c r="C337" s="476" t="s">
        <v>2864</v>
      </c>
      <c r="D337" s="467" t="s">
        <v>2604</v>
      </c>
      <c r="E337" s="472" t="s">
        <v>2712</v>
      </c>
      <c r="F337" s="477">
        <v>0</v>
      </c>
      <c r="G337" s="469" t="s">
        <v>2472</v>
      </c>
      <c r="H337" s="470">
        <v>1E-8</v>
      </c>
      <c r="I337" s="471">
        <v>2.7225701000000009E-9</v>
      </c>
      <c r="J337" s="485" t="s">
        <v>421</v>
      </c>
      <c r="K337" s="472" t="s">
        <v>2713</v>
      </c>
      <c r="L337" s="473" t="s">
        <v>204</v>
      </c>
      <c r="M337" s="473" t="s">
        <v>2758</v>
      </c>
      <c r="N337" s="473" t="s">
        <v>2857</v>
      </c>
      <c r="O337" s="474" t="s">
        <v>2857</v>
      </c>
    </row>
    <row r="338" spans="1:15" s="475" customFormat="1" ht="12" hidden="1">
      <c r="A338" s="465">
        <v>10131000015538</v>
      </c>
      <c r="B338" s="476" t="s">
        <v>2857</v>
      </c>
      <c r="C338" s="476" t="s">
        <v>2865</v>
      </c>
      <c r="D338" s="467" t="s">
        <v>2604</v>
      </c>
      <c r="E338" s="472" t="s">
        <v>2541</v>
      </c>
      <c r="F338" s="477">
        <v>0</v>
      </c>
      <c r="G338" s="469" t="s">
        <v>2472</v>
      </c>
      <c r="H338" s="470">
        <v>1E-8</v>
      </c>
      <c r="I338" s="471">
        <v>1.5324781650000001E-8</v>
      </c>
      <c r="J338" s="485" t="s">
        <v>421</v>
      </c>
      <c r="K338" s="472" t="s">
        <v>651</v>
      </c>
      <c r="L338" s="473" t="s">
        <v>204</v>
      </c>
      <c r="M338" s="473" t="s">
        <v>2758</v>
      </c>
      <c r="N338" s="473" t="s">
        <v>2857</v>
      </c>
      <c r="O338" s="474" t="s">
        <v>2857</v>
      </c>
    </row>
    <row r="339" spans="1:15" s="475" customFormat="1" ht="12" hidden="1">
      <c r="A339" s="465">
        <v>10131000015539</v>
      </c>
      <c r="B339" s="476" t="s">
        <v>2857</v>
      </c>
      <c r="C339" s="476" t="s">
        <v>2865</v>
      </c>
      <c r="D339" s="467" t="s">
        <v>2604</v>
      </c>
      <c r="E339" s="472" t="s">
        <v>2541</v>
      </c>
      <c r="F339" s="477">
        <v>0</v>
      </c>
      <c r="G339" s="469" t="s">
        <v>2472</v>
      </c>
      <c r="H339" s="470">
        <v>1E-8</v>
      </c>
      <c r="I339" s="471">
        <v>1.5324781650000001E-8</v>
      </c>
      <c r="J339" s="485" t="s">
        <v>421</v>
      </c>
      <c r="K339" s="472" t="s">
        <v>651</v>
      </c>
      <c r="L339" s="473" t="s">
        <v>204</v>
      </c>
      <c r="M339" s="473" t="s">
        <v>2758</v>
      </c>
      <c r="N339" s="473" t="s">
        <v>2857</v>
      </c>
      <c r="O339" s="474" t="s">
        <v>2857</v>
      </c>
    </row>
    <row r="340" spans="1:15" s="475" customFormat="1" ht="12" hidden="1">
      <c r="A340" s="465">
        <v>10131000039350</v>
      </c>
      <c r="B340" s="476" t="s">
        <v>2857</v>
      </c>
      <c r="C340" s="476" t="s">
        <v>2865</v>
      </c>
      <c r="D340" s="467" t="s">
        <v>2604</v>
      </c>
      <c r="E340" s="472" t="s">
        <v>2491</v>
      </c>
      <c r="F340" s="477">
        <v>0</v>
      </c>
      <c r="G340" s="469" t="s">
        <v>2472</v>
      </c>
      <c r="H340" s="470">
        <v>1E-8</v>
      </c>
      <c r="I340" s="471">
        <v>1E-8</v>
      </c>
      <c r="J340" s="485" t="s">
        <v>421</v>
      </c>
      <c r="K340" s="472" t="s">
        <v>651</v>
      </c>
      <c r="L340" s="473" t="s">
        <v>204</v>
      </c>
      <c r="M340" s="473" t="s">
        <v>2758</v>
      </c>
      <c r="N340" s="473" t="s">
        <v>2857</v>
      </c>
      <c r="O340" s="474" t="s">
        <v>2857</v>
      </c>
    </row>
    <row r="341" spans="1:15" s="475" customFormat="1" ht="12" hidden="1">
      <c r="A341" s="465">
        <v>10131000015537</v>
      </c>
      <c r="B341" s="476" t="s">
        <v>2857</v>
      </c>
      <c r="C341" s="476" t="s">
        <v>2866</v>
      </c>
      <c r="D341" s="467" t="s">
        <v>2604</v>
      </c>
      <c r="E341" s="472" t="s">
        <v>2845</v>
      </c>
      <c r="F341" s="477">
        <v>0</v>
      </c>
      <c r="G341" s="469" t="s">
        <v>2472</v>
      </c>
      <c r="H341" s="470">
        <v>1E-8</v>
      </c>
      <c r="I341" s="471">
        <v>1.6875750000000003E-12</v>
      </c>
      <c r="J341" s="485" t="s">
        <v>421</v>
      </c>
      <c r="K341" s="472" t="s">
        <v>653</v>
      </c>
      <c r="L341" s="473" t="s">
        <v>204</v>
      </c>
      <c r="M341" s="473" t="s">
        <v>2758</v>
      </c>
      <c r="N341" s="473" t="s">
        <v>2857</v>
      </c>
      <c r="O341" s="474" t="s">
        <v>2857</v>
      </c>
    </row>
    <row r="342" spans="1:15" s="475" customFormat="1" ht="12" hidden="1">
      <c r="A342" s="465">
        <v>10131000015508</v>
      </c>
      <c r="B342" s="476" t="s">
        <v>2857</v>
      </c>
      <c r="C342" s="476" t="s">
        <v>2867</v>
      </c>
      <c r="D342" s="467" t="s">
        <v>2604</v>
      </c>
      <c r="E342" s="472" t="s">
        <v>2491</v>
      </c>
      <c r="F342" s="477" t="s">
        <v>2472</v>
      </c>
      <c r="G342" s="469" t="s">
        <v>2472</v>
      </c>
      <c r="H342" s="470">
        <v>1E-8</v>
      </c>
      <c r="I342" s="471">
        <v>1E-8</v>
      </c>
      <c r="J342" s="485" t="s">
        <v>421</v>
      </c>
      <c r="K342" s="472" t="s">
        <v>577</v>
      </c>
      <c r="L342" s="473" t="s">
        <v>204</v>
      </c>
      <c r="M342" s="473" t="s">
        <v>2758</v>
      </c>
      <c r="N342" s="473" t="s">
        <v>2857</v>
      </c>
      <c r="O342" s="474" t="s">
        <v>2857</v>
      </c>
    </row>
    <row r="343" spans="1:15" s="475" customFormat="1" ht="12" hidden="1">
      <c r="A343" s="465">
        <v>10131000015513</v>
      </c>
      <c r="B343" s="476" t="s">
        <v>2857</v>
      </c>
      <c r="C343" s="476" t="s">
        <v>2868</v>
      </c>
      <c r="D343" s="467" t="s">
        <v>2604</v>
      </c>
      <c r="E343" s="472" t="s">
        <v>2801</v>
      </c>
      <c r="F343" s="477" t="s">
        <v>2472</v>
      </c>
      <c r="G343" s="469" t="s">
        <v>2472</v>
      </c>
      <c r="H343" s="470">
        <v>1E-8</v>
      </c>
      <c r="I343" s="471">
        <v>5.1278581666666659E-10</v>
      </c>
      <c r="J343" s="485" t="s">
        <v>421</v>
      </c>
      <c r="K343" s="472" t="s">
        <v>587</v>
      </c>
      <c r="L343" s="473" t="s">
        <v>204</v>
      </c>
      <c r="M343" s="473" t="s">
        <v>2758</v>
      </c>
      <c r="N343" s="473" t="s">
        <v>2857</v>
      </c>
      <c r="O343" s="474" t="s">
        <v>2857</v>
      </c>
    </row>
    <row r="344" spans="1:15" s="475" customFormat="1" ht="12" hidden="1">
      <c r="A344" s="465">
        <v>10131000058027</v>
      </c>
      <c r="B344" s="476" t="s">
        <v>2857</v>
      </c>
      <c r="C344" s="476" t="s">
        <v>2869</v>
      </c>
      <c r="D344" s="467" t="s">
        <v>2604</v>
      </c>
      <c r="E344" s="472" t="s">
        <v>2808</v>
      </c>
      <c r="F344" s="477" t="s">
        <v>2472</v>
      </c>
      <c r="G344" s="469" t="s">
        <v>2472</v>
      </c>
      <c r="H344" s="470">
        <v>1E-8</v>
      </c>
      <c r="I344" s="471">
        <v>2.7946916750000001E-9</v>
      </c>
      <c r="J344" s="485" t="s">
        <v>421</v>
      </c>
      <c r="K344" s="472" t="s">
        <v>599</v>
      </c>
      <c r="L344" s="473" t="s">
        <v>204</v>
      </c>
      <c r="M344" s="473" t="s">
        <v>2758</v>
      </c>
      <c r="N344" s="473" t="s">
        <v>2857</v>
      </c>
      <c r="O344" s="474" t="s">
        <v>2857</v>
      </c>
    </row>
    <row r="345" spans="1:15" s="475" customFormat="1" ht="12" hidden="1">
      <c r="A345" s="465">
        <v>10131000015524</v>
      </c>
      <c r="B345" s="476" t="s">
        <v>2857</v>
      </c>
      <c r="C345" s="476" t="s">
        <v>2870</v>
      </c>
      <c r="D345" s="467" t="s">
        <v>2604</v>
      </c>
      <c r="E345" s="472" t="s">
        <v>2823</v>
      </c>
      <c r="F345" s="477" t="s">
        <v>2472</v>
      </c>
      <c r="G345" s="469" t="s">
        <v>2472</v>
      </c>
      <c r="H345" s="470">
        <v>1E-8</v>
      </c>
      <c r="I345" s="471">
        <v>9.1381658333333352E-11</v>
      </c>
      <c r="J345" s="485" t="s">
        <v>421</v>
      </c>
      <c r="K345" s="472" t="s">
        <v>619</v>
      </c>
      <c r="L345" s="473" t="s">
        <v>204</v>
      </c>
      <c r="M345" s="473" t="s">
        <v>2758</v>
      </c>
      <c r="N345" s="473" t="s">
        <v>2857</v>
      </c>
      <c r="O345" s="474" t="s">
        <v>2857</v>
      </c>
    </row>
    <row r="346" spans="1:15" s="475" customFormat="1" ht="12" hidden="1">
      <c r="A346" s="465">
        <v>10131000058311</v>
      </c>
      <c r="B346" s="476" t="s">
        <v>2857</v>
      </c>
      <c r="C346" s="476" t="s">
        <v>2862</v>
      </c>
      <c r="D346" s="467" t="s">
        <v>2604</v>
      </c>
      <c r="E346" s="472" t="s">
        <v>2519</v>
      </c>
      <c r="F346" s="477" t="s">
        <v>2472</v>
      </c>
      <c r="G346" s="469" t="s">
        <v>2472</v>
      </c>
      <c r="H346" s="470">
        <v>1E-8</v>
      </c>
      <c r="I346" s="471">
        <v>3.0846695000000001E-9</v>
      </c>
      <c r="J346" s="485" t="s">
        <v>421</v>
      </c>
      <c r="K346" s="472" t="s">
        <v>621</v>
      </c>
      <c r="L346" s="473" t="s">
        <v>204</v>
      </c>
      <c r="M346" s="473" t="s">
        <v>2758</v>
      </c>
      <c r="N346" s="473" t="s">
        <v>2857</v>
      </c>
      <c r="O346" s="474" t="s">
        <v>2857</v>
      </c>
    </row>
    <row r="347" spans="1:15" s="475" customFormat="1" ht="12" hidden="1">
      <c r="A347" s="465">
        <v>10131000015526</v>
      </c>
      <c r="B347" s="476" t="s">
        <v>2857</v>
      </c>
      <c r="C347" s="476" t="s">
        <v>2871</v>
      </c>
      <c r="D347" s="467" t="s">
        <v>2604</v>
      </c>
      <c r="E347" s="472" t="s">
        <v>2829</v>
      </c>
      <c r="F347" s="477" t="s">
        <v>2472</v>
      </c>
      <c r="G347" s="469" t="s">
        <v>2472</v>
      </c>
      <c r="H347" s="470">
        <v>1E-8</v>
      </c>
      <c r="I347" s="471">
        <v>2.9191050416666665E-9</v>
      </c>
      <c r="J347" s="485" t="s">
        <v>421</v>
      </c>
      <c r="K347" s="472" t="s">
        <v>623</v>
      </c>
      <c r="L347" s="473" t="s">
        <v>204</v>
      </c>
      <c r="M347" s="473" t="s">
        <v>2758</v>
      </c>
      <c r="N347" s="473" t="s">
        <v>2857</v>
      </c>
      <c r="O347" s="474" t="s">
        <v>2857</v>
      </c>
    </row>
    <row r="348" spans="1:15" s="475" customFormat="1" ht="12" hidden="1">
      <c r="A348" s="465">
        <v>10131000015530</v>
      </c>
      <c r="B348" s="476" t="s">
        <v>2857</v>
      </c>
      <c r="C348" s="476" t="s">
        <v>2872</v>
      </c>
      <c r="D348" s="467" t="s">
        <v>2604</v>
      </c>
      <c r="E348" s="472" t="s">
        <v>2833</v>
      </c>
      <c r="F348" s="477" t="s">
        <v>2472</v>
      </c>
      <c r="G348" s="469" t="s">
        <v>2472</v>
      </c>
      <c r="H348" s="470">
        <v>1E-8</v>
      </c>
      <c r="I348" s="471">
        <v>9.6662435833333333E-10</v>
      </c>
      <c r="J348" s="485" t="s">
        <v>421</v>
      </c>
      <c r="K348" s="472" t="s">
        <v>631</v>
      </c>
      <c r="L348" s="473" t="s">
        <v>204</v>
      </c>
      <c r="M348" s="473" t="s">
        <v>2758</v>
      </c>
      <c r="N348" s="473" t="s">
        <v>2857</v>
      </c>
      <c r="O348" s="474" t="s">
        <v>2857</v>
      </c>
    </row>
    <row r="349" spans="1:15" s="475" customFormat="1" ht="12" hidden="1">
      <c r="A349" s="465">
        <v>10131000015549</v>
      </c>
      <c r="B349" s="476" t="s">
        <v>2857</v>
      </c>
      <c r="C349" s="476" t="s">
        <v>2873</v>
      </c>
      <c r="D349" s="467" t="s">
        <v>2604</v>
      </c>
      <c r="E349" s="472" t="s">
        <v>2874</v>
      </c>
      <c r="F349" s="477" t="s">
        <v>2472</v>
      </c>
      <c r="G349" s="469" t="s">
        <v>2472</v>
      </c>
      <c r="H349" s="470">
        <v>1E-8</v>
      </c>
      <c r="I349" s="471">
        <v>1.0827050375000001E-8</v>
      </c>
      <c r="J349" s="485" t="s">
        <v>421</v>
      </c>
      <c r="K349" s="472" t="s">
        <v>637</v>
      </c>
      <c r="L349" s="473" t="s">
        <v>204</v>
      </c>
      <c r="M349" s="473" t="s">
        <v>2758</v>
      </c>
      <c r="N349" s="473" t="s">
        <v>2857</v>
      </c>
      <c r="O349" s="474" t="s">
        <v>2857</v>
      </c>
    </row>
    <row r="350" spans="1:15" s="475" customFormat="1" ht="12" hidden="1">
      <c r="A350" s="465">
        <v>10131000015824</v>
      </c>
      <c r="B350" s="476" t="s">
        <v>2875</v>
      </c>
      <c r="C350" s="476" t="s">
        <v>2876</v>
      </c>
      <c r="D350" s="467" t="s">
        <v>990</v>
      </c>
      <c r="E350" s="472" t="s">
        <v>2541</v>
      </c>
      <c r="F350" s="477">
        <v>1.47858</v>
      </c>
      <c r="G350" s="469" t="s">
        <v>2472</v>
      </c>
      <c r="H350" s="470">
        <v>1.18</v>
      </c>
      <c r="I350" s="471">
        <v>1.8083242346999997</v>
      </c>
      <c r="J350" s="485" t="s">
        <v>421</v>
      </c>
      <c r="K350" s="472" t="s">
        <v>651</v>
      </c>
      <c r="L350" s="473" t="s">
        <v>530</v>
      </c>
      <c r="M350" s="473" t="s">
        <v>1058</v>
      </c>
      <c r="N350" s="473" t="s">
        <v>820</v>
      </c>
      <c r="O350" s="474" t="s">
        <v>2566</v>
      </c>
    </row>
    <row r="351" spans="1:15" s="475" customFormat="1" ht="12" hidden="1">
      <c r="A351" s="465">
        <v>10131000015826</v>
      </c>
      <c r="B351" s="476" t="s">
        <v>2875</v>
      </c>
      <c r="C351" s="476" t="s">
        <v>2876</v>
      </c>
      <c r="D351" s="467" t="s">
        <v>990</v>
      </c>
      <c r="E351" s="472" t="s">
        <v>2541</v>
      </c>
      <c r="F351" s="477">
        <v>1.47858</v>
      </c>
      <c r="G351" s="469" t="s">
        <v>2472</v>
      </c>
      <c r="H351" s="470">
        <v>1.18</v>
      </c>
      <c r="I351" s="471">
        <v>1.8083242346999997</v>
      </c>
      <c r="J351" s="485" t="s">
        <v>421</v>
      </c>
      <c r="K351" s="472" t="s">
        <v>651</v>
      </c>
      <c r="L351" s="473" t="s">
        <v>530</v>
      </c>
      <c r="M351" s="473" t="s">
        <v>1058</v>
      </c>
      <c r="N351" s="473" t="s">
        <v>820</v>
      </c>
      <c r="O351" s="474" t="s">
        <v>2566</v>
      </c>
    </row>
    <row r="352" spans="1:15" s="475" customFormat="1" ht="12" hidden="1">
      <c r="A352" s="465">
        <v>10131000015827</v>
      </c>
      <c r="B352" s="476" t="s">
        <v>2875</v>
      </c>
      <c r="C352" s="476" t="s">
        <v>2876</v>
      </c>
      <c r="D352" s="467" t="s">
        <v>990</v>
      </c>
      <c r="E352" s="472" t="s">
        <v>2491</v>
      </c>
      <c r="F352" s="477">
        <v>1.482</v>
      </c>
      <c r="G352" s="469" t="s">
        <v>2472</v>
      </c>
      <c r="H352" s="470">
        <v>1.8</v>
      </c>
      <c r="I352" s="471">
        <v>1.8</v>
      </c>
      <c r="J352" s="485" t="s">
        <v>421</v>
      </c>
      <c r="K352" s="472" t="s">
        <v>651</v>
      </c>
      <c r="L352" s="473" t="s">
        <v>530</v>
      </c>
      <c r="M352" s="473" t="s">
        <v>1058</v>
      </c>
      <c r="N352" s="473" t="s">
        <v>820</v>
      </c>
      <c r="O352" s="474" t="s">
        <v>2566</v>
      </c>
    </row>
    <row r="353" spans="1:15" s="475" customFormat="1" ht="12" hidden="1">
      <c r="A353" s="465">
        <v>10131000056344</v>
      </c>
      <c r="B353" s="466" t="s">
        <v>2875</v>
      </c>
      <c r="C353" s="466" t="s">
        <v>2877</v>
      </c>
      <c r="D353" s="467" t="s">
        <v>990</v>
      </c>
      <c r="E353" s="468" t="s">
        <v>2491</v>
      </c>
      <c r="F353" s="477">
        <v>67.45</v>
      </c>
      <c r="G353" s="469" t="s">
        <v>2472</v>
      </c>
      <c r="H353" s="470">
        <v>72.900000000000006</v>
      </c>
      <c r="I353" s="471">
        <v>72.900000000000006</v>
      </c>
      <c r="J353" s="472" t="s">
        <v>423</v>
      </c>
      <c r="K353" s="472" t="s">
        <v>534</v>
      </c>
      <c r="L353" s="473" t="s">
        <v>530</v>
      </c>
      <c r="M353" s="473" t="s">
        <v>1058</v>
      </c>
      <c r="N353" s="473" t="s">
        <v>820</v>
      </c>
      <c r="O353" s="474" t="s">
        <v>2566</v>
      </c>
    </row>
    <row r="354" spans="1:15" s="475" customFormat="1" ht="12" hidden="1">
      <c r="A354" s="465">
        <v>10131000056446</v>
      </c>
      <c r="B354" s="476" t="s">
        <v>2875</v>
      </c>
      <c r="C354" s="476" t="s">
        <v>2878</v>
      </c>
      <c r="D354" s="467" t="s">
        <v>990</v>
      </c>
      <c r="E354" s="472" t="s">
        <v>2491</v>
      </c>
      <c r="F354" s="477">
        <v>91.5</v>
      </c>
      <c r="G354" s="469" t="s">
        <v>2472</v>
      </c>
      <c r="H354" s="487">
        <v>169.18</v>
      </c>
      <c r="I354" s="471">
        <v>169.18</v>
      </c>
      <c r="J354" s="488" t="s">
        <v>2492</v>
      </c>
      <c r="K354" s="472" t="s">
        <v>2522</v>
      </c>
      <c r="L354" s="473" t="s">
        <v>530</v>
      </c>
      <c r="M354" s="473" t="s">
        <v>1058</v>
      </c>
      <c r="N354" s="473" t="s">
        <v>820</v>
      </c>
      <c r="O354" s="474" t="s">
        <v>2566</v>
      </c>
    </row>
    <row r="355" spans="1:15" s="475" customFormat="1" ht="12" hidden="1">
      <c r="A355" s="465">
        <v>10131000021636</v>
      </c>
      <c r="B355" s="476" t="s">
        <v>2875</v>
      </c>
      <c r="C355" s="476" t="s">
        <v>2879</v>
      </c>
      <c r="D355" s="467" t="s">
        <v>990</v>
      </c>
      <c r="E355" s="472" t="s">
        <v>2491</v>
      </c>
      <c r="F355" s="477">
        <v>92.814999999999998</v>
      </c>
      <c r="G355" s="469" t="s">
        <v>2472</v>
      </c>
      <c r="H355" s="487">
        <v>42.38</v>
      </c>
      <c r="I355" s="471">
        <v>42.38</v>
      </c>
      <c r="J355" s="488" t="s">
        <v>2492</v>
      </c>
      <c r="K355" s="472" t="s">
        <v>656</v>
      </c>
      <c r="L355" s="473" t="s">
        <v>530</v>
      </c>
      <c r="M355" s="473" t="s">
        <v>1058</v>
      </c>
      <c r="N355" s="473" t="s">
        <v>820</v>
      </c>
      <c r="O355" s="474" t="s">
        <v>2566</v>
      </c>
    </row>
    <row r="356" spans="1:15" s="475" customFormat="1" ht="12" hidden="1">
      <c r="A356" s="465">
        <v>10131000052463</v>
      </c>
      <c r="B356" s="489" t="s">
        <v>2875</v>
      </c>
      <c r="C356" s="489" t="s">
        <v>2880</v>
      </c>
      <c r="D356" s="467" t="s">
        <v>990</v>
      </c>
      <c r="E356" s="478" t="s">
        <v>2514</v>
      </c>
      <c r="F356" s="477">
        <v>689.66372656800002</v>
      </c>
      <c r="G356" s="469" t="s">
        <v>2472</v>
      </c>
      <c r="H356" s="481">
        <v>69252</v>
      </c>
      <c r="I356" s="482">
        <v>706.96</v>
      </c>
      <c r="J356" s="483" t="s">
        <v>2515</v>
      </c>
      <c r="K356" s="483" t="s">
        <v>2515</v>
      </c>
      <c r="L356" s="473" t="s">
        <v>530</v>
      </c>
      <c r="M356" s="473" t="s">
        <v>1058</v>
      </c>
      <c r="N356" s="473" t="s">
        <v>820</v>
      </c>
      <c r="O356" s="474" t="s">
        <v>2566</v>
      </c>
    </row>
    <row r="357" spans="1:15" s="475" customFormat="1" ht="12" hidden="1">
      <c r="A357" s="465">
        <v>10131000015805</v>
      </c>
      <c r="B357" s="489" t="s">
        <v>2875</v>
      </c>
      <c r="C357" s="489" t="s">
        <v>2881</v>
      </c>
      <c r="D357" s="467" t="s">
        <v>990</v>
      </c>
      <c r="E357" s="478" t="s">
        <v>2514</v>
      </c>
      <c r="F357" s="477">
        <v>727.9783780439999</v>
      </c>
      <c r="G357" s="469" t="s">
        <v>2472</v>
      </c>
      <c r="H357" s="481">
        <v>69252</v>
      </c>
      <c r="I357" s="482">
        <v>706.96</v>
      </c>
      <c r="J357" s="483" t="s">
        <v>2515</v>
      </c>
      <c r="K357" s="483" t="s">
        <v>2515</v>
      </c>
      <c r="L357" s="473" t="s">
        <v>530</v>
      </c>
      <c r="M357" s="473" t="s">
        <v>1058</v>
      </c>
      <c r="N357" s="473" t="s">
        <v>820</v>
      </c>
      <c r="O357" s="474" t="s">
        <v>2566</v>
      </c>
    </row>
    <row r="358" spans="1:15" s="475" customFormat="1" ht="12" hidden="1">
      <c r="A358" s="465">
        <v>1000058551</v>
      </c>
      <c r="B358" s="476" t="s">
        <v>2875</v>
      </c>
      <c r="C358" s="476" t="s">
        <v>2882</v>
      </c>
      <c r="D358" s="467" t="s">
        <v>990</v>
      </c>
      <c r="E358" s="472" t="s">
        <v>2491</v>
      </c>
      <c r="F358" s="477" t="s">
        <v>2472</v>
      </c>
      <c r="G358" s="469" t="s">
        <v>2472</v>
      </c>
      <c r="H358" s="487">
        <v>172.52</v>
      </c>
      <c r="I358" s="471">
        <v>172.52</v>
      </c>
      <c r="J358" s="488" t="s">
        <v>2492</v>
      </c>
      <c r="K358" s="472" t="s">
        <v>658</v>
      </c>
      <c r="L358" s="473" t="s">
        <v>530</v>
      </c>
      <c r="M358" s="473" t="s">
        <v>1058</v>
      </c>
      <c r="N358" s="473" t="s">
        <v>820</v>
      </c>
      <c r="O358" s="474" t="s">
        <v>2566</v>
      </c>
    </row>
    <row r="359" spans="1:15" s="475" customFormat="1" ht="12" hidden="1">
      <c r="A359" s="465">
        <v>1000099016</v>
      </c>
      <c r="B359" s="466" t="s">
        <v>2875</v>
      </c>
      <c r="C359" s="466" t="s">
        <v>2875</v>
      </c>
      <c r="D359" s="467" t="s">
        <v>12</v>
      </c>
      <c r="E359" s="468" t="s">
        <v>2471</v>
      </c>
      <c r="F359" s="477" t="s">
        <v>2472</v>
      </c>
      <c r="G359" s="469" t="s">
        <v>2472</v>
      </c>
      <c r="H359" s="470">
        <v>2717</v>
      </c>
      <c r="I359" s="471">
        <v>209.80694980694983</v>
      </c>
      <c r="J359" s="472" t="s">
        <v>422</v>
      </c>
      <c r="K359" s="472" t="s">
        <v>2473</v>
      </c>
      <c r="L359" s="473" t="s">
        <v>530</v>
      </c>
      <c r="M359" s="473" t="s">
        <v>1058</v>
      </c>
      <c r="N359" s="473" t="s">
        <v>820</v>
      </c>
      <c r="O359" s="474" t="s">
        <v>2566</v>
      </c>
    </row>
    <row r="360" spans="1:15" s="475" customFormat="1" ht="12" hidden="1">
      <c r="A360" s="465">
        <v>10131000056764</v>
      </c>
      <c r="B360" s="476" t="s">
        <v>2883</v>
      </c>
      <c r="C360" s="476" t="s">
        <v>2884</v>
      </c>
      <c r="D360" s="467" t="s">
        <v>2604</v>
      </c>
      <c r="E360" s="472" t="s">
        <v>2541</v>
      </c>
      <c r="F360" s="477">
        <v>0</v>
      </c>
      <c r="G360" s="469" t="s">
        <v>2472</v>
      </c>
      <c r="H360" s="470">
        <v>64.209999999999994</v>
      </c>
      <c r="I360" s="471">
        <v>98.400422974649985</v>
      </c>
      <c r="J360" s="485" t="s">
        <v>421</v>
      </c>
      <c r="K360" s="472" t="s">
        <v>651</v>
      </c>
      <c r="L360" s="473" t="s">
        <v>530</v>
      </c>
      <c r="M360" s="473" t="s">
        <v>1058</v>
      </c>
      <c r="N360" s="473" t="s">
        <v>820</v>
      </c>
      <c r="O360" s="474" t="s">
        <v>2605</v>
      </c>
    </row>
    <row r="361" spans="1:15" s="475" customFormat="1" ht="12" hidden="1">
      <c r="A361" s="465">
        <v>10131000056440</v>
      </c>
      <c r="B361" s="476" t="s">
        <v>2883</v>
      </c>
      <c r="C361" s="476" t="s">
        <v>2885</v>
      </c>
      <c r="D361" s="467" t="s">
        <v>2604</v>
      </c>
      <c r="E361" s="472" t="s">
        <v>2491</v>
      </c>
      <c r="F361" s="477">
        <v>61.75</v>
      </c>
      <c r="G361" s="469">
        <v>65.7</v>
      </c>
      <c r="H361" s="487">
        <v>66.31</v>
      </c>
      <c r="I361" s="471">
        <v>66.31</v>
      </c>
      <c r="J361" s="488" t="s">
        <v>2492</v>
      </c>
      <c r="K361" s="472" t="s">
        <v>2522</v>
      </c>
      <c r="L361" s="473" t="s">
        <v>530</v>
      </c>
      <c r="M361" s="473" t="s">
        <v>1058</v>
      </c>
      <c r="N361" s="473" t="s">
        <v>820</v>
      </c>
      <c r="O361" s="474" t="s">
        <v>2605</v>
      </c>
    </row>
    <row r="362" spans="1:15" s="475" customFormat="1" ht="12" hidden="1">
      <c r="A362" s="465">
        <v>10131000057236</v>
      </c>
      <c r="B362" s="466" t="s">
        <v>2883</v>
      </c>
      <c r="C362" s="466" t="s">
        <v>2886</v>
      </c>
      <c r="D362" s="467" t="s">
        <v>2604</v>
      </c>
      <c r="E362" s="468" t="s">
        <v>2491</v>
      </c>
      <c r="F362" s="477">
        <v>79.8</v>
      </c>
      <c r="G362" s="469" t="s">
        <v>2472</v>
      </c>
      <c r="H362" s="470">
        <v>86.3</v>
      </c>
      <c r="I362" s="471">
        <v>86.3</v>
      </c>
      <c r="J362" s="472" t="s">
        <v>423</v>
      </c>
      <c r="K362" s="472" t="s">
        <v>534</v>
      </c>
      <c r="L362" s="473" t="s">
        <v>530</v>
      </c>
      <c r="M362" s="473" t="s">
        <v>1058</v>
      </c>
      <c r="N362" s="473" t="s">
        <v>820</v>
      </c>
      <c r="O362" s="474" t="s">
        <v>2605</v>
      </c>
    </row>
    <row r="363" spans="1:15" s="475" customFormat="1" ht="12" hidden="1">
      <c r="A363" s="465">
        <v>10131000056715</v>
      </c>
      <c r="B363" s="476" t="s">
        <v>2883</v>
      </c>
      <c r="C363" s="476" t="s">
        <v>2884</v>
      </c>
      <c r="D363" s="467" t="s">
        <v>2604</v>
      </c>
      <c r="E363" s="472" t="s">
        <v>2541</v>
      </c>
      <c r="F363" s="477">
        <v>85.047921599999995</v>
      </c>
      <c r="G363" s="469" t="s">
        <v>2472</v>
      </c>
      <c r="H363" s="470">
        <v>64.209999999999994</v>
      </c>
      <c r="I363" s="471">
        <v>98.400422974649985</v>
      </c>
      <c r="J363" s="485" t="s">
        <v>421</v>
      </c>
      <c r="K363" s="472" t="s">
        <v>651</v>
      </c>
      <c r="L363" s="473" t="s">
        <v>530</v>
      </c>
      <c r="M363" s="473" t="s">
        <v>1058</v>
      </c>
      <c r="N363" s="473" t="s">
        <v>820</v>
      </c>
      <c r="O363" s="474" t="s">
        <v>2605</v>
      </c>
    </row>
    <row r="364" spans="1:15" s="475" customFormat="1" ht="12" hidden="1">
      <c r="A364" s="465">
        <v>10131000056721</v>
      </c>
      <c r="B364" s="476" t="s">
        <v>2883</v>
      </c>
      <c r="C364" s="476" t="s">
        <v>2884</v>
      </c>
      <c r="D364" s="467" t="s">
        <v>2604</v>
      </c>
      <c r="E364" s="472" t="s">
        <v>2541</v>
      </c>
      <c r="F364" s="477">
        <v>85.047921599999995</v>
      </c>
      <c r="G364" s="469" t="s">
        <v>2472</v>
      </c>
      <c r="H364" s="470">
        <v>64.209999999999994</v>
      </c>
      <c r="I364" s="471">
        <v>98.400422974649985</v>
      </c>
      <c r="J364" s="485" t="s">
        <v>421</v>
      </c>
      <c r="K364" s="472" t="s">
        <v>651</v>
      </c>
      <c r="L364" s="473" t="s">
        <v>530</v>
      </c>
      <c r="M364" s="473" t="s">
        <v>1058</v>
      </c>
      <c r="N364" s="473" t="s">
        <v>820</v>
      </c>
      <c r="O364" s="474" t="s">
        <v>2605</v>
      </c>
    </row>
    <row r="365" spans="1:15" s="475" customFormat="1" ht="12" hidden="1">
      <c r="A365" s="465">
        <v>10131000056733</v>
      </c>
      <c r="B365" s="476" t="s">
        <v>2883</v>
      </c>
      <c r="C365" s="476" t="s">
        <v>2884</v>
      </c>
      <c r="D365" s="467" t="s">
        <v>2604</v>
      </c>
      <c r="E365" s="472" t="s">
        <v>2541</v>
      </c>
      <c r="F365" s="477">
        <v>85.047921599999995</v>
      </c>
      <c r="G365" s="469" t="s">
        <v>2472</v>
      </c>
      <c r="H365" s="470">
        <v>64.209999999999994</v>
      </c>
      <c r="I365" s="471">
        <v>98.400422974649985</v>
      </c>
      <c r="J365" s="485" t="s">
        <v>421</v>
      </c>
      <c r="K365" s="472" t="s">
        <v>651</v>
      </c>
      <c r="L365" s="473" t="s">
        <v>530</v>
      </c>
      <c r="M365" s="473" t="s">
        <v>1058</v>
      </c>
      <c r="N365" s="473" t="s">
        <v>820</v>
      </c>
      <c r="O365" s="474" t="s">
        <v>2605</v>
      </c>
    </row>
    <row r="366" spans="1:15" s="475" customFormat="1" ht="12" hidden="1">
      <c r="A366" s="465">
        <v>10131000056765</v>
      </c>
      <c r="B366" s="476" t="s">
        <v>2883</v>
      </c>
      <c r="C366" s="476" t="s">
        <v>2884</v>
      </c>
      <c r="D366" s="467" t="s">
        <v>2604</v>
      </c>
      <c r="E366" s="472" t="s">
        <v>2541</v>
      </c>
      <c r="F366" s="477">
        <v>85.047921599999995</v>
      </c>
      <c r="G366" s="469" t="s">
        <v>2472</v>
      </c>
      <c r="H366" s="470">
        <v>64.209999999999994</v>
      </c>
      <c r="I366" s="471">
        <v>98.400422974649985</v>
      </c>
      <c r="J366" s="485" t="s">
        <v>421</v>
      </c>
      <c r="K366" s="472" t="s">
        <v>651</v>
      </c>
      <c r="L366" s="473" t="s">
        <v>530</v>
      </c>
      <c r="M366" s="473" t="s">
        <v>1058</v>
      </c>
      <c r="N366" s="473" t="s">
        <v>820</v>
      </c>
      <c r="O366" s="474" t="s">
        <v>2605</v>
      </c>
    </row>
    <row r="367" spans="1:15" s="475" customFormat="1" ht="12" hidden="1">
      <c r="A367" s="465">
        <v>10131000057052</v>
      </c>
      <c r="B367" s="476" t="s">
        <v>2883</v>
      </c>
      <c r="C367" s="476" t="s">
        <v>2884</v>
      </c>
      <c r="D367" s="467" t="s">
        <v>2604</v>
      </c>
      <c r="E367" s="472" t="s">
        <v>2541</v>
      </c>
      <c r="F367" s="477">
        <v>85.047921599999995</v>
      </c>
      <c r="G367" s="469" t="s">
        <v>2472</v>
      </c>
      <c r="H367" s="470">
        <v>64.209999999999994</v>
      </c>
      <c r="I367" s="471">
        <v>98.400422974649985</v>
      </c>
      <c r="J367" s="485" t="s">
        <v>421</v>
      </c>
      <c r="K367" s="472" t="s">
        <v>651</v>
      </c>
      <c r="L367" s="473" t="s">
        <v>530</v>
      </c>
      <c r="M367" s="473" t="s">
        <v>1058</v>
      </c>
      <c r="N367" s="473" t="s">
        <v>820</v>
      </c>
      <c r="O367" s="474" t="s">
        <v>2605</v>
      </c>
    </row>
    <row r="368" spans="1:15" s="475" customFormat="1" ht="12" hidden="1">
      <c r="A368" s="465">
        <v>10131000056880</v>
      </c>
      <c r="B368" s="476" t="s">
        <v>2883</v>
      </c>
      <c r="C368" s="476" t="s">
        <v>2884</v>
      </c>
      <c r="D368" s="467" t="s">
        <v>2604</v>
      </c>
      <c r="E368" s="472" t="s">
        <v>2491</v>
      </c>
      <c r="F368" s="477">
        <v>85.433499999999995</v>
      </c>
      <c r="G368" s="469" t="s">
        <v>2472</v>
      </c>
      <c r="H368" s="470">
        <v>98.4</v>
      </c>
      <c r="I368" s="471">
        <v>98.4</v>
      </c>
      <c r="J368" s="485" t="s">
        <v>421</v>
      </c>
      <c r="K368" s="472" t="s">
        <v>651</v>
      </c>
      <c r="L368" s="473" t="s">
        <v>530</v>
      </c>
      <c r="M368" s="473" t="s">
        <v>1058</v>
      </c>
      <c r="N368" s="473" t="s">
        <v>820</v>
      </c>
      <c r="O368" s="474" t="s">
        <v>2605</v>
      </c>
    </row>
    <row r="369" spans="1:15" s="475" customFormat="1" ht="12" hidden="1">
      <c r="A369" s="465">
        <v>10131000056881</v>
      </c>
      <c r="B369" s="476" t="s">
        <v>2883</v>
      </c>
      <c r="C369" s="476" t="s">
        <v>2884</v>
      </c>
      <c r="D369" s="467" t="s">
        <v>2604</v>
      </c>
      <c r="E369" s="472" t="s">
        <v>2491</v>
      </c>
      <c r="F369" s="477">
        <v>85.433499999999995</v>
      </c>
      <c r="G369" s="469" t="s">
        <v>2472</v>
      </c>
      <c r="H369" s="470">
        <v>98.4</v>
      </c>
      <c r="I369" s="471">
        <v>98.4</v>
      </c>
      <c r="J369" s="485" t="s">
        <v>421</v>
      </c>
      <c r="K369" s="472" t="s">
        <v>651</v>
      </c>
      <c r="L369" s="473" t="s">
        <v>530</v>
      </c>
      <c r="M369" s="473" t="s">
        <v>1058</v>
      </c>
      <c r="N369" s="473" t="s">
        <v>820</v>
      </c>
      <c r="O369" s="474" t="s">
        <v>2605</v>
      </c>
    </row>
    <row r="370" spans="1:15" s="475" customFormat="1" ht="12" hidden="1">
      <c r="A370" s="465">
        <v>10131000056882</v>
      </c>
      <c r="B370" s="476" t="s">
        <v>2883</v>
      </c>
      <c r="C370" s="476" t="s">
        <v>2884</v>
      </c>
      <c r="D370" s="467" t="s">
        <v>2604</v>
      </c>
      <c r="E370" s="472" t="s">
        <v>2491</v>
      </c>
      <c r="F370" s="477">
        <v>85.433499999999995</v>
      </c>
      <c r="G370" s="469" t="s">
        <v>2472</v>
      </c>
      <c r="H370" s="470">
        <v>98.4</v>
      </c>
      <c r="I370" s="471">
        <v>98.4</v>
      </c>
      <c r="J370" s="485" t="s">
        <v>421</v>
      </c>
      <c r="K370" s="472" t="s">
        <v>651</v>
      </c>
      <c r="L370" s="473" t="s">
        <v>530</v>
      </c>
      <c r="M370" s="473" t="s">
        <v>1058</v>
      </c>
      <c r="N370" s="473" t="s">
        <v>820</v>
      </c>
      <c r="O370" s="474" t="s">
        <v>2605</v>
      </c>
    </row>
    <row r="371" spans="1:15" s="475" customFormat="1" ht="12" hidden="1">
      <c r="A371" s="465">
        <v>10131000057977</v>
      </c>
      <c r="B371" s="466" t="s">
        <v>2883</v>
      </c>
      <c r="C371" s="466" t="s">
        <v>2887</v>
      </c>
      <c r="D371" s="467" t="s">
        <v>2604</v>
      </c>
      <c r="E371" s="468" t="s">
        <v>2491</v>
      </c>
      <c r="F371" s="477" t="s">
        <v>2472</v>
      </c>
      <c r="G371" s="469" t="s">
        <v>2472</v>
      </c>
      <c r="H371" s="470">
        <v>86.3</v>
      </c>
      <c r="I371" s="471">
        <v>86.3</v>
      </c>
      <c r="J371" s="472" t="s">
        <v>423</v>
      </c>
      <c r="K371" s="472" t="s">
        <v>2620</v>
      </c>
      <c r="L371" s="473" t="s">
        <v>530</v>
      </c>
      <c r="M371" s="473" t="s">
        <v>1058</v>
      </c>
      <c r="N371" s="473" t="s">
        <v>820</v>
      </c>
      <c r="O371" s="474" t="s">
        <v>2605</v>
      </c>
    </row>
    <row r="372" spans="1:15" s="475" customFormat="1" ht="12" hidden="1">
      <c r="A372" s="465">
        <v>10131000057979</v>
      </c>
      <c r="B372" s="466" t="s">
        <v>2883</v>
      </c>
      <c r="C372" s="466" t="s">
        <v>2887</v>
      </c>
      <c r="D372" s="467" t="s">
        <v>2604</v>
      </c>
      <c r="E372" s="468" t="s">
        <v>2619</v>
      </c>
      <c r="F372" s="477" t="s">
        <v>2472</v>
      </c>
      <c r="G372" s="469" t="s">
        <v>2472</v>
      </c>
      <c r="H372" s="470">
        <v>86.3</v>
      </c>
      <c r="I372" s="471">
        <v>86.3</v>
      </c>
      <c r="J372" s="472" t="s">
        <v>423</v>
      </c>
      <c r="K372" s="472" t="s">
        <v>2620</v>
      </c>
      <c r="L372" s="473" t="s">
        <v>530</v>
      </c>
      <c r="M372" s="473" t="s">
        <v>1058</v>
      </c>
      <c r="N372" s="473" t="s">
        <v>820</v>
      </c>
      <c r="O372" s="474" t="s">
        <v>2605</v>
      </c>
    </row>
    <row r="373" spans="1:15" s="475" customFormat="1" ht="12" hidden="1">
      <c r="A373" s="465">
        <v>10131000056447</v>
      </c>
      <c r="B373" s="476" t="s">
        <v>2888</v>
      </c>
      <c r="C373" s="476" t="s">
        <v>2888</v>
      </c>
      <c r="D373" s="467" t="s">
        <v>1045</v>
      </c>
      <c r="E373" s="472" t="s">
        <v>2491</v>
      </c>
      <c r="F373" s="477">
        <v>0</v>
      </c>
      <c r="G373" s="469" t="s">
        <v>2472</v>
      </c>
      <c r="H373" s="470">
        <v>1E-8</v>
      </c>
      <c r="I373" s="471">
        <v>0</v>
      </c>
      <c r="J373" s="472" t="s">
        <v>2492</v>
      </c>
      <c r="K373" s="478" t="s">
        <v>2522</v>
      </c>
      <c r="L373" s="479" t="s">
        <v>530</v>
      </c>
      <c r="M373" s="479" t="s">
        <v>1058</v>
      </c>
      <c r="N373" s="479" t="s">
        <v>2570</v>
      </c>
      <c r="O373" s="480" t="s">
        <v>2889</v>
      </c>
    </row>
    <row r="374" spans="1:15" s="475" customFormat="1" ht="12" hidden="1">
      <c r="A374" s="465">
        <v>10131000015818</v>
      </c>
      <c r="B374" s="476" t="s">
        <v>2888</v>
      </c>
      <c r="C374" s="476" t="s">
        <v>2890</v>
      </c>
      <c r="D374" s="467" t="s">
        <v>990</v>
      </c>
      <c r="E374" s="472" t="s">
        <v>2541</v>
      </c>
      <c r="F374" s="477">
        <v>1.47858</v>
      </c>
      <c r="G374" s="469" t="s">
        <v>2472</v>
      </c>
      <c r="H374" s="470">
        <v>1.18</v>
      </c>
      <c r="I374" s="471">
        <v>1.8083242346999997</v>
      </c>
      <c r="J374" s="485" t="s">
        <v>421</v>
      </c>
      <c r="K374" s="472" t="s">
        <v>651</v>
      </c>
      <c r="L374" s="473" t="s">
        <v>530</v>
      </c>
      <c r="M374" s="473" t="s">
        <v>1058</v>
      </c>
      <c r="N374" s="473" t="s">
        <v>2570</v>
      </c>
      <c r="O374" s="474" t="s">
        <v>2889</v>
      </c>
    </row>
    <row r="375" spans="1:15" s="475" customFormat="1" ht="12" hidden="1">
      <c r="A375" s="465">
        <v>10131000015820</v>
      </c>
      <c r="B375" s="476" t="s">
        <v>2888</v>
      </c>
      <c r="C375" s="476" t="s">
        <v>2890</v>
      </c>
      <c r="D375" s="467" t="s">
        <v>990</v>
      </c>
      <c r="E375" s="472" t="s">
        <v>2541</v>
      </c>
      <c r="F375" s="477">
        <v>1.47858</v>
      </c>
      <c r="G375" s="469" t="s">
        <v>2472</v>
      </c>
      <c r="H375" s="470">
        <v>1.18</v>
      </c>
      <c r="I375" s="471">
        <v>1.8083242346999997</v>
      </c>
      <c r="J375" s="485" t="s">
        <v>421</v>
      </c>
      <c r="K375" s="472" t="s">
        <v>651</v>
      </c>
      <c r="L375" s="473" t="s">
        <v>530</v>
      </c>
      <c r="M375" s="473" t="s">
        <v>1058</v>
      </c>
      <c r="N375" s="473" t="s">
        <v>2570</v>
      </c>
      <c r="O375" s="474" t="s">
        <v>2889</v>
      </c>
    </row>
    <row r="376" spans="1:15" s="475" customFormat="1" ht="12" hidden="1">
      <c r="A376" s="465">
        <v>10131000015821</v>
      </c>
      <c r="B376" s="476" t="s">
        <v>2888</v>
      </c>
      <c r="C376" s="476" t="s">
        <v>2890</v>
      </c>
      <c r="D376" s="467" t="s">
        <v>990</v>
      </c>
      <c r="E376" s="472" t="s">
        <v>2491</v>
      </c>
      <c r="F376" s="477">
        <v>1.482</v>
      </c>
      <c r="G376" s="469" t="s">
        <v>2472</v>
      </c>
      <c r="H376" s="470">
        <v>1.8</v>
      </c>
      <c r="I376" s="471">
        <v>1.8</v>
      </c>
      <c r="J376" s="485" t="s">
        <v>421</v>
      </c>
      <c r="K376" s="472" t="s">
        <v>651</v>
      </c>
      <c r="L376" s="473" t="s">
        <v>530</v>
      </c>
      <c r="M376" s="473" t="s">
        <v>1058</v>
      </c>
      <c r="N376" s="473" t="s">
        <v>2570</v>
      </c>
      <c r="O376" s="474" t="s">
        <v>2889</v>
      </c>
    </row>
    <row r="377" spans="1:15" s="475" customFormat="1" ht="12" hidden="1">
      <c r="A377" s="465">
        <v>1000058583</v>
      </c>
      <c r="B377" s="476" t="s">
        <v>2888</v>
      </c>
      <c r="C377" s="476" t="s">
        <v>2891</v>
      </c>
      <c r="D377" s="467" t="s">
        <v>1045</v>
      </c>
      <c r="E377" s="472" t="s">
        <v>2491</v>
      </c>
      <c r="F377" s="477" t="s">
        <v>2472</v>
      </c>
      <c r="G377" s="469" t="s">
        <v>2472</v>
      </c>
      <c r="H377" s="470">
        <v>0</v>
      </c>
      <c r="I377" s="471">
        <v>0</v>
      </c>
      <c r="J377" s="488" t="s">
        <v>2492</v>
      </c>
      <c r="K377" s="472" t="s">
        <v>658</v>
      </c>
      <c r="L377" s="473" t="s">
        <v>530</v>
      </c>
      <c r="M377" s="473" t="s">
        <v>1058</v>
      </c>
      <c r="N377" s="473" t="s">
        <v>2570</v>
      </c>
      <c r="O377" s="474" t="s">
        <v>2889</v>
      </c>
    </row>
    <row r="378" spans="1:15" s="475" customFormat="1" ht="12" hidden="1">
      <c r="A378" s="465">
        <v>10131000058264</v>
      </c>
      <c r="B378" s="489" t="s">
        <v>2888</v>
      </c>
      <c r="C378" s="489" t="s">
        <v>2892</v>
      </c>
      <c r="D378" s="467" t="s">
        <v>990</v>
      </c>
      <c r="E378" s="478" t="s">
        <v>2514</v>
      </c>
      <c r="F378" s="477" t="s">
        <v>2472</v>
      </c>
      <c r="G378" s="469" t="s">
        <v>2472</v>
      </c>
      <c r="H378" s="481">
        <v>41352</v>
      </c>
      <c r="I378" s="482">
        <v>422.14</v>
      </c>
      <c r="J378" s="483" t="s">
        <v>2515</v>
      </c>
      <c r="K378" s="483" t="s">
        <v>2515</v>
      </c>
      <c r="L378" s="473" t="s">
        <v>530</v>
      </c>
      <c r="M378" s="473" t="s">
        <v>1058</v>
      </c>
      <c r="N378" s="473" t="s">
        <v>2570</v>
      </c>
      <c r="O378" s="474" t="s">
        <v>2889</v>
      </c>
    </row>
    <row r="379" spans="1:15" s="475" customFormat="1" ht="12" hidden="1">
      <c r="A379" s="465">
        <v>10131000058265</v>
      </c>
      <c r="B379" s="489" t="s">
        <v>2888</v>
      </c>
      <c r="C379" s="489" t="s">
        <v>2893</v>
      </c>
      <c r="D379" s="467" t="s">
        <v>990</v>
      </c>
      <c r="E379" s="478" t="s">
        <v>2514</v>
      </c>
      <c r="F379" s="477" t="s">
        <v>2472</v>
      </c>
      <c r="G379" s="469" t="s">
        <v>2472</v>
      </c>
      <c r="H379" s="481">
        <v>41352</v>
      </c>
      <c r="I379" s="482">
        <v>422.14</v>
      </c>
      <c r="J379" s="483" t="s">
        <v>2515</v>
      </c>
      <c r="K379" s="483" t="s">
        <v>2515</v>
      </c>
      <c r="L379" s="473" t="s">
        <v>530</v>
      </c>
      <c r="M379" s="473" t="s">
        <v>1058</v>
      </c>
      <c r="N379" s="473" t="s">
        <v>2570</v>
      </c>
      <c r="O379" s="474" t="s">
        <v>2889</v>
      </c>
    </row>
    <row r="380" spans="1:15" s="475" customFormat="1" ht="12" hidden="1">
      <c r="A380" s="465">
        <v>10131000016248</v>
      </c>
      <c r="B380" s="476" t="s">
        <v>2894</v>
      </c>
      <c r="C380" s="476" t="s">
        <v>2895</v>
      </c>
      <c r="D380" s="467" t="s">
        <v>1840</v>
      </c>
      <c r="E380" s="472" t="s">
        <v>2715</v>
      </c>
      <c r="F380" s="477">
        <v>0</v>
      </c>
      <c r="G380" s="469" t="s">
        <v>2472</v>
      </c>
      <c r="H380" s="470">
        <v>1E-8</v>
      </c>
      <c r="I380" s="471">
        <v>1.3280192891666669E-8</v>
      </c>
      <c r="J380" s="485" t="s">
        <v>421</v>
      </c>
      <c r="K380" s="472" t="s">
        <v>629</v>
      </c>
      <c r="L380" s="473" t="s">
        <v>2474</v>
      </c>
      <c r="M380" s="473" t="s">
        <v>1835</v>
      </c>
      <c r="N380" s="473" t="s">
        <v>2894</v>
      </c>
      <c r="O380" s="474" t="s">
        <v>2894</v>
      </c>
    </row>
    <row r="381" spans="1:15" s="475" customFormat="1" ht="12" hidden="1">
      <c r="A381" s="465">
        <v>10131000016250</v>
      </c>
      <c r="B381" s="476" t="s">
        <v>2894</v>
      </c>
      <c r="C381" s="476" t="s">
        <v>2896</v>
      </c>
      <c r="D381" s="467" t="s">
        <v>1840</v>
      </c>
      <c r="E381" s="472" t="s">
        <v>2840</v>
      </c>
      <c r="F381" s="477">
        <v>139.52843941861201</v>
      </c>
      <c r="G381" s="469" t="s">
        <v>2472</v>
      </c>
      <c r="H381" s="470">
        <v>275.7176647</v>
      </c>
      <c r="I381" s="471">
        <v>133.59615384914443</v>
      </c>
      <c r="J381" s="485" t="s">
        <v>421</v>
      </c>
      <c r="K381" s="472" t="s">
        <v>643</v>
      </c>
      <c r="L381" s="473" t="s">
        <v>2474</v>
      </c>
      <c r="M381" s="473" t="s">
        <v>1835</v>
      </c>
      <c r="N381" s="473" t="s">
        <v>2894</v>
      </c>
      <c r="O381" s="474" t="s">
        <v>2894</v>
      </c>
    </row>
    <row r="382" spans="1:15" s="475" customFormat="1" ht="12" hidden="1">
      <c r="A382" s="465">
        <v>10131000056563</v>
      </c>
      <c r="B382" s="476" t="s">
        <v>2894</v>
      </c>
      <c r="C382" s="476" t="s">
        <v>2897</v>
      </c>
      <c r="D382" s="467" t="s">
        <v>1840</v>
      </c>
      <c r="E382" s="472" t="s">
        <v>2491</v>
      </c>
      <c r="F382" s="477">
        <v>150.964</v>
      </c>
      <c r="G382" s="469" t="s">
        <v>2472</v>
      </c>
      <c r="H382" s="487">
        <v>308.85000000000002</v>
      </c>
      <c r="I382" s="471">
        <v>308.85000000000002</v>
      </c>
      <c r="J382" s="488" t="s">
        <v>2492</v>
      </c>
      <c r="K382" s="472" t="s">
        <v>672</v>
      </c>
      <c r="L382" s="473" t="s">
        <v>2474</v>
      </c>
      <c r="M382" s="473" t="s">
        <v>1835</v>
      </c>
      <c r="N382" s="473" t="s">
        <v>2894</v>
      </c>
      <c r="O382" s="474" t="s">
        <v>2894</v>
      </c>
    </row>
    <row r="383" spans="1:15" s="475" customFormat="1" ht="12" hidden="1">
      <c r="A383" s="465">
        <v>10131000016241</v>
      </c>
      <c r="B383" s="476" t="s">
        <v>2894</v>
      </c>
      <c r="C383" s="476" t="s">
        <v>2898</v>
      </c>
      <c r="D383" s="467" t="s">
        <v>1840</v>
      </c>
      <c r="E383" s="472" t="s">
        <v>2715</v>
      </c>
      <c r="F383" s="477">
        <v>162.55371872000001</v>
      </c>
      <c r="G383" s="469" t="s">
        <v>2472</v>
      </c>
      <c r="H383" s="470">
        <v>180.11</v>
      </c>
      <c r="I383" s="471">
        <v>239.1895541718084</v>
      </c>
      <c r="J383" s="485" t="s">
        <v>421</v>
      </c>
      <c r="K383" s="472" t="s">
        <v>591</v>
      </c>
      <c r="L383" s="473" t="s">
        <v>2474</v>
      </c>
      <c r="M383" s="473" t="s">
        <v>1835</v>
      </c>
      <c r="N383" s="473" t="s">
        <v>2894</v>
      </c>
      <c r="O383" s="474" t="s">
        <v>2894</v>
      </c>
    </row>
    <row r="384" spans="1:15" s="475" customFormat="1" ht="12" hidden="1">
      <c r="A384" s="465">
        <v>10131000016243</v>
      </c>
      <c r="B384" s="476" t="s">
        <v>2894</v>
      </c>
      <c r="C384" s="476" t="s">
        <v>2899</v>
      </c>
      <c r="D384" s="467" t="s">
        <v>1840</v>
      </c>
      <c r="E384" s="472" t="s">
        <v>2808</v>
      </c>
      <c r="F384" s="477">
        <v>163.173954463272</v>
      </c>
      <c r="G384" s="469" t="s">
        <v>2472</v>
      </c>
      <c r="H384" s="470">
        <v>850.3</v>
      </c>
      <c r="I384" s="471">
        <v>237.63263312524998</v>
      </c>
      <c r="J384" s="485" t="s">
        <v>421</v>
      </c>
      <c r="K384" s="472" t="s">
        <v>599</v>
      </c>
      <c r="L384" s="473" t="s">
        <v>2474</v>
      </c>
      <c r="M384" s="473" t="s">
        <v>1835</v>
      </c>
      <c r="N384" s="473" t="s">
        <v>2894</v>
      </c>
      <c r="O384" s="474" t="s">
        <v>2894</v>
      </c>
    </row>
    <row r="385" spans="1:15" s="475" customFormat="1" ht="12" hidden="1">
      <c r="A385" s="465">
        <v>10131000056531</v>
      </c>
      <c r="B385" s="476" t="s">
        <v>2894</v>
      </c>
      <c r="C385" s="476" t="s">
        <v>2900</v>
      </c>
      <c r="D385" s="467" t="s">
        <v>1840</v>
      </c>
      <c r="E385" s="472" t="s">
        <v>2491</v>
      </c>
      <c r="F385" s="477">
        <v>183.4316</v>
      </c>
      <c r="G385" s="469" t="s">
        <v>2472</v>
      </c>
      <c r="H385" s="487">
        <v>306.49</v>
      </c>
      <c r="I385" s="471">
        <v>306.49</v>
      </c>
      <c r="J385" s="488" t="s">
        <v>2492</v>
      </c>
      <c r="K385" s="472" t="s">
        <v>660</v>
      </c>
      <c r="L385" s="473" t="s">
        <v>2474</v>
      </c>
      <c r="M385" s="473" t="s">
        <v>1835</v>
      </c>
      <c r="N385" s="473" t="s">
        <v>2894</v>
      </c>
      <c r="O385" s="474" t="s">
        <v>2894</v>
      </c>
    </row>
    <row r="386" spans="1:15" s="475" customFormat="1" ht="12" hidden="1">
      <c r="A386" s="465">
        <v>10131000016249</v>
      </c>
      <c r="B386" s="476" t="s">
        <v>2894</v>
      </c>
      <c r="C386" s="476" t="s">
        <v>2901</v>
      </c>
      <c r="D386" s="467" t="s">
        <v>1840</v>
      </c>
      <c r="E386" s="472" t="s">
        <v>2833</v>
      </c>
      <c r="F386" s="477">
        <v>199.91942042811999</v>
      </c>
      <c r="G386" s="469" t="s">
        <v>2472</v>
      </c>
      <c r="H386" s="470">
        <v>1483.6</v>
      </c>
      <c r="I386" s="471">
        <v>143.40838980233332</v>
      </c>
      <c r="J386" s="485" t="s">
        <v>421</v>
      </c>
      <c r="K386" s="472" t="s">
        <v>631</v>
      </c>
      <c r="L386" s="473" t="s">
        <v>2474</v>
      </c>
      <c r="M386" s="473" t="s">
        <v>1835</v>
      </c>
      <c r="N386" s="473" t="s">
        <v>2894</v>
      </c>
      <c r="O386" s="474" t="s">
        <v>2894</v>
      </c>
    </row>
    <row r="387" spans="1:15" s="475" customFormat="1" ht="12" hidden="1">
      <c r="A387" s="465">
        <v>10131000056419</v>
      </c>
      <c r="B387" s="466" t="s">
        <v>2894</v>
      </c>
      <c r="C387" s="466" t="s">
        <v>2894</v>
      </c>
      <c r="D387" s="467" t="s">
        <v>1840</v>
      </c>
      <c r="E387" s="468" t="s">
        <v>2491</v>
      </c>
      <c r="F387" s="477">
        <v>213</v>
      </c>
      <c r="G387" s="469" t="s">
        <v>2472</v>
      </c>
      <c r="H387" s="470">
        <v>220.5</v>
      </c>
      <c r="I387" s="471">
        <v>220.5</v>
      </c>
      <c r="J387" s="472" t="s">
        <v>423</v>
      </c>
      <c r="K387" s="472" t="s">
        <v>534</v>
      </c>
      <c r="L387" s="473" t="s">
        <v>2474</v>
      </c>
      <c r="M387" s="473" t="s">
        <v>1835</v>
      </c>
      <c r="N387" s="473" t="s">
        <v>2894</v>
      </c>
      <c r="O387" s="474" t="s">
        <v>2894</v>
      </c>
    </row>
    <row r="388" spans="1:15" s="475" customFormat="1" ht="12" hidden="1">
      <c r="A388" s="465">
        <v>10131000016258</v>
      </c>
      <c r="B388" s="476" t="s">
        <v>2894</v>
      </c>
      <c r="C388" s="476" t="s">
        <v>2902</v>
      </c>
      <c r="D388" s="467" t="s">
        <v>1840</v>
      </c>
      <c r="E388" s="472" t="s">
        <v>2715</v>
      </c>
      <c r="F388" s="477">
        <v>234.30148224000004</v>
      </c>
      <c r="G388" s="469" t="s">
        <v>2472</v>
      </c>
      <c r="H388" s="470">
        <v>195.06</v>
      </c>
      <c r="I388" s="471">
        <v>259.04344254485005</v>
      </c>
      <c r="J388" s="485" t="s">
        <v>421</v>
      </c>
      <c r="K388" s="472" t="s">
        <v>597</v>
      </c>
      <c r="L388" s="473" t="s">
        <v>2474</v>
      </c>
      <c r="M388" s="473" t="s">
        <v>1835</v>
      </c>
      <c r="N388" s="473" t="s">
        <v>2894</v>
      </c>
      <c r="O388" s="474" t="s">
        <v>2894</v>
      </c>
    </row>
    <row r="389" spans="1:15" s="475" customFormat="1" ht="12" hidden="1">
      <c r="A389" s="465">
        <v>10131000016262</v>
      </c>
      <c r="B389" s="476" t="s">
        <v>2894</v>
      </c>
      <c r="C389" s="476" t="s">
        <v>2903</v>
      </c>
      <c r="D389" s="467" t="s">
        <v>1840</v>
      </c>
      <c r="E389" s="472" t="s">
        <v>2715</v>
      </c>
      <c r="F389" s="477">
        <v>245.98706592000002</v>
      </c>
      <c r="G389" s="469" t="s">
        <v>2472</v>
      </c>
      <c r="H389" s="470">
        <v>122.94</v>
      </c>
      <c r="I389" s="471">
        <v>163.26669141015003</v>
      </c>
      <c r="J389" s="485" t="s">
        <v>421</v>
      </c>
      <c r="K389" s="472" t="s">
        <v>633</v>
      </c>
      <c r="L389" s="473" t="s">
        <v>2474</v>
      </c>
      <c r="M389" s="473" t="s">
        <v>1835</v>
      </c>
      <c r="N389" s="473" t="s">
        <v>2894</v>
      </c>
      <c r="O389" s="474" t="s">
        <v>2894</v>
      </c>
    </row>
    <row r="390" spans="1:15" s="475" customFormat="1" ht="12" hidden="1">
      <c r="A390" s="465">
        <v>10131000016252</v>
      </c>
      <c r="B390" s="476" t="s">
        <v>2894</v>
      </c>
      <c r="C390" s="476" t="s">
        <v>2904</v>
      </c>
      <c r="D390" s="467" t="s">
        <v>1840</v>
      </c>
      <c r="E390" s="472" t="s">
        <v>2541</v>
      </c>
      <c r="F390" s="477">
        <v>288.40434407999999</v>
      </c>
      <c r="G390" s="469" t="s">
        <v>2472</v>
      </c>
      <c r="H390" s="470">
        <v>169.46</v>
      </c>
      <c r="I390" s="471">
        <v>259.69374984090001</v>
      </c>
      <c r="J390" s="485" t="s">
        <v>421</v>
      </c>
      <c r="K390" s="472" t="s">
        <v>651</v>
      </c>
      <c r="L390" s="473" t="s">
        <v>2474</v>
      </c>
      <c r="M390" s="473" t="s">
        <v>1835</v>
      </c>
      <c r="N390" s="473" t="s">
        <v>2894</v>
      </c>
      <c r="O390" s="474" t="s">
        <v>2894</v>
      </c>
    </row>
    <row r="391" spans="1:15" s="475" customFormat="1" ht="12" hidden="1">
      <c r="A391" s="465">
        <v>10131000016253</v>
      </c>
      <c r="B391" s="476" t="s">
        <v>2894</v>
      </c>
      <c r="C391" s="476" t="s">
        <v>2904</v>
      </c>
      <c r="D391" s="467" t="s">
        <v>1840</v>
      </c>
      <c r="E391" s="472" t="s">
        <v>2541</v>
      </c>
      <c r="F391" s="477">
        <v>288.40434407999999</v>
      </c>
      <c r="G391" s="469" t="s">
        <v>2472</v>
      </c>
      <c r="H391" s="470">
        <v>169.46</v>
      </c>
      <c r="I391" s="471">
        <v>259.69374984090001</v>
      </c>
      <c r="J391" s="485" t="s">
        <v>421</v>
      </c>
      <c r="K391" s="472" t="s">
        <v>651</v>
      </c>
      <c r="L391" s="473" t="s">
        <v>2474</v>
      </c>
      <c r="M391" s="473" t="s">
        <v>1835</v>
      </c>
      <c r="N391" s="473" t="s">
        <v>2894</v>
      </c>
      <c r="O391" s="474" t="s">
        <v>2894</v>
      </c>
    </row>
    <row r="392" spans="1:15" s="475" customFormat="1" ht="12" hidden="1">
      <c r="A392" s="465">
        <v>10131000039360</v>
      </c>
      <c r="B392" s="476" t="s">
        <v>2894</v>
      </c>
      <c r="C392" s="476" t="s">
        <v>2904</v>
      </c>
      <c r="D392" s="467" t="s">
        <v>1840</v>
      </c>
      <c r="E392" s="472" t="s">
        <v>2491</v>
      </c>
      <c r="F392" s="477">
        <v>289.7174</v>
      </c>
      <c r="G392" s="469" t="s">
        <v>2472</v>
      </c>
      <c r="H392" s="470">
        <v>259.7</v>
      </c>
      <c r="I392" s="471">
        <v>259.7</v>
      </c>
      <c r="J392" s="485" t="s">
        <v>421</v>
      </c>
      <c r="K392" s="472" t="s">
        <v>651</v>
      </c>
      <c r="L392" s="473" t="s">
        <v>2474</v>
      </c>
      <c r="M392" s="473" t="s">
        <v>1835</v>
      </c>
      <c r="N392" s="473" t="s">
        <v>2894</v>
      </c>
      <c r="O392" s="474" t="s">
        <v>2894</v>
      </c>
    </row>
    <row r="393" spans="1:15" s="475" customFormat="1" ht="12" hidden="1">
      <c r="A393" s="465">
        <v>10131000056930</v>
      </c>
      <c r="B393" s="476" t="s">
        <v>2894</v>
      </c>
      <c r="C393" s="476" t="s">
        <v>2905</v>
      </c>
      <c r="D393" s="467" t="s">
        <v>1840</v>
      </c>
      <c r="E393" s="472" t="s">
        <v>2706</v>
      </c>
      <c r="F393" s="477">
        <v>313.48629961028797</v>
      </c>
      <c r="G393" s="469" t="s">
        <v>2472</v>
      </c>
      <c r="H393" s="470">
        <v>84755.18</v>
      </c>
      <c r="I393" s="471">
        <v>371.40277847601652</v>
      </c>
      <c r="J393" s="485" t="s">
        <v>421</v>
      </c>
      <c r="K393" s="472" t="s">
        <v>595</v>
      </c>
      <c r="L393" s="473" t="s">
        <v>2474</v>
      </c>
      <c r="M393" s="473" t="s">
        <v>1835</v>
      </c>
      <c r="N393" s="473" t="s">
        <v>2894</v>
      </c>
      <c r="O393" s="474" t="s">
        <v>2894</v>
      </c>
    </row>
    <row r="394" spans="1:15" s="475" customFormat="1" ht="12" hidden="1">
      <c r="A394" s="465">
        <v>10131000016245</v>
      </c>
      <c r="B394" s="476" t="s">
        <v>2894</v>
      </c>
      <c r="C394" s="476" t="s">
        <v>2906</v>
      </c>
      <c r="D394" s="467" t="s">
        <v>1840</v>
      </c>
      <c r="E394" s="472" t="s">
        <v>2718</v>
      </c>
      <c r="F394" s="477">
        <v>351.52822852076002</v>
      </c>
      <c r="G394" s="469" t="s">
        <v>2472</v>
      </c>
      <c r="H394" s="470">
        <v>5763.93</v>
      </c>
      <c r="I394" s="471">
        <v>167.99492258372501</v>
      </c>
      <c r="J394" s="485" t="s">
        <v>421</v>
      </c>
      <c r="K394" s="472" t="s">
        <v>625</v>
      </c>
      <c r="L394" s="473" t="s">
        <v>2474</v>
      </c>
      <c r="M394" s="473" t="s">
        <v>1835</v>
      </c>
      <c r="N394" s="473" t="s">
        <v>2894</v>
      </c>
      <c r="O394" s="474" t="s">
        <v>2894</v>
      </c>
    </row>
    <row r="395" spans="1:15" s="475" customFormat="1" ht="12" hidden="1">
      <c r="A395" s="465">
        <v>10131000038023</v>
      </c>
      <c r="B395" s="489" t="s">
        <v>2894</v>
      </c>
      <c r="C395" s="489" t="s">
        <v>2907</v>
      </c>
      <c r="D395" s="467" t="s">
        <v>1840</v>
      </c>
      <c r="E395" s="478" t="s">
        <v>2514</v>
      </c>
      <c r="F395" s="477">
        <v>410.13088803839997</v>
      </c>
      <c r="G395" s="469" t="s">
        <v>2472</v>
      </c>
      <c r="H395" s="481">
        <v>51511</v>
      </c>
      <c r="I395" s="482">
        <v>525.85</v>
      </c>
      <c r="J395" s="483" t="s">
        <v>2515</v>
      </c>
      <c r="K395" s="483" t="s">
        <v>2515</v>
      </c>
      <c r="L395" s="473" t="s">
        <v>2474</v>
      </c>
      <c r="M395" s="473" t="s">
        <v>1835</v>
      </c>
      <c r="N395" s="473" t="s">
        <v>2894</v>
      </c>
      <c r="O395" s="474" t="s">
        <v>2894</v>
      </c>
    </row>
    <row r="396" spans="1:15" s="475" customFormat="1" ht="12" hidden="1">
      <c r="A396" s="465">
        <v>10131000051760</v>
      </c>
      <c r="B396" s="489" t="s">
        <v>2894</v>
      </c>
      <c r="C396" s="489" t="s">
        <v>2908</v>
      </c>
      <c r="D396" s="467" t="s">
        <v>1840</v>
      </c>
      <c r="E396" s="478" t="s">
        <v>2514</v>
      </c>
      <c r="F396" s="477">
        <v>410.13088803839997</v>
      </c>
      <c r="G396" s="469" t="s">
        <v>2472</v>
      </c>
      <c r="H396" s="481">
        <v>51511</v>
      </c>
      <c r="I396" s="482">
        <v>525.85</v>
      </c>
      <c r="J396" s="483" t="s">
        <v>2515</v>
      </c>
      <c r="K396" s="483" t="s">
        <v>2515</v>
      </c>
      <c r="L396" s="473" t="s">
        <v>2474</v>
      </c>
      <c r="M396" s="473" t="s">
        <v>1835</v>
      </c>
      <c r="N396" s="473" t="s">
        <v>2894</v>
      </c>
      <c r="O396" s="474" t="s">
        <v>2894</v>
      </c>
    </row>
    <row r="397" spans="1:15" s="475" customFormat="1" ht="12" hidden="1">
      <c r="A397" s="465">
        <v>10131000056564</v>
      </c>
      <c r="B397" s="476" t="s">
        <v>2894</v>
      </c>
      <c r="C397" s="476" t="s">
        <v>2909</v>
      </c>
      <c r="D397" s="467" t="s">
        <v>1840</v>
      </c>
      <c r="E397" s="472" t="s">
        <v>2491</v>
      </c>
      <c r="F397" s="477">
        <v>498.56659999999999</v>
      </c>
      <c r="G397" s="469" t="s">
        <v>2472</v>
      </c>
      <c r="H397" s="487">
        <v>250.06</v>
      </c>
      <c r="I397" s="471">
        <v>250.06</v>
      </c>
      <c r="J397" s="488" t="s">
        <v>2492</v>
      </c>
      <c r="K397" s="472" t="s">
        <v>656</v>
      </c>
      <c r="L397" s="473" t="s">
        <v>2474</v>
      </c>
      <c r="M397" s="473" t="s">
        <v>1835</v>
      </c>
      <c r="N397" s="473" t="s">
        <v>2894</v>
      </c>
      <c r="O397" s="474" t="s">
        <v>2894</v>
      </c>
    </row>
    <row r="398" spans="1:15" s="475" customFormat="1" ht="12" hidden="1">
      <c r="A398" s="465">
        <v>10131000016257</v>
      </c>
      <c r="B398" s="476" t="s">
        <v>2894</v>
      </c>
      <c r="C398" s="476" t="s">
        <v>2910</v>
      </c>
      <c r="D398" s="467" t="s">
        <v>1840</v>
      </c>
      <c r="E398" s="472" t="s">
        <v>2715</v>
      </c>
      <c r="F398" s="477">
        <v>588.93621472000007</v>
      </c>
      <c r="G398" s="469" t="s">
        <v>2472</v>
      </c>
      <c r="H398" s="470">
        <v>397.1</v>
      </c>
      <c r="I398" s="471">
        <v>527.35645972808345</v>
      </c>
      <c r="J398" s="485" t="s">
        <v>421</v>
      </c>
      <c r="K398" s="472" t="s">
        <v>593</v>
      </c>
      <c r="L398" s="473" t="s">
        <v>2474</v>
      </c>
      <c r="M398" s="473" t="s">
        <v>1835</v>
      </c>
      <c r="N398" s="473" t="s">
        <v>2894</v>
      </c>
      <c r="O398" s="474" t="s">
        <v>2894</v>
      </c>
    </row>
    <row r="399" spans="1:15" s="475" customFormat="1" ht="12" hidden="1">
      <c r="A399" s="465">
        <v>10131000016263</v>
      </c>
      <c r="B399" s="476" t="s">
        <v>2894</v>
      </c>
      <c r="C399" s="476" t="s">
        <v>2911</v>
      </c>
      <c r="D399" s="467" t="s">
        <v>1840</v>
      </c>
      <c r="E399" s="472" t="s">
        <v>2874</v>
      </c>
      <c r="F399" s="477">
        <v>601.10071946332607</v>
      </c>
      <c r="G399" s="469" t="s">
        <v>2472</v>
      </c>
      <c r="H399" s="470">
        <v>1449.67</v>
      </c>
      <c r="I399" s="471">
        <v>1569.5650117126252</v>
      </c>
      <c r="J399" s="485" t="s">
        <v>421</v>
      </c>
      <c r="K399" s="472" t="s">
        <v>637</v>
      </c>
      <c r="L399" s="473" t="s">
        <v>2474</v>
      </c>
      <c r="M399" s="473" t="s">
        <v>1835</v>
      </c>
      <c r="N399" s="473" t="s">
        <v>2894</v>
      </c>
      <c r="O399" s="474" t="s">
        <v>2894</v>
      </c>
    </row>
    <row r="400" spans="1:15" s="475" customFormat="1" ht="12" hidden="1">
      <c r="A400" s="465">
        <v>10131000016260</v>
      </c>
      <c r="B400" s="476" t="s">
        <v>2894</v>
      </c>
      <c r="C400" s="476" t="s">
        <v>2912</v>
      </c>
      <c r="D400" s="467" t="s">
        <v>1840</v>
      </c>
      <c r="E400" s="472" t="s">
        <v>2715</v>
      </c>
      <c r="F400" s="477">
        <v>745.87446368000008</v>
      </c>
      <c r="G400" s="469" t="s">
        <v>2472</v>
      </c>
      <c r="H400" s="470">
        <v>919.79</v>
      </c>
      <c r="I400" s="471">
        <v>1221.4988619826086</v>
      </c>
      <c r="J400" s="485" t="s">
        <v>421</v>
      </c>
      <c r="K400" s="472" t="s">
        <v>601</v>
      </c>
      <c r="L400" s="473" t="s">
        <v>2474</v>
      </c>
      <c r="M400" s="473" t="s">
        <v>1835</v>
      </c>
      <c r="N400" s="473" t="s">
        <v>2894</v>
      </c>
      <c r="O400" s="474" t="s">
        <v>2894</v>
      </c>
    </row>
    <row r="401" spans="1:15" s="475" customFormat="1" ht="12" hidden="1">
      <c r="A401" s="465">
        <v>10131000016242</v>
      </c>
      <c r="B401" s="476" t="s">
        <v>2894</v>
      </c>
      <c r="C401" s="476" t="s">
        <v>2913</v>
      </c>
      <c r="D401" s="467" t="s">
        <v>1840</v>
      </c>
      <c r="E401" s="472" t="s">
        <v>2801</v>
      </c>
      <c r="F401" s="477">
        <v>916.70647108018204</v>
      </c>
      <c r="G401" s="469" t="s">
        <v>2472</v>
      </c>
      <c r="H401" s="470">
        <v>17112.12</v>
      </c>
      <c r="I401" s="471">
        <v>877.48524290979981</v>
      </c>
      <c r="J401" s="485" t="s">
        <v>421</v>
      </c>
      <c r="K401" s="472" t="s">
        <v>587</v>
      </c>
      <c r="L401" s="473" t="s">
        <v>2474</v>
      </c>
      <c r="M401" s="473" t="s">
        <v>1835</v>
      </c>
      <c r="N401" s="473" t="s">
        <v>2894</v>
      </c>
      <c r="O401" s="474" t="s">
        <v>2894</v>
      </c>
    </row>
    <row r="402" spans="1:15" s="475" customFormat="1" ht="12" hidden="1">
      <c r="A402" s="465">
        <v>10131000016264</v>
      </c>
      <c r="B402" s="476" t="s">
        <v>2894</v>
      </c>
      <c r="C402" s="476" t="s">
        <v>2914</v>
      </c>
      <c r="D402" s="467" t="s">
        <v>1840</v>
      </c>
      <c r="E402" s="472" t="s">
        <v>2715</v>
      </c>
      <c r="F402" s="477" t="s">
        <v>2472</v>
      </c>
      <c r="G402" s="469" t="s">
        <v>2472</v>
      </c>
      <c r="H402" s="470">
        <v>1E-8</v>
      </c>
      <c r="I402" s="471">
        <v>1.3280192891666669E-8</v>
      </c>
      <c r="J402" s="485" t="s">
        <v>421</v>
      </c>
      <c r="K402" s="472" t="s">
        <v>2779</v>
      </c>
      <c r="L402" s="473" t="s">
        <v>2474</v>
      </c>
      <c r="M402" s="473" t="s">
        <v>1835</v>
      </c>
      <c r="N402" s="473" t="s">
        <v>2894</v>
      </c>
      <c r="O402" s="474" t="s">
        <v>2894</v>
      </c>
    </row>
    <row r="403" spans="1:15" s="475" customFormat="1" ht="12" hidden="1">
      <c r="A403" s="465">
        <v>10131000028163</v>
      </c>
      <c r="B403" s="476" t="s">
        <v>1986</v>
      </c>
      <c r="C403" s="476" t="s">
        <v>2915</v>
      </c>
      <c r="D403" s="467" t="s">
        <v>1045</v>
      </c>
      <c r="E403" s="472" t="s">
        <v>2715</v>
      </c>
      <c r="F403" s="477">
        <v>0</v>
      </c>
      <c r="G403" s="469" t="s">
        <v>2472</v>
      </c>
      <c r="H403" s="470">
        <v>1E-8</v>
      </c>
      <c r="I403" s="471">
        <v>1.3280192891666669E-8</v>
      </c>
      <c r="J403" s="485" t="s">
        <v>421</v>
      </c>
      <c r="K403" s="472" t="s">
        <v>591</v>
      </c>
      <c r="L403" s="473" t="s">
        <v>2474</v>
      </c>
      <c r="M403" s="473" t="s">
        <v>1835</v>
      </c>
      <c r="N403" s="473" t="s">
        <v>2894</v>
      </c>
      <c r="O403" s="474" t="s">
        <v>1986</v>
      </c>
    </row>
    <row r="404" spans="1:15" s="475" customFormat="1" ht="12" hidden="1">
      <c r="A404" s="465">
        <v>10131000028168</v>
      </c>
      <c r="B404" s="476" t="s">
        <v>1986</v>
      </c>
      <c r="C404" s="476" t="s">
        <v>2916</v>
      </c>
      <c r="D404" s="467" t="s">
        <v>1045</v>
      </c>
      <c r="E404" s="472" t="s">
        <v>2715</v>
      </c>
      <c r="F404" s="477">
        <v>0</v>
      </c>
      <c r="G404" s="469" t="s">
        <v>2472</v>
      </c>
      <c r="H404" s="470">
        <v>1E-8</v>
      </c>
      <c r="I404" s="471">
        <v>1.3280192891666669E-8</v>
      </c>
      <c r="J404" s="485" t="s">
        <v>421</v>
      </c>
      <c r="K404" s="472" t="s">
        <v>601</v>
      </c>
      <c r="L404" s="473" t="s">
        <v>2474</v>
      </c>
      <c r="M404" s="473" t="s">
        <v>1835</v>
      </c>
      <c r="N404" s="473" t="s">
        <v>2894</v>
      </c>
      <c r="O404" s="474" t="s">
        <v>1986</v>
      </c>
    </row>
    <row r="405" spans="1:15" s="475" customFormat="1" ht="12" hidden="1">
      <c r="A405" s="465">
        <v>10131000028169</v>
      </c>
      <c r="B405" s="476" t="s">
        <v>1986</v>
      </c>
      <c r="C405" s="476" t="s">
        <v>2917</v>
      </c>
      <c r="D405" s="467" t="s">
        <v>1045</v>
      </c>
      <c r="E405" s="472" t="s">
        <v>2715</v>
      </c>
      <c r="F405" s="477">
        <v>0</v>
      </c>
      <c r="G405" s="469" t="s">
        <v>2472</v>
      </c>
      <c r="H405" s="470">
        <v>1E-8</v>
      </c>
      <c r="I405" s="471">
        <v>1.3280192891666669E-8</v>
      </c>
      <c r="J405" s="485" t="s">
        <v>421</v>
      </c>
      <c r="K405" s="472" t="s">
        <v>611</v>
      </c>
      <c r="L405" s="473" t="s">
        <v>2474</v>
      </c>
      <c r="M405" s="473" t="s">
        <v>1835</v>
      </c>
      <c r="N405" s="473" t="s">
        <v>2894</v>
      </c>
      <c r="O405" s="474" t="s">
        <v>1986</v>
      </c>
    </row>
    <row r="406" spans="1:15" s="475" customFormat="1" ht="12" hidden="1">
      <c r="A406" s="465">
        <v>10131000028146</v>
      </c>
      <c r="B406" s="476" t="s">
        <v>1986</v>
      </c>
      <c r="C406" s="476" t="s">
        <v>2918</v>
      </c>
      <c r="D406" s="467" t="s">
        <v>1045</v>
      </c>
      <c r="E406" s="472" t="s">
        <v>2718</v>
      </c>
      <c r="F406" s="477">
        <v>0</v>
      </c>
      <c r="G406" s="469" t="s">
        <v>2472</v>
      </c>
      <c r="H406" s="470">
        <v>1E-8</v>
      </c>
      <c r="I406" s="471">
        <v>2.9145899166666672E-10</v>
      </c>
      <c r="J406" s="485" t="s">
        <v>421</v>
      </c>
      <c r="K406" s="472" t="s">
        <v>625</v>
      </c>
      <c r="L406" s="473" t="s">
        <v>2474</v>
      </c>
      <c r="M406" s="473" t="s">
        <v>1835</v>
      </c>
      <c r="N406" s="473" t="s">
        <v>2894</v>
      </c>
      <c r="O406" s="474" t="s">
        <v>1986</v>
      </c>
    </row>
    <row r="407" spans="1:15" s="475" customFormat="1" ht="12" hidden="1">
      <c r="A407" s="465">
        <v>10131000056801</v>
      </c>
      <c r="B407" s="476" t="s">
        <v>1986</v>
      </c>
      <c r="C407" s="476" t="s">
        <v>2919</v>
      </c>
      <c r="D407" s="467" t="s">
        <v>1045</v>
      </c>
      <c r="E407" s="472" t="s">
        <v>2541</v>
      </c>
      <c r="F407" s="477">
        <v>0</v>
      </c>
      <c r="G407" s="469" t="s">
        <v>2472</v>
      </c>
      <c r="H407" s="470">
        <v>1E-8</v>
      </c>
      <c r="I407" s="471">
        <v>1.5324781650000001E-8</v>
      </c>
      <c r="J407" s="485" t="s">
        <v>421</v>
      </c>
      <c r="K407" s="472" t="s">
        <v>651</v>
      </c>
      <c r="L407" s="473" t="s">
        <v>2474</v>
      </c>
      <c r="M407" s="473" t="s">
        <v>1835</v>
      </c>
      <c r="N407" s="473" t="s">
        <v>2894</v>
      </c>
      <c r="O407" s="474" t="s">
        <v>1986</v>
      </c>
    </row>
    <row r="408" spans="1:15" s="475" customFormat="1" ht="12" hidden="1">
      <c r="A408" s="465">
        <v>10131000028166</v>
      </c>
      <c r="B408" s="476" t="s">
        <v>1986</v>
      </c>
      <c r="C408" s="476" t="s">
        <v>2920</v>
      </c>
      <c r="D408" s="467" t="s">
        <v>1045</v>
      </c>
      <c r="E408" s="472" t="s">
        <v>2715</v>
      </c>
      <c r="F408" s="477">
        <v>284.82842240000002</v>
      </c>
      <c r="G408" s="469" t="s">
        <v>2472</v>
      </c>
      <c r="H408" s="470">
        <v>1E-8</v>
      </c>
      <c r="I408" s="471">
        <v>1.3280192891666669E-8</v>
      </c>
      <c r="J408" s="485" t="s">
        <v>421</v>
      </c>
      <c r="K408" s="472" t="s">
        <v>597</v>
      </c>
      <c r="L408" s="473" t="s">
        <v>2474</v>
      </c>
      <c r="M408" s="473" t="s">
        <v>1835</v>
      </c>
      <c r="N408" s="473" t="s">
        <v>2894</v>
      </c>
      <c r="O408" s="474" t="s">
        <v>1986</v>
      </c>
    </row>
    <row r="409" spans="1:15" s="475" customFormat="1" ht="12" hidden="1">
      <c r="A409" s="465">
        <v>10131000058855</v>
      </c>
      <c r="B409" s="484" t="s">
        <v>2921</v>
      </c>
      <c r="C409" s="484" t="s">
        <v>2921</v>
      </c>
      <c r="D409" s="467" t="s">
        <v>2922</v>
      </c>
      <c r="E409" s="468" t="s">
        <v>2491</v>
      </c>
      <c r="F409" s="477" t="s">
        <v>2472</v>
      </c>
      <c r="G409" s="469" t="s">
        <v>2472</v>
      </c>
      <c r="H409" s="470">
        <v>175</v>
      </c>
      <c r="I409" s="471">
        <v>175</v>
      </c>
      <c r="J409" s="472" t="s">
        <v>423</v>
      </c>
      <c r="K409" s="472" t="s">
        <v>534</v>
      </c>
      <c r="L409" s="473" t="s">
        <v>2474</v>
      </c>
      <c r="M409" s="473" t="s">
        <v>1835</v>
      </c>
      <c r="N409" s="473" t="s">
        <v>2923</v>
      </c>
      <c r="O409" s="491" t="s">
        <v>2921</v>
      </c>
    </row>
    <row r="410" spans="1:15" s="475" customFormat="1" ht="12" hidden="1">
      <c r="A410" s="465">
        <v>10131000056541</v>
      </c>
      <c r="B410" s="489" t="s">
        <v>2924</v>
      </c>
      <c r="C410" s="489" t="s">
        <v>2925</v>
      </c>
      <c r="D410" s="467" t="s">
        <v>1045</v>
      </c>
      <c r="E410" s="478" t="s">
        <v>2514</v>
      </c>
      <c r="F410" s="477">
        <v>0</v>
      </c>
      <c r="G410" s="469" t="s">
        <v>2472</v>
      </c>
      <c r="H410" s="481">
        <v>0</v>
      </c>
      <c r="I410" s="482">
        <v>0</v>
      </c>
      <c r="J410" s="483" t="s">
        <v>2515</v>
      </c>
      <c r="K410" s="483" t="s">
        <v>2515</v>
      </c>
      <c r="L410" s="473" t="s">
        <v>2474</v>
      </c>
      <c r="M410" s="473" t="s">
        <v>1491</v>
      </c>
      <c r="N410" s="489" t="s">
        <v>2924</v>
      </c>
      <c r="O410" s="492" t="s">
        <v>2924</v>
      </c>
    </row>
    <row r="411" spans="1:15" s="475" customFormat="1" ht="12" hidden="1">
      <c r="A411" s="465">
        <v>10131000056552</v>
      </c>
      <c r="B411" s="489" t="s">
        <v>2924</v>
      </c>
      <c r="C411" s="489" t="s">
        <v>2926</v>
      </c>
      <c r="D411" s="467" t="s">
        <v>1045</v>
      </c>
      <c r="E411" s="478" t="s">
        <v>2514</v>
      </c>
      <c r="F411" s="477">
        <v>0</v>
      </c>
      <c r="G411" s="469" t="s">
        <v>2472</v>
      </c>
      <c r="H411" s="481">
        <v>0</v>
      </c>
      <c r="I411" s="482">
        <v>0</v>
      </c>
      <c r="J411" s="483" t="s">
        <v>2515</v>
      </c>
      <c r="K411" s="483" t="s">
        <v>2515</v>
      </c>
      <c r="L411" s="473" t="s">
        <v>2474</v>
      </c>
      <c r="M411" s="473" t="s">
        <v>1491</v>
      </c>
      <c r="N411" s="489" t="s">
        <v>2924</v>
      </c>
      <c r="O411" s="492" t="s">
        <v>2924</v>
      </c>
    </row>
    <row r="412" spans="1:15" s="475" customFormat="1" ht="12" hidden="1">
      <c r="A412" s="465">
        <v>10131000037913</v>
      </c>
      <c r="B412" s="489" t="s">
        <v>2924</v>
      </c>
      <c r="C412" s="484" t="s">
        <v>2927</v>
      </c>
      <c r="D412" s="467" t="s">
        <v>1045</v>
      </c>
      <c r="E412" s="472" t="s">
        <v>2541</v>
      </c>
      <c r="F412" s="477">
        <v>0</v>
      </c>
      <c r="G412" s="469" t="s">
        <v>2472</v>
      </c>
      <c r="H412" s="470">
        <v>1E-8</v>
      </c>
      <c r="I412" s="471">
        <v>1.5324781650000001E-8</v>
      </c>
      <c r="J412" s="485" t="s">
        <v>421</v>
      </c>
      <c r="K412" s="472" t="s">
        <v>651</v>
      </c>
      <c r="L412" s="473" t="s">
        <v>2474</v>
      </c>
      <c r="M412" s="473" t="s">
        <v>1835</v>
      </c>
      <c r="N412" s="473" t="s">
        <v>2928</v>
      </c>
      <c r="O412" s="474" t="s">
        <v>2928</v>
      </c>
    </row>
    <row r="413" spans="1:15" s="475" customFormat="1" ht="12" hidden="1">
      <c r="A413" s="465">
        <v>10131000037915</v>
      </c>
      <c r="B413" s="489" t="s">
        <v>2924</v>
      </c>
      <c r="C413" s="484" t="s">
        <v>2927</v>
      </c>
      <c r="D413" s="467" t="s">
        <v>1045</v>
      </c>
      <c r="E413" s="472" t="s">
        <v>2541</v>
      </c>
      <c r="F413" s="477">
        <v>0</v>
      </c>
      <c r="G413" s="469" t="s">
        <v>2472</v>
      </c>
      <c r="H413" s="470">
        <v>1E-8</v>
      </c>
      <c r="I413" s="471">
        <v>1.5324781650000001E-8</v>
      </c>
      <c r="J413" s="485" t="s">
        <v>421</v>
      </c>
      <c r="K413" s="472" t="s">
        <v>651</v>
      </c>
      <c r="L413" s="473" t="s">
        <v>2474</v>
      </c>
      <c r="M413" s="473" t="s">
        <v>1835</v>
      </c>
      <c r="N413" s="473" t="s">
        <v>2928</v>
      </c>
      <c r="O413" s="474" t="s">
        <v>2928</v>
      </c>
    </row>
    <row r="414" spans="1:15" s="475" customFormat="1" ht="12" hidden="1">
      <c r="A414" s="465">
        <v>10131000039834</v>
      </c>
      <c r="B414" s="489" t="s">
        <v>2924</v>
      </c>
      <c r="C414" s="484" t="s">
        <v>2927</v>
      </c>
      <c r="D414" s="467" t="s">
        <v>1045</v>
      </c>
      <c r="E414" s="472" t="s">
        <v>2491</v>
      </c>
      <c r="F414" s="477">
        <v>0</v>
      </c>
      <c r="G414" s="469" t="s">
        <v>2472</v>
      </c>
      <c r="H414" s="470">
        <v>1E-8</v>
      </c>
      <c r="I414" s="471">
        <v>1E-8</v>
      </c>
      <c r="J414" s="485" t="s">
        <v>421</v>
      </c>
      <c r="K414" s="472" t="s">
        <v>651</v>
      </c>
      <c r="L414" s="473" t="s">
        <v>2474</v>
      </c>
      <c r="M414" s="473" t="s">
        <v>1835</v>
      </c>
      <c r="N414" s="473" t="s">
        <v>2928</v>
      </c>
      <c r="O414" s="474" t="s">
        <v>2928</v>
      </c>
    </row>
    <row r="415" spans="1:15" s="475" customFormat="1" ht="12" hidden="1">
      <c r="A415" s="465">
        <v>10131000021503</v>
      </c>
      <c r="B415" s="476" t="s">
        <v>2929</v>
      </c>
      <c r="C415" s="476" t="s">
        <v>2930</v>
      </c>
      <c r="D415" s="467" t="s">
        <v>1045</v>
      </c>
      <c r="E415" s="472" t="s">
        <v>2491</v>
      </c>
      <c r="F415" s="477">
        <v>0</v>
      </c>
      <c r="G415" s="469" t="s">
        <v>2472</v>
      </c>
      <c r="H415" s="470">
        <v>1E-8</v>
      </c>
      <c r="I415" s="471">
        <v>0</v>
      </c>
      <c r="J415" s="472" t="s">
        <v>2492</v>
      </c>
      <c r="K415" s="472" t="s">
        <v>2495</v>
      </c>
      <c r="L415" s="479" t="s">
        <v>570</v>
      </c>
      <c r="M415" s="479" t="s">
        <v>2732</v>
      </c>
      <c r="N415" s="479" t="s">
        <v>2931</v>
      </c>
      <c r="O415" s="480" t="s">
        <v>2931</v>
      </c>
    </row>
    <row r="416" spans="1:15" s="475" customFormat="1" ht="12" hidden="1">
      <c r="A416" s="465">
        <v>10131000051790</v>
      </c>
      <c r="B416" s="476" t="s">
        <v>2929</v>
      </c>
      <c r="C416" s="476" t="s">
        <v>2932</v>
      </c>
      <c r="D416" s="467" t="s">
        <v>1045</v>
      </c>
      <c r="E416" s="472" t="s">
        <v>2491</v>
      </c>
      <c r="F416" s="477">
        <v>0</v>
      </c>
      <c r="G416" s="469" t="s">
        <v>2472</v>
      </c>
      <c r="H416" s="470">
        <v>1E-8</v>
      </c>
      <c r="I416" s="471">
        <v>0</v>
      </c>
      <c r="J416" s="472" t="s">
        <v>2492</v>
      </c>
      <c r="K416" s="472" t="s">
        <v>2495</v>
      </c>
      <c r="L416" s="479" t="s">
        <v>570</v>
      </c>
      <c r="M416" s="479" t="s">
        <v>2732</v>
      </c>
      <c r="N416" s="479" t="s">
        <v>2931</v>
      </c>
      <c r="O416" s="480" t="s">
        <v>2933</v>
      </c>
    </row>
    <row r="417" spans="1:15" s="475" customFormat="1" ht="12" hidden="1">
      <c r="A417" s="465">
        <v>10131000039391</v>
      </c>
      <c r="B417" s="489" t="s">
        <v>2929</v>
      </c>
      <c r="C417" s="489" t="s">
        <v>2934</v>
      </c>
      <c r="D417" s="467" t="s">
        <v>1045</v>
      </c>
      <c r="E417" s="478" t="s">
        <v>2514</v>
      </c>
      <c r="F417" s="477">
        <v>0</v>
      </c>
      <c r="G417" s="469" t="s">
        <v>2472</v>
      </c>
      <c r="H417" s="481">
        <v>0</v>
      </c>
      <c r="I417" s="482">
        <v>0</v>
      </c>
      <c r="J417" s="483" t="s">
        <v>2515</v>
      </c>
      <c r="K417" s="483" t="s">
        <v>2515</v>
      </c>
      <c r="L417" s="473" t="s">
        <v>570</v>
      </c>
      <c r="M417" s="473" t="s">
        <v>2732</v>
      </c>
      <c r="N417" s="473" t="s">
        <v>2931</v>
      </c>
      <c r="O417" s="474" t="s">
        <v>2931</v>
      </c>
    </row>
    <row r="418" spans="1:15" s="475" customFormat="1" ht="12" hidden="1">
      <c r="A418" s="465">
        <v>10131000052483</v>
      </c>
      <c r="B418" s="489" t="s">
        <v>2929</v>
      </c>
      <c r="C418" s="489" t="s">
        <v>2935</v>
      </c>
      <c r="D418" s="467" t="s">
        <v>1045</v>
      </c>
      <c r="E418" s="478" t="s">
        <v>2514</v>
      </c>
      <c r="F418" s="477">
        <v>0</v>
      </c>
      <c r="G418" s="469" t="s">
        <v>2472</v>
      </c>
      <c r="H418" s="481">
        <v>0</v>
      </c>
      <c r="I418" s="482">
        <v>0</v>
      </c>
      <c r="J418" s="483" t="s">
        <v>2515</v>
      </c>
      <c r="K418" s="483" t="s">
        <v>2515</v>
      </c>
      <c r="L418" s="473" t="s">
        <v>570</v>
      </c>
      <c r="M418" s="473" t="s">
        <v>2732</v>
      </c>
      <c r="N418" s="473" t="s">
        <v>2931</v>
      </c>
      <c r="O418" s="474" t="s">
        <v>2931</v>
      </c>
    </row>
    <row r="419" spans="1:15" s="475" customFormat="1" ht="12" hidden="1">
      <c r="A419" s="465">
        <v>10131000021504</v>
      </c>
      <c r="B419" s="476" t="s">
        <v>2929</v>
      </c>
      <c r="C419" s="476" t="s">
        <v>2936</v>
      </c>
      <c r="D419" s="467" t="s">
        <v>1045</v>
      </c>
      <c r="E419" s="472" t="s">
        <v>2491</v>
      </c>
      <c r="F419" s="477" t="s">
        <v>2472</v>
      </c>
      <c r="G419" s="469" t="s">
        <v>2472</v>
      </c>
      <c r="H419" s="470">
        <v>1E-8</v>
      </c>
      <c r="I419" s="471">
        <v>0</v>
      </c>
      <c r="J419" s="472" t="s">
        <v>2492</v>
      </c>
      <c r="K419" s="478" t="s">
        <v>666</v>
      </c>
      <c r="L419" s="479" t="s">
        <v>570</v>
      </c>
      <c r="M419" s="479" t="s">
        <v>2732</v>
      </c>
      <c r="N419" s="479" t="s">
        <v>2931</v>
      </c>
      <c r="O419" s="480" t="s">
        <v>2931</v>
      </c>
    </row>
    <row r="420" spans="1:15" s="475" customFormat="1" ht="12" hidden="1">
      <c r="A420" s="465">
        <v>10131000039593</v>
      </c>
      <c r="B420" s="489" t="s">
        <v>2937</v>
      </c>
      <c r="C420" s="489" t="s">
        <v>2938</v>
      </c>
      <c r="D420" s="467" t="s">
        <v>1045</v>
      </c>
      <c r="E420" s="478" t="s">
        <v>2514</v>
      </c>
      <c r="F420" s="477">
        <v>0</v>
      </c>
      <c r="G420" s="469" t="s">
        <v>2472</v>
      </c>
      <c r="H420" s="481">
        <v>0</v>
      </c>
      <c r="I420" s="482">
        <v>0</v>
      </c>
      <c r="J420" s="483" t="s">
        <v>2515</v>
      </c>
      <c r="K420" s="483" t="s">
        <v>2515</v>
      </c>
      <c r="L420" s="473" t="s">
        <v>2693</v>
      </c>
      <c r="M420" s="473" t="s">
        <v>2939</v>
      </c>
      <c r="N420" s="473" t="s">
        <v>2940</v>
      </c>
      <c r="O420" s="474" t="s">
        <v>2940</v>
      </c>
    </row>
    <row r="421" spans="1:15" s="475" customFormat="1" ht="12" hidden="1">
      <c r="A421" s="465">
        <v>10131000052495</v>
      </c>
      <c r="B421" s="489" t="s">
        <v>2937</v>
      </c>
      <c r="C421" s="489" t="s">
        <v>2941</v>
      </c>
      <c r="D421" s="467" t="s">
        <v>1045</v>
      </c>
      <c r="E421" s="478" t="s">
        <v>2514</v>
      </c>
      <c r="F421" s="477">
        <v>0</v>
      </c>
      <c r="G421" s="469" t="s">
        <v>2472</v>
      </c>
      <c r="H421" s="481">
        <v>0</v>
      </c>
      <c r="I421" s="482">
        <v>0</v>
      </c>
      <c r="J421" s="483" t="s">
        <v>2515</v>
      </c>
      <c r="K421" s="483" t="s">
        <v>2515</v>
      </c>
      <c r="L421" s="473" t="s">
        <v>2693</v>
      </c>
      <c r="M421" s="473" t="s">
        <v>2939</v>
      </c>
      <c r="N421" s="473" t="s">
        <v>2940</v>
      </c>
      <c r="O421" s="474" t="s">
        <v>2940</v>
      </c>
    </row>
    <row r="422" spans="1:15" s="475" customFormat="1" ht="12" hidden="1">
      <c r="A422" s="465">
        <v>10131000016368</v>
      </c>
      <c r="B422" s="466" t="s">
        <v>2942</v>
      </c>
      <c r="C422" s="466" t="s">
        <v>2942</v>
      </c>
      <c r="D422" s="467" t="s">
        <v>1045</v>
      </c>
      <c r="E422" s="468" t="s">
        <v>2491</v>
      </c>
      <c r="F422" s="477">
        <v>0</v>
      </c>
      <c r="G422" s="469" t="s">
        <v>2472</v>
      </c>
      <c r="H422" s="470">
        <v>0</v>
      </c>
      <c r="I422" s="471">
        <v>0</v>
      </c>
      <c r="J422" s="472" t="s">
        <v>423</v>
      </c>
      <c r="K422" s="472" t="s">
        <v>534</v>
      </c>
      <c r="L422" s="473" t="s">
        <v>204</v>
      </c>
      <c r="M422" s="473" t="s">
        <v>2943</v>
      </c>
      <c r="N422" s="473" t="s">
        <v>2942</v>
      </c>
      <c r="O422" s="474" t="s">
        <v>2942</v>
      </c>
    </row>
    <row r="423" spans="1:15" s="475" customFormat="1" ht="12" hidden="1">
      <c r="A423" s="465">
        <v>10131000016371</v>
      </c>
      <c r="B423" s="466" t="s">
        <v>2942</v>
      </c>
      <c r="C423" s="466" t="s">
        <v>2942</v>
      </c>
      <c r="D423" s="467" t="s">
        <v>1045</v>
      </c>
      <c r="E423" s="468" t="s">
        <v>2491</v>
      </c>
      <c r="F423" s="477">
        <v>0</v>
      </c>
      <c r="G423" s="469" t="s">
        <v>2472</v>
      </c>
      <c r="H423" s="470">
        <v>0</v>
      </c>
      <c r="I423" s="471">
        <v>0</v>
      </c>
      <c r="J423" s="472" t="s">
        <v>423</v>
      </c>
      <c r="K423" s="472" t="s">
        <v>534</v>
      </c>
      <c r="L423" s="473" t="s">
        <v>204</v>
      </c>
      <c r="M423" s="473" t="s">
        <v>2943</v>
      </c>
      <c r="N423" s="473" t="s">
        <v>2942</v>
      </c>
      <c r="O423" s="474" t="s">
        <v>2942</v>
      </c>
    </row>
    <row r="424" spans="1:15" s="475" customFormat="1" ht="12" hidden="1">
      <c r="A424" s="465">
        <v>10131000021557</v>
      </c>
      <c r="B424" s="476" t="s">
        <v>2944</v>
      </c>
      <c r="C424" s="476" t="s">
        <v>2945</v>
      </c>
      <c r="D424" s="467" t="s">
        <v>1045</v>
      </c>
      <c r="E424" s="472" t="s">
        <v>2491</v>
      </c>
      <c r="F424" s="477">
        <v>0</v>
      </c>
      <c r="G424" s="469" t="s">
        <v>2472</v>
      </c>
      <c r="H424" s="470">
        <v>1E-8</v>
      </c>
      <c r="I424" s="471">
        <v>0</v>
      </c>
      <c r="J424" s="472" t="s">
        <v>2492</v>
      </c>
      <c r="K424" s="472" t="s">
        <v>2495</v>
      </c>
      <c r="L424" s="479" t="s">
        <v>1608</v>
      </c>
      <c r="M424" s="479" t="s">
        <v>2642</v>
      </c>
      <c r="N424" s="479" t="s">
        <v>2944</v>
      </c>
      <c r="O424" s="480" t="s">
        <v>2944</v>
      </c>
    </row>
    <row r="425" spans="1:15" s="475" customFormat="1" ht="12" hidden="1">
      <c r="A425" s="465">
        <v>10131000039605</v>
      </c>
      <c r="B425" s="489" t="s">
        <v>2944</v>
      </c>
      <c r="C425" s="489" t="s">
        <v>2946</v>
      </c>
      <c r="D425" s="467" t="s">
        <v>1045</v>
      </c>
      <c r="E425" s="478" t="s">
        <v>2514</v>
      </c>
      <c r="F425" s="477">
        <v>0</v>
      </c>
      <c r="G425" s="469" t="s">
        <v>2472</v>
      </c>
      <c r="H425" s="481">
        <v>0</v>
      </c>
      <c r="I425" s="482">
        <v>0</v>
      </c>
      <c r="J425" s="483" t="s">
        <v>2515</v>
      </c>
      <c r="K425" s="483" t="s">
        <v>2515</v>
      </c>
      <c r="L425" s="473" t="s">
        <v>1608</v>
      </c>
      <c r="M425" s="473" t="s">
        <v>2642</v>
      </c>
      <c r="N425" s="473" t="s">
        <v>2944</v>
      </c>
      <c r="O425" s="474" t="s">
        <v>2944</v>
      </c>
    </row>
    <row r="426" spans="1:15" s="475" customFormat="1" ht="12" hidden="1">
      <c r="A426" s="465">
        <v>10131000029533</v>
      </c>
      <c r="B426" s="476" t="s">
        <v>2944</v>
      </c>
      <c r="C426" s="476" t="s">
        <v>2947</v>
      </c>
      <c r="D426" s="467" t="s">
        <v>1045</v>
      </c>
      <c r="E426" s="472" t="s">
        <v>2491</v>
      </c>
      <c r="F426" s="477">
        <v>0</v>
      </c>
      <c r="G426" s="469" t="s">
        <v>2472</v>
      </c>
      <c r="H426" s="470">
        <v>1E-8</v>
      </c>
      <c r="I426" s="471">
        <v>0</v>
      </c>
      <c r="J426" s="472" t="s">
        <v>2492</v>
      </c>
      <c r="K426" s="478" t="s">
        <v>2522</v>
      </c>
      <c r="L426" s="479" t="s">
        <v>1608</v>
      </c>
      <c r="M426" s="479" t="s">
        <v>2642</v>
      </c>
      <c r="N426" s="479" t="s">
        <v>2944</v>
      </c>
      <c r="O426" s="480" t="s">
        <v>2948</v>
      </c>
    </row>
    <row r="427" spans="1:15" s="475" customFormat="1" ht="12" hidden="1">
      <c r="A427" s="465">
        <v>10131000022329</v>
      </c>
      <c r="B427" s="489" t="s">
        <v>2944</v>
      </c>
      <c r="C427" s="493" t="s">
        <v>2949</v>
      </c>
      <c r="D427" s="467" t="s">
        <v>1045</v>
      </c>
      <c r="E427" s="472" t="s">
        <v>2541</v>
      </c>
      <c r="F427" s="477">
        <v>0</v>
      </c>
      <c r="G427" s="469" t="s">
        <v>2472</v>
      </c>
      <c r="H427" s="470">
        <v>1E-8</v>
      </c>
      <c r="I427" s="471">
        <v>1.5324781650000001E-8</v>
      </c>
      <c r="J427" s="485" t="s">
        <v>421</v>
      </c>
      <c r="K427" s="472" t="s">
        <v>651</v>
      </c>
      <c r="L427" s="473" t="s">
        <v>1608</v>
      </c>
      <c r="M427" s="473" t="s">
        <v>2642</v>
      </c>
      <c r="N427" s="473" t="s">
        <v>2944</v>
      </c>
      <c r="O427" s="474" t="s">
        <v>2944</v>
      </c>
    </row>
    <row r="428" spans="1:15" s="475" customFormat="1" ht="12" hidden="1">
      <c r="A428" s="465">
        <v>10131000057580</v>
      </c>
      <c r="B428" s="489" t="s">
        <v>2944</v>
      </c>
      <c r="C428" s="466" t="s">
        <v>2944</v>
      </c>
      <c r="D428" s="467" t="s">
        <v>1045</v>
      </c>
      <c r="E428" s="468" t="s">
        <v>2491</v>
      </c>
      <c r="F428" s="477">
        <v>0</v>
      </c>
      <c r="G428" s="469" t="s">
        <v>2472</v>
      </c>
      <c r="H428" s="470">
        <v>0</v>
      </c>
      <c r="I428" s="471">
        <v>0</v>
      </c>
      <c r="J428" s="472" t="s">
        <v>423</v>
      </c>
      <c r="K428" s="472" t="s">
        <v>534</v>
      </c>
      <c r="L428" s="473" t="s">
        <v>1608</v>
      </c>
      <c r="M428" s="473" t="s">
        <v>2642</v>
      </c>
      <c r="N428" s="473" t="s">
        <v>2944</v>
      </c>
      <c r="O428" s="474" t="s">
        <v>2944</v>
      </c>
    </row>
    <row r="429" spans="1:15" s="475" customFormat="1" ht="12" hidden="1">
      <c r="A429" s="465">
        <v>10131000051734</v>
      </c>
      <c r="B429" s="489" t="s">
        <v>2944</v>
      </c>
      <c r="C429" s="489" t="s">
        <v>2950</v>
      </c>
      <c r="D429" s="467" t="s">
        <v>1045</v>
      </c>
      <c r="E429" s="478" t="s">
        <v>2514</v>
      </c>
      <c r="F429" s="477" t="s">
        <v>2472</v>
      </c>
      <c r="G429" s="469" t="s">
        <v>2472</v>
      </c>
      <c r="H429" s="481">
        <v>0</v>
      </c>
      <c r="I429" s="482">
        <v>0</v>
      </c>
      <c r="J429" s="483" t="s">
        <v>2515</v>
      </c>
      <c r="K429" s="483" t="s">
        <v>2515</v>
      </c>
      <c r="L429" s="473" t="s">
        <v>1608</v>
      </c>
      <c r="M429" s="473" t="s">
        <v>2642</v>
      </c>
      <c r="N429" s="473" t="s">
        <v>2944</v>
      </c>
      <c r="O429" s="474" t="s">
        <v>2944</v>
      </c>
    </row>
    <row r="430" spans="1:15" s="475" customFormat="1" ht="12" hidden="1">
      <c r="A430" s="465">
        <v>10131000029535</v>
      </c>
      <c r="B430" s="476" t="s">
        <v>2944</v>
      </c>
      <c r="C430" s="476" t="s">
        <v>2951</v>
      </c>
      <c r="D430" s="467" t="s">
        <v>1045</v>
      </c>
      <c r="E430" s="472" t="s">
        <v>2491</v>
      </c>
      <c r="F430" s="477" t="s">
        <v>2472</v>
      </c>
      <c r="G430" s="469" t="s">
        <v>2472</v>
      </c>
      <c r="H430" s="470">
        <v>1E-8</v>
      </c>
      <c r="I430" s="471">
        <v>0</v>
      </c>
      <c r="J430" s="472" t="s">
        <v>2492</v>
      </c>
      <c r="K430" s="478" t="s">
        <v>2522</v>
      </c>
      <c r="L430" s="479" t="s">
        <v>1608</v>
      </c>
      <c r="M430" s="479" t="s">
        <v>2642</v>
      </c>
      <c r="N430" s="479" t="s">
        <v>2944</v>
      </c>
      <c r="O430" s="480" t="s">
        <v>2952</v>
      </c>
    </row>
    <row r="431" spans="1:15" s="475" customFormat="1" ht="12" hidden="1">
      <c r="A431" s="465">
        <v>10131000021590</v>
      </c>
      <c r="B431" s="476" t="s">
        <v>2928</v>
      </c>
      <c r="C431" s="476" t="s">
        <v>2953</v>
      </c>
      <c r="D431" s="467" t="s">
        <v>1045</v>
      </c>
      <c r="E431" s="472" t="s">
        <v>2491</v>
      </c>
      <c r="F431" s="477">
        <v>0</v>
      </c>
      <c r="G431" s="469" t="s">
        <v>2472</v>
      </c>
      <c r="H431" s="470">
        <v>1E-8</v>
      </c>
      <c r="I431" s="471">
        <v>0</v>
      </c>
      <c r="J431" s="472" t="s">
        <v>2492</v>
      </c>
      <c r="K431" s="472" t="s">
        <v>2495</v>
      </c>
      <c r="L431" s="479" t="s">
        <v>2474</v>
      </c>
      <c r="M431" s="479" t="s">
        <v>1835</v>
      </c>
      <c r="N431" s="479" t="s">
        <v>2928</v>
      </c>
      <c r="O431" s="480" t="s">
        <v>2928</v>
      </c>
    </row>
    <row r="432" spans="1:15" s="475" customFormat="1" ht="12" hidden="1">
      <c r="A432" s="465">
        <v>10131000039836</v>
      </c>
      <c r="B432" s="489" t="s">
        <v>2928</v>
      </c>
      <c r="C432" s="489" t="s">
        <v>2954</v>
      </c>
      <c r="D432" s="467" t="s">
        <v>1045</v>
      </c>
      <c r="E432" s="478" t="s">
        <v>2514</v>
      </c>
      <c r="F432" s="477">
        <v>0</v>
      </c>
      <c r="G432" s="469" t="s">
        <v>2472</v>
      </c>
      <c r="H432" s="481">
        <v>0</v>
      </c>
      <c r="I432" s="482">
        <v>0</v>
      </c>
      <c r="J432" s="483" t="s">
        <v>2515</v>
      </c>
      <c r="K432" s="483" t="s">
        <v>2515</v>
      </c>
      <c r="L432" s="473" t="s">
        <v>2474</v>
      </c>
      <c r="M432" s="473" t="s">
        <v>1835</v>
      </c>
      <c r="N432" s="473" t="s">
        <v>2928</v>
      </c>
      <c r="O432" s="474" t="s">
        <v>2928</v>
      </c>
    </row>
    <row r="433" spans="1:15" s="475" customFormat="1" ht="12" hidden="1">
      <c r="A433" s="465">
        <v>10131000052002</v>
      </c>
      <c r="B433" s="476" t="s">
        <v>2928</v>
      </c>
      <c r="C433" s="476" t="s">
        <v>2955</v>
      </c>
      <c r="D433" s="467" t="s">
        <v>1045</v>
      </c>
      <c r="E433" s="472" t="s">
        <v>2491</v>
      </c>
      <c r="F433" s="477">
        <v>0</v>
      </c>
      <c r="G433" s="469" t="s">
        <v>2472</v>
      </c>
      <c r="H433" s="470">
        <v>1E-8</v>
      </c>
      <c r="I433" s="471">
        <v>0</v>
      </c>
      <c r="J433" s="472" t="s">
        <v>2492</v>
      </c>
      <c r="K433" s="478" t="s">
        <v>666</v>
      </c>
      <c r="L433" s="479" t="s">
        <v>2474</v>
      </c>
      <c r="M433" s="479" t="s">
        <v>1835</v>
      </c>
      <c r="N433" s="479" t="s">
        <v>2928</v>
      </c>
      <c r="O433" s="480" t="s">
        <v>2928</v>
      </c>
    </row>
    <row r="434" spans="1:15" s="475" customFormat="1" ht="12" hidden="1">
      <c r="A434" s="465">
        <v>1000099053</v>
      </c>
      <c r="B434" s="473" t="s">
        <v>2928</v>
      </c>
      <c r="C434" s="466" t="s">
        <v>2956</v>
      </c>
      <c r="D434" s="467" t="s">
        <v>2957</v>
      </c>
      <c r="E434" s="468" t="s">
        <v>2471</v>
      </c>
      <c r="F434" s="477" t="s">
        <v>2472</v>
      </c>
      <c r="G434" s="469" t="s">
        <v>2472</v>
      </c>
      <c r="H434" s="470">
        <v>50038</v>
      </c>
      <c r="I434" s="471">
        <v>3863.9382239382239</v>
      </c>
      <c r="J434" s="472" t="s">
        <v>422</v>
      </c>
      <c r="K434" s="472" t="s">
        <v>2473</v>
      </c>
      <c r="L434" s="473" t="s">
        <v>570</v>
      </c>
      <c r="M434" s="473" t="s">
        <v>2732</v>
      </c>
      <c r="N434" s="473" t="s">
        <v>2643</v>
      </c>
      <c r="O434" s="474" t="s">
        <v>2928</v>
      </c>
    </row>
    <row r="435" spans="1:15" s="475" customFormat="1" ht="12" hidden="1">
      <c r="A435" s="465">
        <v>10131000056512</v>
      </c>
      <c r="B435" s="476" t="s">
        <v>2928</v>
      </c>
      <c r="C435" s="476" t="s">
        <v>2958</v>
      </c>
      <c r="D435" s="467" t="s">
        <v>1045</v>
      </c>
      <c r="E435" s="472" t="s">
        <v>2491</v>
      </c>
      <c r="F435" s="477" t="s">
        <v>2472</v>
      </c>
      <c r="G435" s="469" t="s">
        <v>2472</v>
      </c>
      <c r="H435" s="470">
        <v>1E-8</v>
      </c>
      <c r="I435" s="471">
        <v>0</v>
      </c>
      <c r="J435" s="472" t="s">
        <v>2492</v>
      </c>
      <c r="K435" s="478" t="s">
        <v>2522</v>
      </c>
      <c r="L435" s="479" t="s">
        <v>2474</v>
      </c>
      <c r="M435" s="479" t="s">
        <v>1835</v>
      </c>
      <c r="N435" s="479" t="s">
        <v>2928</v>
      </c>
      <c r="O435" s="480" t="s">
        <v>2928</v>
      </c>
    </row>
    <row r="436" spans="1:15" s="475" customFormat="1" ht="12" hidden="1">
      <c r="A436" s="465">
        <v>10131000051766</v>
      </c>
      <c r="B436" s="489" t="s">
        <v>2959</v>
      </c>
      <c r="C436" s="489" t="s">
        <v>2960</v>
      </c>
      <c r="D436" s="467" t="s">
        <v>1045</v>
      </c>
      <c r="E436" s="478" t="s">
        <v>2514</v>
      </c>
      <c r="F436" s="477">
        <v>0</v>
      </c>
      <c r="G436" s="469" t="s">
        <v>2472</v>
      </c>
      <c r="H436" s="481">
        <v>0</v>
      </c>
      <c r="I436" s="482">
        <v>0</v>
      </c>
      <c r="J436" s="483" t="s">
        <v>2515</v>
      </c>
      <c r="K436" s="483" t="s">
        <v>2515</v>
      </c>
      <c r="L436" s="473" t="s">
        <v>2474</v>
      </c>
      <c r="M436" s="473" t="s">
        <v>1835</v>
      </c>
      <c r="N436" s="473" t="s">
        <v>2928</v>
      </c>
      <c r="O436" s="474" t="s">
        <v>2928</v>
      </c>
    </row>
    <row r="437" spans="1:15" s="475" customFormat="1" ht="12" hidden="1">
      <c r="A437" s="465">
        <v>10131000038177</v>
      </c>
      <c r="B437" s="466" t="s">
        <v>2961</v>
      </c>
      <c r="C437" s="466" t="s">
        <v>2961</v>
      </c>
      <c r="D437" s="467" t="s">
        <v>1045</v>
      </c>
      <c r="E437" s="472" t="s">
        <v>2541</v>
      </c>
      <c r="F437" s="477">
        <v>0</v>
      </c>
      <c r="G437" s="469" t="s">
        <v>2472</v>
      </c>
      <c r="H437" s="470">
        <v>1E-8</v>
      </c>
      <c r="I437" s="471">
        <v>1.5324781650000001E-8</v>
      </c>
      <c r="J437" s="485" t="s">
        <v>421</v>
      </c>
      <c r="K437" s="472" t="s">
        <v>651</v>
      </c>
      <c r="L437" s="473" t="s">
        <v>1608</v>
      </c>
      <c r="M437" s="473" t="s">
        <v>2642</v>
      </c>
      <c r="N437" s="473" t="s">
        <v>2961</v>
      </c>
      <c r="O437" s="474" t="s">
        <v>2961</v>
      </c>
    </row>
    <row r="438" spans="1:15" s="475" customFormat="1" ht="12" hidden="1">
      <c r="A438" s="465">
        <v>10131000016496</v>
      </c>
      <c r="B438" s="466" t="s">
        <v>2961</v>
      </c>
      <c r="C438" s="466" t="s">
        <v>2961</v>
      </c>
      <c r="D438" s="467" t="s">
        <v>2604</v>
      </c>
      <c r="E438" s="468" t="s">
        <v>2491</v>
      </c>
      <c r="F438" s="477">
        <v>135</v>
      </c>
      <c r="G438" s="469" t="s">
        <v>2472</v>
      </c>
      <c r="H438" s="470">
        <v>110</v>
      </c>
      <c r="I438" s="471">
        <v>110</v>
      </c>
      <c r="J438" s="472" t="s">
        <v>423</v>
      </c>
      <c r="K438" s="472" t="s">
        <v>534</v>
      </c>
      <c r="L438" s="473" t="s">
        <v>1608</v>
      </c>
      <c r="M438" s="473" t="s">
        <v>2642</v>
      </c>
      <c r="N438" s="473" t="s">
        <v>2961</v>
      </c>
      <c r="O438" s="474" t="s">
        <v>2961</v>
      </c>
    </row>
    <row r="439" spans="1:15" s="475" customFormat="1" ht="12" hidden="1">
      <c r="A439" s="465">
        <v>10131000016498</v>
      </c>
      <c r="B439" s="466" t="s">
        <v>2961</v>
      </c>
      <c r="C439" s="466" t="s">
        <v>2961</v>
      </c>
      <c r="D439" s="467" t="s">
        <v>2604</v>
      </c>
      <c r="E439" s="468" t="s">
        <v>2491</v>
      </c>
      <c r="F439" s="477">
        <v>135</v>
      </c>
      <c r="G439" s="469" t="s">
        <v>2472</v>
      </c>
      <c r="H439" s="470">
        <v>110</v>
      </c>
      <c r="I439" s="471">
        <v>110</v>
      </c>
      <c r="J439" s="472" t="s">
        <v>423</v>
      </c>
      <c r="K439" s="472" t="s">
        <v>534</v>
      </c>
      <c r="L439" s="473" t="s">
        <v>1608</v>
      </c>
      <c r="M439" s="473" t="s">
        <v>2642</v>
      </c>
      <c r="N439" s="473" t="s">
        <v>2961</v>
      </c>
      <c r="O439" s="474" t="s">
        <v>2961</v>
      </c>
    </row>
    <row r="440" spans="1:15" s="475" customFormat="1" ht="12" hidden="1">
      <c r="A440" s="465">
        <v>10131000025228</v>
      </c>
      <c r="B440" s="466" t="s">
        <v>2961</v>
      </c>
      <c r="C440" s="466" t="s">
        <v>2961</v>
      </c>
      <c r="D440" s="467" t="s">
        <v>2604</v>
      </c>
      <c r="E440" s="468" t="s">
        <v>2491</v>
      </c>
      <c r="F440" s="477">
        <v>135</v>
      </c>
      <c r="G440" s="469" t="s">
        <v>2472</v>
      </c>
      <c r="H440" s="470">
        <v>110</v>
      </c>
      <c r="I440" s="471">
        <v>110</v>
      </c>
      <c r="J440" s="472" t="s">
        <v>423</v>
      </c>
      <c r="K440" s="472" t="s">
        <v>534</v>
      </c>
      <c r="L440" s="473" t="s">
        <v>1608</v>
      </c>
      <c r="M440" s="473" t="s">
        <v>2642</v>
      </c>
      <c r="N440" s="473" t="s">
        <v>2961</v>
      </c>
      <c r="O440" s="474" t="s">
        <v>2961</v>
      </c>
    </row>
    <row r="441" spans="1:15" s="475" customFormat="1" ht="12" hidden="1">
      <c r="A441" s="465">
        <v>10131000029583</v>
      </c>
      <c r="B441" s="476" t="s">
        <v>2962</v>
      </c>
      <c r="C441" s="476" t="s">
        <v>2963</v>
      </c>
      <c r="D441" s="467" t="s">
        <v>2964</v>
      </c>
      <c r="E441" s="472" t="s">
        <v>2491</v>
      </c>
      <c r="F441" s="477">
        <v>18.100000000000001</v>
      </c>
      <c r="G441" s="469" t="s">
        <v>2472</v>
      </c>
      <c r="H441" s="487">
        <v>50.96</v>
      </c>
      <c r="I441" s="471">
        <v>50.96</v>
      </c>
      <c r="J441" s="488" t="s">
        <v>2492</v>
      </c>
      <c r="K441" s="472" t="s">
        <v>2522</v>
      </c>
      <c r="L441" s="473" t="s">
        <v>570</v>
      </c>
      <c r="M441" s="473" t="s">
        <v>2965</v>
      </c>
      <c r="N441" s="473" t="s">
        <v>2966</v>
      </c>
      <c r="O441" s="474" t="s">
        <v>2966</v>
      </c>
    </row>
    <row r="442" spans="1:15" s="475" customFormat="1" ht="12" hidden="1">
      <c r="A442" s="465">
        <v>10131000029575</v>
      </c>
      <c r="B442" s="476" t="s">
        <v>2962</v>
      </c>
      <c r="C442" s="476" t="s">
        <v>2967</v>
      </c>
      <c r="D442" s="467" t="s">
        <v>2964</v>
      </c>
      <c r="E442" s="472" t="s">
        <v>2491</v>
      </c>
      <c r="F442" s="477">
        <v>18.600000000000001</v>
      </c>
      <c r="G442" s="469" t="s">
        <v>2472</v>
      </c>
      <c r="H442" s="487">
        <v>55.41</v>
      </c>
      <c r="I442" s="471">
        <v>55.41</v>
      </c>
      <c r="J442" s="488" t="s">
        <v>2492</v>
      </c>
      <c r="K442" s="472" t="s">
        <v>2522</v>
      </c>
      <c r="L442" s="473" t="s">
        <v>570</v>
      </c>
      <c r="M442" s="473" t="s">
        <v>2965</v>
      </c>
      <c r="N442" s="473" t="s">
        <v>2966</v>
      </c>
      <c r="O442" s="474" t="s">
        <v>2966</v>
      </c>
    </row>
    <row r="443" spans="1:15" s="475" customFormat="1" ht="12" hidden="1">
      <c r="A443" s="465">
        <v>10131000029579</v>
      </c>
      <c r="B443" s="476" t="s">
        <v>2962</v>
      </c>
      <c r="C443" s="476" t="s">
        <v>2968</v>
      </c>
      <c r="D443" s="467" t="s">
        <v>2964</v>
      </c>
      <c r="E443" s="472" t="s">
        <v>2491</v>
      </c>
      <c r="F443" s="477">
        <v>20.69</v>
      </c>
      <c r="G443" s="469" t="s">
        <v>2472</v>
      </c>
      <c r="H443" s="487">
        <v>77.56</v>
      </c>
      <c r="I443" s="471">
        <v>77.56</v>
      </c>
      <c r="J443" s="488" t="s">
        <v>2492</v>
      </c>
      <c r="K443" s="472" t="s">
        <v>2522</v>
      </c>
      <c r="L443" s="473" t="s">
        <v>570</v>
      </c>
      <c r="M443" s="473" t="s">
        <v>2965</v>
      </c>
      <c r="N443" s="473" t="s">
        <v>2966</v>
      </c>
      <c r="O443" s="474" t="s">
        <v>2966</v>
      </c>
    </row>
    <row r="444" spans="1:15" s="475" customFormat="1" ht="12" hidden="1">
      <c r="A444" s="465">
        <v>10131000029577</v>
      </c>
      <c r="B444" s="476" t="s">
        <v>2962</v>
      </c>
      <c r="C444" s="476" t="s">
        <v>2969</v>
      </c>
      <c r="D444" s="467" t="s">
        <v>2964</v>
      </c>
      <c r="E444" s="472" t="s">
        <v>2491</v>
      </c>
      <c r="F444" s="477">
        <v>22.39</v>
      </c>
      <c r="G444" s="469" t="s">
        <v>2472</v>
      </c>
      <c r="H444" s="487">
        <v>58.7</v>
      </c>
      <c r="I444" s="471">
        <v>58.7</v>
      </c>
      <c r="J444" s="488" t="s">
        <v>2492</v>
      </c>
      <c r="K444" s="472" t="s">
        <v>2522</v>
      </c>
      <c r="L444" s="473" t="s">
        <v>570</v>
      </c>
      <c r="M444" s="473" t="s">
        <v>2965</v>
      </c>
      <c r="N444" s="473" t="s">
        <v>2966</v>
      </c>
      <c r="O444" s="474" t="s">
        <v>2966</v>
      </c>
    </row>
    <row r="445" spans="1:15" s="475" customFormat="1" ht="12" hidden="1">
      <c r="A445" s="465">
        <v>10131000029573</v>
      </c>
      <c r="B445" s="476" t="s">
        <v>2962</v>
      </c>
      <c r="C445" s="476" t="s">
        <v>2970</v>
      </c>
      <c r="D445" s="467" t="s">
        <v>2964</v>
      </c>
      <c r="E445" s="472" t="s">
        <v>2491</v>
      </c>
      <c r="F445" s="477">
        <v>23.6736</v>
      </c>
      <c r="G445" s="469" t="s">
        <v>2472</v>
      </c>
      <c r="H445" s="487">
        <v>67.5</v>
      </c>
      <c r="I445" s="471">
        <v>67.5</v>
      </c>
      <c r="J445" s="488" t="s">
        <v>2492</v>
      </c>
      <c r="K445" s="472" t="s">
        <v>2522</v>
      </c>
      <c r="L445" s="473" t="s">
        <v>570</v>
      </c>
      <c r="M445" s="473" t="s">
        <v>2965</v>
      </c>
      <c r="N445" s="473" t="s">
        <v>2966</v>
      </c>
      <c r="O445" s="474" t="s">
        <v>2966</v>
      </c>
    </row>
    <row r="446" spans="1:15" s="475" customFormat="1" ht="12" hidden="1">
      <c r="A446" s="465">
        <v>10131000029585</v>
      </c>
      <c r="B446" s="476" t="s">
        <v>2962</v>
      </c>
      <c r="C446" s="476" t="s">
        <v>2971</v>
      </c>
      <c r="D446" s="467" t="s">
        <v>2964</v>
      </c>
      <c r="E446" s="472" t="s">
        <v>2491</v>
      </c>
      <c r="F446" s="477">
        <v>25.69</v>
      </c>
      <c r="G446" s="469" t="s">
        <v>2472</v>
      </c>
      <c r="H446" s="487">
        <v>71.209999999999994</v>
      </c>
      <c r="I446" s="471">
        <v>71.209999999999994</v>
      </c>
      <c r="J446" s="488" t="s">
        <v>2492</v>
      </c>
      <c r="K446" s="472" t="s">
        <v>2522</v>
      </c>
      <c r="L446" s="473" t="s">
        <v>570</v>
      </c>
      <c r="M446" s="473" t="s">
        <v>2965</v>
      </c>
      <c r="N446" s="473" t="s">
        <v>2966</v>
      </c>
      <c r="O446" s="474" t="s">
        <v>2966</v>
      </c>
    </row>
    <row r="447" spans="1:15" s="475" customFormat="1" ht="12" hidden="1">
      <c r="A447" s="465">
        <v>10131000029580</v>
      </c>
      <c r="B447" s="476" t="s">
        <v>2962</v>
      </c>
      <c r="C447" s="476" t="s">
        <v>2972</v>
      </c>
      <c r="D447" s="467" t="s">
        <v>2964</v>
      </c>
      <c r="E447" s="472" t="s">
        <v>2491</v>
      </c>
      <c r="F447" s="477">
        <v>26.39</v>
      </c>
      <c r="G447" s="469" t="s">
        <v>2472</v>
      </c>
      <c r="H447" s="487">
        <v>115.77</v>
      </c>
      <c r="I447" s="471">
        <v>115.77</v>
      </c>
      <c r="J447" s="488" t="s">
        <v>2492</v>
      </c>
      <c r="K447" s="472" t="s">
        <v>2522</v>
      </c>
      <c r="L447" s="473" t="s">
        <v>570</v>
      </c>
      <c r="M447" s="473" t="s">
        <v>2965</v>
      </c>
      <c r="N447" s="473" t="s">
        <v>2966</v>
      </c>
      <c r="O447" s="474" t="s">
        <v>2966</v>
      </c>
    </row>
    <row r="448" spans="1:15" s="475" customFormat="1" ht="12" hidden="1">
      <c r="A448" s="465">
        <v>10131000029581</v>
      </c>
      <c r="B448" s="476" t="s">
        <v>2962</v>
      </c>
      <c r="C448" s="476" t="s">
        <v>2973</v>
      </c>
      <c r="D448" s="467" t="s">
        <v>2964</v>
      </c>
      <c r="E448" s="472" t="s">
        <v>2491</v>
      </c>
      <c r="F448" s="477">
        <v>33.07</v>
      </c>
      <c r="G448" s="469" t="s">
        <v>2472</v>
      </c>
      <c r="H448" s="487">
        <v>69.86</v>
      </c>
      <c r="I448" s="471">
        <v>69.86</v>
      </c>
      <c r="J448" s="488" t="s">
        <v>2492</v>
      </c>
      <c r="K448" s="472" t="s">
        <v>2522</v>
      </c>
      <c r="L448" s="473" t="s">
        <v>570</v>
      </c>
      <c r="M448" s="473" t="s">
        <v>2965</v>
      </c>
      <c r="N448" s="473" t="s">
        <v>2966</v>
      </c>
      <c r="O448" s="474" t="s">
        <v>2966</v>
      </c>
    </row>
    <row r="449" spans="1:15" s="475" customFormat="1" ht="12" hidden="1">
      <c r="A449" s="465">
        <v>10131000029582</v>
      </c>
      <c r="B449" s="476" t="s">
        <v>2962</v>
      </c>
      <c r="C449" s="476" t="s">
        <v>2974</v>
      </c>
      <c r="D449" s="467" t="s">
        <v>2964</v>
      </c>
      <c r="E449" s="472" t="s">
        <v>2491</v>
      </c>
      <c r="F449" s="477">
        <v>33.28</v>
      </c>
      <c r="G449" s="469" t="s">
        <v>2472</v>
      </c>
      <c r="H449" s="487">
        <v>66.7</v>
      </c>
      <c r="I449" s="471">
        <v>66.7</v>
      </c>
      <c r="J449" s="488" t="s">
        <v>2492</v>
      </c>
      <c r="K449" s="472" t="s">
        <v>2522</v>
      </c>
      <c r="L449" s="473" t="s">
        <v>570</v>
      </c>
      <c r="M449" s="473" t="s">
        <v>2965</v>
      </c>
      <c r="N449" s="473" t="s">
        <v>2966</v>
      </c>
      <c r="O449" s="474" t="s">
        <v>2966</v>
      </c>
    </row>
    <row r="450" spans="1:15" s="475" customFormat="1" ht="12" hidden="1">
      <c r="A450" s="465">
        <v>10131000029576</v>
      </c>
      <c r="B450" s="476" t="s">
        <v>2962</v>
      </c>
      <c r="C450" s="476" t="s">
        <v>2975</v>
      </c>
      <c r="D450" s="467" t="s">
        <v>2964</v>
      </c>
      <c r="E450" s="472" t="s">
        <v>2491</v>
      </c>
      <c r="F450" s="477">
        <v>34.1952</v>
      </c>
      <c r="G450" s="469" t="s">
        <v>2472</v>
      </c>
      <c r="H450" s="487">
        <v>84</v>
      </c>
      <c r="I450" s="471">
        <v>84</v>
      </c>
      <c r="J450" s="488" t="s">
        <v>2492</v>
      </c>
      <c r="K450" s="472" t="s">
        <v>2522</v>
      </c>
      <c r="L450" s="473" t="s">
        <v>570</v>
      </c>
      <c r="M450" s="473" t="s">
        <v>2965</v>
      </c>
      <c r="N450" s="473" t="s">
        <v>2966</v>
      </c>
      <c r="O450" s="474" t="s">
        <v>2966</v>
      </c>
    </row>
    <row r="451" spans="1:15" s="475" customFormat="1" ht="12" hidden="1">
      <c r="A451" s="465">
        <v>10131000029569</v>
      </c>
      <c r="B451" s="476" t="s">
        <v>2962</v>
      </c>
      <c r="C451" s="476" t="s">
        <v>2976</v>
      </c>
      <c r="D451" s="467" t="s">
        <v>2964</v>
      </c>
      <c r="E451" s="472" t="s">
        <v>2491</v>
      </c>
      <c r="F451" s="477">
        <v>37.74</v>
      </c>
      <c r="G451" s="469" t="s">
        <v>2472</v>
      </c>
      <c r="H451" s="487">
        <v>92.24</v>
      </c>
      <c r="I451" s="471">
        <v>92.24</v>
      </c>
      <c r="J451" s="488" t="s">
        <v>2492</v>
      </c>
      <c r="K451" s="472" t="s">
        <v>2522</v>
      </c>
      <c r="L451" s="473" t="s">
        <v>570</v>
      </c>
      <c r="M451" s="473" t="s">
        <v>2965</v>
      </c>
      <c r="N451" s="473" t="s">
        <v>2966</v>
      </c>
      <c r="O451" s="474" t="s">
        <v>2966</v>
      </c>
    </row>
    <row r="452" spans="1:15" s="475" customFormat="1" ht="12" hidden="1">
      <c r="A452" s="465">
        <v>10131000029584</v>
      </c>
      <c r="B452" s="476" t="s">
        <v>2962</v>
      </c>
      <c r="C452" s="476" t="s">
        <v>2977</v>
      </c>
      <c r="D452" s="467" t="s">
        <v>2964</v>
      </c>
      <c r="E452" s="472" t="s">
        <v>2491</v>
      </c>
      <c r="F452" s="477">
        <v>39.6096</v>
      </c>
      <c r="G452" s="469" t="s">
        <v>2472</v>
      </c>
      <c r="H452" s="487">
        <v>82.4</v>
      </c>
      <c r="I452" s="471">
        <v>82.4</v>
      </c>
      <c r="J452" s="488" t="s">
        <v>2492</v>
      </c>
      <c r="K452" s="472" t="s">
        <v>2522</v>
      </c>
      <c r="L452" s="473" t="s">
        <v>570</v>
      </c>
      <c r="M452" s="473" t="s">
        <v>2965</v>
      </c>
      <c r="N452" s="473" t="s">
        <v>2966</v>
      </c>
      <c r="O452" s="474" t="s">
        <v>2966</v>
      </c>
    </row>
    <row r="453" spans="1:15" s="475" customFormat="1" ht="12" hidden="1">
      <c r="A453" s="465">
        <v>10131000029574</v>
      </c>
      <c r="B453" s="476" t="s">
        <v>2962</v>
      </c>
      <c r="C453" s="476" t="s">
        <v>2978</v>
      </c>
      <c r="D453" s="467" t="s">
        <v>2964</v>
      </c>
      <c r="E453" s="472" t="s">
        <v>2491</v>
      </c>
      <c r="F453" s="477">
        <v>41.82</v>
      </c>
      <c r="G453" s="469" t="s">
        <v>2472</v>
      </c>
      <c r="H453" s="487">
        <v>61.85</v>
      </c>
      <c r="I453" s="471">
        <v>61.85</v>
      </c>
      <c r="J453" s="488" t="s">
        <v>2492</v>
      </c>
      <c r="K453" s="472" t="s">
        <v>2522</v>
      </c>
      <c r="L453" s="473" t="s">
        <v>570</v>
      </c>
      <c r="M453" s="473" t="s">
        <v>2965</v>
      </c>
      <c r="N453" s="473" t="s">
        <v>2966</v>
      </c>
      <c r="O453" s="474" t="s">
        <v>2966</v>
      </c>
    </row>
    <row r="454" spans="1:15" s="475" customFormat="1" ht="12" hidden="1">
      <c r="A454" s="465">
        <v>10131000029586</v>
      </c>
      <c r="B454" s="476" t="s">
        <v>2962</v>
      </c>
      <c r="C454" s="476" t="s">
        <v>2979</v>
      </c>
      <c r="D454" s="467" t="s">
        <v>2964</v>
      </c>
      <c r="E454" s="472" t="s">
        <v>2491</v>
      </c>
      <c r="F454" s="477">
        <v>85.01</v>
      </c>
      <c r="G454" s="469" t="s">
        <v>2472</v>
      </c>
      <c r="H454" s="487">
        <v>126.98</v>
      </c>
      <c r="I454" s="471">
        <v>126.98</v>
      </c>
      <c r="J454" s="488" t="s">
        <v>2492</v>
      </c>
      <c r="K454" s="472" t="s">
        <v>2522</v>
      </c>
      <c r="L454" s="473" t="s">
        <v>570</v>
      </c>
      <c r="M454" s="473" t="s">
        <v>2965</v>
      </c>
      <c r="N454" s="473" t="s">
        <v>2966</v>
      </c>
      <c r="O454" s="474" t="s">
        <v>2966</v>
      </c>
    </row>
    <row r="455" spans="1:15" s="475" customFormat="1" ht="12" hidden="1">
      <c r="A455" s="465">
        <v>10131000029571</v>
      </c>
      <c r="B455" s="476" t="s">
        <v>2962</v>
      </c>
      <c r="C455" s="476" t="s">
        <v>2980</v>
      </c>
      <c r="D455" s="467" t="s">
        <v>2964</v>
      </c>
      <c r="E455" s="472" t="s">
        <v>2491</v>
      </c>
      <c r="F455" s="477">
        <v>230.95679999999999</v>
      </c>
      <c r="G455" s="469" t="s">
        <v>2472</v>
      </c>
      <c r="H455" s="487">
        <v>291.32</v>
      </c>
      <c r="I455" s="471">
        <v>291.32</v>
      </c>
      <c r="J455" s="488" t="s">
        <v>2492</v>
      </c>
      <c r="K455" s="472" t="s">
        <v>2522</v>
      </c>
      <c r="L455" s="473" t="s">
        <v>570</v>
      </c>
      <c r="M455" s="473" t="s">
        <v>2965</v>
      </c>
      <c r="N455" s="473" t="s">
        <v>2966</v>
      </c>
      <c r="O455" s="474" t="s">
        <v>2966</v>
      </c>
    </row>
    <row r="456" spans="1:15" s="475" customFormat="1" ht="12" hidden="1">
      <c r="A456" s="465">
        <v>10131000029572</v>
      </c>
      <c r="B456" s="476" t="s">
        <v>2962</v>
      </c>
      <c r="C456" s="476" t="s">
        <v>2981</v>
      </c>
      <c r="D456" s="467" t="s">
        <v>2964</v>
      </c>
      <c r="E456" s="472" t="s">
        <v>2491</v>
      </c>
      <c r="F456" s="477">
        <v>365.55</v>
      </c>
      <c r="G456" s="469" t="s">
        <v>2472</v>
      </c>
      <c r="H456" s="487">
        <v>410.97</v>
      </c>
      <c r="I456" s="471">
        <v>410.97</v>
      </c>
      <c r="J456" s="488" t="s">
        <v>2492</v>
      </c>
      <c r="K456" s="472" t="s">
        <v>2522</v>
      </c>
      <c r="L456" s="473" t="s">
        <v>570</v>
      </c>
      <c r="M456" s="473" t="s">
        <v>2965</v>
      </c>
      <c r="N456" s="473" t="s">
        <v>2966</v>
      </c>
      <c r="O456" s="474" t="s">
        <v>2966</v>
      </c>
    </row>
    <row r="457" spans="1:15" s="475" customFormat="1" ht="12" hidden="1">
      <c r="A457" s="465">
        <v>10131000058096</v>
      </c>
      <c r="B457" s="494" t="s">
        <v>2982</v>
      </c>
      <c r="C457" s="494" t="s">
        <v>2982</v>
      </c>
      <c r="D457" s="467" t="s">
        <v>982</v>
      </c>
      <c r="E457" s="468" t="s">
        <v>2491</v>
      </c>
      <c r="F457" s="477" t="s">
        <v>2472</v>
      </c>
      <c r="G457" s="469" t="s">
        <v>2472</v>
      </c>
      <c r="H457" s="470">
        <v>8.4499999999999993</v>
      </c>
      <c r="I457" s="471">
        <v>8.4499999999999993</v>
      </c>
      <c r="J457" s="472" t="s">
        <v>423</v>
      </c>
      <c r="K457" s="472" t="s">
        <v>534</v>
      </c>
      <c r="L457" s="473" t="s">
        <v>570</v>
      </c>
      <c r="M457" s="473" t="s">
        <v>2732</v>
      </c>
      <c r="N457" s="473" t="s">
        <v>2983</v>
      </c>
      <c r="O457" s="474" t="s">
        <v>2983</v>
      </c>
    </row>
    <row r="458" spans="1:15" s="475" customFormat="1" ht="12" hidden="1">
      <c r="A458" s="465">
        <v>10131000021655</v>
      </c>
      <c r="B458" s="466" t="s">
        <v>2984</v>
      </c>
      <c r="C458" s="476" t="s">
        <v>2985</v>
      </c>
      <c r="D458" s="467" t="s">
        <v>2552</v>
      </c>
      <c r="E458" s="472" t="s">
        <v>2491</v>
      </c>
      <c r="F458" s="477">
        <v>0.26</v>
      </c>
      <c r="G458" s="469" t="s">
        <v>2472</v>
      </c>
      <c r="H458" s="487">
        <v>0.26</v>
      </c>
      <c r="I458" s="471">
        <v>0.26</v>
      </c>
      <c r="J458" s="488" t="s">
        <v>2492</v>
      </c>
      <c r="K458" s="472" t="s">
        <v>662</v>
      </c>
      <c r="L458" s="473" t="s">
        <v>570</v>
      </c>
      <c r="M458" s="473" t="s">
        <v>1718</v>
      </c>
      <c r="N458" s="473" t="s">
        <v>2984</v>
      </c>
      <c r="O458" s="474" t="s">
        <v>2984</v>
      </c>
    </row>
    <row r="459" spans="1:15" s="475" customFormat="1" ht="12" hidden="1">
      <c r="A459" s="465">
        <v>10131000021662</v>
      </c>
      <c r="B459" s="466" t="s">
        <v>2984</v>
      </c>
      <c r="C459" s="476" t="s">
        <v>2986</v>
      </c>
      <c r="D459" s="467" t="s">
        <v>2552</v>
      </c>
      <c r="E459" s="472" t="s">
        <v>2491</v>
      </c>
      <c r="F459" s="477">
        <v>0.54</v>
      </c>
      <c r="G459" s="469" t="s">
        <v>2472</v>
      </c>
      <c r="H459" s="487">
        <v>0.56000000000000005</v>
      </c>
      <c r="I459" s="471">
        <v>0.56000000000000005</v>
      </c>
      <c r="J459" s="488" t="s">
        <v>2492</v>
      </c>
      <c r="K459" s="472" t="s">
        <v>676</v>
      </c>
      <c r="L459" s="473" t="s">
        <v>570</v>
      </c>
      <c r="M459" s="473" t="s">
        <v>1718</v>
      </c>
      <c r="N459" s="473" t="s">
        <v>2984</v>
      </c>
      <c r="O459" s="474" t="s">
        <v>2984</v>
      </c>
    </row>
    <row r="460" spans="1:15" s="475" customFormat="1" ht="12" hidden="1">
      <c r="A460" s="465">
        <v>10131000016773</v>
      </c>
      <c r="B460" s="466" t="s">
        <v>2984</v>
      </c>
      <c r="C460" s="466" t="s">
        <v>2987</v>
      </c>
      <c r="D460" s="467" t="s">
        <v>2552</v>
      </c>
      <c r="E460" s="468" t="s">
        <v>2619</v>
      </c>
      <c r="F460" s="477">
        <v>0.54590570650000003</v>
      </c>
      <c r="G460" s="469" t="s">
        <v>2472</v>
      </c>
      <c r="H460" s="470">
        <v>0.45</v>
      </c>
      <c r="I460" s="471">
        <v>0.45</v>
      </c>
      <c r="J460" s="472" t="s">
        <v>423</v>
      </c>
      <c r="K460" s="472" t="s">
        <v>2620</v>
      </c>
      <c r="L460" s="473" t="s">
        <v>570</v>
      </c>
      <c r="M460" s="473" t="s">
        <v>1718</v>
      </c>
      <c r="N460" s="473" t="s">
        <v>2984</v>
      </c>
      <c r="O460" s="474" t="s">
        <v>2984</v>
      </c>
    </row>
    <row r="461" spans="1:15" s="475" customFormat="1" ht="12" hidden="1">
      <c r="A461" s="465">
        <v>10131000016770</v>
      </c>
      <c r="B461" s="466" t="s">
        <v>2984</v>
      </c>
      <c r="C461" s="466" t="s">
        <v>2984</v>
      </c>
      <c r="D461" s="467" t="s">
        <v>2552</v>
      </c>
      <c r="E461" s="468" t="s">
        <v>2491</v>
      </c>
      <c r="F461" s="477">
        <v>0.55000000000000004</v>
      </c>
      <c r="G461" s="469" t="s">
        <v>2472</v>
      </c>
      <c r="H461" s="470">
        <v>0.45</v>
      </c>
      <c r="I461" s="471">
        <v>0.45</v>
      </c>
      <c r="J461" s="472" t="s">
        <v>423</v>
      </c>
      <c r="K461" s="472" t="s">
        <v>534</v>
      </c>
      <c r="L461" s="473" t="s">
        <v>570</v>
      </c>
      <c r="M461" s="473" t="s">
        <v>1718</v>
      </c>
      <c r="N461" s="473" t="s">
        <v>2984</v>
      </c>
      <c r="O461" s="474" t="s">
        <v>2984</v>
      </c>
    </row>
    <row r="462" spans="1:15" s="475" customFormat="1" ht="12" hidden="1">
      <c r="A462" s="465">
        <v>10131000021659</v>
      </c>
      <c r="B462" s="466" t="s">
        <v>2984</v>
      </c>
      <c r="C462" s="476" t="s">
        <v>2988</v>
      </c>
      <c r="D462" s="467" t="s">
        <v>2552</v>
      </c>
      <c r="E462" s="472" t="s">
        <v>2491</v>
      </c>
      <c r="F462" s="477">
        <v>0.74</v>
      </c>
      <c r="G462" s="469" t="s">
        <v>2472</v>
      </c>
      <c r="H462" s="487">
        <v>0.34</v>
      </c>
      <c r="I462" s="471">
        <v>0.34</v>
      </c>
      <c r="J462" s="488" t="s">
        <v>2492</v>
      </c>
      <c r="K462" s="472" t="s">
        <v>670</v>
      </c>
      <c r="L462" s="473" t="s">
        <v>570</v>
      </c>
      <c r="M462" s="473" t="s">
        <v>1718</v>
      </c>
      <c r="N462" s="473" t="s">
        <v>2984</v>
      </c>
      <c r="O462" s="474" t="s">
        <v>2984</v>
      </c>
    </row>
    <row r="463" spans="1:15" s="475" customFormat="1" ht="12" hidden="1">
      <c r="A463" s="465">
        <v>10131000021660</v>
      </c>
      <c r="B463" s="466" t="s">
        <v>2984</v>
      </c>
      <c r="C463" s="476" t="s">
        <v>2989</v>
      </c>
      <c r="D463" s="467" t="s">
        <v>2552</v>
      </c>
      <c r="E463" s="472" t="s">
        <v>2491</v>
      </c>
      <c r="F463" s="477">
        <v>0.98</v>
      </c>
      <c r="G463" s="469" t="s">
        <v>2472</v>
      </c>
      <c r="H463" s="487">
        <v>0.19</v>
      </c>
      <c r="I463" s="471">
        <v>0.19</v>
      </c>
      <c r="J463" s="488" t="s">
        <v>2492</v>
      </c>
      <c r="K463" s="472" t="s">
        <v>672</v>
      </c>
      <c r="L463" s="473" t="s">
        <v>570</v>
      </c>
      <c r="M463" s="473" t="s">
        <v>1718</v>
      </c>
      <c r="N463" s="473" t="s">
        <v>2984</v>
      </c>
      <c r="O463" s="474" t="s">
        <v>2984</v>
      </c>
    </row>
    <row r="464" spans="1:15" s="475" customFormat="1" ht="12" hidden="1">
      <c r="A464" s="465">
        <v>10131000021657</v>
      </c>
      <c r="B464" s="466" t="s">
        <v>2984</v>
      </c>
      <c r="C464" s="476" t="s">
        <v>2990</v>
      </c>
      <c r="D464" s="467" t="s">
        <v>2552</v>
      </c>
      <c r="E464" s="472" t="s">
        <v>2491</v>
      </c>
      <c r="F464" s="477">
        <v>1.4</v>
      </c>
      <c r="G464" s="469" t="s">
        <v>2472</v>
      </c>
      <c r="H464" s="487">
        <v>0.9</v>
      </c>
      <c r="I464" s="471">
        <v>0.9</v>
      </c>
      <c r="J464" s="488" t="s">
        <v>2492</v>
      </c>
      <c r="K464" s="472" t="s">
        <v>668</v>
      </c>
      <c r="L464" s="473" t="s">
        <v>570</v>
      </c>
      <c r="M464" s="473" t="s">
        <v>1718</v>
      </c>
      <c r="N464" s="473" t="s">
        <v>2984</v>
      </c>
      <c r="O464" s="474" t="s">
        <v>2984</v>
      </c>
    </row>
    <row r="465" spans="1:15" s="475" customFormat="1" ht="12" hidden="1">
      <c r="A465" s="465">
        <v>10131000021649</v>
      </c>
      <c r="B465" s="466" t="s">
        <v>2984</v>
      </c>
      <c r="C465" s="476" t="s">
        <v>2991</v>
      </c>
      <c r="D465" s="467" t="s">
        <v>2552</v>
      </c>
      <c r="E465" s="472" t="s">
        <v>2491</v>
      </c>
      <c r="F465" s="477">
        <v>1.53</v>
      </c>
      <c r="G465" s="469" t="s">
        <v>2472</v>
      </c>
      <c r="H465" s="487">
        <v>0.9</v>
      </c>
      <c r="I465" s="471">
        <v>0.9</v>
      </c>
      <c r="J465" s="488" t="s">
        <v>2492</v>
      </c>
      <c r="K465" s="472" t="s">
        <v>656</v>
      </c>
      <c r="L465" s="473" t="s">
        <v>570</v>
      </c>
      <c r="M465" s="473" t="s">
        <v>1718</v>
      </c>
      <c r="N465" s="473" t="s">
        <v>2984</v>
      </c>
      <c r="O465" s="474" t="s">
        <v>2984</v>
      </c>
    </row>
    <row r="466" spans="1:15" s="475" customFormat="1" ht="12" hidden="1">
      <c r="A466" s="465">
        <v>10131000021651</v>
      </c>
      <c r="B466" s="466" t="s">
        <v>2984</v>
      </c>
      <c r="C466" s="476" t="s">
        <v>2992</v>
      </c>
      <c r="D466" s="467" t="s">
        <v>2552</v>
      </c>
      <c r="E466" s="472" t="s">
        <v>2491</v>
      </c>
      <c r="F466" s="477">
        <v>1.59</v>
      </c>
      <c r="G466" s="469" t="s">
        <v>2472</v>
      </c>
      <c r="H466" s="487">
        <v>0.15</v>
      </c>
      <c r="I466" s="471">
        <v>0.15</v>
      </c>
      <c r="J466" s="488" t="s">
        <v>2492</v>
      </c>
      <c r="K466" s="472" t="s">
        <v>658</v>
      </c>
      <c r="L466" s="473" t="s">
        <v>570</v>
      </c>
      <c r="M466" s="473" t="s">
        <v>1718</v>
      </c>
      <c r="N466" s="473" t="s">
        <v>2984</v>
      </c>
      <c r="O466" s="474" t="s">
        <v>2984</v>
      </c>
    </row>
    <row r="467" spans="1:15" s="475" customFormat="1" ht="12" hidden="1">
      <c r="A467" s="465">
        <v>10131000021654</v>
      </c>
      <c r="B467" s="466" t="s">
        <v>2984</v>
      </c>
      <c r="C467" s="476" t="s">
        <v>2993</v>
      </c>
      <c r="D467" s="467" t="s">
        <v>2552</v>
      </c>
      <c r="E467" s="472" t="s">
        <v>2491</v>
      </c>
      <c r="F467" s="477">
        <v>1.71</v>
      </c>
      <c r="G467" s="469" t="s">
        <v>2472</v>
      </c>
      <c r="H467" s="487">
        <v>0.12</v>
      </c>
      <c r="I467" s="471">
        <v>0.12</v>
      </c>
      <c r="J467" s="488" t="s">
        <v>2492</v>
      </c>
      <c r="K467" s="472" t="s">
        <v>664</v>
      </c>
      <c r="L467" s="473" t="s">
        <v>570</v>
      </c>
      <c r="M467" s="473" t="s">
        <v>1718</v>
      </c>
      <c r="N467" s="473" t="s">
        <v>2984</v>
      </c>
      <c r="O467" s="474" t="s">
        <v>2984</v>
      </c>
    </row>
    <row r="468" spans="1:15" s="475" customFormat="1" ht="12" hidden="1">
      <c r="A468" s="465">
        <v>10131000021652</v>
      </c>
      <c r="B468" s="466" t="s">
        <v>2984</v>
      </c>
      <c r="C468" s="476" t="s">
        <v>2994</v>
      </c>
      <c r="D468" s="467" t="s">
        <v>2552</v>
      </c>
      <c r="E468" s="472" t="s">
        <v>2491</v>
      </c>
      <c r="F468" s="477">
        <v>2.09</v>
      </c>
      <c r="G468" s="469" t="s">
        <v>2472</v>
      </c>
      <c r="H468" s="487">
        <v>0.39</v>
      </c>
      <c r="I468" s="471">
        <v>0.39</v>
      </c>
      <c r="J468" s="488" t="s">
        <v>2492</v>
      </c>
      <c r="K468" s="472" t="s">
        <v>660</v>
      </c>
      <c r="L468" s="473" t="s">
        <v>570</v>
      </c>
      <c r="M468" s="473" t="s">
        <v>1718</v>
      </c>
      <c r="N468" s="473" t="s">
        <v>2984</v>
      </c>
      <c r="O468" s="474" t="s">
        <v>2984</v>
      </c>
    </row>
    <row r="469" spans="1:15" s="475" customFormat="1" ht="12" hidden="1">
      <c r="A469" s="465">
        <v>10131000021663</v>
      </c>
      <c r="B469" s="466" t="s">
        <v>2984</v>
      </c>
      <c r="C469" s="476" t="s">
        <v>2995</v>
      </c>
      <c r="D469" s="467" t="s">
        <v>2552</v>
      </c>
      <c r="E469" s="472" t="s">
        <v>2491</v>
      </c>
      <c r="F469" s="477">
        <v>2.2999999999999998</v>
      </c>
      <c r="G469" s="469" t="s">
        <v>2472</v>
      </c>
      <c r="H469" s="487">
        <v>1.25</v>
      </c>
      <c r="I469" s="471">
        <v>1.25</v>
      </c>
      <c r="J469" s="488" t="s">
        <v>2492</v>
      </c>
      <c r="K469" s="472" t="s">
        <v>674</v>
      </c>
      <c r="L469" s="473" t="s">
        <v>570</v>
      </c>
      <c r="M469" s="473" t="s">
        <v>1718</v>
      </c>
      <c r="N469" s="473" t="s">
        <v>2984</v>
      </c>
      <c r="O469" s="474" t="s">
        <v>2984</v>
      </c>
    </row>
    <row r="470" spans="1:15" s="475" customFormat="1" ht="12" hidden="1">
      <c r="A470" s="465">
        <v>10131000053766</v>
      </c>
      <c r="B470" s="489" t="s">
        <v>2984</v>
      </c>
      <c r="C470" s="489" t="s">
        <v>2996</v>
      </c>
      <c r="D470" s="467" t="s">
        <v>2552</v>
      </c>
      <c r="E470" s="478" t="s">
        <v>2514</v>
      </c>
      <c r="F470" s="477">
        <v>3.2219963999999996</v>
      </c>
      <c r="G470" s="469" t="s">
        <v>2472</v>
      </c>
      <c r="H470" s="481">
        <v>259</v>
      </c>
      <c r="I470" s="482">
        <v>2.64</v>
      </c>
      <c r="J470" s="483" t="s">
        <v>2515</v>
      </c>
      <c r="K470" s="483" t="s">
        <v>2515</v>
      </c>
      <c r="L470" s="473" t="s">
        <v>570</v>
      </c>
      <c r="M470" s="473" t="s">
        <v>1718</v>
      </c>
      <c r="N470" s="473" t="s">
        <v>2984</v>
      </c>
      <c r="O470" s="474" t="s">
        <v>2984</v>
      </c>
    </row>
    <row r="471" spans="1:15" s="475" customFormat="1" ht="12" hidden="1">
      <c r="A471" s="465">
        <v>10131000053770</v>
      </c>
      <c r="B471" s="489" t="s">
        <v>2984</v>
      </c>
      <c r="C471" s="489" t="s">
        <v>2997</v>
      </c>
      <c r="D471" s="467" t="s">
        <v>2552</v>
      </c>
      <c r="E471" s="478" t="s">
        <v>2514</v>
      </c>
      <c r="F471" s="477">
        <v>3.2219963999999996</v>
      </c>
      <c r="G471" s="469" t="s">
        <v>2472</v>
      </c>
      <c r="H471" s="481">
        <v>259</v>
      </c>
      <c r="I471" s="482">
        <v>2.64</v>
      </c>
      <c r="J471" s="483" t="s">
        <v>2515</v>
      </c>
      <c r="K471" s="483" t="s">
        <v>2515</v>
      </c>
      <c r="L471" s="473" t="s">
        <v>570</v>
      </c>
      <c r="M471" s="473" t="s">
        <v>1718</v>
      </c>
      <c r="N471" s="473" t="s">
        <v>2984</v>
      </c>
      <c r="O471" s="474" t="s">
        <v>2984</v>
      </c>
    </row>
    <row r="472" spans="1:15" s="475" customFormat="1" ht="12" hidden="1">
      <c r="A472" s="465">
        <v>10131000021606</v>
      </c>
      <c r="B472" s="466" t="s">
        <v>2984</v>
      </c>
      <c r="C472" s="476" t="s">
        <v>2998</v>
      </c>
      <c r="D472" s="467" t="s">
        <v>2552</v>
      </c>
      <c r="E472" s="472" t="s">
        <v>2491</v>
      </c>
      <c r="F472" s="477">
        <v>6.47</v>
      </c>
      <c r="G472" s="469" t="s">
        <v>2472</v>
      </c>
      <c r="H472" s="487">
        <v>6</v>
      </c>
      <c r="I472" s="471">
        <v>6</v>
      </c>
      <c r="J472" s="488" t="s">
        <v>2492</v>
      </c>
      <c r="K472" s="472" t="s">
        <v>666</v>
      </c>
      <c r="L472" s="473" t="s">
        <v>570</v>
      </c>
      <c r="M472" s="473" t="s">
        <v>1718</v>
      </c>
      <c r="N472" s="473" t="s">
        <v>2984</v>
      </c>
      <c r="O472" s="474" t="s">
        <v>2984</v>
      </c>
    </row>
    <row r="473" spans="1:15" s="475" customFormat="1" ht="12" hidden="1">
      <c r="A473" s="465">
        <v>1000099059</v>
      </c>
      <c r="B473" s="466" t="s">
        <v>2984</v>
      </c>
      <c r="C473" s="466" t="s">
        <v>2984</v>
      </c>
      <c r="D473" s="467" t="s">
        <v>2552</v>
      </c>
      <c r="E473" s="468" t="s">
        <v>2471</v>
      </c>
      <c r="F473" s="477" t="s">
        <v>2472</v>
      </c>
      <c r="G473" s="469" t="s">
        <v>2472</v>
      </c>
      <c r="H473" s="470">
        <v>7.0492400000000011</v>
      </c>
      <c r="I473" s="471">
        <v>0.54434285714285724</v>
      </c>
      <c r="J473" s="472" t="s">
        <v>422</v>
      </c>
      <c r="K473" s="472" t="s">
        <v>2473</v>
      </c>
      <c r="L473" s="473" t="s">
        <v>570</v>
      </c>
      <c r="M473" s="473" t="s">
        <v>1718</v>
      </c>
      <c r="N473" s="473" t="s">
        <v>2984</v>
      </c>
      <c r="O473" s="474" t="s">
        <v>2984</v>
      </c>
    </row>
    <row r="474" spans="1:15" s="475" customFormat="1" ht="12" hidden="1">
      <c r="A474" s="465">
        <v>1000099078</v>
      </c>
      <c r="B474" s="466" t="s">
        <v>2984</v>
      </c>
      <c r="C474" s="466" t="s">
        <v>2999</v>
      </c>
      <c r="D474" s="467" t="s">
        <v>2552</v>
      </c>
      <c r="E474" s="468" t="s">
        <v>2471</v>
      </c>
      <c r="F474" s="477" t="s">
        <v>2472</v>
      </c>
      <c r="G474" s="469" t="s">
        <v>2472</v>
      </c>
      <c r="H474" s="470">
        <v>8.6881883000000002</v>
      </c>
      <c r="I474" s="471">
        <v>0.67090257142857146</v>
      </c>
      <c r="J474" s="472" t="s">
        <v>422</v>
      </c>
      <c r="K474" s="472" t="s">
        <v>2473</v>
      </c>
      <c r="L474" s="473" t="s">
        <v>570</v>
      </c>
      <c r="M474" s="473" t="s">
        <v>1718</v>
      </c>
      <c r="N474" s="473" t="s">
        <v>2984</v>
      </c>
      <c r="O474" s="474" t="s">
        <v>2984</v>
      </c>
    </row>
    <row r="475" spans="1:15" s="475" customFormat="1" ht="12" hidden="1">
      <c r="A475" s="465">
        <v>10131000016870</v>
      </c>
      <c r="B475" s="476" t="s">
        <v>3000</v>
      </c>
      <c r="C475" s="476" t="s">
        <v>3001</v>
      </c>
      <c r="D475" s="467" t="s">
        <v>1045</v>
      </c>
      <c r="E475" s="472" t="s">
        <v>2541</v>
      </c>
      <c r="F475" s="477">
        <v>0</v>
      </c>
      <c r="G475" s="469" t="s">
        <v>2472</v>
      </c>
      <c r="H475" s="470">
        <v>1E-8</v>
      </c>
      <c r="I475" s="471">
        <v>1.5324781650000001E-8</v>
      </c>
      <c r="J475" s="485" t="s">
        <v>421</v>
      </c>
      <c r="K475" s="472" t="s">
        <v>651</v>
      </c>
      <c r="L475" s="473" t="s">
        <v>570</v>
      </c>
      <c r="M475" s="473" t="s">
        <v>2732</v>
      </c>
      <c r="N475" s="476" t="s">
        <v>3000</v>
      </c>
      <c r="O475" s="486" t="s">
        <v>3000</v>
      </c>
    </row>
    <row r="476" spans="1:15" s="475" customFormat="1" ht="12" hidden="1">
      <c r="A476" s="465">
        <v>10131000016871</v>
      </c>
      <c r="B476" s="476" t="s">
        <v>3000</v>
      </c>
      <c r="C476" s="476" t="s">
        <v>3001</v>
      </c>
      <c r="D476" s="467" t="s">
        <v>1045</v>
      </c>
      <c r="E476" s="472" t="s">
        <v>2541</v>
      </c>
      <c r="F476" s="477">
        <v>0</v>
      </c>
      <c r="G476" s="469" t="s">
        <v>2472</v>
      </c>
      <c r="H476" s="470">
        <v>1E-8</v>
      </c>
      <c r="I476" s="471">
        <v>1.5324781650000001E-8</v>
      </c>
      <c r="J476" s="485" t="s">
        <v>421</v>
      </c>
      <c r="K476" s="472" t="s">
        <v>651</v>
      </c>
      <c r="L476" s="473" t="s">
        <v>570</v>
      </c>
      <c r="M476" s="473" t="s">
        <v>2732</v>
      </c>
      <c r="N476" s="476" t="s">
        <v>3000</v>
      </c>
      <c r="O476" s="486" t="s">
        <v>3000</v>
      </c>
    </row>
    <row r="477" spans="1:15" s="475" customFormat="1" ht="12" hidden="1">
      <c r="A477" s="465">
        <v>10131000039384</v>
      </c>
      <c r="B477" s="476" t="s">
        <v>3000</v>
      </c>
      <c r="C477" s="476" t="s">
        <v>3001</v>
      </c>
      <c r="D477" s="467" t="s">
        <v>1045</v>
      </c>
      <c r="E477" s="472" t="s">
        <v>2491</v>
      </c>
      <c r="F477" s="477">
        <v>0</v>
      </c>
      <c r="G477" s="469" t="s">
        <v>2472</v>
      </c>
      <c r="H477" s="470">
        <v>1E-8</v>
      </c>
      <c r="I477" s="471">
        <v>1E-8</v>
      </c>
      <c r="J477" s="485" t="s">
        <v>421</v>
      </c>
      <c r="K477" s="472" t="s">
        <v>651</v>
      </c>
      <c r="L477" s="473" t="s">
        <v>570</v>
      </c>
      <c r="M477" s="473" t="s">
        <v>2732</v>
      </c>
      <c r="N477" s="476" t="s">
        <v>3000</v>
      </c>
      <c r="O477" s="486" t="s">
        <v>3000</v>
      </c>
    </row>
    <row r="478" spans="1:15" s="475" customFormat="1" ht="12" hidden="1">
      <c r="A478" s="465">
        <v>10131000016939</v>
      </c>
      <c r="B478" s="466" t="s">
        <v>1514</v>
      </c>
      <c r="C478" s="466" t="s">
        <v>3002</v>
      </c>
      <c r="D478" s="467" t="s">
        <v>982</v>
      </c>
      <c r="E478" s="468" t="s">
        <v>2491</v>
      </c>
      <c r="F478" s="477">
        <v>27</v>
      </c>
      <c r="G478" s="469" t="s">
        <v>2472</v>
      </c>
      <c r="H478" s="470">
        <v>29</v>
      </c>
      <c r="I478" s="471">
        <v>29</v>
      </c>
      <c r="J478" s="472" t="s">
        <v>423</v>
      </c>
      <c r="K478" s="472" t="s">
        <v>534</v>
      </c>
      <c r="L478" s="473" t="s">
        <v>2474</v>
      </c>
      <c r="M478" s="473" t="s">
        <v>1491</v>
      </c>
      <c r="N478" s="473" t="s">
        <v>1514</v>
      </c>
      <c r="O478" s="474" t="s">
        <v>1514</v>
      </c>
    </row>
    <row r="479" spans="1:15" s="475" customFormat="1" ht="12" hidden="1">
      <c r="A479" s="465">
        <v>1000099143</v>
      </c>
      <c r="B479" s="466" t="s">
        <v>1514</v>
      </c>
      <c r="C479" s="466" t="s">
        <v>1514</v>
      </c>
      <c r="D479" s="467" t="s">
        <v>3003</v>
      </c>
      <c r="E479" s="468" t="s">
        <v>2471</v>
      </c>
      <c r="F479" s="477" t="s">
        <v>2472</v>
      </c>
      <c r="G479" s="469" t="s">
        <v>2472</v>
      </c>
      <c r="H479" s="470">
        <v>4551.5948100000005</v>
      </c>
      <c r="I479" s="471">
        <v>351.47450270270275</v>
      </c>
      <c r="J479" s="472" t="s">
        <v>422</v>
      </c>
      <c r="K479" s="472" t="s">
        <v>2473</v>
      </c>
      <c r="L479" s="473" t="s">
        <v>2474</v>
      </c>
      <c r="M479" s="473" t="s">
        <v>1491</v>
      </c>
      <c r="N479" s="473" t="s">
        <v>1514</v>
      </c>
      <c r="O479" s="474" t="s">
        <v>1514</v>
      </c>
    </row>
    <row r="480" spans="1:15" s="475" customFormat="1" ht="12" hidden="1">
      <c r="A480" s="465">
        <v>1000099180</v>
      </c>
      <c r="B480" s="466" t="s">
        <v>1514</v>
      </c>
      <c r="C480" s="466" t="s">
        <v>3004</v>
      </c>
      <c r="D480" s="467" t="s">
        <v>3003</v>
      </c>
      <c r="E480" s="468" t="s">
        <v>2471</v>
      </c>
      <c r="F480" s="477" t="s">
        <v>2472</v>
      </c>
      <c r="G480" s="469" t="s">
        <v>2472</v>
      </c>
      <c r="H480" s="470">
        <v>4779.1745505000008</v>
      </c>
      <c r="I480" s="471">
        <v>369.04822783783794</v>
      </c>
      <c r="J480" s="472" t="s">
        <v>422</v>
      </c>
      <c r="K480" s="472" t="s">
        <v>2473</v>
      </c>
      <c r="L480" s="473" t="s">
        <v>2474</v>
      </c>
      <c r="M480" s="473" t="s">
        <v>1491</v>
      </c>
      <c r="N480" s="473" t="s">
        <v>1514</v>
      </c>
      <c r="O480" s="474" t="s">
        <v>1514</v>
      </c>
    </row>
    <row r="481" spans="1:15" s="475" customFormat="1" ht="12" hidden="1">
      <c r="A481" s="465">
        <v>10131000051843</v>
      </c>
      <c r="B481" s="466" t="s">
        <v>3005</v>
      </c>
      <c r="C481" s="476" t="s">
        <v>3006</v>
      </c>
      <c r="D481" s="467" t="s">
        <v>982</v>
      </c>
      <c r="E481" s="472" t="s">
        <v>2491</v>
      </c>
      <c r="F481" s="477">
        <v>0</v>
      </c>
      <c r="G481" s="469" t="s">
        <v>2472</v>
      </c>
      <c r="H481" s="487">
        <v>33.869999999999997</v>
      </c>
      <c r="I481" s="471">
        <v>33.869999999999997</v>
      </c>
      <c r="J481" s="488" t="s">
        <v>2492</v>
      </c>
      <c r="K481" s="472" t="s">
        <v>660</v>
      </c>
      <c r="L481" s="473" t="s">
        <v>2474</v>
      </c>
      <c r="M481" s="473" t="s">
        <v>1835</v>
      </c>
      <c r="N481" s="473" t="s">
        <v>3005</v>
      </c>
      <c r="O481" s="474" t="s">
        <v>3005</v>
      </c>
    </row>
    <row r="482" spans="1:15" s="475" customFormat="1" ht="12" hidden="1">
      <c r="A482" s="465">
        <v>10131000039395</v>
      </c>
      <c r="B482" s="466" t="s">
        <v>3005</v>
      </c>
      <c r="C482" s="466" t="s">
        <v>3007</v>
      </c>
      <c r="D482" s="467" t="s">
        <v>982</v>
      </c>
      <c r="E482" s="472" t="s">
        <v>2491</v>
      </c>
      <c r="F482" s="477">
        <v>0</v>
      </c>
      <c r="G482" s="469" t="s">
        <v>2472</v>
      </c>
      <c r="H482" s="470">
        <v>315.75</v>
      </c>
      <c r="I482" s="471">
        <v>315.75</v>
      </c>
      <c r="J482" s="485" t="s">
        <v>421</v>
      </c>
      <c r="K482" s="472" t="s">
        <v>651</v>
      </c>
      <c r="L482" s="473" t="s">
        <v>2474</v>
      </c>
      <c r="M482" s="473" t="s">
        <v>1835</v>
      </c>
      <c r="N482" s="473" t="s">
        <v>3005</v>
      </c>
      <c r="O482" s="474" t="s">
        <v>3005</v>
      </c>
    </row>
    <row r="483" spans="1:15" s="475" customFormat="1" ht="12" hidden="1">
      <c r="A483" s="465">
        <v>10131000051850</v>
      </c>
      <c r="B483" s="466" t="s">
        <v>3005</v>
      </c>
      <c r="C483" s="476" t="s">
        <v>3008</v>
      </c>
      <c r="D483" s="467" t="s">
        <v>982</v>
      </c>
      <c r="E483" s="472" t="s">
        <v>2491</v>
      </c>
      <c r="F483" s="477">
        <v>16.579999999999998</v>
      </c>
      <c r="G483" s="469" t="s">
        <v>2472</v>
      </c>
      <c r="H483" s="487">
        <v>40.98</v>
      </c>
      <c r="I483" s="471">
        <v>40.98</v>
      </c>
      <c r="J483" s="488" t="s">
        <v>2492</v>
      </c>
      <c r="K483" s="472" t="s">
        <v>674</v>
      </c>
      <c r="L483" s="473" t="s">
        <v>2474</v>
      </c>
      <c r="M483" s="473" t="s">
        <v>1835</v>
      </c>
      <c r="N483" s="473" t="s">
        <v>3005</v>
      </c>
      <c r="O483" s="474" t="s">
        <v>3005</v>
      </c>
    </row>
    <row r="484" spans="1:15" s="475" customFormat="1" ht="12" hidden="1">
      <c r="A484" s="465">
        <v>10131000051847</v>
      </c>
      <c r="B484" s="466" t="s">
        <v>3005</v>
      </c>
      <c r="C484" s="476" t="s">
        <v>3009</v>
      </c>
      <c r="D484" s="467" t="s">
        <v>982</v>
      </c>
      <c r="E484" s="472" t="s">
        <v>2491</v>
      </c>
      <c r="F484" s="477">
        <v>18.13</v>
      </c>
      <c r="G484" s="469" t="s">
        <v>2472</v>
      </c>
      <c r="H484" s="487">
        <v>27.07</v>
      </c>
      <c r="I484" s="471">
        <v>27.07</v>
      </c>
      <c r="J484" s="488" t="s">
        <v>2492</v>
      </c>
      <c r="K484" s="472" t="s">
        <v>670</v>
      </c>
      <c r="L484" s="473" t="s">
        <v>2474</v>
      </c>
      <c r="M484" s="473" t="s">
        <v>1835</v>
      </c>
      <c r="N484" s="473" t="s">
        <v>3005</v>
      </c>
      <c r="O484" s="474" t="s">
        <v>3005</v>
      </c>
    </row>
    <row r="485" spans="1:15" s="475" customFormat="1" ht="12" hidden="1">
      <c r="A485" s="465">
        <v>10131000051846</v>
      </c>
      <c r="B485" s="466" t="s">
        <v>3005</v>
      </c>
      <c r="C485" s="476" t="s">
        <v>3010</v>
      </c>
      <c r="D485" s="467" t="s">
        <v>982</v>
      </c>
      <c r="E485" s="472" t="s">
        <v>2491</v>
      </c>
      <c r="F485" s="477">
        <v>19.21</v>
      </c>
      <c r="G485" s="469" t="s">
        <v>2472</v>
      </c>
      <c r="H485" s="487">
        <v>19.37</v>
      </c>
      <c r="I485" s="471">
        <v>19.37</v>
      </c>
      <c r="J485" s="488" t="s">
        <v>2492</v>
      </c>
      <c r="K485" s="472" t="s">
        <v>668</v>
      </c>
      <c r="L485" s="473" t="s">
        <v>2474</v>
      </c>
      <c r="M485" s="473" t="s">
        <v>1835</v>
      </c>
      <c r="N485" s="473" t="s">
        <v>3005</v>
      </c>
      <c r="O485" s="474" t="s">
        <v>3005</v>
      </c>
    </row>
    <row r="486" spans="1:15" s="475" customFormat="1" ht="12" hidden="1">
      <c r="A486" s="465">
        <v>10131000051848</v>
      </c>
      <c r="B486" s="466" t="s">
        <v>3005</v>
      </c>
      <c r="C486" s="476" t="s">
        <v>3011</v>
      </c>
      <c r="D486" s="467" t="s">
        <v>982</v>
      </c>
      <c r="E486" s="472" t="s">
        <v>2491</v>
      </c>
      <c r="F486" s="477">
        <v>21.62</v>
      </c>
      <c r="G486" s="469" t="s">
        <v>2472</v>
      </c>
      <c r="H486" s="487">
        <v>39.67</v>
      </c>
      <c r="I486" s="471">
        <v>39.67</v>
      </c>
      <c r="J486" s="488" t="s">
        <v>2492</v>
      </c>
      <c r="K486" s="472" t="s">
        <v>672</v>
      </c>
      <c r="L486" s="473" t="s">
        <v>2474</v>
      </c>
      <c r="M486" s="473" t="s">
        <v>1835</v>
      </c>
      <c r="N486" s="473" t="s">
        <v>3005</v>
      </c>
      <c r="O486" s="474" t="s">
        <v>3005</v>
      </c>
    </row>
    <row r="487" spans="1:15" s="475" customFormat="1" ht="12" hidden="1">
      <c r="A487" s="465">
        <v>10131000051841</v>
      </c>
      <c r="B487" s="466" t="s">
        <v>3005</v>
      </c>
      <c r="C487" s="476" t="s">
        <v>3012</v>
      </c>
      <c r="D487" s="467" t="s">
        <v>982</v>
      </c>
      <c r="E487" s="472" t="s">
        <v>2491</v>
      </c>
      <c r="F487" s="477">
        <v>52.99</v>
      </c>
      <c r="G487" s="469" t="s">
        <v>2472</v>
      </c>
      <c r="H487" s="487">
        <v>64.39</v>
      </c>
      <c r="I487" s="471">
        <v>64.39</v>
      </c>
      <c r="J487" s="488" t="s">
        <v>2492</v>
      </c>
      <c r="K487" s="472" t="s">
        <v>656</v>
      </c>
      <c r="L487" s="473" t="s">
        <v>2474</v>
      </c>
      <c r="M487" s="473" t="s">
        <v>1835</v>
      </c>
      <c r="N487" s="473" t="s">
        <v>3005</v>
      </c>
      <c r="O487" s="474" t="s">
        <v>3005</v>
      </c>
    </row>
    <row r="488" spans="1:15" s="475" customFormat="1" ht="12" hidden="1">
      <c r="A488" s="465">
        <v>10131000039165</v>
      </c>
      <c r="B488" s="466" t="s">
        <v>3005</v>
      </c>
      <c r="C488" s="466" t="s">
        <v>3013</v>
      </c>
      <c r="D488" s="467" t="s">
        <v>982</v>
      </c>
      <c r="E488" s="468" t="s">
        <v>2491</v>
      </c>
      <c r="F488" s="477">
        <v>114.05</v>
      </c>
      <c r="G488" s="469" t="s">
        <v>2472</v>
      </c>
      <c r="H488" s="470">
        <v>111.36</v>
      </c>
      <c r="I488" s="471">
        <v>111.36</v>
      </c>
      <c r="J488" s="472" t="s">
        <v>423</v>
      </c>
      <c r="K488" s="472" t="s">
        <v>534</v>
      </c>
      <c r="L488" s="473" t="s">
        <v>2474</v>
      </c>
      <c r="M488" s="473" t="s">
        <v>1835</v>
      </c>
      <c r="N488" s="473" t="s">
        <v>3005</v>
      </c>
      <c r="O488" s="474" t="s">
        <v>3005</v>
      </c>
    </row>
    <row r="489" spans="1:15" s="475" customFormat="1" ht="12" hidden="1">
      <c r="A489" s="465">
        <v>10131000012697</v>
      </c>
      <c r="B489" s="466" t="s">
        <v>3005</v>
      </c>
      <c r="C489" s="466" t="s">
        <v>3014</v>
      </c>
      <c r="D489" s="467" t="s">
        <v>982</v>
      </c>
      <c r="E489" s="472" t="s">
        <v>2519</v>
      </c>
      <c r="F489" s="477">
        <v>187.51300192169998</v>
      </c>
      <c r="G489" s="469" t="s">
        <v>2472</v>
      </c>
      <c r="H489" s="470">
        <v>650.86</v>
      </c>
      <c r="I489" s="471">
        <v>200.76879907700001</v>
      </c>
      <c r="J489" s="485" t="s">
        <v>421</v>
      </c>
      <c r="K489" s="472" t="s">
        <v>621</v>
      </c>
      <c r="L489" s="473" t="s">
        <v>2474</v>
      </c>
      <c r="M489" s="473" t="s">
        <v>1835</v>
      </c>
      <c r="N489" s="473" t="s">
        <v>3005</v>
      </c>
      <c r="O489" s="474" t="s">
        <v>3005</v>
      </c>
    </row>
    <row r="490" spans="1:15" s="475" customFormat="1" ht="12" hidden="1">
      <c r="A490" s="465">
        <v>10131000029786</v>
      </c>
      <c r="B490" s="466" t="s">
        <v>3005</v>
      </c>
      <c r="C490" s="466" t="s">
        <v>3007</v>
      </c>
      <c r="D490" s="467" t="s">
        <v>982</v>
      </c>
      <c r="E490" s="472" t="s">
        <v>2541</v>
      </c>
      <c r="F490" s="477">
        <v>317.303268</v>
      </c>
      <c r="G490" s="469" t="s">
        <v>2472</v>
      </c>
      <c r="H490" s="470">
        <v>206.03882469999999</v>
      </c>
      <c r="I490" s="471">
        <v>315.74999999501262</v>
      </c>
      <c r="J490" s="485" t="s">
        <v>421</v>
      </c>
      <c r="K490" s="472" t="s">
        <v>651</v>
      </c>
      <c r="L490" s="473" t="s">
        <v>2474</v>
      </c>
      <c r="M490" s="473" t="s">
        <v>1835</v>
      </c>
      <c r="N490" s="473" t="s">
        <v>3005</v>
      </c>
      <c r="O490" s="474" t="s">
        <v>3005</v>
      </c>
    </row>
    <row r="491" spans="1:15" s="475" customFormat="1" ht="12" hidden="1">
      <c r="A491" s="465">
        <v>10131000029788</v>
      </c>
      <c r="B491" s="466" t="s">
        <v>3005</v>
      </c>
      <c r="C491" s="466" t="s">
        <v>3007</v>
      </c>
      <c r="D491" s="467" t="s">
        <v>982</v>
      </c>
      <c r="E491" s="472" t="s">
        <v>2541</v>
      </c>
      <c r="F491" s="477">
        <v>317.303268</v>
      </c>
      <c r="G491" s="469" t="s">
        <v>2472</v>
      </c>
      <c r="H491" s="470">
        <v>206.03882469999999</v>
      </c>
      <c r="I491" s="471">
        <v>315.74999999501262</v>
      </c>
      <c r="J491" s="485" t="s">
        <v>421</v>
      </c>
      <c r="K491" s="472" t="s">
        <v>651</v>
      </c>
      <c r="L491" s="473" t="s">
        <v>2474</v>
      </c>
      <c r="M491" s="473" t="s">
        <v>1835</v>
      </c>
      <c r="N491" s="473" t="s">
        <v>3005</v>
      </c>
      <c r="O491" s="474" t="s">
        <v>3005</v>
      </c>
    </row>
    <row r="492" spans="1:15" s="475" customFormat="1" ht="12" hidden="1">
      <c r="A492" s="465">
        <v>10131000039690</v>
      </c>
      <c r="B492" s="466" t="s">
        <v>3005</v>
      </c>
      <c r="C492" s="466" t="s">
        <v>3007</v>
      </c>
      <c r="D492" s="467" t="s">
        <v>982</v>
      </c>
      <c r="E492" s="472" t="s">
        <v>2491</v>
      </c>
      <c r="F492" s="477">
        <v>318.75</v>
      </c>
      <c r="G492" s="469" t="s">
        <v>2472</v>
      </c>
      <c r="H492" s="470">
        <v>315.75</v>
      </c>
      <c r="I492" s="471">
        <v>315.75</v>
      </c>
      <c r="J492" s="485" t="s">
        <v>421</v>
      </c>
      <c r="K492" s="472" t="s">
        <v>651</v>
      </c>
      <c r="L492" s="473" t="s">
        <v>2474</v>
      </c>
      <c r="M492" s="473" t="s">
        <v>1835</v>
      </c>
      <c r="N492" s="473" t="s">
        <v>3005</v>
      </c>
      <c r="O492" s="474" t="s">
        <v>3005</v>
      </c>
    </row>
    <row r="493" spans="1:15" s="475" customFormat="1" ht="12" hidden="1">
      <c r="A493" s="465">
        <v>10131000058309</v>
      </c>
      <c r="B493" s="466" t="s">
        <v>3005</v>
      </c>
      <c r="C493" s="466" t="s">
        <v>3014</v>
      </c>
      <c r="D493" s="467" t="s">
        <v>982</v>
      </c>
      <c r="E493" s="472" t="s">
        <v>2519</v>
      </c>
      <c r="F493" s="477" t="s">
        <v>2472</v>
      </c>
      <c r="G493" s="469" t="s">
        <v>2472</v>
      </c>
      <c r="H493" s="470">
        <v>1E-8</v>
      </c>
      <c r="I493" s="471">
        <v>3.0846695000000001E-9</v>
      </c>
      <c r="J493" s="485" t="s">
        <v>421</v>
      </c>
      <c r="K493" s="472" t="s">
        <v>621</v>
      </c>
      <c r="L493" s="473" t="s">
        <v>2474</v>
      </c>
      <c r="M493" s="473" t="s">
        <v>1835</v>
      </c>
      <c r="N493" s="473" t="s">
        <v>3005</v>
      </c>
      <c r="O493" s="474" t="s">
        <v>3005</v>
      </c>
    </row>
    <row r="494" spans="1:15" s="475" customFormat="1" ht="12" hidden="1">
      <c r="A494" s="465">
        <v>10131000056539</v>
      </c>
      <c r="B494" s="466" t="s">
        <v>3005</v>
      </c>
      <c r="C494" s="476" t="s">
        <v>3015</v>
      </c>
      <c r="D494" s="467" t="s">
        <v>982</v>
      </c>
      <c r="E494" s="472" t="s">
        <v>2491</v>
      </c>
      <c r="F494" s="477" t="s">
        <v>2472</v>
      </c>
      <c r="G494" s="469" t="s">
        <v>2472</v>
      </c>
      <c r="H494" s="487">
        <v>23.05</v>
      </c>
      <c r="I494" s="471">
        <v>23.05</v>
      </c>
      <c r="J494" s="488" t="s">
        <v>2492</v>
      </c>
      <c r="K494" s="472" t="s">
        <v>676</v>
      </c>
      <c r="L494" s="473" t="s">
        <v>2474</v>
      </c>
      <c r="M494" s="473" t="s">
        <v>1835</v>
      </c>
      <c r="N494" s="473" t="s">
        <v>3005</v>
      </c>
      <c r="O494" s="474" t="s">
        <v>3005</v>
      </c>
    </row>
    <row r="495" spans="1:15" s="475" customFormat="1" ht="12" hidden="1">
      <c r="A495" s="465">
        <v>10131000051802</v>
      </c>
      <c r="B495" s="476" t="s">
        <v>2003</v>
      </c>
      <c r="C495" s="476" t="s">
        <v>2003</v>
      </c>
      <c r="D495" s="467" t="s">
        <v>982</v>
      </c>
      <c r="E495" s="472" t="s">
        <v>2491</v>
      </c>
      <c r="F495" s="477">
        <v>97.83</v>
      </c>
      <c r="G495" s="469" t="s">
        <v>2472</v>
      </c>
      <c r="H495" s="487">
        <v>178.4</v>
      </c>
      <c r="I495" s="471">
        <v>178.4</v>
      </c>
      <c r="J495" s="488" t="s">
        <v>2492</v>
      </c>
      <c r="K495" s="472" t="s">
        <v>2522</v>
      </c>
      <c r="L495" s="473" t="s">
        <v>2474</v>
      </c>
      <c r="M495" s="473" t="s">
        <v>1835</v>
      </c>
      <c r="N495" s="473" t="s">
        <v>3005</v>
      </c>
      <c r="O495" s="474" t="s">
        <v>3005</v>
      </c>
    </row>
    <row r="496" spans="1:15" s="475" customFormat="1" ht="12" hidden="1">
      <c r="A496" s="465">
        <v>1000099122</v>
      </c>
      <c r="B496" s="473" t="s">
        <v>3016</v>
      </c>
      <c r="C496" s="473" t="s">
        <v>3016</v>
      </c>
      <c r="D496" s="467" t="s">
        <v>1045</v>
      </c>
      <c r="E496" s="468" t="s">
        <v>2471</v>
      </c>
      <c r="F496" s="477" t="s">
        <v>2472</v>
      </c>
      <c r="G496" s="469" t="s">
        <v>2472</v>
      </c>
      <c r="H496" s="470">
        <v>0</v>
      </c>
      <c r="I496" s="471">
        <v>0</v>
      </c>
      <c r="J496" s="472" t="s">
        <v>422</v>
      </c>
      <c r="K496" s="472" t="s">
        <v>2473</v>
      </c>
      <c r="L496" s="473" t="s">
        <v>2474</v>
      </c>
      <c r="M496" s="473" t="s">
        <v>1835</v>
      </c>
      <c r="N496" s="473" t="s">
        <v>204</v>
      </c>
      <c r="O496" s="474" t="s">
        <v>3016</v>
      </c>
    </row>
    <row r="497" spans="1:15" s="475" customFormat="1" ht="12" hidden="1">
      <c r="A497" s="465">
        <v>1000099159</v>
      </c>
      <c r="B497" s="473" t="s">
        <v>3016</v>
      </c>
      <c r="C497" s="473" t="s">
        <v>3017</v>
      </c>
      <c r="D497" s="467" t="s">
        <v>1045</v>
      </c>
      <c r="E497" s="468" t="s">
        <v>2471</v>
      </c>
      <c r="F497" s="477" t="s">
        <v>2472</v>
      </c>
      <c r="G497" s="469" t="s">
        <v>2472</v>
      </c>
      <c r="H497" s="470">
        <v>0</v>
      </c>
      <c r="I497" s="471">
        <v>0</v>
      </c>
      <c r="J497" s="472" t="s">
        <v>422</v>
      </c>
      <c r="K497" s="472" t="s">
        <v>2473</v>
      </c>
      <c r="L497" s="473" t="s">
        <v>2474</v>
      </c>
      <c r="M497" s="473" t="s">
        <v>1835</v>
      </c>
      <c r="N497" s="473" t="s">
        <v>204</v>
      </c>
      <c r="O497" s="474" t="s">
        <v>3016</v>
      </c>
    </row>
    <row r="498" spans="1:15" s="475" customFormat="1" ht="12" hidden="1">
      <c r="A498" s="465">
        <v>10131000056488</v>
      </c>
      <c r="B498" s="473" t="s">
        <v>3018</v>
      </c>
      <c r="C498" s="476" t="s">
        <v>3019</v>
      </c>
      <c r="D498" s="467" t="s">
        <v>982</v>
      </c>
      <c r="E498" s="472" t="s">
        <v>2491</v>
      </c>
      <c r="F498" s="477">
        <v>3.589</v>
      </c>
      <c r="G498" s="469">
        <v>6.18</v>
      </c>
      <c r="H498" s="487">
        <v>8.9</v>
      </c>
      <c r="I498" s="487">
        <v>8.9</v>
      </c>
      <c r="J498" s="488" t="s">
        <v>2492</v>
      </c>
      <c r="K498" s="472" t="s">
        <v>2522</v>
      </c>
      <c r="L498" s="473" t="s">
        <v>2693</v>
      </c>
      <c r="M498" s="473" t="s">
        <v>1532</v>
      </c>
      <c r="N498" s="473" t="s">
        <v>3018</v>
      </c>
      <c r="O498" s="474" t="s">
        <v>3018</v>
      </c>
    </row>
    <row r="499" spans="1:15" s="475" customFormat="1" ht="12" hidden="1">
      <c r="A499" s="465">
        <v>10131000056389</v>
      </c>
      <c r="B499" s="473" t="s">
        <v>3018</v>
      </c>
      <c r="C499" s="466" t="s">
        <v>3020</v>
      </c>
      <c r="D499" s="467" t="s">
        <v>982</v>
      </c>
      <c r="E499" s="468" t="s">
        <v>2491</v>
      </c>
      <c r="F499" s="477">
        <v>9.2799999999999994</v>
      </c>
      <c r="G499" s="469" t="s">
        <v>2472</v>
      </c>
      <c r="H499" s="470">
        <v>11.4</v>
      </c>
      <c r="I499" s="471">
        <v>11.4</v>
      </c>
      <c r="J499" s="472" t="s">
        <v>423</v>
      </c>
      <c r="K499" s="472" t="s">
        <v>534</v>
      </c>
      <c r="L499" s="473" t="s">
        <v>2693</v>
      </c>
      <c r="M499" s="473" t="s">
        <v>1532</v>
      </c>
      <c r="N499" s="473" t="s">
        <v>3018</v>
      </c>
      <c r="O499" s="474" t="s">
        <v>3018</v>
      </c>
    </row>
    <row r="500" spans="1:15" s="475" customFormat="1" ht="12" hidden="1">
      <c r="A500" s="465">
        <v>10131000018319</v>
      </c>
      <c r="B500" s="473" t="s">
        <v>3018</v>
      </c>
      <c r="C500" s="489" t="s">
        <v>3021</v>
      </c>
      <c r="D500" s="467" t="s">
        <v>3022</v>
      </c>
      <c r="E500" s="478" t="s">
        <v>2514</v>
      </c>
      <c r="F500" s="477">
        <v>20.885185235999998</v>
      </c>
      <c r="G500" s="469" t="s">
        <v>2472</v>
      </c>
      <c r="H500" s="481">
        <v>3125</v>
      </c>
      <c r="I500" s="482">
        <v>31.9</v>
      </c>
      <c r="J500" s="483" t="s">
        <v>2515</v>
      </c>
      <c r="K500" s="483" t="s">
        <v>2515</v>
      </c>
      <c r="L500" s="473" t="s">
        <v>2693</v>
      </c>
      <c r="M500" s="473" t="s">
        <v>1532</v>
      </c>
      <c r="N500" s="473" t="s">
        <v>3018</v>
      </c>
      <c r="O500" s="474" t="s">
        <v>3018</v>
      </c>
    </row>
    <row r="501" spans="1:15" s="475" customFormat="1" ht="12" hidden="1">
      <c r="A501" s="465">
        <v>10131000052491</v>
      </c>
      <c r="B501" s="473" t="s">
        <v>3018</v>
      </c>
      <c r="C501" s="489" t="s">
        <v>3023</v>
      </c>
      <c r="D501" s="467" t="s">
        <v>3022</v>
      </c>
      <c r="E501" s="478" t="s">
        <v>2514</v>
      </c>
      <c r="F501" s="477">
        <v>20.885185235999998</v>
      </c>
      <c r="G501" s="469" t="s">
        <v>2472</v>
      </c>
      <c r="H501" s="481">
        <v>3125</v>
      </c>
      <c r="I501" s="482">
        <v>31.9</v>
      </c>
      <c r="J501" s="483" t="s">
        <v>2515</v>
      </c>
      <c r="K501" s="483" t="s">
        <v>2515</v>
      </c>
      <c r="L501" s="473" t="s">
        <v>2693</v>
      </c>
      <c r="M501" s="473" t="s">
        <v>1532</v>
      </c>
      <c r="N501" s="473" t="s">
        <v>3018</v>
      </c>
      <c r="O501" s="474" t="s">
        <v>3018</v>
      </c>
    </row>
    <row r="502" spans="1:15" s="475" customFormat="1" ht="12" hidden="1">
      <c r="A502" s="465">
        <v>10131000056393</v>
      </c>
      <c r="B502" s="466" t="s">
        <v>3024</v>
      </c>
      <c r="C502" s="466" t="s">
        <v>3024</v>
      </c>
      <c r="D502" s="467" t="s">
        <v>3025</v>
      </c>
      <c r="E502" s="468" t="s">
        <v>2491</v>
      </c>
      <c r="F502" s="477">
        <v>2.5</v>
      </c>
      <c r="G502" s="469" t="s">
        <v>2472</v>
      </c>
      <c r="H502" s="470">
        <v>2.5</v>
      </c>
      <c r="I502" s="471">
        <v>2.5</v>
      </c>
      <c r="J502" s="472" t="s">
        <v>423</v>
      </c>
      <c r="K502" s="472" t="s">
        <v>534</v>
      </c>
      <c r="L502" s="473" t="s">
        <v>2693</v>
      </c>
      <c r="M502" s="473" t="s">
        <v>1532</v>
      </c>
      <c r="N502" s="473" t="s">
        <v>3018</v>
      </c>
      <c r="O502" s="474" t="s">
        <v>3026</v>
      </c>
    </row>
    <row r="503" spans="1:15" s="475" customFormat="1" ht="12" hidden="1">
      <c r="A503" s="465">
        <v>1000099081</v>
      </c>
      <c r="B503" s="466" t="s">
        <v>3024</v>
      </c>
      <c r="C503" s="466" t="s">
        <v>3027</v>
      </c>
      <c r="D503" s="467" t="s">
        <v>3025</v>
      </c>
      <c r="E503" s="468" t="s">
        <v>2471</v>
      </c>
      <c r="F503" s="477" t="s">
        <v>2472</v>
      </c>
      <c r="G503" s="469" t="s">
        <v>2472</v>
      </c>
      <c r="H503" s="470">
        <v>29.65</v>
      </c>
      <c r="I503" s="471">
        <v>2.2895752895752897</v>
      </c>
      <c r="J503" s="472" t="s">
        <v>422</v>
      </c>
      <c r="K503" s="472" t="s">
        <v>2473</v>
      </c>
      <c r="L503" s="473" t="s">
        <v>2693</v>
      </c>
      <c r="M503" s="473" t="s">
        <v>1532</v>
      </c>
      <c r="N503" s="473" t="s">
        <v>3018</v>
      </c>
      <c r="O503" s="474" t="s">
        <v>3026</v>
      </c>
    </row>
    <row r="504" spans="1:15" s="475" customFormat="1" ht="12" hidden="1">
      <c r="A504" s="465">
        <v>1000099082</v>
      </c>
      <c r="B504" s="466" t="s">
        <v>3024</v>
      </c>
      <c r="C504" s="466" t="s">
        <v>3028</v>
      </c>
      <c r="D504" s="467" t="s">
        <v>3025</v>
      </c>
      <c r="E504" s="468" t="s">
        <v>2471</v>
      </c>
      <c r="F504" s="477" t="s">
        <v>2472</v>
      </c>
      <c r="G504" s="469" t="s">
        <v>2472</v>
      </c>
      <c r="H504" s="470">
        <v>48</v>
      </c>
      <c r="I504" s="471">
        <v>3.7065637065637067</v>
      </c>
      <c r="J504" s="472" t="s">
        <v>422</v>
      </c>
      <c r="K504" s="472" t="s">
        <v>2473</v>
      </c>
      <c r="L504" s="473" t="s">
        <v>2693</v>
      </c>
      <c r="M504" s="473" t="s">
        <v>1532</v>
      </c>
      <c r="N504" s="473" t="s">
        <v>3018</v>
      </c>
      <c r="O504" s="474" t="s">
        <v>3026</v>
      </c>
    </row>
    <row r="505" spans="1:15" s="475" customFormat="1" ht="12" hidden="1">
      <c r="A505" s="465">
        <v>1000099089</v>
      </c>
      <c r="B505" s="466" t="s">
        <v>3024</v>
      </c>
      <c r="C505" s="466" t="s">
        <v>3029</v>
      </c>
      <c r="D505" s="467" t="s">
        <v>3025</v>
      </c>
      <c r="E505" s="468" t="s">
        <v>2471</v>
      </c>
      <c r="F505" s="477" t="s">
        <v>2472</v>
      </c>
      <c r="G505" s="469" t="s">
        <v>2472</v>
      </c>
      <c r="H505" s="470">
        <v>36.54</v>
      </c>
      <c r="I505" s="471">
        <v>2.8216216216216217</v>
      </c>
      <c r="J505" s="472" t="s">
        <v>422</v>
      </c>
      <c r="K505" s="472" t="s">
        <v>2473</v>
      </c>
      <c r="L505" s="473" t="s">
        <v>2693</v>
      </c>
      <c r="M505" s="473" t="s">
        <v>1532</v>
      </c>
      <c r="N505" s="473" t="s">
        <v>3018</v>
      </c>
      <c r="O505" s="474" t="s">
        <v>3026</v>
      </c>
    </row>
    <row r="506" spans="1:15" s="475" customFormat="1" ht="12" hidden="1">
      <c r="A506" s="465">
        <v>1000099090</v>
      </c>
      <c r="B506" s="466" t="s">
        <v>3024</v>
      </c>
      <c r="C506" s="466" t="s">
        <v>3030</v>
      </c>
      <c r="D506" s="467" t="s">
        <v>3025</v>
      </c>
      <c r="E506" s="468" t="s">
        <v>2471</v>
      </c>
      <c r="F506" s="477" t="s">
        <v>2472</v>
      </c>
      <c r="G506" s="469" t="s">
        <v>2472</v>
      </c>
      <c r="H506" s="470">
        <v>59.16</v>
      </c>
      <c r="I506" s="471">
        <v>4.5683397683397686</v>
      </c>
      <c r="J506" s="472" t="s">
        <v>422</v>
      </c>
      <c r="K506" s="472" t="s">
        <v>2473</v>
      </c>
      <c r="L506" s="473" t="s">
        <v>2693</v>
      </c>
      <c r="M506" s="473" t="s">
        <v>1532</v>
      </c>
      <c r="N506" s="473" t="s">
        <v>3018</v>
      </c>
      <c r="O506" s="474" t="s">
        <v>3026</v>
      </c>
    </row>
    <row r="507" spans="1:15" s="475" customFormat="1" ht="12" hidden="1">
      <c r="A507" s="465">
        <v>10131000056490</v>
      </c>
      <c r="B507" s="466" t="s">
        <v>3031</v>
      </c>
      <c r="C507" s="466" t="s">
        <v>3032</v>
      </c>
      <c r="D507" s="467" t="s">
        <v>982</v>
      </c>
      <c r="E507" s="472" t="s">
        <v>2491</v>
      </c>
      <c r="F507" s="477">
        <v>6.01</v>
      </c>
      <c r="G507" s="469" t="s">
        <v>2472</v>
      </c>
      <c r="H507" s="487">
        <v>4.75</v>
      </c>
      <c r="I507" s="471">
        <v>4.75</v>
      </c>
      <c r="J507" s="488" t="s">
        <v>2492</v>
      </c>
      <c r="K507" s="472" t="s">
        <v>2522</v>
      </c>
      <c r="L507" s="473" t="s">
        <v>2693</v>
      </c>
      <c r="M507" s="473" t="s">
        <v>1532</v>
      </c>
      <c r="N507" s="473" t="s">
        <v>3018</v>
      </c>
      <c r="O507" s="474" t="s">
        <v>3031</v>
      </c>
    </row>
    <row r="508" spans="1:15" s="475" customFormat="1" ht="12" hidden="1">
      <c r="A508" s="465">
        <v>10131000056391</v>
      </c>
      <c r="B508" s="466" t="s">
        <v>3031</v>
      </c>
      <c r="C508" s="466" t="s">
        <v>3033</v>
      </c>
      <c r="D508" s="467" t="s">
        <v>982</v>
      </c>
      <c r="E508" s="468" t="s">
        <v>2491</v>
      </c>
      <c r="F508" s="477">
        <v>14.08</v>
      </c>
      <c r="G508" s="469" t="s">
        <v>2472</v>
      </c>
      <c r="H508" s="470">
        <v>4.8</v>
      </c>
      <c r="I508" s="471">
        <v>4.8</v>
      </c>
      <c r="J508" s="472" t="s">
        <v>423</v>
      </c>
      <c r="K508" s="472" t="s">
        <v>534</v>
      </c>
      <c r="L508" s="473" t="s">
        <v>2693</v>
      </c>
      <c r="M508" s="473" t="s">
        <v>1532</v>
      </c>
      <c r="N508" s="473" t="s">
        <v>3018</v>
      </c>
      <c r="O508" s="474" t="s">
        <v>3031</v>
      </c>
    </row>
    <row r="509" spans="1:15" s="475" customFormat="1" ht="12" hidden="1">
      <c r="A509" s="465">
        <v>10131000052496</v>
      </c>
      <c r="B509" s="489" t="s">
        <v>1538</v>
      </c>
      <c r="C509" s="489" t="s">
        <v>3034</v>
      </c>
      <c r="D509" s="467" t="s">
        <v>2552</v>
      </c>
      <c r="E509" s="478" t="s">
        <v>2514</v>
      </c>
      <c r="F509" s="477">
        <v>12.468614639999998</v>
      </c>
      <c r="G509" s="469" t="s">
        <v>2472</v>
      </c>
      <c r="H509" s="481">
        <v>3500</v>
      </c>
      <c r="I509" s="482">
        <v>35.729999999999997</v>
      </c>
      <c r="J509" s="483" t="s">
        <v>2515</v>
      </c>
      <c r="K509" s="483" t="s">
        <v>2515</v>
      </c>
      <c r="L509" s="473" t="s">
        <v>2693</v>
      </c>
      <c r="M509" s="473" t="s">
        <v>1532</v>
      </c>
      <c r="N509" s="473" t="s">
        <v>3018</v>
      </c>
      <c r="O509" s="474" t="s">
        <v>1538</v>
      </c>
    </row>
    <row r="510" spans="1:15" s="475" customFormat="1" ht="12" hidden="1">
      <c r="A510" s="465">
        <v>10131000051726</v>
      </c>
      <c r="B510" s="489" t="s">
        <v>1538</v>
      </c>
      <c r="C510" s="489" t="s">
        <v>3035</v>
      </c>
      <c r="D510" s="467" t="s">
        <v>2552</v>
      </c>
      <c r="E510" s="478" t="s">
        <v>2514</v>
      </c>
      <c r="F510" s="477">
        <v>12.468614639999998</v>
      </c>
      <c r="G510" s="469" t="s">
        <v>2472</v>
      </c>
      <c r="H510" s="481">
        <v>3500</v>
      </c>
      <c r="I510" s="482">
        <v>35.729999999999997</v>
      </c>
      <c r="J510" s="483" t="s">
        <v>2515</v>
      </c>
      <c r="K510" s="483" t="s">
        <v>2515</v>
      </c>
      <c r="L510" s="473" t="s">
        <v>2693</v>
      </c>
      <c r="M510" s="473" t="s">
        <v>1532</v>
      </c>
      <c r="N510" s="473" t="s">
        <v>3018</v>
      </c>
      <c r="O510" s="474" t="s">
        <v>1538</v>
      </c>
    </row>
    <row r="511" spans="1:15" s="475" customFormat="1" ht="12" hidden="1">
      <c r="A511" s="465">
        <v>10131000056495</v>
      </c>
      <c r="B511" s="466" t="s">
        <v>1538</v>
      </c>
      <c r="C511" s="476" t="s">
        <v>3036</v>
      </c>
      <c r="D511" s="467" t="s">
        <v>2552</v>
      </c>
      <c r="E511" s="472" t="s">
        <v>2491</v>
      </c>
      <c r="F511" s="477">
        <v>20</v>
      </c>
      <c r="G511" s="469" t="s">
        <v>2472</v>
      </c>
      <c r="H511" s="487">
        <v>29.94</v>
      </c>
      <c r="I511" s="471">
        <v>29.94</v>
      </c>
      <c r="J511" s="488" t="s">
        <v>2492</v>
      </c>
      <c r="K511" s="472" t="s">
        <v>2522</v>
      </c>
      <c r="L511" s="473" t="s">
        <v>2693</v>
      </c>
      <c r="M511" s="473" t="s">
        <v>1532</v>
      </c>
      <c r="N511" s="473" t="s">
        <v>3018</v>
      </c>
      <c r="O511" s="474" t="s">
        <v>1538</v>
      </c>
    </row>
    <row r="512" spans="1:15" s="475" customFormat="1" ht="12" hidden="1">
      <c r="A512" s="465">
        <v>10131000056395</v>
      </c>
      <c r="B512" s="466" t="s">
        <v>1538</v>
      </c>
      <c r="C512" s="466" t="s">
        <v>1538</v>
      </c>
      <c r="D512" s="467" t="s">
        <v>2552</v>
      </c>
      <c r="E512" s="468" t="s">
        <v>2491</v>
      </c>
      <c r="F512" s="477">
        <v>20</v>
      </c>
      <c r="G512" s="469" t="s">
        <v>2472</v>
      </c>
      <c r="H512" s="470">
        <v>20</v>
      </c>
      <c r="I512" s="471">
        <v>20</v>
      </c>
      <c r="J512" s="472" t="s">
        <v>423</v>
      </c>
      <c r="K512" s="472" t="s">
        <v>534</v>
      </c>
      <c r="L512" s="473" t="s">
        <v>2693</v>
      </c>
      <c r="M512" s="473" t="s">
        <v>1532</v>
      </c>
      <c r="N512" s="473" t="s">
        <v>3018</v>
      </c>
      <c r="O512" s="474" t="s">
        <v>1538</v>
      </c>
    </row>
    <row r="513" spans="1:15" s="475" customFormat="1" ht="12" hidden="1">
      <c r="A513" s="465">
        <v>1000099100</v>
      </c>
      <c r="B513" s="466" t="s">
        <v>3037</v>
      </c>
      <c r="C513" s="466" t="s">
        <v>3037</v>
      </c>
      <c r="D513" s="467" t="s">
        <v>2552</v>
      </c>
      <c r="E513" s="468" t="s">
        <v>2471</v>
      </c>
      <c r="F513" s="477" t="s">
        <v>2472</v>
      </c>
      <c r="G513" s="469" t="s">
        <v>2472</v>
      </c>
      <c r="H513" s="470">
        <v>256.33600000000001</v>
      </c>
      <c r="I513" s="471">
        <v>19.794285714285717</v>
      </c>
      <c r="J513" s="472" t="s">
        <v>422</v>
      </c>
      <c r="K513" s="472" t="s">
        <v>2473</v>
      </c>
      <c r="L513" s="473" t="s">
        <v>2693</v>
      </c>
      <c r="M513" s="473" t="s">
        <v>1532</v>
      </c>
      <c r="N513" s="473" t="s">
        <v>3018</v>
      </c>
      <c r="O513" s="474" t="s">
        <v>1538</v>
      </c>
    </row>
    <row r="514" spans="1:15" s="475" customFormat="1" ht="12" hidden="1">
      <c r="A514" s="465">
        <v>1000099101</v>
      </c>
      <c r="B514" s="466" t="s">
        <v>3037</v>
      </c>
      <c r="C514" s="466" t="s">
        <v>3038</v>
      </c>
      <c r="D514" s="467" t="s">
        <v>2552</v>
      </c>
      <c r="E514" s="468" t="s">
        <v>2471</v>
      </c>
      <c r="F514" s="477" t="s">
        <v>2472</v>
      </c>
      <c r="G514" s="469" t="s">
        <v>2472</v>
      </c>
      <c r="H514" s="470">
        <v>315.93412000000001</v>
      </c>
      <c r="I514" s="471">
        <v>24.396457142857145</v>
      </c>
      <c r="J514" s="472" t="s">
        <v>422</v>
      </c>
      <c r="K514" s="472" t="s">
        <v>2473</v>
      </c>
      <c r="L514" s="473" t="s">
        <v>2693</v>
      </c>
      <c r="M514" s="473" t="s">
        <v>1532</v>
      </c>
      <c r="N514" s="473" t="s">
        <v>3018</v>
      </c>
      <c r="O514" s="474" t="s">
        <v>1538</v>
      </c>
    </row>
    <row r="515" spans="1:15" s="475" customFormat="1" ht="12" hidden="1">
      <c r="A515" s="465">
        <v>10131000058095</v>
      </c>
      <c r="B515" s="476" t="s">
        <v>3039</v>
      </c>
      <c r="C515" s="476" t="s">
        <v>3039</v>
      </c>
      <c r="D515" s="467" t="s">
        <v>982</v>
      </c>
      <c r="E515" s="468" t="s">
        <v>2491</v>
      </c>
      <c r="F515" s="477" t="s">
        <v>2472</v>
      </c>
      <c r="G515" s="469" t="s">
        <v>2472</v>
      </c>
      <c r="H515" s="470">
        <v>7.26</v>
      </c>
      <c r="I515" s="471">
        <v>7.26</v>
      </c>
      <c r="J515" s="472" t="s">
        <v>423</v>
      </c>
      <c r="K515" s="472" t="s">
        <v>534</v>
      </c>
      <c r="L515" s="473" t="s">
        <v>2693</v>
      </c>
      <c r="M515" s="473" t="s">
        <v>1532</v>
      </c>
      <c r="N515" s="473" t="s">
        <v>3018</v>
      </c>
      <c r="O515" s="474" t="s">
        <v>3039</v>
      </c>
    </row>
    <row r="516" spans="1:15" s="475" customFormat="1" ht="12" hidden="1">
      <c r="A516" s="465">
        <v>10131000037483</v>
      </c>
      <c r="B516" s="476" t="s">
        <v>1517</v>
      </c>
      <c r="C516" s="476" t="s">
        <v>3040</v>
      </c>
      <c r="D516" s="467" t="s">
        <v>571</v>
      </c>
      <c r="E516" s="472" t="s">
        <v>2541</v>
      </c>
      <c r="F516" s="477">
        <v>144.3561</v>
      </c>
      <c r="G516" s="469" t="s">
        <v>2472</v>
      </c>
      <c r="H516" s="470">
        <v>181.11</v>
      </c>
      <c r="I516" s="471">
        <v>277.54712046315001</v>
      </c>
      <c r="J516" s="485" t="s">
        <v>421</v>
      </c>
      <c r="K516" s="472" t="s">
        <v>651</v>
      </c>
      <c r="L516" s="473" t="s">
        <v>2474</v>
      </c>
      <c r="M516" s="473" t="s">
        <v>1491</v>
      </c>
      <c r="N516" s="473" t="s">
        <v>1517</v>
      </c>
      <c r="O516" s="474" t="s">
        <v>1517</v>
      </c>
    </row>
    <row r="517" spans="1:15" s="475" customFormat="1" ht="12" hidden="1">
      <c r="A517" s="465">
        <v>10131000029592</v>
      </c>
      <c r="B517" s="476" t="s">
        <v>1517</v>
      </c>
      <c r="C517" s="476" t="s">
        <v>3041</v>
      </c>
      <c r="D517" s="467" t="s">
        <v>571</v>
      </c>
      <c r="E517" s="472" t="s">
        <v>2491</v>
      </c>
      <c r="F517" s="477">
        <v>149</v>
      </c>
      <c r="G517" s="469" t="s">
        <v>2472</v>
      </c>
      <c r="H517" s="487">
        <v>145.52000000000001</v>
      </c>
      <c r="I517" s="471">
        <v>145.52000000000001</v>
      </c>
      <c r="J517" s="488" t="s">
        <v>2492</v>
      </c>
      <c r="K517" s="472" t="s">
        <v>2522</v>
      </c>
      <c r="L517" s="473" t="s">
        <v>2474</v>
      </c>
      <c r="M517" s="473" t="s">
        <v>1491</v>
      </c>
      <c r="N517" s="473" t="s">
        <v>1517</v>
      </c>
      <c r="O517" s="474" t="s">
        <v>1517</v>
      </c>
    </row>
    <row r="518" spans="1:15" s="475" customFormat="1" ht="12" hidden="1">
      <c r="A518" s="465">
        <v>10131000018771</v>
      </c>
      <c r="B518" s="466" t="s">
        <v>1517</v>
      </c>
      <c r="C518" s="466" t="s">
        <v>1517</v>
      </c>
      <c r="D518" s="467" t="s">
        <v>571</v>
      </c>
      <c r="E518" s="468" t="s">
        <v>2491</v>
      </c>
      <c r="F518" s="477">
        <v>149</v>
      </c>
      <c r="G518" s="469" t="s">
        <v>2472</v>
      </c>
      <c r="H518" s="470">
        <v>145</v>
      </c>
      <c r="I518" s="471">
        <v>145</v>
      </c>
      <c r="J518" s="472" t="s">
        <v>423</v>
      </c>
      <c r="K518" s="472" t="s">
        <v>534</v>
      </c>
      <c r="L518" s="473" t="s">
        <v>2474</v>
      </c>
      <c r="M518" s="473" t="s">
        <v>1491</v>
      </c>
      <c r="N518" s="473" t="s">
        <v>1517</v>
      </c>
      <c r="O518" s="474" t="s">
        <v>1517</v>
      </c>
    </row>
    <row r="519" spans="1:15" s="475" customFormat="1" ht="12" hidden="1">
      <c r="A519" s="465">
        <v>10131000039824</v>
      </c>
      <c r="B519" s="489" t="s">
        <v>1517</v>
      </c>
      <c r="C519" s="489" t="s">
        <v>3042</v>
      </c>
      <c r="D519" s="467" t="s">
        <v>571</v>
      </c>
      <c r="E519" s="478" t="s">
        <v>2514</v>
      </c>
      <c r="F519" s="477">
        <v>287.58619296000001</v>
      </c>
      <c r="G519" s="469" t="s">
        <v>2472</v>
      </c>
      <c r="H519" s="481">
        <v>31077</v>
      </c>
      <c r="I519" s="482">
        <v>317.25</v>
      </c>
      <c r="J519" s="483" t="s">
        <v>2515</v>
      </c>
      <c r="K519" s="483" t="s">
        <v>2515</v>
      </c>
      <c r="L519" s="473" t="s">
        <v>2474</v>
      </c>
      <c r="M519" s="473" t="s">
        <v>1491</v>
      </c>
      <c r="N519" s="473" t="s">
        <v>1517</v>
      </c>
      <c r="O519" s="474" t="s">
        <v>1517</v>
      </c>
    </row>
    <row r="520" spans="1:15" s="475" customFormat="1" ht="12" hidden="1">
      <c r="A520" s="465">
        <v>10131000051761</v>
      </c>
      <c r="B520" s="489" t="s">
        <v>1517</v>
      </c>
      <c r="C520" s="489" t="s">
        <v>3043</v>
      </c>
      <c r="D520" s="467" t="s">
        <v>571</v>
      </c>
      <c r="E520" s="478" t="s">
        <v>2514</v>
      </c>
      <c r="F520" s="477">
        <v>287.58619296000001</v>
      </c>
      <c r="G520" s="469" t="s">
        <v>2472</v>
      </c>
      <c r="H520" s="481">
        <v>31077</v>
      </c>
      <c r="I520" s="482">
        <v>317.25</v>
      </c>
      <c r="J520" s="483" t="s">
        <v>2515</v>
      </c>
      <c r="K520" s="483" t="s">
        <v>2515</v>
      </c>
      <c r="L520" s="473" t="s">
        <v>2474</v>
      </c>
      <c r="M520" s="473" t="s">
        <v>1491</v>
      </c>
      <c r="N520" s="473" t="s">
        <v>1517</v>
      </c>
      <c r="O520" s="474" t="s">
        <v>1517</v>
      </c>
    </row>
    <row r="521" spans="1:15" s="475" customFormat="1" ht="12" hidden="1">
      <c r="A521" s="465">
        <v>10131000057190</v>
      </c>
      <c r="B521" s="466" t="s">
        <v>1523</v>
      </c>
      <c r="C521" s="466" t="s">
        <v>1523</v>
      </c>
      <c r="D521" s="467" t="s">
        <v>571</v>
      </c>
      <c r="E521" s="468" t="s">
        <v>2491</v>
      </c>
      <c r="F521" s="477">
        <v>201</v>
      </c>
      <c r="G521" s="469" t="s">
        <v>2472</v>
      </c>
      <c r="H521" s="470">
        <v>213</v>
      </c>
      <c r="I521" s="471">
        <v>213</v>
      </c>
      <c r="J521" s="472" t="s">
        <v>423</v>
      </c>
      <c r="K521" s="472" t="s">
        <v>534</v>
      </c>
      <c r="L521" s="473" t="s">
        <v>2474</v>
      </c>
      <c r="M521" s="473" t="s">
        <v>1491</v>
      </c>
      <c r="N521" s="473" t="s">
        <v>1523</v>
      </c>
      <c r="O521" s="474" t="s">
        <v>1523</v>
      </c>
    </row>
    <row r="522" spans="1:15" s="475" customFormat="1" ht="12" hidden="1">
      <c r="A522" s="465">
        <v>1000099040</v>
      </c>
      <c r="B522" s="466" t="s">
        <v>3044</v>
      </c>
      <c r="C522" s="466" t="s">
        <v>3044</v>
      </c>
      <c r="D522" s="467" t="s">
        <v>2721</v>
      </c>
      <c r="E522" s="468" t="s">
        <v>2471</v>
      </c>
      <c r="F522" s="477" t="s">
        <v>2472</v>
      </c>
      <c r="G522" s="469" t="s">
        <v>2472</v>
      </c>
      <c r="H522" s="470">
        <v>255612</v>
      </c>
      <c r="I522" s="471">
        <v>19738.37837837838</v>
      </c>
      <c r="J522" s="472" t="s">
        <v>422</v>
      </c>
      <c r="K522" s="472" t="s">
        <v>2473</v>
      </c>
      <c r="L522" s="473" t="s">
        <v>530</v>
      </c>
      <c r="M522" s="473" t="s">
        <v>2481</v>
      </c>
      <c r="N522" s="473" t="s">
        <v>204</v>
      </c>
      <c r="O522" s="474" t="s">
        <v>3044</v>
      </c>
    </row>
    <row r="523" spans="1:15" s="475" customFormat="1" ht="12" hidden="1">
      <c r="A523" s="465">
        <v>10131000019684</v>
      </c>
      <c r="B523" s="466" t="s">
        <v>1559</v>
      </c>
      <c r="C523" s="466" t="s">
        <v>1559</v>
      </c>
      <c r="D523" s="467" t="s">
        <v>1045</v>
      </c>
      <c r="E523" s="468" t="s">
        <v>2491</v>
      </c>
      <c r="F523" s="477">
        <v>0</v>
      </c>
      <c r="G523" s="469" t="s">
        <v>2472</v>
      </c>
      <c r="H523" s="470">
        <v>0</v>
      </c>
      <c r="I523" s="471">
        <v>0</v>
      </c>
      <c r="J523" s="472" t="s">
        <v>423</v>
      </c>
      <c r="K523" s="472" t="s">
        <v>534</v>
      </c>
      <c r="L523" s="473" t="s">
        <v>2693</v>
      </c>
      <c r="M523" s="473" t="s">
        <v>1532</v>
      </c>
      <c r="N523" s="473" t="s">
        <v>1559</v>
      </c>
      <c r="O523" s="474" t="s">
        <v>1559</v>
      </c>
    </row>
    <row r="524" spans="1:15" s="475" customFormat="1" ht="12" hidden="1">
      <c r="A524" s="465">
        <v>10131000019704</v>
      </c>
      <c r="B524" s="466" t="s">
        <v>1559</v>
      </c>
      <c r="C524" s="466" t="s">
        <v>1559</v>
      </c>
      <c r="D524" s="467" t="s">
        <v>1045</v>
      </c>
      <c r="E524" s="468" t="s">
        <v>2491</v>
      </c>
      <c r="F524" s="477">
        <v>0</v>
      </c>
      <c r="G524" s="469" t="s">
        <v>2472</v>
      </c>
      <c r="H524" s="470">
        <v>0</v>
      </c>
      <c r="I524" s="471">
        <v>0</v>
      </c>
      <c r="J524" s="472" t="s">
        <v>423</v>
      </c>
      <c r="K524" s="472" t="s">
        <v>534</v>
      </c>
      <c r="L524" s="473" t="s">
        <v>2693</v>
      </c>
      <c r="M524" s="473" t="s">
        <v>1532</v>
      </c>
      <c r="N524" s="473" t="s">
        <v>1559</v>
      </c>
      <c r="O524" s="474" t="s">
        <v>1559</v>
      </c>
    </row>
    <row r="525" spans="1:15" s="475" customFormat="1" ht="12" hidden="1">
      <c r="A525" s="465">
        <v>1000099050</v>
      </c>
      <c r="B525" s="466" t="s">
        <v>3045</v>
      </c>
      <c r="C525" s="466" t="s">
        <v>3045</v>
      </c>
      <c r="D525" s="467" t="s">
        <v>571</v>
      </c>
      <c r="E525" s="468" t="s">
        <v>2471</v>
      </c>
      <c r="F525" s="477" t="s">
        <v>2472</v>
      </c>
      <c r="G525" s="469" t="s">
        <v>2472</v>
      </c>
      <c r="H525" s="470">
        <v>232.22</v>
      </c>
      <c r="I525" s="471">
        <v>17.932046332046333</v>
      </c>
      <c r="J525" s="472" t="s">
        <v>422</v>
      </c>
      <c r="K525" s="472" t="s">
        <v>2473</v>
      </c>
      <c r="L525" s="473" t="s">
        <v>570</v>
      </c>
      <c r="M525" s="473" t="s">
        <v>2732</v>
      </c>
      <c r="N525" s="473" t="s">
        <v>2643</v>
      </c>
      <c r="O525" s="490" t="s">
        <v>3045</v>
      </c>
    </row>
    <row r="526" spans="1:15" s="475" customFormat="1" ht="12" hidden="1">
      <c r="A526" s="465">
        <v>1000099070</v>
      </c>
      <c r="B526" s="466" t="s">
        <v>3045</v>
      </c>
      <c r="C526" s="466" t="s">
        <v>3046</v>
      </c>
      <c r="D526" s="467" t="s">
        <v>571</v>
      </c>
      <c r="E526" s="468" t="s">
        <v>2471</v>
      </c>
      <c r="F526" s="477" t="s">
        <v>2472</v>
      </c>
      <c r="G526" s="469" t="s">
        <v>2472</v>
      </c>
      <c r="H526" s="470">
        <v>285.69885506265797</v>
      </c>
      <c r="I526" s="471">
        <v>22.061687649626098</v>
      </c>
      <c r="J526" s="472" t="s">
        <v>422</v>
      </c>
      <c r="K526" s="472" t="s">
        <v>2473</v>
      </c>
      <c r="L526" s="473" t="s">
        <v>570</v>
      </c>
      <c r="M526" s="473" t="s">
        <v>2732</v>
      </c>
      <c r="N526" s="473" t="s">
        <v>2643</v>
      </c>
      <c r="O526" s="490" t="s">
        <v>3045</v>
      </c>
    </row>
    <row r="527" spans="1:15" s="475" customFormat="1" ht="12" hidden="1">
      <c r="A527" s="465">
        <v>10131000020946</v>
      </c>
      <c r="B527" s="476" t="s">
        <v>3047</v>
      </c>
      <c r="C527" s="476" t="s">
        <v>3048</v>
      </c>
      <c r="D527" s="467" t="s">
        <v>1045</v>
      </c>
      <c r="E527" s="472" t="s">
        <v>2792</v>
      </c>
      <c r="F527" s="477">
        <v>0</v>
      </c>
      <c r="G527" s="469" t="s">
        <v>2472</v>
      </c>
      <c r="H527" s="470">
        <v>0</v>
      </c>
      <c r="I527" s="471">
        <v>0</v>
      </c>
      <c r="J527" s="485" t="s">
        <v>421</v>
      </c>
      <c r="K527" s="472" t="s">
        <v>575</v>
      </c>
      <c r="L527" s="473" t="s">
        <v>530</v>
      </c>
      <c r="M527" s="473" t="s">
        <v>2481</v>
      </c>
      <c r="N527" s="473" t="s">
        <v>3047</v>
      </c>
      <c r="O527" s="474" t="s">
        <v>3047</v>
      </c>
    </row>
    <row r="528" spans="1:15" s="475" customFormat="1" ht="12" hidden="1">
      <c r="A528" s="465">
        <v>10131000020948</v>
      </c>
      <c r="B528" s="476" t="s">
        <v>3047</v>
      </c>
      <c r="C528" s="476" t="s">
        <v>3049</v>
      </c>
      <c r="D528" s="467" t="s">
        <v>1045</v>
      </c>
      <c r="E528" s="472" t="s">
        <v>2847</v>
      </c>
      <c r="F528" s="477">
        <v>0</v>
      </c>
      <c r="G528" s="469" t="s">
        <v>2472</v>
      </c>
      <c r="H528" s="470">
        <v>0</v>
      </c>
      <c r="I528" s="471">
        <v>0</v>
      </c>
      <c r="J528" s="485" t="s">
        <v>421</v>
      </c>
      <c r="K528" s="472" t="s">
        <v>581</v>
      </c>
      <c r="L528" s="473" t="s">
        <v>530</v>
      </c>
      <c r="M528" s="473" t="s">
        <v>2481</v>
      </c>
      <c r="N528" s="473" t="s">
        <v>3047</v>
      </c>
      <c r="O528" s="474" t="s">
        <v>3047</v>
      </c>
    </row>
    <row r="529" spans="1:15" s="475" customFormat="1" ht="12" hidden="1">
      <c r="A529" s="465">
        <v>10131000020951</v>
      </c>
      <c r="B529" s="476" t="s">
        <v>3047</v>
      </c>
      <c r="C529" s="476" t="s">
        <v>3050</v>
      </c>
      <c r="D529" s="467" t="s">
        <v>1045</v>
      </c>
      <c r="E529" s="472" t="s">
        <v>2801</v>
      </c>
      <c r="F529" s="477">
        <v>0</v>
      </c>
      <c r="G529" s="469" t="s">
        <v>2472</v>
      </c>
      <c r="H529" s="470">
        <v>1E-8</v>
      </c>
      <c r="I529" s="471">
        <v>5.1278581666666659E-10</v>
      </c>
      <c r="J529" s="485" t="s">
        <v>421</v>
      </c>
      <c r="K529" s="472" t="s">
        <v>587</v>
      </c>
      <c r="L529" s="473" t="s">
        <v>530</v>
      </c>
      <c r="M529" s="473" t="s">
        <v>2481</v>
      </c>
      <c r="N529" s="473" t="s">
        <v>3047</v>
      </c>
      <c r="O529" s="474" t="s">
        <v>3047</v>
      </c>
    </row>
    <row r="530" spans="1:15" s="475" customFormat="1" ht="12" hidden="1">
      <c r="A530" s="465">
        <v>10131000057668</v>
      </c>
      <c r="B530" s="476" t="s">
        <v>3047</v>
      </c>
      <c r="C530" s="476" t="s">
        <v>3051</v>
      </c>
      <c r="D530" s="467" t="s">
        <v>1045</v>
      </c>
      <c r="E530" s="472" t="s">
        <v>2795</v>
      </c>
      <c r="F530" s="477">
        <v>0</v>
      </c>
      <c r="G530" s="469" t="s">
        <v>2472</v>
      </c>
      <c r="H530" s="470">
        <v>1E-8</v>
      </c>
      <c r="I530" s="471">
        <v>2.0248266666666662E-11</v>
      </c>
      <c r="J530" s="485" t="s">
        <v>421</v>
      </c>
      <c r="K530" s="472" t="s">
        <v>724</v>
      </c>
      <c r="L530" s="473" t="s">
        <v>530</v>
      </c>
      <c r="M530" s="473" t="s">
        <v>2481</v>
      </c>
      <c r="N530" s="473" t="s">
        <v>3047</v>
      </c>
      <c r="O530" s="474" t="s">
        <v>3047</v>
      </c>
    </row>
    <row r="531" spans="1:15" s="475" customFormat="1" ht="12" hidden="1">
      <c r="A531" s="465">
        <v>10131000020975</v>
      </c>
      <c r="B531" s="476" t="s">
        <v>3047</v>
      </c>
      <c r="C531" s="476" t="s">
        <v>3052</v>
      </c>
      <c r="D531" s="467" t="s">
        <v>1045</v>
      </c>
      <c r="E531" s="472" t="s">
        <v>2715</v>
      </c>
      <c r="F531" s="477">
        <v>0</v>
      </c>
      <c r="G531" s="469" t="s">
        <v>2472</v>
      </c>
      <c r="H531" s="470">
        <v>1E-8</v>
      </c>
      <c r="I531" s="471">
        <v>1.3280192891666669E-8</v>
      </c>
      <c r="J531" s="485" t="s">
        <v>421</v>
      </c>
      <c r="K531" s="472" t="s">
        <v>593</v>
      </c>
      <c r="L531" s="473" t="s">
        <v>530</v>
      </c>
      <c r="M531" s="473" t="s">
        <v>2481</v>
      </c>
      <c r="N531" s="473" t="s">
        <v>3047</v>
      </c>
      <c r="O531" s="474" t="s">
        <v>3047</v>
      </c>
    </row>
    <row r="532" spans="1:15" s="475" customFormat="1" ht="12" hidden="1">
      <c r="A532" s="465">
        <v>10131000020953</v>
      </c>
      <c r="B532" s="476" t="s">
        <v>3047</v>
      </c>
      <c r="C532" s="476" t="s">
        <v>3053</v>
      </c>
      <c r="D532" s="467" t="s">
        <v>1045</v>
      </c>
      <c r="E532" s="472" t="s">
        <v>2706</v>
      </c>
      <c r="F532" s="477">
        <v>0</v>
      </c>
      <c r="G532" s="469" t="s">
        <v>2472</v>
      </c>
      <c r="H532" s="470">
        <v>1E-8</v>
      </c>
      <c r="I532" s="471">
        <v>4.3820658333333323E-11</v>
      </c>
      <c r="J532" s="485" t="s">
        <v>421</v>
      </c>
      <c r="K532" s="472" t="s">
        <v>595</v>
      </c>
      <c r="L532" s="473" t="s">
        <v>530</v>
      </c>
      <c r="M532" s="473" t="s">
        <v>2481</v>
      </c>
      <c r="N532" s="473" t="s">
        <v>3047</v>
      </c>
      <c r="O532" s="474" t="s">
        <v>3047</v>
      </c>
    </row>
    <row r="533" spans="1:15" s="475" customFormat="1" ht="12" hidden="1">
      <c r="A533" s="465">
        <v>10131000020976</v>
      </c>
      <c r="B533" s="476" t="s">
        <v>3047</v>
      </c>
      <c r="C533" s="476" t="s">
        <v>3054</v>
      </c>
      <c r="D533" s="467" t="s">
        <v>1045</v>
      </c>
      <c r="E533" s="472" t="s">
        <v>2715</v>
      </c>
      <c r="F533" s="477">
        <v>0</v>
      </c>
      <c r="G533" s="469" t="s">
        <v>2472</v>
      </c>
      <c r="H533" s="470">
        <v>1E-8</v>
      </c>
      <c r="I533" s="471">
        <v>1.3280192891666669E-8</v>
      </c>
      <c r="J533" s="485" t="s">
        <v>421</v>
      </c>
      <c r="K533" s="472" t="s">
        <v>597</v>
      </c>
      <c r="L533" s="473" t="s">
        <v>530</v>
      </c>
      <c r="M533" s="473" t="s">
        <v>2481</v>
      </c>
      <c r="N533" s="473" t="s">
        <v>3047</v>
      </c>
      <c r="O533" s="474" t="s">
        <v>3047</v>
      </c>
    </row>
    <row r="534" spans="1:15" s="475" customFormat="1" ht="12" hidden="1">
      <c r="A534" s="465">
        <v>10131000020977</v>
      </c>
      <c r="B534" s="476" t="s">
        <v>3047</v>
      </c>
      <c r="C534" s="476" t="s">
        <v>3055</v>
      </c>
      <c r="D534" s="467" t="s">
        <v>1045</v>
      </c>
      <c r="E534" s="472" t="s">
        <v>2715</v>
      </c>
      <c r="F534" s="477">
        <v>0</v>
      </c>
      <c r="G534" s="469" t="s">
        <v>2472</v>
      </c>
      <c r="H534" s="470">
        <v>1E-8</v>
      </c>
      <c r="I534" s="471">
        <v>1.3280192891666669E-8</v>
      </c>
      <c r="J534" s="485" t="s">
        <v>421</v>
      </c>
      <c r="K534" s="472" t="s">
        <v>601</v>
      </c>
      <c r="L534" s="473" t="s">
        <v>530</v>
      </c>
      <c r="M534" s="473" t="s">
        <v>2481</v>
      </c>
      <c r="N534" s="473" t="s">
        <v>3047</v>
      </c>
      <c r="O534" s="474" t="s">
        <v>3047</v>
      </c>
    </row>
    <row r="535" spans="1:15" s="475" customFormat="1" ht="12" hidden="1">
      <c r="A535" s="465">
        <v>10131000020955</v>
      </c>
      <c r="B535" s="476" t="s">
        <v>3047</v>
      </c>
      <c r="C535" s="476" t="s">
        <v>3056</v>
      </c>
      <c r="D535" s="467" t="s">
        <v>1045</v>
      </c>
      <c r="E535" s="472" t="s">
        <v>2813</v>
      </c>
      <c r="F535" s="477">
        <v>0</v>
      </c>
      <c r="G535" s="469" t="s">
        <v>2472</v>
      </c>
      <c r="H535" s="470">
        <v>1E-8</v>
      </c>
      <c r="I535" s="471">
        <v>6.2309616666666681E-11</v>
      </c>
      <c r="J535" s="485" t="s">
        <v>421</v>
      </c>
      <c r="K535" s="472" t="s">
        <v>605</v>
      </c>
      <c r="L535" s="473" t="s">
        <v>530</v>
      </c>
      <c r="M535" s="473" t="s">
        <v>2481</v>
      </c>
      <c r="N535" s="473" t="s">
        <v>3047</v>
      </c>
      <c r="O535" s="474" t="s">
        <v>3047</v>
      </c>
    </row>
    <row r="536" spans="1:15" s="475" customFormat="1" ht="12" hidden="1">
      <c r="A536" s="465">
        <v>10131000020979</v>
      </c>
      <c r="B536" s="476" t="s">
        <v>3047</v>
      </c>
      <c r="C536" s="476" t="s">
        <v>3057</v>
      </c>
      <c r="D536" s="467" t="s">
        <v>1045</v>
      </c>
      <c r="E536" s="472" t="s">
        <v>2817</v>
      </c>
      <c r="F536" s="477">
        <v>0</v>
      </c>
      <c r="G536" s="469" t="s">
        <v>2472</v>
      </c>
      <c r="H536" s="470">
        <v>1E-8</v>
      </c>
      <c r="I536" s="471">
        <v>3.4997439850000001E-8</v>
      </c>
      <c r="J536" s="485" t="s">
        <v>421</v>
      </c>
      <c r="K536" s="472" t="s">
        <v>609</v>
      </c>
      <c r="L536" s="473" t="s">
        <v>530</v>
      </c>
      <c r="M536" s="473" t="s">
        <v>2481</v>
      </c>
      <c r="N536" s="473" t="s">
        <v>3047</v>
      </c>
      <c r="O536" s="474" t="s">
        <v>3047</v>
      </c>
    </row>
    <row r="537" spans="1:15" s="475" customFormat="1" ht="12" hidden="1">
      <c r="A537" s="465">
        <v>10131000020957</v>
      </c>
      <c r="B537" s="476" t="s">
        <v>3047</v>
      </c>
      <c r="C537" s="476" t="s">
        <v>3058</v>
      </c>
      <c r="D537" s="467" t="s">
        <v>1045</v>
      </c>
      <c r="E537" s="472" t="s">
        <v>2819</v>
      </c>
      <c r="F537" s="477">
        <v>0</v>
      </c>
      <c r="G537" s="469" t="s">
        <v>2472</v>
      </c>
      <c r="H537" s="470">
        <v>1E-8</v>
      </c>
      <c r="I537" s="471">
        <v>6.6335000000000008E-12</v>
      </c>
      <c r="J537" s="485" t="s">
        <v>421</v>
      </c>
      <c r="K537" s="472" t="s">
        <v>735</v>
      </c>
      <c r="L537" s="473" t="s">
        <v>530</v>
      </c>
      <c r="M537" s="473" t="s">
        <v>2481</v>
      </c>
      <c r="N537" s="473" t="s">
        <v>3047</v>
      </c>
      <c r="O537" s="474" t="s">
        <v>3047</v>
      </c>
    </row>
    <row r="538" spans="1:15" s="475" customFormat="1" ht="12" hidden="1">
      <c r="A538" s="465">
        <v>10131000020958</v>
      </c>
      <c r="B538" s="476" t="s">
        <v>3047</v>
      </c>
      <c r="C538" s="476" t="s">
        <v>3059</v>
      </c>
      <c r="D538" s="467" t="s">
        <v>1045</v>
      </c>
      <c r="E538" s="472" t="s">
        <v>2852</v>
      </c>
      <c r="F538" s="477">
        <v>0</v>
      </c>
      <c r="G538" s="469" t="s">
        <v>2472</v>
      </c>
      <c r="H538" s="470">
        <v>1E-8</v>
      </c>
      <c r="I538" s="471">
        <v>1.1449717833333334E-9</v>
      </c>
      <c r="J538" s="485" t="s">
        <v>421</v>
      </c>
      <c r="K538" s="472" t="s">
        <v>613</v>
      </c>
      <c r="L538" s="473" t="s">
        <v>530</v>
      </c>
      <c r="M538" s="473" t="s">
        <v>2481</v>
      </c>
      <c r="N538" s="473" t="s">
        <v>3047</v>
      </c>
      <c r="O538" s="474" t="s">
        <v>3047</v>
      </c>
    </row>
    <row r="539" spans="1:15" s="475" customFormat="1" ht="12" hidden="1">
      <c r="A539" s="465">
        <v>10131000020959</v>
      </c>
      <c r="B539" s="476" t="s">
        <v>3047</v>
      </c>
      <c r="C539" s="476" t="s">
        <v>3060</v>
      </c>
      <c r="D539" s="467" t="s">
        <v>1045</v>
      </c>
      <c r="E539" s="472" t="s">
        <v>2821</v>
      </c>
      <c r="F539" s="477">
        <v>0</v>
      </c>
      <c r="G539" s="469" t="s">
        <v>2472</v>
      </c>
      <c r="H539" s="470">
        <v>1E-8</v>
      </c>
      <c r="I539" s="471">
        <v>6.022738333333333E-11</v>
      </c>
      <c r="J539" s="485" t="s">
        <v>421</v>
      </c>
      <c r="K539" s="472" t="s">
        <v>617</v>
      </c>
      <c r="L539" s="473" t="s">
        <v>530</v>
      </c>
      <c r="M539" s="473" t="s">
        <v>2481</v>
      </c>
      <c r="N539" s="473" t="s">
        <v>3047</v>
      </c>
      <c r="O539" s="474" t="s">
        <v>3047</v>
      </c>
    </row>
    <row r="540" spans="1:15" s="475" customFormat="1" ht="12" hidden="1">
      <c r="A540" s="465">
        <v>10131000020960</v>
      </c>
      <c r="B540" s="476" t="s">
        <v>3047</v>
      </c>
      <c r="C540" s="476" t="s">
        <v>3061</v>
      </c>
      <c r="D540" s="467" t="s">
        <v>1045</v>
      </c>
      <c r="E540" s="472" t="s">
        <v>2823</v>
      </c>
      <c r="F540" s="477">
        <v>0</v>
      </c>
      <c r="G540" s="469" t="s">
        <v>2472</v>
      </c>
      <c r="H540" s="470">
        <v>1E-8</v>
      </c>
      <c r="I540" s="471">
        <v>9.1381658333333352E-11</v>
      </c>
      <c r="J540" s="485" t="s">
        <v>421</v>
      </c>
      <c r="K540" s="472" t="s">
        <v>619</v>
      </c>
      <c r="L540" s="473" t="s">
        <v>530</v>
      </c>
      <c r="M540" s="473" t="s">
        <v>2481</v>
      </c>
      <c r="N540" s="473" t="s">
        <v>3047</v>
      </c>
      <c r="O540" s="474" t="s">
        <v>3047</v>
      </c>
    </row>
    <row r="541" spans="1:15" s="475" customFormat="1" ht="12" hidden="1">
      <c r="A541" s="465">
        <v>10131000020963</v>
      </c>
      <c r="B541" s="476" t="s">
        <v>3047</v>
      </c>
      <c r="C541" s="476" t="s">
        <v>3062</v>
      </c>
      <c r="D541" s="467" t="s">
        <v>1045</v>
      </c>
      <c r="E541" s="472" t="s">
        <v>2829</v>
      </c>
      <c r="F541" s="477">
        <v>0</v>
      </c>
      <c r="G541" s="469" t="s">
        <v>2472</v>
      </c>
      <c r="H541" s="470">
        <v>1E-8</v>
      </c>
      <c r="I541" s="471">
        <v>2.9191050416666665E-9</v>
      </c>
      <c r="J541" s="485" t="s">
        <v>421</v>
      </c>
      <c r="K541" s="472" t="s">
        <v>623</v>
      </c>
      <c r="L541" s="473" t="s">
        <v>530</v>
      </c>
      <c r="M541" s="473" t="s">
        <v>2481</v>
      </c>
      <c r="N541" s="473" t="s">
        <v>3047</v>
      </c>
      <c r="O541" s="474" t="s">
        <v>3047</v>
      </c>
    </row>
    <row r="542" spans="1:15" s="475" customFormat="1" ht="12" hidden="1">
      <c r="A542" s="465">
        <v>10131000020964</v>
      </c>
      <c r="B542" s="476" t="s">
        <v>3047</v>
      </c>
      <c r="C542" s="476" t="s">
        <v>3063</v>
      </c>
      <c r="D542" s="467" t="s">
        <v>1045</v>
      </c>
      <c r="E542" s="472" t="s">
        <v>2718</v>
      </c>
      <c r="F542" s="477">
        <v>0</v>
      </c>
      <c r="G542" s="469" t="s">
        <v>2472</v>
      </c>
      <c r="H542" s="470">
        <v>1E-8</v>
      </c>
      <c r="I542" s="471">
        <v>2.9145899166666672E-10</v>
      </c>
      <c r="J542" s="485" t="s">
        <v>421</v>
      </c>
      <c r="K542" s="472" t="s">
        <v>625</v>
      </c>
      <c r="L542" s="473" t="s">
        <v>530</v>
      </c>
      <c r="M542" s="473" t="s">
        <v>2481</v>
      </c>
      <c r="N542" s="473" t="s">
        <v>3047</v>
      </c>
      <c r="O542" s="474" t="s">
        <v>3047</v>
      </c>
    </row>
    <row r="543" spans="1:15" s="475" customFormat="1" ht="12" hidden="1">
      <c r="A543" s="465">
        <v>10131000020966</v>
      </c>
      <c r="B543" s="476" t="s">
        <v>3047</v>
      </c>
      <c r="C543" s="476" t="s">
        <v>3064</v>
      </c>
      <c r="D543" s="467" t="s">
        <v>1045</v>
      </c>
      <c r="E543" s="472" t="s">
        <v>2795</v>
      </c>
      <c r="F543" s="477">
        <v>0</v>
      </c>
      <c r="G543" s="469" t="s">
        <v>2472</v>
      </c>
      <c r="H543" s="470">
        <v>1E-8</v>
      </c>
      <c r="I543" s="471">
        <v>2.0248266666666662E-11</v>
      </c>
      <c r="J543" s="485" t="s">
        <v>421</v>
      </c>
      <c r="K543" s="472" t="s">
        <v>627</v>
      </c>
      <c r="L543" s="473" t="s">
        <v>530</v>
      </c>
      <c r="M543" s="473" t="s">
        <v>2481</v>
      </c>
      <c r="N543" s="473" t="s">
        <v>3047</v>
      </c>
      <c r="O543" s="474" t="s">
        <v>3047</v>
      </c>
    </row>
    <row r="544" spans="1:15" s="475" customFormat="1" ht="12" hidden="1">
      <c r="A544" s="465">
        <v>10131000020968</v>
      </c>
      <c r="B544" s="476" t="s">
        <v>3047</v>
      </c>
      <c r="C544" s="476" t="s">
        <v>3065</v>
      </c>
      <c r="D544" s="467" t="s">
        <v>1045</v>
      </c>
      <c r="E544" s="472" t="s">
        <v>2715</v>
      </c>
      <c r="F544" s="477">
        <v>0</v>
      </c>
      <c r="G544" s="469" t="s">
        <v>2472</v>
      </c>
      <c r="H544" s="470">
        <v>1E-8</v>
      </c>
      <c r="I544" s="471">
        <v>1.3280192891666669E-8</v>
      </c>
      <c r="J544" s="485" t="s">
        <v>421</v>
      </c>
      <c r="K544" s="472" t="s">
        <v>629</v>
      </c>
      <c r="L544" s="473" t="s">
        <v>530</v>
      </c>
      <c r="M544" s="473" t="s">
        <v>2481</v>
      </c>
      <c r="N544" s="473" t="s">
        <v>3047</v>
      </c>
      <c r="O544" s="474" t="s">
        <v>3047</v>
      </c>
    </row>
    <row r="545" spans="1:15" s="475" customFormat="1" ht="12" hidden="1">
      <c r="A545" s="465">
        <v>10131000020969</v>
      </c>
      <c r="B545" s="476" t="s">
        <v>3047</v>
      </c>
      <c r="C545" s="476" t="s">
        <v>3066</v>
      </c>
      <c r="D545" s="467" t="s">
        <v>1045</v>
      </c>
      <c r="E545" s="472" t="s">
        <v>2833</v>
      </c>
      <c r="F545" s="477">
        <v>0</v>
      </c>
      <c r="G545" s="469" t="s">
        <v>2472</v>
      </c>
      <c r="H545" s="470">
        <v>1E-8</v>
      </c>
      <c r="I545" s="471">
        <v>9.6662435833333333E-10</v>
      </c>
      <c r="J545" s="485" t="s">
        <v>421</v>
      </c>
      <c r="K545" s="472" t="s">
        <v>631</v>
      </c>
      <c r="L545" s="473" t="s">
        <v>530</v>
      </c>
      <c r="M545" s="473" t="s">
        <v>2481</v>
      </c>
      <c r="N545" s="473" t="s">
        <v>3047</v>
      </c>
      <c r="O545" s="474" t="s">
        <v>3047</v>
      </c>
    </row>
    <row r="546" spans="1:15" s="475" customFormat="1" ht="12" hidden="1">
      <c r="A546" s="465">
        <v>10131000020970</v>
      </c>
      <c r="B546" s="476" t="s">
        <v>3047</v>
      </c>
      <c r="C546" s="476" t="s">
        <v>3067</v>
      </c>
      <c r="D546" s="467" t="s">
        <v>1045</v>
      </c>
      <c r="E546" s="472" t="s">
        <v>2836</v>
      </c>
      <c r="F546" s="477">
        <v>0</v>
      </c>
      <c r="G546" s="469" t="s">
        <v>2472</v>
      </c>
      <c r="H546" s="470">
        <v>1E-8</v>
      </c>
      <c r="I546" s="471">
        <v>5.6639833333333335E-12</v>
      </c>
      <c r="J546" s="485" t="s">
        <v>421</v>
      </c>
      <c r="K546" s="472" t="s">
        <v>639</v>
      </c>
      <c r="L546" s="473" t="s">
        <v>530</v>
      </c>
      <c r="M546" s="473" t="s">
        <v>2481</v>
      </c>
      <c r="N546" s="473" t="s">
        <v>3047</v>
      </c>
      <c r="O546" s="474" t="s">
        <v>3047</v>
      </c>
    </row>
    <row r="547" spans="1:15" s="475" customFormat="1" ht="12" hidden="1">
      <c r="A547" s="465">
        <v>10131000020971</v>
      </c>
      <c r="B547" s="476" t="s">
        <v>3047</v>
      </c>
      <c r="C547" s="476" t="s">
        <v>3068</v>
      </c>
      <c r="D547" s="467" t="s">
        <v>1045</v>
      </c>
      <c r="E547" s="472" t="s">
        <v>2840</v>
      </c>
      <c r="F547" s="477">
        <v>0</v>
      </c>
      <c r="G547" s="469" t="s">
        <v>2472</v>
      </c>
      <c r="H547" s="470">
        <v>1E-8</v>
      </c>
      <c r="I547" s="471">
        <v>4.8453969750000001E-9</v>
      </c>
      <c r="J547" s="485" t="s">
        <v>421</v>
      </c>
      <c r="K547" s="472" t="s">
        <v>643</v>
      </c>
      <c r="L547" s="473" t="s">
        <v>530</v>
      </c>
      <c r="M547" s="473" t="s">
        <v>2481</v>
      </c>
      <c r="N547" s="473" t="s">
        <v>3047</v>
      </c>
      <c r="O547" s="474" t="s">
        <v>3047</v>
      </c>
    </row>
    <row r="548" spans="1:15" s="475" customFormat="1" ht="12" hidden="1">
      <c r="A548" s="465">
        <v>10131000020972</v>
      </c>
      <c r="B548" s="476" t="s">
        <v>3047</v>
      </c>
      <c r="C548" s="476" t="s">
        <v>3069</v>
      </c>
      <c r="D548" s="467" t="s">
        <v>1045</v>
      </c>
      <c r="E548" s="472" t="s">
        <v>2856</v>
      </c>
      <c r="F548" s="477">
        <v>0</v>
      </c>
      <c r="G548" s="469" t="s">
        <v>2472</v>
      </c>
      <c r="H548" s="470">
        <v>1E-8</v>
      </c>
      <c r="I548" s="471">
        <v>1.1849980000000001E-9</v>
      </c>
      <c r="J548" s="485" t="s">
        <v>421</v>
      </c>
      <c r="K548" s="472" t="s">
        <v>649</v>
      </c>
      <c r="L548" s="473" t="s">
        <v>530</v>
      </c>
      <c r="M548" s="473" t="s">
        <v>2481</v>
      </c>
      <c r="N548" s="473" t="s">
        <v>3047</v>
      </c>
      <c r="O548" s="474" t="s">
        <v>3047</v>
      </c>
    </row>
    <row r="549" spans="1:15" s="475" customFormat="1" ht="12" hidden="1">
      <c r="A549" s="465">
        <v>10131000020982</v>
      </c>
      <c r="B549" s="476" t="s">
        <v>3047</v>
      </c>
      <c r="C549" s="476" t="s">
        <v>3070</v>
      </c>
      <c r="D549" s="467" t="s">
        <v>1045</v>
      </c>
      <c r="E549" s="472" t="s">
        <v>2715</v>
      </c>
      <c r="F549" s="477" t="s">
        <v>2472</v>
      </c>
      <c r="G549" s="469" t="s">
        <v>2472</v>
      </c>
      <c r="H549" s="470">
        <v>1E-8</v>
      </c>
      <c r="I549" s="471">
        <v>1.3280192891666669E-8</v>
      </c>
      <c r="J549" s="485" t="s">
        <v>421</v>
      </c>
      <c r="K549" s="472" t="s">
        <v>2779</v>
      </c>
      <c r="L549" s="473" t="s">
        <v>530</v>
      </c>
      <c r="M549" s="473" t="s">
        <v>2481</v>
      </c>
      <c r="N549" s="473" t="s">
        <v>3047</v>
      </c>
      <c r="O549" s="474" t="s">
        <v>3047</v>
      </c>
    </row>
    <row r="550" spans="1:15" s="475" customFormat="1" ht="12" hidden="1">
      <c r="A550" s="465">
        <v>10131000020986</v>
      </c>
      <c r="B550" s="476" t="s">
        <v>3047</v>
      </c>
      <c r="C550" s="476" t="s">
        <v>3071</v>
      </c>
      <c r="D550" s="467" t="s">
        <v>1045</v>
      </c>
      <c r="E550" s="472" t="s">
        <v>2715</v>
      </c>
      <c r="F550" s="477" t="s">
        <v>2472</v>
      </c>
      <c r="G550" s="469" t="s">
        <v>2472</v>
      </c>
      <c r="H550" s="470">
        <v>1E-8</v>
      </c>
      <c r="I550" s="471">
        <v>1.3280192891666669E-8</v>
      </c>
      <c r="J550" s="485" t="s">
        <v>421</v>
      </c>
      <c r="K550" s="472" t="s">
        <v>633</v>
      </c>
      <c r="L550" s="473" t="s">
        <v>530</v>
      </c>
      <c r="M550" s="473" t="s">
        <v>2481</v>
      </c>
      <c r="N550" s="473" t="s">
        <v>3047</v>
      </c>
      <c r="O550" s="474" t="s">
        <v>3047</v>
      </c>
    </row>
    <row r="551" spans="1:15" s="475" customFormat="1" ht="12" hidden="1">
      <c r="A551" s="465">
        <v>1000099055</v>
      </c>
      <c r="B551" s="466" t="s">
        <v>3072</v>
      </c>
      <c r="C551" s="466" t="s">
        <v>3072</v>
      </c>
      <c r="D551" s="467" t="s">
        <v>3073</v>
      </c>
      <c r="E551" s="468" t="s">
        <v>2471</v>
      </c>
      <c r="F551" s="477" t="s">
        <v>2472</v>
      </c>
      <c r="G551" s="469" t="s">
        <v>2472</v>
      </c>
      <c r="H551" s="470">
        <v>432.14</v>
      </c>
      <c r="I551" s="471">
        <v>33.369884169884173</v>
      </c>
      <c r="J551" s="472" t="s">
        <v>422</v>
      </c>
      <c r="K551" s="472" t="s">
        <v>2473</v>
      </c>
      <c r="L551" s="473" t="s">
        <v>570</v>
      </c>
      <c r="M551" s="473" t="s">
        <v>2732</v>
      </c>
      <c r="N551" s="473" t="s">
        <v>2643</v>
      </c>
      <c r="O551" s="490" t="s">
        <v>3072</v>
      </c>
    </row>
    <row r="552" spans="1:15" s="475" customFormat="1" ht="12" hidden="1">
      <c r="A552" s="465">
        <v>10131000022737</v>
      </c>
      <c r="B552" s="476" t="s">
        <v>3074</v>
      </c>
      <c r="C552" s="476" t="s">
        <v>3075</v>
      </c>
      <c r="D552" s="467" t="s">
        <v>2007</v>
      </c>
      <c r="E552" s="472" t="s">
        <v>2704</v>
      </c>
      <c r="F552" s="477">
        <v>0</v>
      </c>
      <c r="G552" s="469" t="s">
        <v>2472</v>
      </c>
      <c r="H552" s="470">
        <v>1E-8</v>
      </c>
      <c r="I552" s="471">
        <v>1.2513470333333332E-9</v>
      </c>
      <c r="J552" s="485" t="s">
        <v>421</v>
      </c>
      <c r="K552" s="472" t="s">
        <v>589</v>
      </c>
      <c r="L552" s="473" t="s">
        <v>2474</v>
      </c>
      <c r="M552" s="473" t="s">
        <v>1835</v>
      </c>
      <c r="N552" s="473" t="s">
        <v>3074</v>
      </c>
      <c r="O552" s="474" t="s">
        <v>3074</v>
      </c>
    </row>
    <row r="553" spans="1:15" s="475" customFormat="1" ht="12" hidden="1">
      <c r="A553" s="465">
        <v>10131000022746</v>
      </c>
      <c r="B553" s="476" t="s">
        <v>3074</v>
      </c>
      <c r="C553" s="476" t="s">
        <v>3076</v>
      </c>
      <c r="D553" s="467" t="s">
        <v>2007</v>
      </c>
      <c r="E553" s="472" t="s">
        <v>2715</v>
      </c>
      <c r="F553" s="477">
        <v>0</v>
      </c>
      <c r="G553" s="469" t="s">
        <v>2472</v>
      </c>
      <c r="H553" s="470">
        <v>1E-8</v>
      </c>
      <c r="I553" s="471">
        <v>1.3280192891666669E-8</v>
      </c>
      <c r="J553" s="485" t="s">
        <v>421</v>
      </c>
      <c r="K553" s="472" t="s">
        <v>593</v>
      </c>
      <c r="L553" s="473" t="s">
        <v>2474</v>
      </c>
      <c r="M553" s="473" t="s">
        <v>1835</v>
      </c>
      <c r="N553" s="473" t="s">
        <v>3074</v>
      </c>
      <c r="O553" s="474" t="s">
        <v>3074</v>
      </c>
    </row>
    <row r="554" spans="1:15" s="475" customFormat="1" ht="12" hidden="1">
      <c r="A554" s="465">
        <v>10131000022742</v>
      </c>
      <c r="B554" s="476" t="s">
        <v>3074</v>
      </c>
      <c r="C554" s="476" t="s">
        <v>3077</v>
      </c>
      <c r="D554" s="467" t="s">
        <v>2007</v>
      </c>
      <c r="E554" s="472" t="s">
        <v>2541</v>
      </c>
      <c r="F554" s="477">
        <v>0</v>
      </c>
      <c r="G554" s="469" t="s">
        <v>2472</v>
      </c>
      <c r="H554" s="470">
        <v>1E-8</v>
      </c>
      <c r="I554" s="471">
        <v>1.5324781650000001E-8</v>
      </c>
      <c r="J554" s="485" t="s">
        <v>421</v>
      </c>
      <c r="K554" s="472" t="s">
        <v>651</v>
      </c>
      <c r="L554" s="473" t="s">
        <v>2474</v>
      </c>
      <c r="M554" s="473" t="s">
        <v>1835</v>
      </c>
      <c r="N554" s="473" t="s">
        <v>3074</v>
      </c>
      <c r="O554" s="474" t="s">
        <v>3074</v>
      </c>
    </row>
    <row r="555" spans="1:15" s="475" customFormat="1" ht="12" hidden="1">
      <c r="A555" s="465">
        <v>10131000022744</v>
      </c>
      <c r="B555" s="476" t="s">
        <v>3074</v>
      </c>
      <c r="C555" s="476" t="s">
        <v>3077</v>
      </c>
      <c r="D555" s="467" t="s">
        <v>2007</v>
      </c>
      <c r="E555" s="472" t="s">
        <v>2541</v>
      </c>
      <c r="F555" s="477">
        <v>0</v>
      </c>
      <c r="G555" s="469" t="s">
        <v>2472</v>
      </c>
      <c r="H555" s="470">
        <v>1E-8</v>
      </c>
      <c r="I555" s="471">
        <v>1.5324781650000001E-8</v>
      </c>
      <c r="J555" s="485" t="s">
        <v>421</v>
      </c>
      <c r="K555" s="472" t="s">
        <v>651</v>
      </c>
      <c r="L555" s="473" t="s">
        <v>2474</v>
      </c>
      <c r="M555" s="473" t="s">
        <v>1835</v>
      </c>
      <c r="N555" s="473" t="s">
        <v>3074</v>
      </c>
      <c r="O555" s="474" t="s">
        <v>3074</v>
      </c>
    </row>
    <row r="556" spans="1:15" s="475" customFormat="1" ht="12" hidden="1">
      <c r="A556" s="465">
        <v>10131000029914</v>
      </c>
      <c r="B556" s="476" t="s">
        <v>3074</v>
      </c>
      <c r="C556" s="476" t="s">
        <v>3077</v>
      </c>
      <c r="D556" s="467" t="s">
        <v>2007</v>
      </c>
      <c r="E556" s="472" t="s">
        <v>2541</v>
      </c>
      <c r="F556" s="477">
        <v>0</v>
      </c>
      <c r="G556" s="469" t="s">
        <v>2472</v>
      </c>
      <c r="H556" s="470">
        <v>1E-8</v>
      </c>
      <c r="I556" s="471">
        <v>1.5324781650000001E-8</v>
      </c>
      <c r="J556" s="485" t="s">
        <v>421</v>
      </c>
      <c r="K556" s="472" t="s">
        <v>651</v>
      </c>
      <c r="L556" s="473" t="s">
        <v>2474</v>
      </c>
      <c r="M556" s="473" t="s">
        <v>1835</v>
      </c>
      <c r="N556" s="473" t="s">
        <v>3074</v>
      </c>
      <c r="O556" s="474" t="s">
        <v>3074</v>
      </c>
    </row>
    <row r="557" spans="1:15" s="475" customFormat="1" ht="12" hidden="1">
      <c r="A557" s="465">
        <v>10131000039489</v>
      </c>
      <c r="B557" s="476" t="s">
        <v>3074</v>
      </c>
      <c r="C557" s="476" t="s">
        <v>3077</v>
      </c>
      <c r="D557" s="467" t="s">
        <v>2007</v>
      </c>
      <c r="E557" s="472" t="s">
        <v>2491</v>
      </c>
      <c r="F557" s="477">
        <v>0</v>
      </c>
      <c r="G557" s="469" t="s">
        <v>2472</v>
      </c>
      <c r="H557" s="470">
        <v>1E-8</v>
      </c>
      <c r="I557" s="471">
        <v>1E-8</v>
      </c>
      <c r="J557" s="485" t="s">
        <v>421</v>
      </c>
      <c r="K557" s="472" t="s">
        <v>651</v>
      </c>
      <c r="L557" s="473" t="s">
        <v>2474</v>
      </c>
      <c r="M557" s="473" t="s">
        <v>1835</v>
      </c>
      <c r="N557" s="473" t="s">
        <v>3074</v>
      </c>
      <c r="O557" s="474" t="s">
        <v>3074</v>
      </c>
    </row>
    <row r="558" spans="1:15" s="475" customFormat="1" ht="12" hidden="1">
      <c r="A558" s="465">
        <v>10131000022736</v>
      </c>
      <c r="B558" s="476" t="s">
        <v>3074</v>
      </c>
      <c r="C558" s="476" t="s">
        <v>3078</v>
      </c>
      <c r="D558" s="467" t="s">
        <v>2007</v>
      </c>
      <c r="E558" s="472" t="s">
        <v>2801</v>
      </c>
      <c r="F558" s="477">
        <v>3.4490446318000005</v>
      </c>
      <c r="G558" s="469" t="s">
        <v>2472</v>
      </c>
      <c r="H558" s="470">
        <v>621.91999999999996</v>
      </c>
      <c r="I558" s="471">
        <v>31.891175510133326</v>
      </c>
      <c r="J558" s="485" t="s">
        <v>421</v>
      </c>
      <c r="K558" s="472" t="s">
        <v>587</v>
      </c>
      <c r="L558" s="473" t="s">
        <v>2474</v>
      </c>
      <c r="M558" s="473" t="s">
        <v>1835</v>
      </c>
      <c r="N558" s="473" t="s">
        <v>3074</v>
      </c>
      <c r="O558" s="474" t="s">
        <v>3074</v>
      </c>
    </row>
    <row r="559" spans="1:15" s="475" customFormat="1" ht="12" hidden="1">
      <c r="A559" s="465">
        <v>10131000022739</v>
      </c>
      <c r="B559" s="476" t="s">
        <v>3074</v>
      </c>
      <c r="C559" s="476" t="s">
        <v>3079</v>
      </c>
      <c r="D559" s="467" t="s">
        <v>2007</v>
      </c>
      <c r="E559" s="472" t="s">
        <v>2718</v>
      </c>
      <c r="F559" s="477">
        <v>15.7717425216</v>
      </c>
      <c r="G559" s="469" t="s">
        <v>2472</v>
      </c>
      <c r="H559" s="470">
        <v>980.01</v>
      </c>
      <c r="I559" s="471">
        <v>28.563272642325003</v>
      </c>
      <c r="J559" s="485" t="s">
        <v>421</v>
      </c>
      <c r="K559" s="472" t="s">
        <v>625</v>
      </c>
      <c r="L559" s="473" t="s">
        <v>2474</v>
      </c>
      <c r="M559" s="473" t="s">
        <v>1835</v>
      </c>
      <c r="N559" s="473" t="s">
        <v>3074</v>
      </c>
      <c r="O559" s="474" t="s">
        <v>3074</v>
      </c>
    </row>
    <row r="560" spans="1:15" s="475" customFormat="1" ht="12" hidden="1">
      <c r="A560" s="465">
        <v>10131000022741</v>
      </c>
      <c r="B560" s="476" t="s">
        <v>3074</v>
      </c>
      <c r="C560" s="476" t="s">
        <v>3080</v>
      </c>
      <c r="D560" s="467" t="s">
        <v>2007</v>
      </c>
      <c r="E560" s="472" t="s">
        <v>2840</v>
      </c>
      <c r="F560" s="477">
        <v>127.664932519</v>
      </c>
      <c r="G560" s="469" t="s">
        <v>2472</v>
      </c>
      <c r="H560" s="470">
        <v>306.5</v>
      </c>
      <c r="I560" s="471">
        <v>148.51141728375001</v>
      </c>
      <c r="J560" s="485" t="s">
        <v>421</v>
      </c>
      <c r="K560" s="472" t="s">
        <v>643</v>
      </c>
      <c r="L560" s="473" t="s">
        <v>2474</v>
      </c>
      <c r="M560" s="473" t="s">
        <v>1835</v>
      </c>
      <c r="N560" s="473" t="s">
        <v>3074</v>
      </c>
      <c r="O560" s="474" t="s">
        <v>3074</v>
      </c>
    </row>
    <row r="561" spans="1:15" s="475" customFormat="1" ht="12" hidden="1">
      <c r="A561" s="465">
        <v>1000099048</v>
      </c>
      <c r="B561" s="466" t="s">
        <v>3081</v>
      </c>
      <c r="C561" s="466" t="s">
        <v>3081</v>
      </c>
      <c r="D561" s="467" t="s">
        <v>2655</v>
      </c>
      <c r="E561" s="468" t="s">
        <v>2471</v>
      </c>
      <c r="F561" s="477" t="s">
        <v>2472</v>
      </c>
      <c r="G561" s="469" t="s">
        <v>2472</v>
      </c>
      <c r="H561" s="470">
        <v>131.18</v>
      </c>
      <c r="I561" s="471">
        <v>10.12972972972973</v>
      </c>
      <c r="J561" s="472" t="s">
        <v>422</v>
      </c>
      <c r="K561" s="472" t="s">
        <v>2473</v>
      </c>
      <c r="L561" s="473" t="s">
        <v>570</v>
      </c>
      <c r="M561" s="473" t="s">
        <v>2732</v>
      </c>
      <c r="N561" s="473" t="s">
        <v>2643</v>
      </c>
      <c r="O561" s="490" t="s">
        <v>3082</v>
      </c>
    </row>
    <row r="562" spans="1:15" s="475" customFormat="1" ht="12" hidden="1">
      <c r="A562" s="465">
        <v>1000099069</v>
      </c>
      <c r="B562" s="466" t="s">
        <v>3081</v>
      </c>
      <c r="C562" s="466" t="s">
        <v>3083</v>
      </c>
      <c r="D562" s="467" t="s">
        <v>2655</v>
      </c>
      <c r="E562" s="468" t="s">
        <v>2471</v>
      </c>
      <c r="F562" s="477" t="s">
        <v>2472</v>
      </c>
      <c r="G562" s="469" t="s">
        <v>2472</v>
      </c>
      <c r="H562" s="470">
        <v>154.79012158054712</v>
      </c>
      <c r="I562" s="471">
        <v>11.952905141354991</v>
      </c>
      <c r="J562" s="472" t="s">
        <v>422</v>
      </c>
      <c r="K562" s="472" t="s">
        <v>2473</v>
      </c>
      <c r="L562" s="473" t="s">
        <v>570</v>
      </c>
      <c r="M562" s="473" t="s">
        <v>2732</v>
      </c>
      <c r="N562" s="473" t="s">
        <v>2643</v>
      </c>
      <c r="O562" s="490" t="s">
        <v>3082</v>
      </c>
    </row>
    <row r="563" spans="1:15" s="475" customFormat="1" ht="12" hidden="1">
      <c r="A563" s="465">
        <v>10131000021536</v>
      </c>
      <c r="B563" s="476" t="s">
        <v>1649</v>
      </c>
      <c r="C563" s="476" t="s">
        <v>3084</v>
      </c>
      <c r="D563" s="467" t="s">
        <v>1045</v>
      </c>
      <c r="E563" s="472" t="s">
        <v>2491</v>
      </c>
      <c r="F563" s="477">
        <v>0</v>
      </c>
      <c r="G563" s="469" t="s">
        <v>2472</v>
      </c>
      <c r="H563" s="470">
        <v>1E-8</v>
      </c>
      <c r="I563" s="471">
        <v>0</v>
      </c>
      <c r="J563" s="472" t="s">
        <v>2492</v>
      </c>
      <c r="K563" s="478" t="s">
        <v>656</v>
      </c>
      <c r="L563" s="479" t="s">
        <v>1608</v>
      </c>
      <c r="M563" s="479" t="s">
        <v>2642</v>
      </c>
      <c r="N563" s="473" t="s">
        <v>1649</v>
      </c>
      <c r="O563" s="474" t="s">
        <v>1649</v>
      </c>
    </row>
    <row r="564" spans="1:15" s="475" customFormat="1" ht="12" hidden="1">
      <c r="A564" s="465">
        <v>10131000021534</v>
      </c>
      <c r="B564" s="476" t="s">
        <v>1649</v>
      </c>
      <c r="C564" s="476" t="s">
        <v>3085</v>
      </c>
      <c r="D564" s="467" t="s">
        <v>1045</v>
      </c>
      <c r="E564" s="472" t="s">
        <v>2491</v>
      </c>
      <c r="F564" s="477">
        <v>0</v>
      </c>
      <c r="G564" s="469" t="s">
        <v>2472</v>
      </c>
      <c r="H564" s="470">
        <v>1E-8</v>
      </c>
      <c r="I564" s="471">
        <v>0</v>
      </c>
      <c r="J564" s="472" t="s">
        <v>2492</v>
      </c>
      <c r="K564" s="472" t="s">
        <v>2495</v>
      </c>
      <c r="L564" s="479" t="s">
        <v>1608</v>
      </c>
      <c r="M564" s="479" t="s">
        <v>2642</v>
      </c>
      <c r="N564" s="473" t="s">
        <v>1649</v>
      </c>
      <c r="O564" s="474" t="s">
        <v>1649</v>
      </c>
    </row>
    <row r="565" spans="1:15" s="475" customFormat="1" ht="12" hidden="1">
      <c r="A565" s="465">
        <v>10131000029531</v>
      </c>
      <c r="B565" s="476" t="s">
        <v>1649</v>
      </c>
      <c r="C565" s="476" t="s">
        <v>3086</v>
      </c>
      <c r="D565" s="467" t="s">
        <v>1045</v>
      </c>
      <c r="E565" s="472" t="s">
        <v>2491</v>
      </c>
      <c r="F565" s="477">
        <v>0</v>
      </c>
      <c r="G565" s="469" t="s">
        <v>2472</v>
      </c>
      <c r="H565" s="470">
        <v>1E-8</v>
      </c>
      <c r="I565" s="471">
        <v>0</v>
      </c>
      <c r="J565" s="472" t="s">
        <v>2492</v>
      </c>
      <c r="K565" s="478" t="s">
        <v>2522</v>
      </c>
      <c r="L565" s="479" t="s">
        <v>1608</v>
      </c>
      <c r="M565" s="479" t="s">
        <v>2642</v>
      </c>
      <c r="N565" s="473" t="s">
        <v>1649</v>
      </c>
      <c r="O565" s="474" t="s">
        <v>1649</v>
      </c>
    </row>
    <row r="566" spans="1:15" s="475" customFormat="1" ht="12" hidden="1">
      <c r="A566" s="465">
        <v>10131000029587</v>
      </c>
      <c r="B566" s="476" t="s">
        <v>1649</v>
      </c>
      <c r="C566" s="476" t="s">
        <v>3087</v>
      </c>
      <c r="D566" s="467" t="s">
        <v>982</v>
      </c>
      <c r="E566" s="472" t="s">
        <v>2491</v>
      </c>
      <c r="F566" s="477">
        <v>4</v>
      </c>
      <c r="G566" s="469" t="s">
        <v>2472</v>
      </c>
      <c r="H566" s="487">
        <v>6.49</v>
      </c>
      <c r="I566" s="471">
        <v>6.49</v>
      </c>
      <c r="J566" s="488" t="s">
        <v>2492</v>
      </c>
      <c r="K566" s="472" t="s">
        <v>2522</v>
      </c>
      <c r="L566" s="473" t="s">
        <v>1608</v>
      </c>
      <c r="M566" s="479" t="s">
        <v>2642</v>
      </c>
      <c r="N566" s="473" t="s">
        <v>1649</v>
      </c>
      <c r="O566" s="474" t="s">
        <v>1649</v>
      </c>
    </row>
    <row r="567" spans="1:15" s="475" customFormat="1" ht="12" hidden="1">
      <c r="A567" s="465">
        <v>10131000021710</v>
      </c>
      <c r="B567" s="476" t="s">
        <v>1649</v>
      </c>
      <c r="C567" s="476" t="s">
        <v>3088</v>
      </c>
      <c r="D567" s="467" t="s">
        <v>982</v>
      </c>
      <c r="E567" s="472" t="s">
        <v>2491</v>
      </c>
      <c r="F567" s="477">
        <v>16.78</v>
      </c>
      <c r="G567" s="469" t="s">
        <v>2472</v>
      </c>
      <c r="H567" s="487">
        <v>5.0999999999999996</v>
      </c>
      <c r="I567" s="471">
        <v>5.0999999999999996</v>
      </c>
      <c r="J567" s="488" t="s">
        <v>2492</v>
      </c>
      <c r="K567" s="472" t="s">
        <v>656</v>
      </c>
      <c r="L567" s="473" t="s">
        <v>1608</v>
      </c>
      <c r="M567" s="479" t="s">
        <v>2642</v>
      </c>
      <c r="N567" s="473" t="s">
        <v>1649</v>
      </c>
      <c r="O567" s="474" t="s">
        <v>1649</v>
      </c>
    </row>
    <row r="568" spans="1:15" s="475" customFormat="1" ht="12" hidden="1">
      <c r="A568" s="465">
        <v>10131000056485</v>
      </c>
      <c r="B568" s="476" t="s">
        <v>1649</v>
      </c>
      <c r="C568" s="476" t="s">
        <v>3089</v>
      </c>
      <c r="D568" s="467" t="s">
        <v>982</v>
      </c>
      <c r="E568" s="472" t="s">
        <v>2491</v>
      </c>
      <c r="F568" s="477" t="s">
        <v>2472</v>
      </c>
      <c r="G568" s="469" t="s">
        <v>2472</v>
      </c>
      <c r="H568" s="487">
        <v>2.79</v>
      </c>
      <c r="I568" s="471">
        <v>2.79</v>
      </c>
      <c r="J568" s="488" t="s">
        <v>2492</v>
      </c>
      <c r="K568" s="472" t="s">
        <v>666</v>
      </c>
      <c r="L568" s="473" t="s">
        <v>1608</v>
      </c>
      <c r="M568" s="479" t="s">
        <v>2642</v>
      </c>
      <c r="N568" s="473" t="s">
        <v>1649</v>
      </c>
      <c r="O568" s="474" t="s">
        <v>1649</v>
      </c>
    </row>
    <row r="569" spans="1:15" s="475" customFormat="1" ht="12" hidden="1">
      <c r="A569" s="465">
        <v>1000099123</v>
      </c>
      <c r="B569" s="476" t="s">
        <v>1649</v>
      </c>
      <c r="C569" s="476" t="s">
        <v>1649</v>
      </c>
      <c r="D569" s="467" t="s">
        <v>1045</v>
      </c>
      <c r="E569" s="468" t="s">
        <v>2471</v>
      </c>
      <c r="F569" s="477" t="s">
        <v>2472</v>
      </c>
      <c r="G569" s="469" t="s">
        <v>2472</v>
      </c>
      <c r="H569" s="470">
        <v>0</v>
      </c>
      <c r="I569" s="471">
        <v>0</v>
      </c>
      <c r="J569" s="472" t="s">
        <v>422</v>
      </c>
      <c r="K569" s="472" t="s">
        <v>2473</v>
      </c>
      <c r="L569" s="479" t="s">
        <v>1608</v>
      </c>
      <c r="M569" s="479" t="s">
        <v>2642</v>
      </c>
      <c r="N569" s="473" t="s">
        <v>1649</v>
      </c>
      <c r="O569" s="474" t="s">
        <v>1649</v>
      </c>
    </row>
    <row r="570" spans="1:15" s="475" customFormat="1" ht="12" hidden="1">
      <c r="A570" s="465">
        <v>1000099160</v>
      </c>
      <c r="B570" s="476" t="s">
        <v>1649</v>
      </c>
      <c r="C570" s="476" t="s">
        <v>3090</v>
      </c>
      <c r="D570" s="467" t="s">
        <v>1045</v>
      </c>
      <c r="E570" s="468" t="s">
        <v>2471</v>
      </c>
      <c r="F570" s="477" t="s">
        <v>2472</v>
      </c>
      <c r="G570" s="469" t="s">
        <v>2472</v>
      </c>
      <c r="H570" s="470">
        <v>0</v>
      </c>
      <c r="I570" s="471">
        <v>0</v>
      </c>
      <c r="J570" s="472" t="s">
        <v>422</v>
      </c>
      <c r="K570" s="472" t="s">
        <v>2473</v>
      </c>
      <c r="L570" s="473" t="s">
        <v>1608</v>
      </c>
      <c r="M570" s="479" t="s">
        <v>2642</v>
      </c>
      <c r="N570" s="473" t="s">
        <v>1649</v>
      </c>
      <c r="O570" s="474" t="s">
        <v>1649</v>
      </c>
    </row>
    <row r="571" spans="1:15" s="475" customFormat="1" ht="12" hidden="1">
      <c r="A571" s="465">
        <v>10131000057958</v>
      </c>
      <c r="B571" s="484" t="s">
        <v>3091</v>
      </c>
      <c r="C571" s="484" t="s">
        <v>3092</v>
      </c>
      <c r="D571" s="467" t="s">
        <v>1045</v>
      </c>
      <c r="E571" s="472" t="s">
        <v>2491</v>
      </c>
      <c r="F571" s="477" t="s">
        <v>2472</v>
      </c>
      <c r="G571" s="469" t="s">
        <v>2472</v>
      </c>
      <c r="H571" s="470">
        <v>1E-8</v>
      </c>
      <c r="I571" s="471">
        <v>1E-8</v>
      </c>
      <c r="J571" s="485" t="s">
        <v>421</v>
      </c>
      <c r="K571" s="472" t="s">
        <v>651</v>
      </c>
      <c r="L571" s="473" t="s">
        <v>204</v>
      </c>
      <c r="M571" s="473" t="s">
        <v>2780</v>
      </c>
      <c r="N571" s="473" t="s">
        <v>3091</v>
      </c>
      <c r="O571" s="474" t="s">
        <v>3091</v>
      </c>
    </row>
    <row r="572" spans="1:15" s="475" customFormat="1" ht="12" hidden="1">
      <c r="A572" s="465">
        <v>10131000019712</v>
      </c>
      <c r="B572" s="484" t="s">
        <v>3091</v>
      </c>
      <c r="C572" s="484" t="s">
        <v>3091</v>
      </c>
      <c r="D572" s="467" t="s">
        <v>1045</v>
      </c>
      <c r="E572" s="468" t="s">
        <v>2491</v>
      </c>
      <c r="F572" s="477" t="s">
        <v>2472</v>
      </c>
      <c r="G572" s="469" t="s">
        <v>2472</v>
      </c>
      <c r="H572" s="470">
        <v>0</v>
      </c>
      <c r="I572" s="471">
        <v>0</v>
      </c>
      <c r="J572" s="472" t="s">
        <v>423</v>
      </c>
      <c r="K572" s="472" t="s">
        <v>534</v>
      </c>
      <c r="L572" s="473" t="s">
        <v>204</v>
      </c>
      <c r="M572" s="473" t="s">
        <v>2780</v>
      </c>
      <c r="N572" s="473" t="s">
        <v>3091</v>
      </c>
      <c r="O572" s="474" t="s">
        <v>3093</v>
      </c>
    </row>
    <row r="573" spans="1:15" s="475" customFormat="1" ht="12" hidden="1">
      <c r="A573" s="465">
        <v>10131000058553</v>
      </c>
      <c r="B573" s="476" t="s">
        <v>3094</v>
      </c>
      <c r="C573" s="476" t="s">
        <v>3095</v>
      </c>
      <c r="D573" s="467" t="s">
        <v>1045</v>
      </c>
      <c r="E573" s="472" t="s">
        <v>2541</v>
      </c>
      <c r="F573" s="477" t="s">
        <v>2472</v>
      </c>
      <c r="G573" s="469" t="s">
        <v>2472</v>
      </c>
      <c r="H573" s="470">
        <v>1E-8</v>
      </c>
      <c r="I573" s="471">
        <v>1.5324781650000001E-8</v>
      </c>
      <c r="J573" s="485" t="s">
        <v>421</v>
      </c>
      <c r="K573" s="472" t="s">
        <v>651</v>
      </c>
      <c r="L573" s="473" t="s">
        <v>570</v>
      </c>
      <c r="M573" s="473" t="s">
        <v>2732</v>
      </c>
      <c r="N573" s="476" t="s">
        <v>3094</v>
      </c>
      <c r="O573" s="486" t="s">
        <v>3094</v>
      </c>
    </row>
    <row r="574" spans="1:15" s="475" customFormat="1" ht="12" hidden="1">
      <c r="A574" s="465">
        <v>10131000053715</v>
      </c>
      <c r="B574" s="476" t="s">
        <v>3096</v>
      </c>
      <c r="C574" s="476" t="s">
        <v>3097</v>
      </c>
      <c r="D574" s="467" t="s">
        <v>1045</v>
      </c>
      <c r="E574" s="472" t="s">
        <v>2541</v>
      </c>
      <c r="F574" s="477">
        <v>0</v>
      </c>
      <c r="G574" s="469" t="s">
        <v>2472</v>
      </c>
      <c r="H574" s="470">
        <v>1E-8</v>
      </c>
      <c r="I574" s="471">
        <v>1.5324781650000001E-8</v>
      </c>
      <c r="J574" s="485" t="s">
        <v>421</v>
      </c>
      <c r="K574" s="472" t="s">
        <v>651</v>
      </c>
      <c r="L574" s="473" t="s">
        <v>2474</v>
      </c>
      <c r="M574" s="473" t="s">
        <v>1835</v>
      </c>
      <c r="N574" s="476" t="s">
        <v>3096</v>
      </c>
      <c r="O574" s="486" t="s">
        <v>3096</v>
      </c>
    </row>
    <row r="575" spans="1:15" s="475" customFormat="1" ht="12" hidden="1">
      <c r="A575" s="465">
        <v>10131000053739</v>
      </c>
      <c r="B575" s="476" t="s">
        <v>3096</v>
      </c>
      <c r="C575" s="476" t="s">
        <v>3097</v>
      </c>
      <c r="D575" s="467" t="s">
        <v>1045</v>
      </c>
      <c r="E575" s="472" t="s">
        <v>2541</v>
      </c>
      <c r="F575" s="477">
        <v>0</v>
      </c>
      <c r="G575" s="469" t="s">
        <v>2472</v>
      </c>
      <c r="H575" s="470">
        <v>1E-8</v>
      </c>
      <c r="I575" s="471">
        <v>1.5324781650000001E-8</v>
      </c>
      <c r="J575" s="485" t="s">
        <v>421</v>
      </c>
      <c r="K575" s="472" t="s">
        <v>651</v>
      </c>
      <c r="L575" s="473" t="s">
        <v>2474</v>
      </c>
      <c r="M575" s="473" t="s">
        <v>1835</v>
      </c>
      <c r="N575" s="476" t="s">
        <v>3096</v>
      </c>
      <c r="O575" s="486" t="s">
        <v>3096</v>
      </c>
    </row>
    <row r="576" spans="1:15" s="475" customFormat="1" ht="12" hidden="1">
      <c r="A576" s="465">
        <v>10131000053741</v>
      </c>
      <c r="B576" s="476" t="s">
        <v>3096</v>
      </c>
      <c r="C576" s="476" t="s">
        <v>3097</v>
      </c>
      <c r="D576" s="467" t="s">
        <v>1045</v>
      </c>
      <c r="E576" s="472" t="s">
        <v>2491</v>
      </c>
      <c r="F576" s="477">
        <v>0</v>
      </c>
      <c r="G576" s="469" t="s">
        <v>2472</v>
      </c>
      <c r="H576" s="470">
        <v>1E-8</v>
      </c>
      <c r="I576" s="471">
        <v>1E-8</v>
      </c>
      <c r="J576" s="485" t="s">
        <v>421</v>
      </c>
      <c r="K576" s="472" t="s">
        <v>651</v>
      </c>
      <c r="L576" s="473" t="s">
        <v>2474</v>
      </c>
      <c r="M576" s="473" t="s">
        <v>1835</v>
      </c>
      <c r="N576" s="476" t="s">
        <v>3096</v>
      </c>
      <c r="O576" s="486" t="s">
        <v>3096</v>
      </c>
    </row>
    <row r="577" spans="1:15" s="475" customFormat="1" ht="12" hidden="1">
      <c r="A577" s="465">
        <v>10131000023353</v>
      </c>
      <c r="B577" s="476" t="s">
        <v>573</v>
      </c>
      <c r="C577" s="476" t="s">
        <v>3098</v>
      </c>
      <c r="D577" s="467" t="s">
        <v>571</v>
      </c>
      <c r="E577" s="472" t="s">
        <v>2795</v>
      </c>
      <c r="F577" s="477">
        <v>0</v>
      </c>
      <c r="G577" s="469" t="s">
        <v>2472</v>
      </c>
      <c r="H577" s="470">
        <v>1E-8</v>
      </c>
      <c r="I577" s="471">
        <v>2.0248266666666662E-11</v>
      </c>
      <c r="J577" s="485" t="s">
        <v>421</v>
      </c>
      <c r="K577" s="472" t="s">
        <v>724</v>
      </c>
      <c r="L577" s="473" t="s">
        <v>570</v>
      </c>
      <c r="M577" s="473" t="s">
        <v>571</v>
      </c>
      <c r="N577" s="473" t="s">
        <v>573</v>
      </c>
      <c r="O577" s="474" t="s">
        <v>573</v>
      </c>
    </row>
    <row r="578" spans="1:15" s="475" customFormat="1" ht="12" hidden="1">
      <c r="A578" s="465">
        <v>10131000023394</v>
      </c>
      <c r="B578" s="476" t="s">
        <v>573</v>
      </c>
      <c r="C578" s="476" t="s">
        <v>3099</v>
      </c>
      <c r="D578" s="467" t="s">
        <v>571</v>
      </c>
      <c r="E578" s="472" t="s">
        <v>2715</v>
      </c>
      <c r="F578" s="477">
        <v>0</v>
      </c>
      <c r="G578" s="469" t="s">
        <v>2472</v>
      </c>
      <c r="H578" s="470">
        <v>1E-8</v>
      </c>
      <c r="I578" s="471">
        <v>1.3280192891666669E-8</v>
      </c>
      <c r="J578" s="485" t="s">
        <v>421</v>
      </c>
      <c r="K578" s="472" t="s">
        <v>743</v>
      </c>
      <c r="L578" s="473" t="s">
        <v>570</v>
      </c>
      <c r="M578" s="473" t="s">
        <v>571</v>
      </c>
      <c r="N578" s="473" t="s">
        <v>573</v>
      </c>
      <c r="O578" s="474" t="s">
        <v>573</v>
      </c>
    </row>
    <row r="579" spans="1:15" s="475" customFormat="1" ht="12" hidden="1">
      <c r="A579" s="465">
        <v>10131000023362</v>
      </c>
      <c r="B579" s="476" t="s">
        <v>573</v>
      </c>
      <c r="C579" s="476" t="s">
        <v>3100</v>
      </c>
      <c r="D579" s="467" t="s">
        <v>571</v>
      </c>
      <c r="E579" s="472" t="s">
        <v>2823</v>
      </c>
      <c r="F579" s="477">
        <v>17.775667564799999</v>
      </c>
      <c r="G579" s="469" t="s">
        <v>2472</v>
      </c>
      <c r="H579" s="470">
        <v>22349.77</v>
      </c>
      <c r="I579" s="471">
        <v>204.23590459685838</v>
      </c>
      <c r="J579" s="485" t="s">
        <v>421</v>
      </c>
      <c r="K579" s="472" t="s">
        <v>619</v>
      </c>
      <c r="L579" s="473" t="s">
        <v>570</v>
      </c>
      <c r="M579" s="473" t="s">
        <v>571</v>
      </c>
      <c r="N579" s="473" t="s">
        <v>573</v>
      </c>
      <c r="O579" s="474" t="s">
        <v>573</v>
      </c>
    </row>
    <row r="580" spans="1:15" s="475" customFormat="1" ht="12" hidden="1">
      <c r="A580" s="465">
        <v>10131000023368</v>
      </c>
      <c r="B580" s="476" t="s">
        <v>573</v>
      </c>
      <c r="C580" s="476" t="s">
        <v>3101</v>
      </c>
      <c r="D580" s="467" t="s">
        <v>571</v>
      </c>
      <c r="E580" s="472" t="s">
        <v>2718</v>
      </c>
      <c r="F580" s="477">
        <v>18.141215199200001</v>
      </c>
      <c r="G580" s="469" t="s">
        <v>2472</v>
      </c>
      <c r="H580" s="470">
        <v>4319.47</v>
      </c>
      <c r="I580" s="471">
        <v>125.89483707344169</v>
      </c>
      <c r="J580" s="485" t="s">
        <v>421</v>
      </c>
      <c r="K580" s="472" t="s">
        <v>625</v>
      </c>
      <c r="L580" s="473" t="s">
        <v>570</v>
      </c>
      <c r="M580" s="473" t="s">
        <v>571</v>
      </c>
      <c r="N580" s="473" t="s">
        <v>573</v>
      </c>
      <c r="O580" s="474" t="s">
        <v>573</v>
      </c>
    </row>
    <row r="581" spans="1:15" s="475" customFormat="1" ht="12" hidden="1">
      <c r="A581" s="465">
        <v>10131000023364</v>
      </c>
      <c r="B581" s="476" t="s">
        <v>573</v>
      </c>
      <c r="C581" s="476" t="s">
        <v>3102</v>
      </c>
      <c r="D581" s="467" t="s">
        <v>571</v>
      </c>
      <c r="E581" s="472" t="s">
        <v>2519</v>
      </c>
      <c r="F581" s="477">
        <v>22.243939099200002</v>
      </c>
      <c r="G581" s="469" t="s">
        <v>2472</v>
      </c>
      <c r="H581" s="470">
        <v>622.82000000000005</v>
      </c>
      <c r="I581" s="471">
        <v>192.11938579900001</v>
      </c>
      <c r="J581" s="485" t="s">
        <v>421</v>
      </c>
      <c r="K581" s="472" t="s">
        <v>621</v>
      </c>
      <c r="L581" s="473" t="s">
        <v>570</v>
      </c>
      <c r="M581" s="473" t="s">
        <v>571</v>
      </c>
      <c r="N581" s="473" t="s">
        <v>573</v>
      </c>
      <c r="O581" s="474" t="s">
        <v>573</v>
      </c>
    </row>
    <row r="582" spans="1:15" s="475" customFormat="1" ht="12" hidden="1">
      <c r="A582" s="465">
        <v>10131000021714</v>
      </c>
      <c r="B582" s="476" t="s">
        <v>573</v>
      </c>
      <c r="C582" s="476" t="s">
        <v>3103</v>
      </c>
      <c r="D582" s="467" t="s">
        <v>571</v>
      </c>
      <c r="E582" s="472" t="s">
        <v>2491</v>
      </c>
      <c r="F582" s="477">
        <v>23.78</v>
      </c>
      <c r="G582" s="469" t="s">
        <v>2472</v>
      </c>
      <c r="H582" s="487">
        <v>59.56</v>
      </c>
      <c r="I582" s="471">
        <v>59.56</v>
      </c>
      <c r="J582" s="488" t="s">
        <v>2492</v>
      </c>
      <c r="K582" s="472" t="s">
        <v>660</v>
      </c>
      <c r="L582" s="473" t="s">
        <v>570</v>
      </c>
      <c r="M582" s="473" t="s">
        <v>571</v>
      </c>
      <c r="N582" s="473" t="s">
        <v>573</v>
      </c>
      <c r="O582" s="474" t="s">
        <v>573</v>
      </c>
    </row>
    <row r="583" spans="1:15" s="475" customFormat="1" ht="12" hidden="1">
      <c r="A583" s="465">
        <v>10131000021718</v>
      </c>
      <c r="B583" s="476" t="s">
        <v>573</v>
      </c>
      <c r="C583" s="476" t="s">
        <v>3104</v>
      </c>
      <c r="D583" s="467" t="s">
        <v>571</v>
      </c>
      <c r="E583" s="472" t="s">
        <v>2491</v>
      </c>
      <c r="F583" s="477">
        <v>23.92</v>
      </c>
      <c r="G583" s="469" t="s">
        <v>2472</v>
      </c>
      <c r="H583" s="487">
        <v>45.7</v>
      </c>
      <c r="I583" s="471">
        <v>45.7</v>
      </c>
      <c r="J583" s="488" t="s">
        <v>2492</v>
      </c>
      <c r="K583" s="472" t="s">
        <v>668</v>
      </c>
      <c r="L583" s="473" t="s">
        <v>570</v>
      </c>
      <c r="M583" s="473" t="s">
        <v>571</v>
      </c>
      <c r="N583" s="473" t="s">
        <v>573</v>
      </c>
      <c r="O583" s="474" t="s">
        <v>573</v>
      </c>
    </row>
    <row r="584" spans="1:15" s="475" customFormat="1" ht="12" hidden="1">
      <c r="A584" s="465">
        <v>10131000057333</v>
      </c>
      <c r="B584" s="476" t="s">
        <v>573</v>
      </c>
      <c r="C584" s="476" t="s">
        <v>3105</v>
      </c>
      <c r="D584" s="467" t="s">
        <v>571</v>
      </c>
      <c r="E584" s="472" t="s">
        <v>2491</v>
      </c>
      <c r="F584" s="477">
        <v>25.3</v>
      </c>
      <c r="G584" s="469" t="s">
        <v>2472</v>
      </c>
      <c r="H584" s="495">
        <v>97.79</v>
      </c>
      <c r="I584" s="471">
        <v>97.79</v>
      </c>
      <c r="J584" s="488" t="s">
        <v>2492</v>
      </c>
      <c r="K584" s="472" t="s">
        <v>678</v>
      </c>
      <c r="L584" s="473" t="s">
        <v>570</v>
      </c>
      <c r="M584" s="473" t="s">
        <v>571</v>
      </c>
      <c r="N584" s="473" t="s">
        <v>573</v>
      </c>
      <c r="O584" s="474" t="s">
        <v>573</v>
      </c>
    </row>
    <row r="585" spans="1:15" s="475" customFormat="1" ht="12" hidden="1">
      <c r="A585" s="465">
        <v>10131000021722</v>
      </c>
      <c r="B585" s="476" t="s">
        <v>573</v>
      </c>
      <c r="C585" s="476" t="s">
        <v>3106</v>
      </c>
      <c r="D585" s="467" t="s">
        <v>571</v>
      </c>
      <c r="E585" s="472" t="s">
        <v>2491</v>
      </c>
      <c r="F585" s="477">
        <v>25.5</v>
      </c>
      <c r="G585" s="469" t="s">
        <v>2472</v>
      </c>
      <c r="H585" s="487">
        <v>70.83</v>
      </c>
      <c r="I585" s="471">
        <v>70.83</v>
      </c>
      <c r="J585" s="488" t="s">
        <v>2492</v>
      </c>
      <c r="K585" s="472" t="s">
        <v>674</v>
      </c>
      <c r="L585" s="473" t="s">
        <v>570</v>
      </c>
      <c r="M585" s="473" t="s">
        <v>571</v>
      </c>
      <c r="N585" s="473" t="s">
        <v>573</v>
      </c>
      <c r="O585" s="474" t="s">
        <v>573</v>
      </c>
    </row>
    <row r="586" spans="1:15" s="475" customFormat="1" ht="12" hidden="1">
      <c r="A586" s="465">
        <v>10131000021721</v>
      </c>
      <c r="B586" s="476" t="s">
        <v>573</v>
      </c>
      <c r="C586" s="476" t="s">
        <v>3107</v>
      </c>
      <c r="D586" s="467" t="s">
        <v>571</v>
      </c>
      <c r="E586" s="472" t="s">
        <v>2491</v>
      </c>
      <c r="F586" s="477">
        <v>25.53</v>
      </c>
      <c r="G586" s="469" t="s">
        <v>2472</v>
      </c>
      <c r="H586" s="487">
        <v>68.13</v>
      </c>
      <c r="I586" s="471">
        <v>68.13</v>
      </c>
      <c r="J586" s="488" t="s">
        <v>2492</v>
      </c>
      <c r="K586" s="472" t="s">
        <v>676</v>
      </c>
      <c r="L586" s="473" t="s">
        <v>570</v>
      </c>
      <c r="M586" s="473" t="s">
        <v>571</v>
      </c>
      <c r="N586" s="473" t="s">
        <v>573</v>
      </c>
      <c r="O586" s="474" t="s">
        <v>573</v>
      </c>
    </row>
    <row r="587" spans="1:15" s="475" customFormat="1" ht="12" hidden="1">
      <c r="A587" s="465">
        <v>10131000021720</v>
      </c>
      <c r="B587" s="476" t="s">
        <v>573</v>
      </c>
      <c r="C587" s="476" t="s">
        <v>3108</v>
      </c>
      <c r="D587" s="467" t="s">
        <v>571</v>
      </c>
      <c r="E587" s="472" t="s">
        <v>2491</v>
      </c>
      <c r="F587" s="477">
        <v>25.6</v>
      </c>
      <c r="G587" s="469" t="s">
        <v>2472</v>
      </c>
      <c r="H587" s="487">
        <v>57.04</v>
      </c>
      <c r="I587" s="471">
        <v>57.04</v>
      </c>
      <c r="J587" s="488" t="s">
        <v>2492</v>
      </c>
      <c r="K587" s="472" t="s">
        <v>672</v>
      </c>
      <c r="L587" s="473" t="s">
        <v>570</v>
      </c>
      <c r="M587" s="473" t="s">
        <v>571</v>
      </c>
      <c r="N587" s="473" t="s">
        <v>573</v>
      </c>
      <c r="O587" s="474" t="s">
        <v>573</v>
      </c>
    </row>
    <row r="588" spans="1:15" s="475" customFormat="1" ht="12" hidden="1">
      <c r="A588" s="465">
        <v>10131000021712</v>
      </c>
      <c r="B588" s="476" t="s">
        <v>573</v>
      </c>
      <c r="C588" s="476" t="s">
        <v>3109</v>
      </c>
      <c r="D588" s="467" t="s">
        <v>571</v>
      </c>
      <c r="E588" s="472" t="s">
        <v>2491</v>
      </c>
      <c r="F588" s="477">
        <v>25.77</v>
      </c>
      <c r="G588" s="469" t="s">
        <v>2472</v>
      </c>
      <c r="H588" s="487">
        <v>120.31</v>
      </c>
      <c r="I588" s="471">
        <v>120.31</v>
      </c>
      <c r="J588" s="488" t="s">
        <v>2492</v>
      </c>
      <c r="K588" s="472" t="s">
        <v>656</v>
      </c>
      <c r="L588" s="473" t="s">
        <v>570</v>
      </c>
      <c r="M588" s="473" t="s">
        <v>571</v>
      </c>
      <c r="N588" s="473" t="s">
        <v>573</v>
      </c>
      <c r="O588" s="474" t="s">
        <v>573</v>
      </c>
    </row>
    <row r="589" spans="1:15" s="475" customFormat="1" ht="12" hidden="1">
      <c r="A589" s="465">
        <v>10131000021719</v>
      </c>
      <c r="B589" s="476" t="s">
        <v>573</v>
      </c>
      <c r="C589" s="476" t="s">
        <v>3110</v>
      </c>
      <c r="D589" s="467" t="s">
        <v>571</v>
      </c>
      <c r="E589" s="472" t="s">
        <v>2491</v>
      </c>
      <c r="F589" s="477">
        <v>26.18</v>
      </c>
      <c r="G589" s="469" t="s">
        <v>2472</v>
      </c>
      <c r="H589" s="487">
        <v>33.979999999999997</v>
      </c>
      <c r="I589" s="471">
        <v>33.979999999999997</v>
      </c>
      <c r="J589" s="488" t="s">
        <v>2492</v>
      </c>
      <c r="K589" s="472" t="s">
        <v>670</v>
      </c>
      <c r="L589" s="473" t="s">
        <v>570</v>
      </c>
      <c r="M589" s="473" t="s">
        <v>571</v>
      </c>
      <c r="N589" s="473" t="s">
        <v>573</v>
      </c>
      <c r="O589" s="474" t="s">
        <v>573</v>
      </c>
    </row>
    <row r="590" spans="1:15" s="475" customFormat="1" ht="12" hidden="1">
      <c r="A590" s="465">
        <v>10131000021717</v>
      </c>
      <c r="B590" s="476" t="s">
        <v>573</v>
      </c>
      <c r="C590" s="476" t="s">
        <v>3111</v>
      </c>
      <c r="D590" s="467" t="s">
        <v>571</v>
      </c>
      <c r="E590" s="472" t="s">
        <v>2491</v>
      </c>
      <c r="F590" s="477">
        <v>26.46</v>
      </c>
      <c r="G590" s="469" t="s">
        <v>2472</v>
      </c>
      <c r="H590" s="487">
        <v>150.86000000000001</v>
      </c>
      <c r="I590" s="471">
        <v>150.86000000000001</v>
      </c>
      <c r="J590" s="488" t="s">
        <v>2492</v>
      </c>
      <c r="K590" s="472" t="s">
        <v>666</v>
      </c>
      <c r="L590" s="473" t="s">
        <v>570</v>
      </c>
      <c r="M590" s="473" t="s">
        <v>571</v>
      </c>
      <c r="N590" s="473" t="s">
        <v>573</v>
      </c>
      <c r="O590" s="474" t="s">
        <v>573</v>
      </c>
    </row>
    <row r="591" spans="1:15" s="475" customFormat="1" ht="12" hidden="1">
      <c r="A591" s="465">
        <v>10131000021713</v>
      </c>
      <c r="B591" s="476" t="s">
        <v>573</v>
      </c>
      <c r="C591" s="476" t="s">
        <v>3112</v>
      </c>
      <c r="D591" s="467" t="s">
        <v>571</v>
      </c>
      <c r="E591" s="472" t="s">
        <v>2491</v>
      </c>
      <c r="F591" s="477">
        <v>27.15</v>
      </c>
      <c r="G591" s="469" t="s">
        <v>2472</v>
      </c>
      <c r="H591" s="487">
        <v>52.57</v>
      </c>
      <c r="I591" s="471">
        <v>52.57</v>
      </c>
      <c r="J591" s="488" t="s">
        <v>2492</v>
      </c>
      <c r="K591" s="472" t="s">
        <v>658</v>
      </c>
      <c r="L591" s="473" t="s">
        <v>570</v>
      </c>
      <c r="M591" s="473" t="s">
        <v>571</v>
      </c>
      <c r="N591" s="473" t="s">
        <v>573</v>
      </c>
      <c r="O591" s="474" t="s">
        <v>573</v>
      </c>
    </row>
    <row r="592" spans="1:15" s="475" customFormat="1" ht="12" hidden="1">
      <c r="A592" s="465">
        <v>10131000023354</v>
      </c>
      <c r="B592" s="476" t="s">
        <v>573</v>
      </c>
      <c r="C592" s="476" t="s">
        <v>3113</v>
      </c>
      <c r="D592" s="467" t="s">
        <v>571</v>
      </c>
      <c r="E592" s="472" t="s">
        <v>2706</v>
      </c>
      <c r="F592" s="477">
        <v>27.646285928799998</v>
      </c>
      <c r="G592" s="469" t="s">
        <v>2472</v>
      </c>
      <c r="H592" s="470">
        <v>35159.11</v>
      </c>
      <c r="I592" s="471">
        <v>154.06953466140828</v>
      </c>
      <c r="J592" s="485" t="s">
        <v>421</v>
      </c>
      <c r="K592" s="472" t="s">
        <v>595</v>
      </c>
      <c r="L592" s="473" t="s">
        <v>570</v>
      </c>
      <c r="M592" s="473" t="s">
        <v>571</v>
      </c>
      <c r="N592" s="473" t="s">
        <v>573</v>
      </c>
      <c r="O592" s="474" t="s">
        <v>573</v>
      </c>
    </row>
    <row r="593" spans="1:15" s="475" customFormat="1" ht="12" hidden="1">
      <c r="A593" s="465">
        <v>10131000021716</v>
      </c>
      <c r="B593" s="476" t="s">
        <v>573</v>
      </c>
      <c r="C593" s="476" t="s">
        <v>3114</v>
      </c>
      <c r="D593" s="467" t="s">
        <v>571</v>
      </c>
      <c r="E593" s="472" t="s">
        <v>2491</v>
      </c>
      <c r="F593" s="477">
        <v>27.9</v>
      </c>
      <c r="G593" s="469" t="s">
        <v>2472</v>
      </c>
      <c r="H593" s="487">
        <v>72.180000000000007</v>
      </c>
      <c r="I593" s="471">
        <v>72.180000000000007</v>
      </c>
      <c r="J593" s="488" t="s">
        <v>2492</v>
      </c>
      <c r="K593" s="472" t="s">
        <v>662</v>
      </c>
      <c r="L593" s="473" t="s">
        <v>570</v>
      </c>
      <c r="M593" s="473" t="s">
        <v>571</v>
      </c>
      <c r="N593" s="473" t="s">
        <v>573</v>
      </c>
      <c r="O593" s="474" t="s">
        <v>573</v>
      </c>
    </row>
    <row r="594" spans="1:15" s="475" customFormat="1" ht="12" hidden="1">
      <c r="A594" s="465">
        <v>10131000023372</v>
      </c>
      <c r="B594" s="476" t="s">
        <v>573</v>
      </c>
      <c r="C594" s="476" t="s">
        <v>3115</v>
      </c>
      <c r="D594" s="467" t="s">
        <v>571</v>
      </c>
      <c r="E594" s="472" t="s">
        <v>2715</v>
      </c>
      <c r="F594" s="477">
        <v>28.222448000000004</v>
      </c>
      <c r="G594" s="469" t="s">
        <v>2472</v>
      </c>
      <c r="H594" s="470">
        <v>269.39</v>
      </c>
      <c r="I594" s="471">
        <v>357.75511630860836</v>
      </c>
      <c r="J594" s="485" t="s">
        <v>421</v>
      </c>
      <c r="K594" s="472" t="s">
        <v>629</v>
      </c>
      <c r="L594" s="473" t="s">
        <v>570</v>
      </c>
      <c r="M594" s="473" t="s">
        <v>571</v>
      </c>
      <c r="N594" s="473" t="s">
        <v>573</v>
      </c>
      <c r="O594" s="474" t="s">
        <v>573</v>
      </c>
    </row>
    <row r="595" spans="1:15" s="475" customFormat="1" ht="12" hidden="1">
      <c r="A595" s="465">
        <v>10131000021715</v>
      </c>
      <c r="B595" s="476" t="s">
        <v>573</v>
      </c>
      <c r="C595" s="476" t="s">
        <v>3116</v>
      </c>
      <c r="D595" s="467" t="s">
        <v>571</v>
      </c>
      <c r="E595" s="472" t="s">
        <v>2491</v>
      </c>
      <c r="F595" s="477">
        <v>29.51</v>
      </c>
      <c r="G595" s="469" t="s">
        <v>2472</v>
      </c>
      <c r="H595" s="487">
        <v>50.18</v>
      </c>
      <c r="I595" s="471">
        <v>50.18</v>
      </c>
      <c r="J595" s="488" t="s">
        <v>2492</v>
      </c>
      <c r="K595" s="472" t="s">
        <v>664</v>
      </c>
      <c r="L595" s="473" t="s">
        <v>570</v>
      </c>
      <c r="M595" s="473" t="s">
        <v>571</v>
      </c>
      <c r="N595" s="473" t="s">
        <v>573</v>
      </c>
      <c r="O595" s="474" t="s">
        <v>573</v>
      </c>
    </row>
    <row r="596" spans="1:15" s="475" customFormat="1" ht="12" hidden="1">
      <c r="A596" s="465">
        <v>10131000023377</v>
      </c>
      <c r="B596" s="476" t="s">
        <v>573</v>
      </c>
      <c r="C596" s="476" t="s">
        <v>3117</v>
      </c>
      <c r="D596" s="467" t="s">
        <v>571</v>
      </c>
      <c r="E596" s="472" t="s">
        <v>2840</v>
      </c>
      <c r="F596" s="477">
        <v>32.680885627599999</v>
      </c>
      <c r="G596" s="469" t="s">
        <v>2472</v>
      </c>
      <c r="H596" s="470">
        <v>1001.62</v>
      </c>
      <c r="I596" s="471">
        <v>485.32465180994996</v>
      </c>
      <c r="J596" s="485" t="s">
        <v>421</v>
      </c>
      <c r="K596" s="472" t="s">
        <v>643</v>
      </c>
      <c r="L596" s="473" t="s">
        <v>570</v>
      </c>
      <c r="M596" s="473" t="s">
        <v>571</v>
      </c>
      <c r="N596" s="473" t="s">
        <v>573</v>
      </c>
      <c r="O596" s="474" t="s">
        <v>573</v>
      </c>
    </row>
    <row r="597" spans="1:15" s="475" customFormat="1" ht="12" hidden="1">
      <c r="A597" s="465">
        <v>10131000023366</v>
      </c>
      <c r="B597" s="476" t="s">
        <v>573</v>
      </c>
      <c r="C597" s="476" t="s">
        <v>3118</v>
      </c>
      <c r="D597" s="467" t="s">
        <v>571</v>
      </c>
      <c r="E597" s="472" t="s">
        <v>2829</v>
      </c>
      <c r="F597" s="477">
        <v>33.061224545999998</v>
      </c>
      <c r="G597" s="469" t="s">
        <v>2472</v>
      </c>
      <c r="H597" s="470">
        <v>875.14</v>
      </c>
      <c r="I597" s="471">
        <v>255.46255861641663</v>
      </c>
      <c r="J597" s="485" t="s">
        <v>421</v>
      </c>
      <c r="K597" s="472" t="s">
        <v>623</v>
      </c>
      <c r="L597" s="473" t="s">
        <v>570</v>
      </c>
      <c r="M597" s="473" t="s">
        <v>571</v>
      </c>
      <c r="N597" s="473" t="s">
        <v>573</v>
      </c>
      <c r="O597" s="474" t="s">
        <v>573</v>
      </c>
    </row>
    <row r="598" spans="1:15" s="475" customFormat="1" ht="12" hidden="1">
      <c r="A598" s="465">
        <v>10131000023351</v>
      </c>
      <c r="B598" s="476" t="s">
        <v>573</v>
      </c>
      <c r="C598" s="476" t="s">
        <v>3119</v>
      </c>
      <c r="D598" s="467" t="s">
        <v>571</v>
      </c>
      <c r="E598" s="472" t="s">
        <v>2801</v>
      </c>
      <c r="F598" s="477">
        <v>37.040996072900001</v>
      </c>
      <c r="G598" s="469" t="s">
        <v>2472</v>
      </c>
      <c r="H598" s="470">
        <v>3297.34</v>
      </c>
      <c r="I598" s="471">
        <v>169.08291847276664</v>
      </c>
      <c r="J598" s="485" t="s">
        <v>421</v>
      </c>
      <c r="K598" s="472" t="s">
        <v>587</v>
      </c>
      <c r="L598" s="473" t="s">
        <v>570</v>
      </c>
      <c r="M598" s="473" t="s">
        <v>571</v>
      </c>
      <c r="N598" s="473" t="s">
        <v>573</v>
      </c>
      <c r="O598" s="474" t="s">
        <v>573</v>
      </c>
    </row>
    <row r="599" spans="1:15" s="475" customFormat="1" ht="12" hidden="1">
      <c r="A599" s="465">
        <v>10131000023340</v>
      </c>
      <c r="B599" s="489" t="s">
        <v>573</v>
      </c>
      <c r="C599" s="489" t="s">
        <v>3120</v>
      </c>
      <c r="D599" s="467" t="s">
        <v>571</v>
      </c>
      <c r="E599" s="478" t="s">
        <v>2514</v>
      </c>
      <c r="F599" s="477">
        <v>50.14040112</v>
      </c>
      <c r="G599" s="469" t="s">
        <v>2472</v>
      </c>
      <c r="H599" s="481">
        <v>24354</v>
      </c>
      <c r="I599" s="482">
        <v>248.62</v>
      </c>
      <c r="J599" s="483" t="s">
        <v>2515</v>
      </c>
      <c r="K599" s="483" t="s">
        <v>2515</v>
      </c>
      <c r="L599" s="473" t="s">
        <v>570</v>
      </c>
      <c r="M599" s="473" t="s">
        <v>571</v>
      </c>
      <c r="N599" s="473" t="s">
        <v>573</v>
      </c>
      <c r="O599" s="474" t="s">
        <v>573</v>
      </c>
    </row>
    <row r="600" spans="1:15" s="475" customFormat="1" ht="12" hidden="1">
      <c r="A600" s="465">
        <v>10131000052477</v>
      </c>
      <c r="B600" s="489" t="s">
        <v>573</v>
      </c>
      <c r="C600" s="489" t="s">
        <v>3121</v>
      </c>
      <c r="D600" s="467" t="s">
        <v>571</v>
      </c>
      <c r="E600" s="478" t="s">
        <v>2514</v>
      </c>
      <c r="F600" s="477">
        <v>50.14040112</v>
      </c>
      <c r="G600" s="469" t="s">
        <v>2472</v>
      </c>
      <c r="H600" s="481">
        <v>24354</v>
      </c>
      <c r="I600" s="482">
        <v>248.62</v>
      </c>
      <c r="J600" s="483" t="s">
        <v>2515</v>
      </c>
      <c r="K600" s="483" t="s">
        <v>2515</v>
      </c>
      <c r="L600" s="473" t="s">
        <v>570</v>
      </c>
      <c r="M600" s="473" t="s">
        <v>571</v>
      </c>
      <c r="N600" s="473" t="s">
        <v>573</v>
      </c>
      <c r="O600" s="474" t="s">
        <v>573</v>
      </c>
    </row>
    <row r="601" spans="1:15" s="475" customFormat="1" ht="12" hidden="1">
      <c r="A601" s="465">
        <v>10131000023383</v>
      </c>
      <c r="B601" s="476" t="s">
        <v>573</v>
      </c>
      <c r="C601" s="476" t="s">
        <v>3122</v>
      </c>
      <c r="D601" s="467" t="s">
        <v>571</v>
      </c>
      <c r="E601" s="472" t="s">
        <v>2541</v>
      </c>
      <c r="F601" s="477">
        <v>54.863100000000003</v>
      </c>
      <c r="G601" s="469" t="s">
        <v>2472</v>
      </c>
      <c r="H601" s="470">
        <v>124.9</v>
      </c>
      <c r="I601" s="471">
        <v>191.4065228085</v>
      </c>
      <c r="J601" s="485" t="s">
        <v>421</v>
      </c>
      <c r="K601" s="472" t="s">
        <v>651</v>
      </c>
      <c r="L601" s="473" t="s">
        <v>570</v>
      </c>
      <c r="M601" s="473" t="s">
        <v>571</v>
      </c>
      <c r="N601" s="473" t="s">
        <v>573</v>
      </c>
      <c r="O601" s="474" t="s">
        <v>573</v>
      </c>
    </row>
    <row r="602" spans="1:15" s="475" customFormat="1" ht="12" hidden="1">
      <c r="A602" s="465">
        <v>10131000023386</v>
      </c>
      <c r="B602" s="476" t="s">
        <v>573</v>
      </c>
      <c r="C602" s="476" t="s">
        <v>3122</v>
      </c>
      <c r="D602" s="467" t="s">
        <v>571</v>
      </c>
      <c r="E602" s="472" t="s">
        <v>2541</v>
      </c>
      <c r="F602" s="477">
        <v>54.863100000000003</v>
      </c>
      <c r="G602" s="469" t="s">
        <v>2472</v>
      </c>
      <c r="H602" s="470">
        <v>124.9</v>
      </c>
      <c r="I602" s="471">
        <v>191.4065228085</v>
      </c>
      <c r="J602" s="485" t="s">
        <v>421</v>
      </c>
      <c r="K602" s="472" t="s">
        <v>651</v>
      </c>
      <c r="L602" s="473" t="s">
        <v>570</v>
      </c>
      <c r="M602" s="473" t="s">
        <v>571</v>
      </c>
      <c r="N602" s="473" t="s">
        <v>573</v>
      </c>
      <c r="O602" s="474" t="s">
        <v>573</v>
      </c>
    </row>
    <row r="603" spans="1:15" s="475" customFormat="1" ht="12" hidden="1">
      <c r="A603" s="465">
        <v>10131000039375</v>
      </c>
      <c r="B603" s="476" t="s">
        <v>573</v>
      </c>
      <c r="C603" s="476" t="s">
        <v>3122</v>
      </c>
      <c r="D603" s="467" t="s">
        <v>571</v>
      </c>
      <c r="E603" s="472" t="s">
        <v>2491</v>
      </c>
      <c r="F603" s="477">
        <v>55.12</v>
      </c>
      <c r="G603" s="469" t="s">
        <v>2472</v>
      </c>
      <c r="H603" s="470">
        <v>191.4</v>
      </c>
      <c r="I603" s="471">
        <v>191.4</v>
      </c>
      <c r="J603" s="485" t="s">
        <v>421</v>
      </c>
      <c r="K603" s="472" t="s">
        <v>651</v>
      </c>
      <c r="L603" s="473" t="s">
        <v>570</v>
      </c>
      <c r="M603" s="473" t="s">
        <v>571</v>
      </c>
      <c r="N603" s="473" t="s">
        <v>573</v>
      </c>
      <c r="O603" s="474" t="s">
        <v>573</v>
      </c>
    </row>
    <row r="604" spans="1:15" s="475" customFormat="1" ht="12" hidden="1">
      <c r="A604" s="465">
        <v>10131000023346</v>
      </c>
      <c r="B604" s="476" t="s">
        <v>573</v>
      </c>
      <c r="C604" s="476" t="s">
        <v>3123</v>
      </c>
      <c r="D604" s="467" t="s">
        <v>571</v>
      </c>
      <c r="E604" s="472" t="s">
        <v>2847</v>
      </c>
      <c r="F604" s="477">
        <v>59.336986595200003</v>
      </c>
      <c r="G604" s="469" t="s">
        <v>2472</v>
      </c>
      <c r="H604" s="470">
        <v>339.76450010000002</v>
      </c>
      <c r="I604" s="471">
        <v>230.2977186994475</v>
      </c>
      <c r="J604" s="485" t="s">
        <v>421</v>
      </c>
      <c r="K604" s="472" t="s">
        <v>581</v>
      </c>
      <c r="L604" s="473" t="s">
        <v>570</v>
      </c>
      <c r="M604" s="473" t="s">
        <v>571</v>
      </c>
      <c r="N604" s="473" t="s">
        <v>573</v>
      </c>
      <c r="O604" s="474" t="s">
        <v>573</v>
      </c>
    </row>
    <row r="605" spans="1:15" s="475" customFormat="1" ht="12" hidden="1">
      <c r="A605" s="465">
        <v>10131000023378</v>
      </c>
      <c r="B605" s="476" t="s">
        <v>573</v>
      </c>
      <c r="C605" s="476" t="s">
        <v>3124</v>
      </c>
      <c r="D605" s="467" t="s">
        <v>571</v>
      </c>
      <c r="E605" s="472" t="s">
        <v>2712</v>
      </c>
      <c r="F605" s="477">
        <v>60.381159677800007</v>
      </c>
      <c r="G605" s="469" t="s">
        <v>2472</v>
      </c>
      <c r="H605" s="470">
        <v>1062.56</v>
      </c>
      <c r="I605" s="471">
        <v>289.28940854560005</v>
      </c>
      <c r="J605" s="485" t="s">
        <v>421</v>
      </c>
      <c r="K605" s="472" t="s">
        <v>2713</v>
      </c>
      <c r="L605" s="473" t="s">
        <v>570</v>
      </c>
      <c r="M605" s="473" t="s">
        <v>571</v>
      </c>
      <c r="N605" s="473" t="s">
        <v>573</v>
      </c>
      <c r="O605" s="474" t="s">
        <v>573</v>
      </c>
    </row>
    <row r="606" spans="1:15" s="475" customFormat="1" ht="12" hidden="1">
      <c r="A606" s="465">
        <v>10131000033957</v>
      </c>
      <c r="B606" s="466" t="s">
        <v>573</v>
      </c>
      <c r="C606" s="466" t="s">
        <v>3125</v>
      </c>
      <c r="D606" s="467" t="s">
        <v>571</v>
      </c>
      <c r="E606" s="468" t="s">
        <v>2619</v>
      </c>
      <c r="F606" s="477">
        <v>61.538461460000001</v>
      </c>
      <c r="G606" s="469" t="s">
        <v>2472</v>
      </c>
      <c r="H606" s="470">
        <v>170.4</v>
      </c>
      <c r="I606" s="471">
        <v>170.4</v>
      </c>
      <c r="J606" s="472" t="s">
        <v>423</v>
      </c>
      <c r="K606" s="472" t="s">
        <v>2620</v>
      </c>
      <c r="L606" s="473" t="s">
        <v>570</v>
      </c>
      <c r="M606" s="473" t="s">
        <v>571</v>
      </c>
      <c r="N606" s="473" t="s">
        <v>573</v>
      </c>
      <c r="O606" s="474" t="s">
        <v>573</v>
      </c>
    </row>
    <row r="607" spans="1:15" s="475" customFormat="1" ht="12" hidden="1">
      <c r="A607" s="465">
        <v>10131000033953</v>
      </c>
      <c r="B607" s="466" t="s">
        <v>573</v>
      </c>
      <c r="C607" s="466" t="s">
        <v>3126</v>
      </c>
      <c r="D607" s="467" t="s">
        <v>571</v>
      </c>
      <c r="E607" s="468" t="s">
        <v>2491</v>
      </c>
      <c r="F607" s="477">
        <v>62</v>
      </c>
      <c r="G607" s="469" t="s">
        <v>2472</v>
      </c>
      <c r="H607" s="470">
        <v>170.4</v>
      </c>
      <c r="I607" s="471">
        <v>170.4</v>
      </c>
      <c r="J607" s="472" t="s">
        <v>423</v>
      </c>
      <c r="K607" s="472" t="s">
        <v>534</v>
      </c>
      <c r="L607" s="473" t="s">
        <v>570</v>
      </c>
      <c r="M607" s="473" t="s">
        <v>571</v>
      </c>
      <c r="N607" s="473" t="s">
        <v>573</v>
      </c>
      <c r="O607" s="474" t="s">
        <v>573</v>
      </c>
    </row>
    <row r="608" spans="1:15" s="475" customFormat="1" ht="12" hidden="1">
      <c r="A608" s="465">
        <v>10131000023352</v>
      </c>
      <c r="B608" s="476" t="s">
        <v>573</v>
      </c>
      <c r="C608" s="476" t="s">
        <v>3127</v>
      </c>
      <c r="D608" s="467" t="s">
        <v>571</v>
      </c>
      <c r="E608" s="472" t="s">
        <v>2704</v>
      </c>
      <c r="F608" s="477">
        <v>65.727489718800001</v>
      </c>
      <c r="G608" s="469" t="s">
        <v>2472</v>
      </c>
      <c r="H608" s="470">
        <v>2047.76</v>
      </c>
      <c r="I608" s="471">
        <v>256.24584009786662</v>
      </c>
      <c r="J608" s="485" t="s">
        <v>421</v>
      </c>
      <c r="K608" s="472" t="s">
        <v>589</v>
      </c>
      <c r="L608" s="473" t="s">
        <v>570</v>
      </c>
      <c r="M608" s="473" t="s">
        <v>571</v>
      </c>
      <c r="N608" s="473" t="s">
        <v>573</v>
      </c>
      <c r="O608" s="474" t="s">
        <v>573</v>
      </c>
    </row>
    <row r="609" spans="1:15" s="475" customFormat="1" ht="12" hidden="1">
      <c r="A609" s="465">
        <v>10131000023393</v>
      </c>
      <c r="B609" s="476" t="s">
        <v>573</v>
      </c>
      <c r="C609" s="476" t="s">
        <v>3128</v>
      </c>
      <c r="D609" s="467" t="s">
        <v>571</v>
      </c>
      <c r="E609" s="472" t="s">
        <v>2715</v>
      </c>
      <c r="F609" s="477">
        <v>66.745632000000015</v>
      </c>
      <c r="G609" s="469" t="s">
        <v>2472</v>
      </c>
      <c r="H609" s="470">
        <v>323.5</v>
      </c>
      <c r="I609" s="471">
        <v>429.61424004541675</v>
      </c>
      <c r="J609" s="485" t="s">
        <v>421</v>
      </c>
      <c r="K609" s="472" t="s">
        <v>615</v>
      </c>
      <c r="L609" s="473" t="s">
        <v>570</v>
      </c>
      <c r="M609" s="473" t="s">
        <v>571</v>
      </c>
      <c r="N609" s="473" t="s">
        <v>573</v>
      </c>
      <c r="O609" s="474" t="s">
        <v>573</v>
      </c>
    </row>
    <row r="610" spans="1:15" s="475" customFormat="1" ht="12" hidden="1">
      <c r="A610" s="465">
        <v>10131000056980</v>
      </c>
      <c r="B610" s="476" t="s">
        <v>573</v>
      </c>
      <c r="C610" s="476" t="s">
        <v>3129</v>
      </c>
      <c r="D610" s="467" t="s">
        <v>571</v>
      </c>
      <c r="E610" s="472" t="s">
        <v>2715</v>
      </c>
      <c r="F610" s="477">
        <v>71.333904000000004</v>
      </c>
      <c r="G610" s="469" t="s">
        <v>2472</v>
      </c>
      <c r="H610" s="470">
        <v>137.54240659999999</v>
      </c>
      <c r="I610" s="471">
        <v>182.65896904320465</v>
      </c>
      <c r="J610" s="485" t="s">
        <v>421</v>
      </c>
      <c r="K610" s="472" t="s">
        <v>633</v>
      </c>
      <c r="L610" s="473" t="s">
        <v>570</v>
      </c>
      <c r="M610" s="473" t="s">
        <v>571</v>
      </c>
      <c r="N610" s="473" t="s">
        <v>573</v>
      </c>
      <c r="O610" s="474" t="s">
        <v>573</v>
      </c>
    </row>
    <row r="611" spans="1:15" s="475" customFormat="1" ht="12" hidden="1">
      <c r="A611" s="465">
        <v>10131000023344</v>
      </c>
      <c r="B611" s="476" t="s">
        <v>573</v>
      </c>
      <c r="C611" s="476" t="s">
        <v>3130</v>
      </c>
      <c r="D611" s="467" t="s">
        <v>571</v>
      </c>
      <c r="E611" s="472" t="s">
        <v>2792</v>
      </c>
      <c r="F611" s="477">
        <v>72.687451779000014</v>
      </c>
      <c r="G611" s="469" t="s">
        <v>2472</v>
      </c>
      <c r="H611" s="470">
        <v>94499.5</v>
      </c>
      <c r="I611" s="471">
        <v>1169.6798461850001</v>
      </c>
      <c r="J611" s="485" t="s">
        <v>421</v>
      </c>
      <c r="K611" s="472" t="s">
        <v>575</v>
      </c>
      <c r="L611" s="473" t="s">
        <v>570</v>
      </c>
      <c r="M611" s="473" t="s">
        <v>571</v>
      </c>
      <c r="N611" s="473" t="s">
        <v>573</v>
      </c>
      <c r="O611" s="474" t="s">
        <v>573</v>
      </c>
    </row>
    <row r="612" spans="1:15" s="475" customFormat="1" ht="12" hidden="1">
      <c r="A612" s="465">
        <v>10131000023380</v>
      </c>
      <c r="B612" s="476" t="s">
        <v>573</v>
      </c>
      <c r="C612" s="476" t="s">
        <v>3131</v>
      </c>
      <c r="D612" s="467" t="s">
        <v>571</v>
      </c>
      <c r="E612" s="472" t="s">
        <v>2856</v>
      </c>
      <c r="F612" s="477">
        <v>73.4722551216</v>
      </c>
      <c r="G612" s="469" t="s">
        <v>2472</v>
      </c>
      <c r="H612" s="470">
        <v>2766.98</v>
      </c>
      <c r="I612" s="471">
        <v>327.88657660400003</v>
      </c>
      <c r="J612" s="485" t="s">
        <v>421</v>
      </c>
      <c r="K612" s="472" t="s">
        <v>649</v>
      </c>
      <c r="L612" s="473" t="s">
        <v>570</v>
      </c>
      <c r="M612" s="473" t="s">
        <v>571</v>
      </c>
      <c r="N612" s="473" t="s">
        <v>573</v>
      </c>
      <c r="O612" s="474" t="s">
        <v>573</v>
      </c>
    </row>
    <row r="613" spans="1:15" s="475" customFormat="1" ht="12" hidden="1">
      <c r="A613" s="465">
        <v>10131000023358</v>
      </c>
      <c r="B613" s="476" t="s">
        <v>573</v>
      </c>
      <c r="C613" s="476" t="s">
        <v>3132</v>
      </c>
      <c r="D613" s="467" t="s">
        <v>571</v>
      </c>
      <c r="E613" s="472" t="s">
        <v>2813</v>
      </c>
      <c r="F613" s="477">
        <v>78.269204050399992</v>
      </c>
      <c r="G613" s="469" t="s">
        <v>2472</v>
      </c>
      <c r="H613" s="470">
        <v>77796.53</v>
      </c>
      <c r="I613" s="471">
        <v>484.74719622968337</v>
      </c>
      <c r="J613" s="485" t="s">
        <v>421</v>
      </c>
      <c r="K613" s="472" t="s">
        <v>605</v>
      </c>
      <c r="L613" s="473" t="s">
        <v>570</v>
      </c>
      <c r="M613" s="473" t="s">
        <v>571</v>
      </c>
      <c r="N613" s="473" t="s">
        <v>573</v>
      </c>
      <c r="O613" s="474" t="s">
        <v>573</v>
      </c>
    </row>
    <row r="614" spans="1:15" s="475" customFormat="1" ht="12" hidden="1">
      <c r="A614" s="465">
        <v>10131000023389</v>
      </c>
      <c r="B614" s="476" t="s">
        <v>573</v>
      </c>
      <c r="C614" s="476" t="s">
        <v>3133</v>
      </c>
      <c r="D614" s="467" t="s">
        <v>571</v>
      </c>
      <c r="E614" s="472" t="s">
        <v>2715</v>
      </c>
      <c r="F614" s="477">
        <v>84.235968</v>
      </c>
      <c r="G614" s="469" t="s">
        <v>2472</v>
      </c>
      <c r="H614" s="470">
        <v>151.24</v>
      </c>
      <c r="I614" s="471">
        <v>200.8496372935667</v>
      </c>
      <c r="J614" s="485" t="s">
        <v>421</v>
      </c>
      <c r="K614" s="472" t="s">
        <v>597</v>
      </c>
      <c r="L614" s="473" t="s">
        <v>570</v>
      </c>
      <c r="M614" s="473" t="s">
        <v>571</v>
      </c>
      <c r="N614" s="473" t="s">
        <v>573</v>
      </c>
      <c r="O614" s="474" t="s">
        <v>573</v>
      </c>
    </row>
    <row r="615" spans="1:15" s="475" customFormat="1" ht="12" hidden="1">
      <c r="A615" s="465">
        <v>10131000023405</v>
      </c>
      <c r="B615" s="476" t="s">
        <v>573</v>
      </c>
      <c r="C615" s="476" t="s">
        <v>3129</v>
      </c>
      <c r="D615" s="467" t="s">
        <v>571</v>
      </c>
      <c r="E615" s="472" t="s">
        <v>2715</v>
      </c>
      <c r="F615" s="477">
        <v>89.830784000000008</v>
      </c>
      <c r="G615" s="469" t="s">
        <v>2472</v>
      </c>
      <c r="H615" s="470">
        <v>228.86</v>
      </c>
      <c r="I615" s="471">
        <v>303.93049451868342</v>
      </c>
      <c r="J615" s="485" t="s">
        <v>421</v>
      </c>
      <c r="K615" s="472" t="s">
        <v>633</v>
      </c>
      <c r="L615" s="473" t="s">
        <v>570</v>
      </c>
      <c r="M615" s="473" t="s">
        <v>571</v>
      </c>
      <c r="N615" s="473" t="s">
        <v>573</v>
      </c>
      <c r="O615" s="474" t="s">
        <v>573</v>
      </c>
    </row>
    <row r="616" spans="1:15" s="475" customFormat="1" ht="12" hidden="1">
      <c r="A616" s="465">
        <v>10131000023392</v>
      </c>
      <c r="B616" s="476" t="s">
        <v>573</v>
      </c>
      <c r="C616" s="476" t="s">
        <v>3134</v>
      </c>
      <c r="D616" s="467" t="s">
        <v>571</v>
      </c>
      <c r="E616" s="472" t="s">
        <v>2715</v>
      </c>
      <c r="F616" s="477">
        <v>100.54982400000002</v>
      </c>
      <c r="G616" s="469" t="s">
        <v>2472</v>
      </c>
      <c r="H616" s="470">
        <v>373.66</v>
      </c>
      <c r="I616" s="471">
        <v>496.22768759001679</v>
      </c>
      <c r="J616" s="485" t="s">
        <v>421</v>
      </c>
      <c r="K616" s="472" t="s">
        <v>611</v>
      </c>
      <c r="L616" s="473" t="s">
        <v>570</v>
      </c>
      <c r="M616" s="473" t="s">
        <v>571</v>
      </c>
      <c r="N616" s="473" t="s">
        <v>573</v>
      </c>
      <c r="O616" s="474" t="s">
        <v>573</v>
      </c>
    </row>
    <row r="617" spans="1:15" s="475" customFormat="1" ht="12" hidden="1">
      <c r="A617" s="465">
        <v>10131000023361</v>
      </c>
      <c r="B617" s="476" t="s">
        <v>573</v>
      </c>
      <c r="C617" s="476" t="s">
        <v>3135</v>
      </c>
      <c r="D617" s="467" t="s">
        <v>571</v>
      </c>
      <c r="E617" s="472" t="s">
        <v>2821</v>
      </c>
      <c r="F617" s="477">
        <v>105.80854065749999</v>
      </c>
      <c r="G617" s="469" t="s">
        <v>2472</v>
      </c>
      <c r="H617" s="470">
        <v>80657.62</v>
      </c>
      <c r="I617" s="471">
        <v>485.77973984943327</v>
      </c>
      <c r="J617" s="485" t="s">
        <v>421</v>
      </c>
      <c r="K617" s="472" t="s">
        <v>617</v>
      </c>
      <c r="L617" s="473" t="s">
        <v>570</v>
      </c>
      <c r="M617" s="473" t="s">
        <v>571</v>
      </c>
      <c r="N617" s="473" t="s">
        <v>573</v>
      </c>
      <c r="O617" s="474" t="s">
        <v>573</v>
      </c>
    </row>
    <row r="618" spans="1:15" s="475" customFormat="1" ht="12" hidden="1">
      <c r="A618" s="465">
        <v>10131000023357</v>
      </c>
      <c r="B618" s="476" t="s">
        <v>573</v>
      </c>
      <c r="C618" s="476" t="s">
        <v>3136</v>
      </c>
      <c r="D618" s="467" t="s">
        <v>571</v>
      </c>
      <c r="E618" s="472" t="s">
        <v>2811</v>
      </c>
      <c r="F618" s="477">
        <v>112.14386495240001</v>
      </c>
      <c r="G618" s="469" t="s">
        <v>2472</v>
      </c>
      <c r="H618" s="470">
        <v>543.52</v>
      </c>
      <c r="I618" s="471">
        <v>766.60084868479998</v>
      </c>
      <c r="J618" s="485" t="s">
        <v>421</v>
      </c>
      <c r="K618" s="472" t="s">
        <v>603</v>
      </c>
      <c r="L618" s="473" t="s">
        <v>570</v>
      </c>
      <c r="M618" s="473" t="s">
        <v>571</v>
      </c>
      <c r="N618" s="473" t="s">
        <v>573</v>
      </c>
      <c r="O618" s="474" t="s">
        <v>573</v>
      </c>
    </row>
    <row r="619" spans="1:15" s="475" customFormat="1" ht="12" hidden="1">
      <c r="A619" s="465">
        <v>10131000023347</v>
      </c>
      <c r="B619" s="476" t="s">
        <v>573</v>
      </c>
      <c r="C619" s="476" t="s">
        <v>3137</v>
      </c>
      <c r="D619" s="467" t="s">
        <v>571</v>
      </c>
      <c r="E619" s="472" t="s">
        <v>2795</v>
      </c>
      <c r="F619" s="477">
        <v>114.10314845720001</v>
      </c>
      <c r="G619" s="469" t="s">
        <v>2472</v>
      </c>
      <c r="H619" s="470">
        <v>403713.38</v>
      </c>
      <c r="I619" s="471">
        <v>817.44961751413314</v>
      </c>
      <c r="J619" s="485" t="s">
        <v>421</v>
      </c>
      <c r="K619" s="472" t="s">
        <v>583</v>
      </c>
      <c r="L619" s="473" t="s">
        <v>570</v>
      </c>
      <c r="M619" s="473" t="s">
        <v>571</v>
      </c>
      <c r="N619" s="473" t="s">
        <v>573</v>
      </c>
      <c r="O619" s="474" t="s">
        <v>573</v>
      </c>
    </row>
    <row r="620" spans="1:15" s="475" customFormat="1" ht="12" hidden="1">
      <c r="A620" s="465">
        <v>10131000023387</v>
      </c>
      <c r="B620" s="476" t="s">
        <v>573</v>
      </c>
      <c r="C620" s="476" t="s">
        <v>3138</v>
      </c>
      <c r="D620" s="467" t="s">
        <v>571</v>
      </c>
      <c r="E620" s="472" t="s">
        <v>2715</v>
      </c>
      <c r="F620" s="477">
        <v>125.64806400000002</v>
      </c>
      <c r="G620" s="469" t="s">
        <v>2472</v>
      </c>
      <c r="H620" s="470">
        <v>222.69</v>
      </c>
      <c r="I620" s="471">
        <v>295.73661550452505</v>
      </c>
      <c r="J620" s="485" t="s">
        <v>421</v>
      </c>
      <c r="K620" s="472" t="s">
        <v>591</v>
      </c>
      <c r="L620" s="473" t="s">
        <v>570</v>
      </c>
      <c r="M620" s="473" t="s">
        <v>571</v>
      </c>
      <c r="N620" s="473" t="s">
        <v>573</v>
      </c>
      <c r="O620" s="474" t="s">
        <v>573</v>
      </c>
    </row>
    <row r="621" spans="1:15" s="475" customFormat="1" ht="12" hidden="1">
      <c r="A621" s="465">
        <v>10131000023345</v>
      </c>
      <c r="B621" s="476" t="s">
        <v>573</v>
      </c>
      <c r="C621" s="476" t="s">
        <v>3139</v>
      </c>
      <c r="D621" s="467" t="s">
        <v>571</v>
      </c>
      <c r="E621" s="472" t="s">
        <v>2491</v>
      </c>
      <c r="F621" s="477">
        <v>129.6</v>
      </c>
      <c r="G621" s="469" t="s">
        <v>2472</v>
      </c>
      <c r="H621" s="470">
        <v>682.43</v>
      </c>
      <c r="I621" s="471">
        <v>682.43</v>
      </c>
      <c r="J621" s="485" t="s">
        <v>421</v>
      </c>
      <c r="K621" s="472" t="s">
        <v>577</v>
      </c>
      <c r="L621" s="473" t="s">
        <v>570</v>
      </c>
      <c r="M621" s="473" t="s">
        <v>571</v>
      </c>
      <c r="N621" s="473" t="s">
        <v>573</v>
      </c>
      <c r="O621" s="474" t="s">
        <v>573</v>
      </c>
    </row>
    <row r="622" spans="1:15" s="475" customFormat="1" ht="12" hidden="1">
      <c r="A622" s="465">
        <v>10131000023391</v>
      </c>
      <c r="B622" s="476" t="s">
        <v>573</v>
      </c>
      <c r="C622" s="476" t="s">
        <v>3140</v>
      </c>
      <c r="D622" s="467" t="s">
        <v>571</v>
      </c>
      <c r="E622" s="472" t="s">
        <v>2715</v>
      </c>
      <c r="F622" s="477">
        <v>132.314784</v>
      </c>
      <c r="G622" s="469" t="s">
        <v>2472</v>
      </c>
      <c r="H622" s="470">
        <v>514.82000000000005</v>
      </c>
      <c r="I622" s="471">
        <v>683.69089044878353</v>
      </c>
      <c r="J622" s="485" t="s">
        <v>421</v>
      </c>
      <c r="K622" s="472" t="s">
        <v>601</v>
      </c>
      <c r="L622" s="473" t="s">
        <v>570</v>
      </c>
      <c r="M622" s="473" t="s">
        <v>571</v>
      </c>
      <c r="N622" s="473" t="s">
        <v>573</v>
      </c>
      <c r="O622" s="474" t="s">
        <v>573</v>
      </c>
    </row>
    <row r="623" spans="1:15" s="475" customFormat="1" ht="12" hidden="1">
      <c r="A623" s="465">
        <v>10131000023396</v>
      </c>
      <c r="B623" s="476" t="s">
        <v>573</v>
      </c>
      <c r="C623" s="476" t="s">
        <v>3141</v>
      </c>
      <c r="D623" s="467" t="s">
        <v>571</v>
      </c>
      <c r="E623" s="472" t="s">
        <v>2874</v>
      </c>
      <c r="F623" s="477">
        <v>136.05651522529999</v>
      </c>
      <c r="G623" s="469" t="s">
        <v>2472</v>
      </c>
      <c r="H623" s="470">
        <v>363.89</v>
      </c>
      <c r="I623" s="471">
        <v>393.98553609587498</v>
      </c>
      <c r="J623" s="485" t="s">
        <v>421</v>
      </c>
      <c r="K623" s="472" t="s">
        <v>637</v>
      </c>
      <c r="L623" s="473" t="s">
        <v>570</v>
      </c>
      <c r="M623" s="473" t="s">
        <v>571</v>
      </c>
      <c r="N623" s="473" t="s">
        <v>573</v>
      </c>
      <c r="O623" s="474" t="s">
        <v>573</v>
      </c>
    </row>
    <row r="624" spans="1:15" s="475" customFormat="1" ht="12" hidden="1">
      <c r="A624" s="465">
        <v>10131000023373</v>
      </c>
      <c r="B624" s="476" t="s">
        <v>573</v>
      </c>
      <c r="C624" s="476" t="s">
        <v>3142</v>
      </c>
      <c r="D624" s="467" t="s">
        <v>571</v>
      </c>
      <c r="E624" s="472" t="s">
        <v>2833</v>
      </c>
      <c r="F624" s="477">
        <v>159.66322856399998</v>
      </c>
      <c r="G624" s="469" t="s">
        <v>2472</v>
      </c>
      <c r="H624" s="470">
        <v>4544.13</v>
      </c>
      <c r="I624" s="471">
        <v>439.24667454332501</v>
      </c>
      <c r="J624" s="485" t="s">
        <v>421</v>
      </c>
      <c r="K624" s="472" t="s">
        <v>631</v>
      </c>
      <c r="L624" s="473" t="s">
        <v>570</v>
      </c>
      <c r="M624" s="473" t="s">
        <v>571</v>
      </c>
      <c r="N624" s="473" t="s">
        <v>573</v>
      </c>
      <c r="O624" s="474" t="s">
        <v>573</v>
      </c>
    </row>
    <row r="625" spans="1:15" s="475" customFormat="1" ht="12" hidden="1">
      <c r="A625" s="465">
        <v>10131000023379</v>
      </c>
      <c r="B625" s="476" t="s">
        <v>573</v>
      </c>
      <c r="C625" s="476" t="s">
        <v>3143</v>
      </c>
      <c r="D625" s="467" t="s">
        <v>571</v>
      </c>
      <c r="E625" s="472" t="s">
        <v>2842</v>
      </c>
      <c r="F625" s="477">
        <v>161.88469643919998</v>
      </c>
      <c r="G625" s="469" t="s">
        <v>2472</v>
      </c>
      <c r="H625" s="470">
        <v>3692849.9139999999</v>
      </c>
      <c r="I625" s="471">
        <v>1321.8617814661563</v>
      </c>
      <c r="J625" s="485" t="s">
        <v>421</v>
      </c>
      <c r="K625" s="472" t="s">
        <v>647</v>
      </c>
      <c r="L625" s="473" t="s">
        <v>570</v>
      </c>
      <c r="M625" s="473" t="s">
        <v>571</v>
      </c>
      <c r="N625" s="473" t="s">
        <v>573</v>
      </c>
      <c r="O625" s="474" t="s">
        <v>573</v>
      </c>
    </row>
    <row r="626" spans="1:15" s="475" customFormat="1" ht="12" hidden="1">
      <c r="A626" s="465">
        <v>10131000023375</v>
      </c>
      <c r="B626" s="476" t="s">
        <v>573</v>
      </c>
      <c r="C626" s="476" t="s">
        <v>3144</v>
      </c>
      <c r="D626" s="467" t="s">
        <v>571</v>
      </c>
      <c r="E626" s="472" t="s">
        <v>2838</v>
      </c>
      <c r="F626" s="477">
        <v>164.52564764520002</v>
      </c>
      <c r="G626" s="469" t="s">
        <v>2472</v>
      </c>
      <c r="H626" s="470">
        <v>1119.6400000000001</v>
      </c>
      <c r="I626" s="471">
        <v>645.31416436376674</v>
      </c>
      <c r="J626" s="485" t="s">
        <v>421</v>
      </c>
      <c r="K626" s="472" t="s">
        <v>641</v>
      </c>
      <c r="L626" s="473" t="s">
        <v>570</v>
      </c>
      <c r="M626" s="473" t="s">
        <v>571</v>
      </c>
      <c r="N626" s="473" t="s">
        <v>573</v>
      </c>
      <c r="O626" s="474" t="s">
        <v>573</v>
      </c>
    </row>
    <row r="627" spans="1:15" s="475" customFormat="1" ht="12" hidden="1">
      <c r="A627" s="465">
        <v>10131000023356</v>
      </c>
      <c r="B627" s="476" t="s">
        <v>573</v>
      </c>
      <c r="C627" s="476" t="s">
        <v>3145</v>
      </c>
      <c r="D627" s="467" t="s">
        <v>571</v>
      </c>
      <c r="E627" s="472" t="s">
        <v>2808</v>
      </c>
      <c r="F627" s="477">
        <v>194.90817775500003</v>
      </c>
      <c r="G627" s="469" t="s">
        <v>2472</v>
      </c>
      <c r="H627" s="470">
        <v>2591.37</v>
      </c>
      <c r="I627" s="471">
        <v>724.20801658447499</v>
      </c>
      <c r="J627" s="485" t="s">
        <v>421</v>
      </c>
      <c r="K627" s="472" t="s">
        <v>599</v>
      </c>
      <c r="L627" s="473" t="s">
        <v>570</v>
      </c>
      <c r="M627" s="473" t="s">
        <v>571</v>
      </c>
      <c r="N627" s="473" t="s">
        <v>573</v>
      </c>
      <c r="O627" s="474" t="s">
        <v>573</v>
      </c>
    </row>
    <row r="628" spans="1:15" s="475" customFormat="1" ht="12" hidden="1">
      <c r="A628" s="465">
        <v>10131000023348</v>
      </c>
      <c r="B628" s="476" t="s">
        <v>573</v>
      </c>
      <c r="C628" s="476" t="s">
        <v>3146</v>
      </c>
      <c r="D628" s="467" t="s">
        <v>571</v>
      </c>
      <c r="E628" s="472" t="s">
        <v>2491</v>
      </c>
      <c r="F628" s="477">
        <v>206.95</v>
      </c>
      <c r="G628" s="469" t="s">
        <v>2472</v>
      </c>
      <c r="H628" s="470">
        <v>891.44</v>
      </c>
      <c r="I628" s="471">
        <v>891.44</v>
      </c>
      <c r="J628" s="485" t="s">
        <v>421</v>
      </c>
      <c r="K628" s="472" t="s">
        <v>585</v>
      </c>
      <c r="L628" s="473" t="s">
        <v>570</v>
      </c>
      <c r="M628" s="473" t="s">
        <v>571</v>
      </c>
      <c r="N628" s="473" t="s">
        <v>573</v>
      </c>
      <c r="O628" s="474" t="s">
        <v>573</v>
      </c>
    </row>
    <row r="629" spans="1:15" s="475" customFormat="1" ht="12" hidden="1">
      <c r="A629" s="465">
        <v>10131000023397</v>
      </c>
      <c r="B629" s="476" t="s">
        <v>573</v>
      </c>
      <c r="C629" s="476" t="s">
        <v>3147</v>
      </c>
      <c r="D629" s="467" t="s">
        <v>571</v>
      </c>
      <c r="E629" s="472" t="s">
        <v>2817</v>
      </c>
      <c r="F629" s="477">
        <v>209.1436612743</v>
      </c>
      <c r="G629" s="469" t="s">
        <v>2472</v>
      </c>
      <c r="H629" s="470">
        <v>280.11874619999998</v>
      </c>
      <c r="I629" s="471">
        <v>980.34389709919151</v>
      </c>
      <c r="J629" s="485" t="s">
        <v>421</v>
      </c>
      <c r="K629" s="472" t="s">
        <v>609</v>
      </c>
      <c r="L629" s="473" t="s">
        <v>570</v>
      </c>
      <c r="M629" s="473" t="s">
        <v>571</v>
      </c>
      <c r="N629" s="473" t="s">
        <v>573</v>
      </c>
      <c r="O629" s="474" t="s">
        <v>573</v>
      </c>
    </row>
    <row r="630" spans="1:15" s="475" customFormat="1" ht="12" hidden="1">
      <c r="A630" s="465">
        <v>10131000023374</v>
      </c>
      <c r="B630" s="476" t="s">
        <v>573</v>
      </c>
      <c r="C630" s="476" t="s">
        <v>3148</v>
      </c>
      <c r="D630" s="467" t="s">
        <v>571</v>
      </c>
      <c r="E630" s="472" t="s">
        <v>2836</v>
      </c>
      <c r="F630" s="477">
        <v>210.784971609</v>
      </c>
      <c r="G630" s="469" t="s">
        <v>2472</v>
      </c>
      <c r="H630" s="470">
        <v>1662506.83</v>
      </c>
      <c r="I630" s="471">
        <v>941.64109766728336</v>
      </c>
      <c r="J630" s="485" t="s">
        <v>421</v>
      </c>
      <c r="K630" s="472" t="s">
        <v>639</v>
      </c>
      <c r="L630" s="473" t="s">
        <v>570</v>
      </c>
      <c r="M630" s="473" t="s">
        <v>571</v>
      </c>
      <c r="N630" s="473" t="s">
        <v>573</v>
      </c>
      <c r="O630" s="474" t="s">
        <v>573</v>
      </c>
    </row>
    <row r="631" spans="1:15" s="475" customFormat="1" ht="12" hidden="1">
      <c r="A631" s="465">
        <v>10131000023388</v>
      </c>
      <c r="B631" s="476" t="s">
        <v>573</v>
      </c>
      <c r="C631" s="476" t="s">
        <v>3149</v>
      </c>
      <c r="D631" s="467" t="s">
        <v>571</v>
      </c>
      <c r="E631" s="472" t="s">
        <v>2715</v>
      </c>
      <c r="F631" s="477">
        <v>211.15201600000003</v>
      </c>
      <c r="G631" s="469" t="s">
        <v>2472</v>
      </c>
      <c r="H631" s="470">
        <v>441.3</v>
      </c>
      <c r="I631" s="471">
        <v>586.05491230925008</v>
      </c>
      <c r="J631" s="485" t="s">
        <v>421</v>
      </c>
      <c r="K631" s="472" t="s">
        <v>593</v>
      </c>
      <c r="L631" s="473" t="s">
        <v>570</v>
      </c>
      <c r="M631" s="473" t="s">
        <v>571</v>
      </c>
      <c r="N631" s="473" t="s">
        <v>573</v>
      </c>
      <c r="O631" s="474" t="s">
        <v>573</v>
      </c>
    </row>
    <row r="632" spans="1:15" s="475" customFormat="1" ht="12" hidden="1">
      <c r="A632" s="465">
        <v>10131000023360</v>
      </c>
      <c r="B632" s="476" t="s">
        <v>573</v>
      </c>
      <c r="C632" s="476" t="s">
        <v>3150</v>
      </c>
      <c r="D632" s="467" t="s">
        <v>571</v>
      </c>
      <c r="E632" s="472" t="s">
        <v>2852</v>
      </c>
      <c r="F632" s="477">
        <v>222.51272148570001</v>
      </c>
      <c r="G632" s="469" t="s">
        <v>2472</v>
      </c>
      <c r="H632" s="470">
        <v>8148.67</v>
      </c>
      <c r="I632" s="471">
        <v>932.99972216948333</v>
      </c>
      <c r="J632" s="485" t="s">
        <v>421</v>
      </c>
      <c r="K632" s="472" t="s">
        <v>613</v>
      </c>
      <c r="L632" s="473" t="s">
        <v>570</v>
      </c>
      <c r="M632" s="473" t="s">
        <v>571</v>
      </c>
      <c r="N632" s="473" t="s">
        <v>573</v>
      </c>
      <c r="O632" s="474" t="s">
        <v>573</v>
      </c>
    </row>
    <row r="633" spans="1:15" s="475" customFormat="1" ht="12" hidden="1">
      <c r="A633" s="465">
        <v>10131000023370</v>
      </c>
      <c r="B633" s="476" t="s">
        <v>573</v>
      </c>
      <c r="C633" s="476" t="s">
        <v>3151</v>
      </c>
      <c r="D633" s="467" t="s">
        <v>571</v>
      </c>
      <c r="E633" s="472" t="s">
        <v>2795</v>
      </c>
      <c r="F633" s="477">
        <v>265.04533380010002</v>
      </c>
      <c r="G633" s="469" t="s">
        <v>2472</v>
      </c>
      <c r="H633" s="470">
        <v>644726.43999999994</v>
      </c>
      <c r="I633" s="471">
        <v>1305.4592884170663</v>
      </c>
      <c r="J633" s="485" t="s">
        <v>421</v>
      </c>
      <c r="K633" s="472" t="s">
        <v>627</v>
      </c>
      <c r="L633" s="473" t="s">
        <v>570</v>
      </c>
      <c r="M633" s="473" t="s">
        <v>571</v>
      </c>
      <c r="N633" s="473" t="s">
        <v>573</v>
      </c>
      <c r="O633" s="474" t="s">
        <v>573</v>
      </c>
    </row>
    <row r="634" spans="1:15" s="475" customFormat="1" ht="12" hidden="1">
      <c r="A634" s="465">
        <v>10131000023359</v>
      </c>
      <c r="B634" s="476" t="s">
        <v>573</v>
      </c>
      <c r="C634" s="476" t="s">
        <v>3152</v>
      </c>
      <c r="D634" s="467" t="s">
        <v>571</v>
      </c>
      <c r="E634" s="472" t="s">
        <v>2815</v>
      </c>
      <c r="F634" s="477">
        <v>300.3003256902</v>
      </c>
      <c r="G634" s="469" t="s">
        <v>2472</v>
      </c>
      <c r="H634" s="470">
        <v>82780.25</v>
      </c>
      <c r="I634" s="471">
        <v>880.01510793437512</v>
      </c>
      <c r="J634" s="485" t="s">
        <v>421</v>
      </c>
      <c r="K634" s="472" t="s">
        <v>607</v>
      </c>
      <c r="L634" s="473" t="s">
        <v>570</v>
      </c>
      <c r="M634" s="473" t="s">
        <v>571</v>
      </c>
      <c r="N634" s="473" t="s">
        <v>573</v>
      </c>
      <c r="O634" s="474" t="s">
        <v>573</v>
      </c>
    </row>
    <row r="635" spans="1:15" s="475" customFormat="1" ht="12" hidden="1">
      <c r="A635" s="465">
        <v>10131000023381</v>
      </c>
      <c r="B635" s="476" t="s">
        <v>573</v>
      </c>
      <c r="C635" s="476" t="s">
        <v>3153</v>
      </c>
      <c r="D635" s="467" t="s">
        <v>571</v>
      </c>
      <c r="E635" s="472" t="s">
        <v>2845</v>
      </c>
      <c r="F635" s="477">
        <v>308.91697892999997</v>
      </c>
      <c r="G635" s="469" t="s">
        <v>2472</v>
      </c>
      <c r="H635" s="470">
        <v>6952876.4500000002</v>
      </c>
      <c r="I635" s="471">
        <v>1173.3500475108751</v>
      </c>
      <c r="J635" s="485" t="s">
        <v>421</v>
      </c>
      <c r="K635" s="472" t="s">
        <v>653</v>
      </c>
      <c r="L635" s="473" t="s">
        <v>570</v>
      </c>
      <c r="M635" s="473" t="s">
        <v>571</v>
      </c>
      <c r="N635" s="473" t="s">
        <v>573</v>
      </c>
      <c r="O635" s="474" t="s">
        <v>573</v>
      </c>
    </row>
    <row r="636" spans="1:15" s="475" customFormat="1" ht="12" hidden="1">
      <c r="A636" s="465">
        <v>10131000023395</v>
      </c>
      <c r="B636" s="476" t="s">
        <v>573</v>
      </c>
      <c r="C636" s="476" t="s">
        <v>3129</v>
      </c>
      <c r="D636" s="467" t="s">
        <v>571</v>
      </c>
      <c r="E636" s="472" t="s">
        <v>2715</v>
      </c>
      <c r="F636" s="477">
        <v>342.36875200000009</v>
      </c>
      <c r="G636" s="469" t="s">
        <v>2472</v>
      </c>
      <c r="H636" s="470">
        <v>646.64</v>
      </c>
      <c r="I636" s="471">
        <v>858.75039314673347</v>
      </c>
      <c r="J636" s="485" t="s">
        <v>421</v>
      </c>
      <c r="K636" s="472" t="s">
        <v>633</v>
      </c>
      <c r="L636" s="473" t="s">
        <v>570</v>
      </c>
      <c r="M636" s="473" t="s">
        <v>571</v>
      </c>
      <c r="N636" s="473" t="s">
        <v>573</v>
      </c>
      <c r="O636" s="474" t="s">
        <v>573</v>
      </c>
    </row>
    <row r="637" spans="1:15" s="475" customFormat="1" ht="12" hidden="1">
      <c r="A637" s="465">
        <v>10131000023349</v>
      </c>
      <c r="B637" s="476" t="s">
        <v>573</v>
      </c>
      <c r="C637" s="476" t="s">
        <v>3154</v>
      </c>
      <c r="D637" s="467" t="s">
        <v>571</v>
      </c>
      <c r="E637" s="472" t="s">
        <v>2795</v>
      </c>
      <c r="F637" s="477" t="s">
        <v>2472</v>
      </c>
      <c r="G637" s="469" t="s">
        <v>2472</v>
      </c>
      <c r="H637" s="470">
        <v>1E-8</v>
      </c>
      <c r="I637" s="471">
        <v>2.0248266666666662E-11</v>
      </c>
      <c r="J637" s="485" t="s">
        <v>421</v>
      </c>
      <c r="K637" s="472" t="s">
        <v>719</v>
      </c>
      <c r="L637" s="473" t="s">
        <v>570</v>
      </c>
      <c r="M637" s="473" t="s">
        <v>571</v>
      </c>
      <c r="N637" s="473" t="s">
        <v>573</v>
      </c>
      <c r="O637" s="474" t="s">
        <v>573</v>
      </c>
    </row>
    <row r="638" spans="1:15" s="475" customFormat="1" ht="12" hidden="1">
      <c r="A638" s="465">
        <v>10131000028090</v>
      </c>
      <c r="B638" s="476" t="s">
        <v>573</v>
      </c>
      <c r="C638" s="476" t="s">
        <v>3155</v>
      </c>
      <c r="D638" s="467" t="s">
        <v>571</v>
      </c>
      <c r="E638" s="472" t="s">
        <v>2715</v>
      </c>
      <c r="F638" s="477" t="s">
        <v>2472</v>
      </c>
      <c r="G638" s="469" t="s">
        <v>2472</v>
      </c>
      <c r="H638" s="470">
        <v>73.209999999999994</v>
      </c>
      <c r="I638" s="471">
        <v>97.224292159891675</v>
      </c>
      <c r="J638" s="485" t="s">
        <v>421</v>
      </c>
      <c r="K638" s="472" t="s">
        <v>2779</v>
      </c>
      <c r="L638" s="473" t="s">
        <v>570</v>
      </c>
      <c r="M638" s="473" t="s">
        <v>571</v>
      </c>
      <c r="N638" s="473" t="s">
        <v>573</v>
      </c>
      <c r="O638" s="474" t="s">
        <v>573</v>
      </c>
    </row>
    <row r="639" spans="1:15" s="475" customFormat="1" ht="12" hidden="1">
      <c r="A639" s="465">
        <v>10131000058864</v>
      </c>
      <c r="B639" s="476" t="s">
        <v>573</v>
      </c>
      <c r="C639" s="476" t="s">
        <v>3114</v>
      </c>
      <c r="D639" s="467" t="s">
        <v>571</v>
      </c>
      <c r="E639" s="472" t="s">
        <v>2491</v>
      </c>
      <c r="F639" s="477" t="s">
        <v>2472</v>
      </c>
      <c r="G639" s="469" t="s">
        <v>2472</v>
      </c>
      <c r="H639" s="487">
        <v>103.2</v>
      </c>
      <c r="I639" s="471">
        <v>103.2</v>
      </c>
      <c r="J639" s="488" t="s">
        <v>2492</v>
      </c>
      <c r="K639" s="472" t="s">
        <v>662</v>
      </c>
      <c r="L639" s="473" t="s">
        <v>570</v>
      </c>
      <c r="M639" s="473" t="s">
        <v>571</v>
      </c>
      <c r="N639" s="473" t="s">
        <v>573</v>
      </c>
      <c r="O639" s="474" t="s">
        <v>573</v>
      </c>
    </row>
    <row r="640" spans="1:15" s="475" customFormat="1" ht="12" hidden="1">
      <c r="A640" s="465">
        <v>10131000058865</v>
      </c>
      <c r="B640" s="476" t="s">
        <v>573</v>
      </c>
      <c r="C640" s="476" t="s">
        <v>3111</v>
      </c>
      <c r="D640" s="467" t="s">
        <v>571</v>
      </c>
      <c r="E640" s="472" t="s">
        <v>2491</v>
      </c>
      <c r="F640" s="477" t="s">
        <v>2472</v>
      </c>
      <c r="G640" s="469" t="s">
        <v>2472</v>
      </c>
      <c r="H640" s="487">
        <v>316.54000000000002</v>
      </c>
      <c r="I640" s="471">
        <v>316.54000000000002</v>
      </c>
      <c r="J640" s="488" t="s">
        <v>2492</v>
      </c>
      <c r="K640" s="472" t="s">
        <v>666</v>
      </c>
      <c r="L640" s="473" t="s">
        <v>570</v>
      </c>
      <c r="M640" s="473" t="s">
        <v>571</v>
      </c>
      <c r="N640" s="473" t="s">
        <v>573</v>
      </c>
      <c r="O640" s="474" t="s">
        <v>573</v>
      </c>
    </row>
    <row r="641" spans="1:15" s="475" customFormat="1" ht="12" hidden="1">
      <c r="A641" s="465">
        <v>1000099060</v>
      </c>
      <c r="B641" s="466" t="s">
        <v>573</v>
      </c>
      <c r="C641" s="466" t="s">
        <v>573</v>
      </c>
      <c r="D641" s="467" t="s">
        <v>571</v>
      </c>
      <c r="E641" s="468" t="s">
        <v>2471</v>
      </c>
      <c r="F641" s="477" t="s">
        <v>2472</v>
      </c>
      <c r="G641" s="469" t="s">
        <v>2472</v>
      </c>
      <c r="H641" s="470">
        <v>501.5</v>
      </c>
      <c r="I641" s="471">
        <v>38.725868725868729</v>
      </c>
      <c r="J641" s="472" t="s">
        <v>422</v>
      </c>
      <c r="K641" s="472" t="s">
        <v>2473</v>
      </c>
      <c r="L641" s="473" t="s">
        <v>570</v>
      </c>
      <c r="M641" s="473" t="s">
        <v>571</v>
      </c>
      <c r="N641" s="473" t="s">
        <v>573</v>
      </c>
      <c r="O641" s="474" t="s">
        <v>573</v>
      </c>
    </row>
    <row r="642" spans="1:15" s="475" customFormat="1" ht="12" hidden="1">
      <c r="A642" s="465">
        <v>1000099072</v>
      </c>
      <c r="B642" s="466" t="s">
        <v>573</v>
      </c>
      <c r="C642" s="466" t="s">
        <v>573</v>
      </c>
      <c r="D642" s="467" t="s">
        <v>571</v>
      </c>
      <c r="E642" s="468" t="s">
        <v>2471</v>
      </c>
      <c r="F642" s="477" t="s">
        <v>2472</v>
      </c>
      <c r="G642" s="469" t="s">
        <v>2472</v>
      </c>
      <c r="H642" s="470">
        <v>611.89604891815611</v>
      </c>
      <c r="I642" s="471">
        <v>47.250660148120168</v>
      </c>
      <c r="J642" s="472" t="s">
        <v>422</v>
      </c>
      <c r="K642" s="472" t="s">
        <v>2473</v>
      </c>
      <c r="L642" s="473" t="s">
        <v>570</v>
      </c>
      <c r="M642" s="473" t="s">
        <v>571</v>
      </c>
      <c r="N642" s="473" t="s">
        <v>573</v>
      </c>
      <c r="O642" s="474" t="s">
        <v>573</v>
      </c>
    </row>
    <row r="643" spans="1:15" s="475" customFormat="1" ht="12" hidden="1">
      <c r="A643" s="465">
        <v>10131000058316</v>
      </c>
      <c r="B643" s="476" t="s">
        <v>573</v>
      </c>
      <c r="C643" s="476" t="s">
        <v>3102</v>
      </c>
      <c r="D643" s="467" t="s">
        <v>571</v>
      </c>
      <c r="E643" s="472" t="s">
        <v>2519</v>
      </c>
      <c r="F643" s="477" t="s">
        <v>2472</v>
      </c>
      <c r="G643" s="469" t="s">
        <v>2472</v>
      </c>
      <c r="H643" s="470">
        <v>268.5</v>
      </c>
      <c r="I643" s="471">
        <v>82.823376074999999</v>
      </c>
      <c r="J643" s="485" t="s">
        <v>421</v>
      </c>
      <c r="K643" s="472" t="s">
        <v>621</v>
      </c>
      <c r="L643" s="473" t="s">
        <v>570</v>
      </c>
      <c r="M643" s="473" t="s">
        <v>571</v>
      </c>
      <c r="N643" s="473" t="s">
        <v>573</v>
      </c>
      <c r="O643" s="474" t="s">
        <v>573</v>
      </c>
    </row>
    <row r="644" spans="1:15" s="475" customFormat="1" ht="12" hidden="1">
      <c r="A644" s="465">
        <v>10131000023398</v>
      </c>
      <c r="B644" s="476" t="s">
        <v>573</v>
      </c>
      <c r="C644" s="476" t="s">
        <v>3156</v>
      </c>
      <c r="D644" s="467" t="s">
        <v>571</v>
      </c>
      <c r="E644" s="472" t="s">
        <v>2491</v>
      </c>
      <c r="F644" s="477" t="s">
        <v>2472</v>
      </c>
      <c r="G644" s="469" t="s">
        <v>2472</v>
      </c>
      <c r="H644" s="470">
        <v>1E-8</v>
      </c>
      <c r="I644" s="471">
        <v>1E-8</v>
      </c>
      <c r="J644" s="485" t="s">
        <v>421</v>
      </c>
      <c r="K644" s="472" t="s">
        <v>745</v>
      </c>
      <c r="L644" s="473" t="s">
        <v>570</v>
      </c>
      <c r="M644" s="473" t="s">
        <v>571</v>
      </c>
      <c r="N644" s="473" t="s">
        <v>573</v>
      </c>
      <c r="O644" s="474" t="s">
        <v>573</v>
      </c>
    </row>
    <row r="645" spans="1:15" s="475" customFormat="1" ht="12" hidden="1">
      <c r="A645" s="465">
        <v>10131000058866</v>
      </c>
      <c r="B645" s="476" t="s">
        <v>573</v>
      </c>
      <c r="C645" s="476" t="s">
        <v>3106</v>
      </c>
      <c r="D645" s="467" t="s">
        <v>571</v>
      </c>
      <c r="E645" s="472" t="s">
        <v>2491</v>
      </c>
      <c r="F645" s="477" t="s">
        <v>2472</v>
      </c>
      <c r="G645" s="469" t="s">
        <v>2472</v>
      </c>
      <c r="H645" s="487">
        <v>149.88999999999999</v>
      </c>
      <c r="I645" s="471">
        <v>149.88999999999999</v>
      </c>
      <c r="J645" s="488" t="s">
        <v>2492</v>
      </c>
      <c r="K645" s="472" t="s">
        <v>674</v>
      </c>
      <c r="L645" s="473" t="s">
        <v>570</v>
      </c>
      <c r="M645" s="473" t="s">
        <v>571</v>
      </c>
      <c r="N645" s="473" t="s">
        <v>573</v>
      </c>
      <c r="O645" s="474" t="s">
        <v>573</v>
      </c>
    </row>
    <row r="646" spans="1:15" s="475" customFormat="1" ht="12" hidden="1">
      <c r="A646" s="465">
        <v>1000099112</v>
      </c>
      <c r="B646" s="466" t="s">
        <v>3157</v>
      </c>
      <c r="C646" s="466" t="s">
        <v>3157</v>
      </c>
      <c r="D646" s="467" t="s">
        <v>2470</v>
      </c>
      <c r="E646" s="468" t="s">
        <v>2471</v>
      </c>
      <c r="F646" s="477" t="s">
        <v>2472</v>
      </c>
      <c r="G646" s="469" t="s">
        <v>2472</v>
      </c>
      <c r="H646" s="470">
        <v>1.1200000000000001</v>
      </c>
      <c r="I646" s="471">
        <v>8.6486486486486505E-2</v>
      </c>
      <c r="J646" s="472" t="s">
        <v>422</v>
      </c>
      <c r="K646" s="472" t="s">
        <v>2473</v>
      </c>
      <c r="L646" s="473" t="s">
        <v>2474</v>
      </c>
      <c r="M646" s="473" t="s">
        <v>1835</v>
      </c>
      <c r="N646" s="473" t="s">
        <v>204</v>
      </c>
      <c r="O646" s="474" t="s">
        <v>3157</v>
      </c>
    </row>
    <row r="647" spans="1:15" s="475" customFormat="1" ht="12" hidden="1">
      <c r="A647" s="465">
        <v>1000099149</v>
      </c>
      <c r="B647" s="466" t="s">
        <v>3157</v>
      </c>
      <c r="C647" s="466" t="s">
        <v>3158</v>
      </c>
      <c r="D647" s="467" t="s">
        <v>2470</v>
      </c>
      <c r="E647" s="468" t="s">
        <v>2471</v>
      </c>
      <c r="F647" s="477" t="s">
        <v>2472</v>
      </c>
      <c r="G647" s="469" t="s">
        <v>2472</v>
      </c>
      <c r="H647" s="470">
        <v>1.28</v>
      </c>
      <c r="I647" s="471">
        <v>9.8841698841698855E-2</v>
      </c>
      <c r="J647" s="472" t="s">
        <v>422</v>
      </c>
      <c r="K647" s="472" t="s">
        <v>2473</v>
      </c>
      <c r="L647" s="473" t="s">
        <v>2474</v>
      </c>
      <c r="M647" s="473" t="s">
        <v>1835</v>
      </c>
      <c r="N647" s="473" t="s">
        <v>204</v>
      </c>
      <c r="O647" s="474" t="s">
        <v>3157</v>
      </c>
    </row>
    <row r="648" spans="1:15" s="475" customFormat="1" ht="12" hidden="1">
      <c r="A648" s="465">
        <v>1000099113</v>
      </c>
      <c r="B648" s="466" t="s">
        <v>3159</v>
      </c>
      <c r="C648" s="466" t="s">
        <v>3159</v>
      </c>
      <c r="D648" s="467" t="s">
        <v>2470</v>
      </c>
      <c r="E648" s="468" t="s">
        <v>2471</v>
      </c>
      <c r="F648" s="477" t="s">
        <v>2472</v>
      </c>
      <c r="G648" s="469" t="s">
        <v>2472</v>
      </c>
      <c r="H648" s="470">
        <v>5.99</v>
      </c>
      <c r="I648" s="471">
        <v>0.46254826254826259</v>
      </c>
      <c r="J648" s="472" t="s">
        <v>422</v>
      </c>
      <c r="K648" s="472" t="s">
        <v>2473</v>
      </c>
      <c r="L648" s="473" t="s">
        <v>2474</v>
      </c>
      <c r="M648" s="473" t="s">
        <v>1835</v>
      </c>
      <c r="N648" s="473" t="s">
        <v>204</v>
      </c>
      <c r="O648" s="474" t="s">
        <v>3159</v>
      </c>
    </row>
    <row r="649" spans="1:15" s="475" customFormat="1" ht="12" hidden="1">
      <c r="A649" s="465">
        <v>1000099150</v>
      </c>
      <c r="B649" s="466" t="s">
        <v>3159</v>
      </c>
      <c r="C649" s="466" t="s">
        <v>3160</v>
      </c>
      <c r="D649" s="467" t="s">
        <v>2470</v>
      </c>
      <c r="E649" s="468" t="s">
        <v>2471</v>
      </c>
      <c r="F649" s="477" t="s">
        <v>2472</v>
      </c>
      <c r="G649" s="469" t="s">
        <v>2472</v>
      </c>
      <c r="H649" s="470">
        <v>6.67</v>
      </c>
      <c r="I649" s="471">
        <v>0.51505791505791509</v>
      </c>
      <c r="J649" s="472" t="s">
        <v>422</v>
      </c>
      <c r="K649" s="472" t="s">
        <v>2473</v>
      </c>
      <c r="L649" s="473" t="s">
        <v>2474</v>
      </c>
      <c r="M649" s="473" t="s">
        <v>1835</v>
      </c>
      <c r="N649" s="473" t="s">
        <v>204</v>
      </c>
      <c r="O649" s="474" t="s">
        <v>3159</v>
      </c>
    </row>
    <row r="650" spans="1:15" s="475" customFormat="1" ht="12" hidden="1">
      <c r="A650" s="465">
        <v>1000099114</v>
      </c>
      <c r="B650" s="466" t="s">
        <v>3161</v>
      </c>
      <c r="C650" s="466" t="s">
        <v>3161</v>
      </c>
      <c r="D650" s="467" t="s">
        <v>2470</v>
      </c>
      <c r="E650" s="468" t="s">
        <v>2471</v>
      </c>
      <c r="F650" s="477" t="s">
        <v>2472</v>
      </c>
      <c r="G650" s="469" t="s">
        <v>2472</v>
      </c>
      <c r="H650" s="470">
        <v>0.66</v>
      </c>
      <c r="I650" s="471">
        <v>5.0965250965250973E-2</v>
      </c>
      <c r="J650" s="472" t="s">
        <v>422</v>
      </c>
      <c r="K650" s="472" t="s">
        <v>2473</v>
      </c>
      <c r="L650" s="473" t="s">
        <v>2474</v>
      </c>
      <c r="M650" s="473" t="s">
        <v>1835</v>
      </c>
      <c r="N650" s="473" t="s">
        <v>204</v>
      </c>
      <c r="O650" s="490" t="s">
        <v>3161</v>
      </c>
    </row>
    <row r="651" spans="1:15" s="475" customFormat="1" ht="12" hidden="1">
      <c r="A651" s="465">
        <v>1000099151</v>
      </c>
      <c r="B651" s="466" t="s">
        <v>3161</v>
      </c>
      <c r="C651" s="466" t="s">
        <v>3162</v>
      </c>
      <c r="D651" s="467" t="s">
        <v>2470</v>
      </c>
      <c r="E651" s="468" t="s">
        <v>2471</v>
      </c>
      <c r="F651" s="477" t="s">
        <v>2472</v>
      </c>
      <c r="G651" s="469" t="s">
        <v>2472</v>
      </c>
      <c r="H651" s="470">
        <v>0.72</v>
      </c>
      <c r="I651" s="471">
        <v>5.5598455598455603E-2</v>
      </c>
      <c r="J651" s="472" t="s">
        <v>422</v>
      </c>
      <c r="K651" s="472" t="s">
        <v>2473</v>
      </c>
      <c r="L651" s="473" t="s">
        <v>2474</v>
      </c>
      <c r="M651" s="473" t="s">
        <v>1835</v>
      </c>
      <c r="N651" s="473" t="s">
        <v>204</v>
      </c>
      <c r="O651" s="490" t="s">
        <v>3161</v>
      </c>
    </row>
    <row r="652" spans="1:15" s="475" customFormat="1" ht="12" hidden="1">
      <c r="A652" s="465">
        <v>1000099115</v>
      </c>
      <c r="B652" s="466" t="s">
        <v>3163</v>
      </c>
      <c r="C652" s="466" t="s">
        <v>3164</v>
      </c>
      <c r="D652" s="467" t="s">
        <v>1045</v>
      </c>
      <c r="E652" s="468" t="s">
        <v>2471</v>
      </c>
      <c r="F652" s="477" t="s">
        <v>2472</v>
      </c>
      <c r="G652" s="469" t="s">
        <v>2472</v>
      </c>
      <c r="H652" s="470">
        <v>0</v>
      </c>
      <c r="I652" s="471">
        <v>0</v>
      </c>
      <c r="J652" s="472" t="s">
        <v>422</v>
      </c>
      <c r="K652" s="472" t="s">
        <v>2473</v>
      </c>
      <c r="L652" s="473" t="s">
        <v>2474</v>
      </c>
      <c r="M652" s="473" t="s">
        <v>1835</v>
      </c>
      <c r="N652" s="473" t="s">
        <v>204</v>
      </c>
      <c r="O652" s="474" t="s">
        <v>3163</v>
      </c>
    </row>
    <row r="653" spans="1:15" s="475" customFormat="1" ht="12" hidden="1">
      <c r="A653" s="465">
        <v>1000099152</v>
      </c>
      <c r="B653" s="466" t="s">
        <v>3163</v>
      </c>
      <c r="C653" s="466" t="s">
        <v>3165</v>
      </c>
      <c r="D653" s="467" t="s">
        <v>1045</v>
      </c>
      <c r="E653" s="468" t="s">
        <v>2471</v>
      </c>
      <c r="F653" s="477" t="s">
        <v>2472</v>
      </c>
      <c r="G653" s="469" t="s">
        <v>2472</v>
      </c>
      <c r="H653" s="470">
        <v>0</v>
      </c>
      <c r="I653" s="471">
        <v>0</v>
      </c>
      <c r="J653" s="472" t="s">
        <v>422</v>
      </c>
      <c r="K653" s="472" t="s">
        <v>2473</v>
      </c>
      <c r="L653" s="473" t="s">
        <v>2474</v>
      </c>
      <c r="M653" s="473" t="s">
        <v>1835</v>
      </c>
      <c r="N653" s="473" t="s">
        <v>204</v>
      </c>
      <c r="O653" s="474" t="s">
        <v>3163</v>
      </c>
    </row>
    <row r="654" spans="1:15" s="475" customFormat="1" ht="12" hidden="1">
      <c r="A654" s="465">
        <v>1000099051</v>
      </c>
      <c r="B654" s="466" t="s">
        <v>3166</v>
      </c>
      <c r="C654" s="466" t="s">
        <v>3166</v>
      </c>
      <c r="D654" s="467" t="s">
        <v>571</v>
      </c>
      <c r="E654" s="468" t="s">
        <v>2471</v>
      </c>
      <c r="F654" s="477" t="s">
        <v>2472</v>
      </c>
      <c r="G654" s="469" t="s">
        <v>2472</v>
      </c>
      <c r="H654" s="470">
        <v>119.3</v>
      </c>
      <c r="I654" s="471">
        <v>9.212355212355213</v>
      </c>
      <c r="J654" s="472" t="s">
        <v>422</v>
      </c>
      <c r="K654" s="472" t="s">
        <v>2473</v>
      </c>
      <c r="L654" s="473" t="s">
        <v>570</v>
      </c>
      <c r="M654" s="473" t="s">
        <v>2732</v>
      </c>
      <c r="N654" s="473" t="s">
        <v>2643</v>
      </c>
      <c r="O654" s="490" t="s">
        <v>3166</v>
      </c>
    </row>
    <row r="655" spans="1:15" s="475" customFormat="1" ht="12" hidden="1">
      <c r="A655" s="465">
        <v>1000099043</v>
      </c>
      <c r="B655" s="466" t="s">
        <v>3167</v>
      </c>
      <c r="C655" s="466" t="s">
        <v>3167</v>
      </c>
      <c r="D655" s="467" t="s">
        <v>3168</v>
      </c>
      <c r="E655" s="468" t="s">
        <v>2471</v>
      </c>
      <c r="F655" s="477" t="s">
        <v>2472</v>
      </c>
      <c r="G655" s="469" t="s">
        <v>2472</v>
      </c>
      <c r="H655" s="470">
        <v>2001</v>
      </c>
      <c r="I655" s="471">
        <v>154.51737451737452</v>
      </c>
      <c r="J655" s="472" t="s">
        <v>422</v>
      </c>
      <c r="K655" s="472" t="s">
        <v>2473</v>
      </c>
      <c r="L655" s="473" t="s">
        <v>530</v>
      </c>
      <c r="M655" s="473" t="s">
        <v>2481</v>
      </c>
      <c r="N655" s="473" t="s">
        <v>204</v>
      </c>
      <c r="O655" s="490" t="s">
        <v>3167</v>
      </c>
    </row>
    <row r="656" spans="1:15" s="475" customFormat="1" ht="12" hidden="1">
      <c r="A656" s="465">
        <v>1000099116</v>
      </c>
      <c r="B656" s="466" t="s">
        <v>3169</v>
      </c>
      <c r="C656" s="466" t="s">
        <v>3169</v>
      </c>
      <c r="D656" s="467" t="s">
        <v>3170</v>
      </c>
      <c r="E656" s="468" t="s">
        <v>2471</v>
      </c>
      <c r="F656" s="477" t="s">
        <v>2472</v>
      </c>
      <c r="G656" s="469" t="s">
        <v>2472</v>
      </c>
      <c r="H656" s="470">
        <v>217</v>
      </c>
      <c r="I656" s="471">
        <v>16.756756756756758</v>
      </c>
      <c r="J656" s="472" t="s">
        <v>422</v>
      </c>
      <c r="K656" s="472" t="s">
        <v>2473</v>
      </c>
      <c r="L656" s="473" t="s">
        <v>2474</v>
      </c>
      <c r="M656" s="473" t="s">
        <v>1835</v>
      </c>
      <c r="N656" s="473" t="s">
        <v>204</v>
      </c>
      <c r="O656" s="490" t="s">
        <v>3169</v>
      </c>
    </row>
    <row r="657" spans="1:15" s="475" customFormat="1" ht="12" hidden="1">
      <c r="A657" s="465">
        <v>1000099153</v>
      </c>
      <c r="B657" s="466" t="s">
        <v>3169</v>
      </c>
      <c r="C657" s="466" t="s">
        <v>3171</v>
      </c>
      <c r="D657" s="467" t="s">
        <v>3170</v>
      </c>
      <c r="E657" s="468" t="s">
        <v>2471</v>
      </c>
      <c r="F657" s="477" t="s">
        <v>2472</v>
      </c>
      <c r="G657" s="469" t="s">
        <v>2472</v>
      </c>
      <c r="H657" s="470">
        <v>236.94</v>
      </c>
      <c r="I657" s="471">
        <v>18.296525096525098</v>
      </c>
      <c r="J657" s="472" t="s">
        <v>422</v>
      </c>
      <c r="K657" s="472" t="s">
        <v>2473</v>
      </c>
      <c r="L657" s="473" t="s">
        <v>2474</v>
      </c>
      <c r="M657" s="473" t="s">
        <v>1835</v>
      </c>
      <c r="N657" s="473" t="s">
        <v>204</v>
      </c>
      <c r="O657" s="490" t="s">
        <v>3169</v>
      </c>
    </row>
    <row r="658" spans="1:15" s="475" customFormat="1" ht="12" hidden="1">
      <c r="A658" s="465">
        <v>1000099117</v>
      </c>
      <c r="B658" s="466" t="s">
        <v>3172</v>
      </c>
      <c r="C658" s="466" t="s">
        <v>3172</v>
      </c>
      <c r="D658" s="467" t="s">
        <v>2470</v>
      </c>
      <c r="E658" s="468" t="s">
        <v>2471</v>
      </c>
      <c r="F658" s="477" t="s">
        <v>2472</v>
      </c>
      <c r="G658" s="469" t="s">
        <v>2472</v>
      </c>
      <c r="H658" s="470">
        <v>1.6</v>
      </c>
      <c r="I658" s="471">
        <v>0.12355212355212357</v>
      </c>
      <c r="J658" s="472" t="s">
        <v>422</v>
      </c>
      <c r="K658" s="472" t="s">
        <v>2473</v>
      </c>
      <c r="L658" s="473" t="s">
        <v>2474</v>
      </c>
      <c r="M658" s="473" t="s">
        <v>1835</v>
      </c>
      <c r="N658" s="473" t="s">
        <v>204</v>
      </c>
      <c r="O658" s="490" t="s">
        <v>3172</v>
      </c>
    </row>
    <row r="659" spans="1:15" s="475" customFormat="1" ht="12" hidden="1">
      <c r="A659" s="465">
        <v>1000099154</v>
      </c>
      <c r="B659" s="466" t="s">
        <v>3172</v>
      </c>
      <c r="C659" s="466" t="s">
        <v>3173</v>
      </c>
      <c r="D659" s="467" t="s">
        <v>2470</v>
      </c>
      <c r="E659" s="468" t="s">
        <v>2471</v>
      </c>
      <c r="F659" s="477" t="s">
        <v>2472</v>
      </c>
      <c r="G659" s="469" t="s">
        <v>2472</v>
      </c>
      <c r="H659" s="470">
        <v>1.77</v>
      </c>
      <c r="I659" s="471">
        <v>0.1366795366795367</v>
      </c>
      <c r="J659" s="472" t="s">
        <v>422</v>
      </c>
      <c r="K659" s="472" t="s">
        <v>2473</v>
      </c>
      <c r="L659" s="473" t="s">
        <v>2474</v>
      </c>
      <c r="M659" s="473" t="s">
        <v>1835</v>
      </c>
      <c r="N659" s="473" t="s">
        <v>204</v>
      </c>
      <c r="O659" s="490" t="s">
        <v>3173</v>
      </c>
    </row>
    <row r="660" spans="1:15" s="475" customFormat="1" ht="12" hidden="1">
      <c r="A660" s="465">
        <v>1000099130</v>
      </c>
      <c r="B660" s="466" t="s">
        <v>3174</v>
      </c>
      <c r="C660" s="466" t="s">
        <v>3174</v>
      </c>
      <c r="D660" s="467" t="s">
        <v>2470</v>
      </c>
      <c r="E660" s="468" t="s">
        <v>2471</v>
      </c>
      <c r="F660" s="477" t="s">
        <v>2472</v>
      </c>
      <c r="G660" s="469" t="s">
        <v>2472</v>
      </c>
      <c r="H660" s="470">
        <v>2.89</v>
      </c>
      <c r="I660" s="471">
        <v>0.22316602316602319</v>
      </c>
      <c r="J660" s="472" t="s">
        <v>422</v>
      </c>
      <c r="K660" s="472" t="s">
        <v>2473</v>
      </c>
      <c r="L660" s="473" t="s">
        <v>2474</v>
      </c>
      <c r="M660" s="473" t="s">
        <v>1835</v>
      </c>
      <c r="N660" s="473" t="s">
        <v>204</v>
      </c>
      <c r="O660" s="490" t="s">
        <v>3174</v>
      </c>
    </row>
    <row r="661" spans="1:15" s="475" customFormat="1" ht="13.5" hidden="1" customHeight="1">
      <c r="A661" s="465">
        <v>1000099167</v>
      </c>
      <c r="B661" s="466" t="s">
        <v>3174</v>
      </c>
      <c r="C661" s="466" t="s">
        <v>3175</v>
      </c>
      <c r="D661" s="467" t="s">
        <v>2470</v>
      </c>
      <c r="E661" s="468" t="s">
        <v>2471</v>
      </c>
      <c r="F661" s="477" t="s">
        <v>2472</v>
      </c>
      <c r="G661" s="469" t="s">
        <v>2472</v>
      </c>
      <c r="H661" s="470">
        <v>3.2</v>
      </c>
      <c r="I661" s="471">
        <v>0.24710424710424714</v>
      </c>
      <c r="J661" s="472" t="s">
        <v>422</v>
      </c>
      <c r="K661" s="472" t="s">
        <v>2473</v>
      </c>
      <c r="L661" s="473" t="s">
        <v>2474</v>
      </c>
      <c r="M661" s="473" t="s">
        <v>1835</v>
      </c>
      <c r="N661" s="473" t="s">
        <v>204</v>
      </c>
      <c r="O661" s="490" t="s">
        <v>3174</v>
      </c>
    </row>
    <row r="662" spans="1:15" s="475" customFormat="1" ht="12" hidden="1">
      <c r="A662" s="465">
        <v>1000099119</v>
      </c>
      <c r="B662" s="466" t="s">
        <v>3176</v>
      </c>
      <c r="C662" s="466" t="s">
        <v>3176</v>
      </c>
      <c r="D662" s="467" t="s">
        <v>1045</v>
      </c>
      <c r="E662" s="468" t="s">
        <v>2471</v>
      </c>
      <c r="F662" s="477" t="s">
        <v>2472</v>
      </c>
      <c r="G662" s="469" t="s">
        <v>2472</v>
      </c>
      <c r="H662" s="470">
        <v>0</v>
      </c>
      <c r="I662" s="471">
        <v>0</v>
      </c>
      <c r="J662" s="472" t="s">
        <v>422</v>
      </c>
      <c r="K662" s="472" t="s">
        <v>2473</v>
      </c>
      <c r="L662" s="473" t="s">
        <v>2474</v>
      </c>
      <c r="M662" s="473" t="s">
        <v>1835</v>
      </c>
      <c r="N662" s="473" t="s">
        <v>204</v>
      </c>
      <c r="O662" s="490" t="s">
        <v>3176</v>
      </c>
    </row>
    <row r="663" spans="1:15" s="475" customFormat="1" ht="12" hidden="1">
      <c r="A663" s="465">
        <v>1000099156</v>
      </c>
      <c r="B663" s="466" t="s">
        <v>3176</v>
      </c>
      <c r="C663" s="466" t="s">
        <v>3177</v>
      </c>
      <c r="D663" s="467" t="s">
        <v>1045</v>
      </c>
      <c r="E663" s="468" t="s">
        <v>2471</v>
      </c>
      <c r="F663" s="477" t="s">
        <v>2472</v>
      </c>
      <c r="G663" s="469" t="s">
        <v>2472</v>
      </c>
      <c r="H663" s="470">
        <v>0</v>
      </c>
      <c r="I663" s="471">
        <v>0</v>
      </c>
      <c r="J663" s="472" t="s">
        <v>422</v>
      </c>
      <c r="K663" s="472" t="s">
        <v>2473</v>
      </c>
      <c r="L663" s="473" t="s">
        <v>2474</v>
      </c>
      <c r="M663" s="473" t="s">
        <v>1835</v>
      </c>
      <c r="N663" s="473" t="s">
        <v>204</v>
      </c>
      <c r="O663" s="490" t="s">
        <v>3176</v>
      </c>
    </row>
    <row r="664" spans="1:15" s="475" customFormat="1" ht="12" hidden="1">
      <c r="A664" s="465">
        <v>1000099118</v>
      </c>
      <c r="B664" s="466" t="s">
        <v>3178</v>
      </c>
      <c r="C664" s="466" t="s">
        <v>3178</v>
      </c>
      <c r="D664" s="467" t="s">
        <v>2470</v>
      </c>
      <c r="E664" s="468" t="s">
        <v>2471</v>
      </c>
      <c r="F664" s="477" t="s">
        <v>2472</v>
      </c>
      <c r="G664" s="469" t="s">
        <v>2472</v>
      </c>
      <c r="H664" s="470">
        <v>0.73</v>
      </c>
      <c r="I664" s="471">
        <v>5.6370656370656372E-2</v>
      </c>
      <c r="J664" s="472" t="s">
        <v>422</v>
      </c>
      <c r="K664" s="472" t="s">
        <v>2473</v>
      </c>
      <c r="L664" s="473" t="s">
        <v>2474</v>
      </c>
      <c r="M664" s="473" t="s">
        <v>1835</v>
      </c>
      <c r="N664" s="473" t="s">
        <v>204</v>
      </c>
      <c r="O664" s="490" t="s">
        <v>3178</v>
      </c>
    </row>
    <row r="665" spans="1:15" s="475" customFormat="1" ht="12" hidden="1">
      <c r="A665" s="465">
        <v>1000099155</v>
      </c>
      <c r="B665" s="466" t="s">
        <v>3178</v>
      </c>
      <c r="C665" s="466" t="s">
        <v>3179</v>
      </c>
      <c r="D665" s="467" t="s">
        <v>2470</v>
      </c>
      <c r="E665" s="468" t="s">
        <v>2471</v>
      </c>
      <c r="F665" s="477" t="s">
        <v>2472</v>
      </c>
      <c r="G665" s="469" t="s">
        <v>2472</v>
      </c>
      <c r="H665" s="470">
        <v>0.8</v>
      </c>
      <c r="I665" s="471">
        <v>6.1776061776061784E-2</v>
      </c>
      <c r="J665" s="472" t="s">
        <v>422</v>
      </c>
      <c r="K665" s="472" t="s">
        <v>2473</v>
      </c>
      <c r="L665" s="473" t="s">
        <v>2474</v>
      </c>
      <c r="M665" s="473" t="s">
        <v>1835</v>
      </c>
      <c r="N665" s="473" t="s">
        <v>204</v>
      </c>
      <c r="O665" s="490" t="s">
        <v>3178</v>
      </c>
    </row>
    <row r="666" spans="1:15" s="475" customFormat="1" ht="12" hidden="1">
      <c r="A666" s="465">
        <v>10131000056330</v>
      </c>
      <c r="B666" s="466" t="s">
        <v>3180</v>
      </c>
      <c r="C666" s="466" t="s">
        <v>3180</v>
      </c>
      <c r="D666" s="467" t="s">
        <v>2552</v>
      </c>
      <c r="E666" s="468" t="s">
        <v>2491</v>
      </c>
      <c r="F666" s="477">
        <v>0.55000000000000004</v>
      </c>
      <c r="G666" s="469" t="s">
        <v>2472</v>
      </c>
      <c r="H666" s="470">
        <v>0.45</v>
      </c>
      <c r="I666" s="471">
        <v>0.45</v>
      </c>
      <c r="J666" s="472" t="s">
        <v>423</v>
      </c>
      <c r="K666" s="472" t="s">
        <v>534</v>
      </c>
      <c r="L666" s="473" t="s">
        <v>530</v>
      </c>
      <c r="M666" s="473" t="s">
        <v>1439</v>
      </c>
      <c r="N666" s="473" t="s">
        <v>3181</v>
      </c>
      <c r="O666" s="474" t="s">
        <v>3181</v>
      </c>
    </row>
    <row r="667" spans="1:15" s="475" customFormat="1" ht="12" hidden="1">
      <c r="A667" s="465">
        <v>10131000030981</v>
      </c>
      <c r="B667" s="476" t="s">
        <v>3180</v>
      </c>
      <c r="C667" s="476" t="s">
        <v>3180</v>
      </c>
      <c r="D667" s="467" t="s">
        <v>2552</v>
      </c>
      <c r="E667" s="472" t="s">
        <v>2541</v>
      </c>
      <c r="F667" s="477">
        <v>0.90271199999999996</v>
      </c>
      <c r="G667" s="469" t="s">
        <v>2472</v>
      </c>
      <c r="H667" s="470">
        <v>0.68</v>
      </c>
      <c r="I667" s="471">
        <v>1.0420851522000001</v>
      </c>
      <c r="J667" s="485" t="s">
        <v>421</v>
      </c>
      <c r="K667" s="472" t="s">
        <v>651</v>
      </c>
      <c r="L667" s="473" t="s">
        <v>530</v>
      </c>
      <c r="M667" s="473" t="s">
        <v>1439</v>
      </c>
      <c r="N667" s="473" t="s">
        <v>3181</v>
      </c>
      <c r="O667" s="474" t="s">
        <v>3181</v>
      </c>
    </row>
    <row r="668" spans="1:15" s="475" customFormat="1" ht="12" hidden="1">
      <c r="A668" s="465">
        <v>10131000056688</v>
      </c>
      <c r="B668" s="476" t="s">
        <v>3180</v>
      </c>
      <c r="C668" s="476" t="s">
        <v>3180</v>
      </c>
      <c r="D668" s="467" t="s">
        <v>2552</v>
      </c>
      <c r="E668" s="472" t="s">
        <v>2491</v>
      </c>
      <c r="F668" s="477">
        <v>0.91</v>
      </c>
      <c r="G668" s="469" t="s">
        <v>2472</v>
      </c>
      <c r="H668" s="470">
        <v>1.04</v>
      </c>
      <c r="I668" s="471">
        <v>1.04</v>
      </c>
      <c r="J668" s="485" t="s">
        <v>421</v>
      </c>
      <c r="K668" s="472" t="s">
        <v>651</v>
      </c>
      <c r="L668" s="473" t="s">
        <v>530</v>
      </c>
      <c r="M668" s="473" t="s">
        <v>1439</v>
      </c>
      <c r="N668" s="473" t="s">
        <v>3181</v>
      </c>
      <c r="O668" s="474" t="s">
        <v>3181</v>
      </c>
    </row>
    <row r="669" spans="1:15" s="475" customFormat="1" ht="12" hidden="1">
      <c r="A669" s="465">
        <v>10131000020660</v>
      </c>
      <c r="B669" s="476" t="s">
        <v>3180</v>
      </c>
      <c r="C669" s="476" t="s">
        <v>3182</v>
      </c>
      <c r="D669" s="467" t="s">
        <v>2552</v>
      </c>
      <c r="E669" s="472" t="s">
        <v>2491</v>
      </c>
      <c r="F669" s="477">
        <v>1.1499999999999999</v>
      </c>
      <c r="G669" s="469" t="s">
        <v>2472</v>
      </c>
      <c r="H669" s="487">
        <v>2.04</v>
      </c>
      <c r="I669" s="471">
        <v>2.04</v>
      </c>
      <c r="J669" s="488" t="s">
        <v>2492</v>
      </c>
      <c r="K669" s="472" t="s">
        <v>666</v>
      </c>
      <c r="L669" s="473" t="s">
        <v>530</v>
      </c>
      <c r="M669" s="473" t="s">
        <v>1439</v>
      </c>
      <c r="N669" s="473" t="s">
        <v>3181</v>
      </c>
      <c r="O669" s="474" t="s">
        <v>3181</v>
      </c>
    </row>
    <row r="670" spans="1:15" s="475" customFormat="1" ht="12" hidden="1">
      <c r="A670" s="465">
        <v>10131000056648</v>
      </c>
      <c r="B670" s="476" t="s">
        <v>3180</v>
      </c>
      <c r="C670" s="476" t="s">
        <v>3180</v>
      </c>
      <c r="D670" s="467" t="s">
        <v>2552</v>
      </c>
      <c r="E670" s="472" t="s">
        <v>2491</v>
      </c>
      <c r="F670" s="477">
        <v>2.14</v>
      </c>
      <c r="G670" s="469" t="s">
        <v>2472</v>
      </c>
      <c r="H670" s="487">
        <v>1.95</v>
      </c>
      <c r="I670" s="471">
        <v>1.95</v>
      </c>
      <c r="J670" s="488" t="s">
        <v>2492</v>
      </c>
      <c r="K670" s="472" t="s">
        <v>2522</v>
      </c>
      <c r="L670" s="473" t="s">
        <v>530</v>
      </c>
      <c r="M670" s="473" t="s">
        <v>1439</v>
      </c>
      <c r="N670" s="473" t="s">
        <v>3181</v>
      </c>
      <c r="O670" s="474" t="s">
        <v>3181</v>
      </c>
    </row>
    <row r="671" spans="1:15" s="475" customFormat="1" ht="12" hidden="1">
      <c r="A671" s="465">
        <v>1000058603</v>
      </c>
      <c r="B671" s="476" t="s">
        <v>3180</v>
      </c>
      <c r="C671" s="476" t="s">
        <v>3183</v>
      </c>
      <c r="D671" s="467" t="s">
        <v>2552</v>
      </c>
      <c r="E671" s="472" t="s">
        <v>2491</v>
      </c>
      <c r="F671" s="477" t="s">
        <v>2472</v>
      </c>
      <c r="G671" s="469" t="s">
        <v>2472</v>
      </c>
      <c r="H671" s="487">
        <v>2.95</v>
      </c>
      <c r="I671" s="471">
        <v>2.95</v>
      </c>
      <c r="J671" s="488" t="s">
        <v>2492</v>
      </c>
      <c r="K671" s="472" t="s">
        <v>658</v>
      </c>
      <c r="L671" s="473" t="s">
        <v>530</v>
      </c>
      <c r="M671" s="473" t="s">
        <v>1439</v>
      </c>
      <c r="N671" s="473" t="s">
        <v>3181</v>
      </c>
      <c r="O671" s="474" t="s">
        <v>3181</v>
      </c>
    </row>
    <row r="672" spans="1:15" s="475" customFormat="1" ht="12" hidden="1">
      <c r="A672" s="465">
        <v>1000099032</v>
      </c>
      <c r="B672" s="466" t="s">
        <v>3180</v>
      </c>
      <c r="C672" s="466" t="s">
        <v>3180</v>
      </c>
      <c r="D672" s="467" t="s">
        <v>2552</v>
      </c>
      <c r="E672" s="468" t="s">
        <v>2471</v>
      </c>
      <c r="F672" s="477" t="s">
        <v>2472</v>
      </c>
      <c r="G672" s="469" t="s">
        <v>2472</v>
      </c>
      <c r="H672" s="470" t="s">
        <v>425</v>
      </c>
      <c r="I672" s="471" t="s">
        <v>425</v>
      </c>
      <c r="J672" s="472" t="s">
        <v>422</v>
      </c>
      <c r="K672" s="472" t="s">
        <v>2473</v>
      </c>
      <c r="L672" s="473" t="s">
        <v>530</v>
      </c>
      <c r="M672" s="473" t="s">
        <v>1439</v>
      </c>
      <c r="N672" s="473" t="s">
        <v>3181</v>
      </c>
      <c r="O672" s="474" t="s">
        <v>3181</v>
      </c>
    </row>
    <row r="673" spans="1:15" s="475" customFormat="1" ht="12" hidden="1">
      <c r="A673" s="465">
        <v>10131000020662</v>
      </c>
      <c r="B673" s="476" t="s">
        <v>3184</v>
      </c>
      <c r="C673" s="476" t="s">
        <v>3184</v>
      </c>
      <c r="D673" s="467" t="s">
        <v>1045</v>
      </c>
      <c r="E673" s="472" t="s">
        <v>2491</v>
      </c>
      <c r="F673" s="477">
        <v>0</v>
      </c>
      <c r="G673" s="469" t="s">
        <v>2472</v>
      </c>
      <c r="H673" s="470">
        <v>1E-8</v>
      </c>
      <c r="I673" s="471">
        <v>0</v>
      </c>
      <c r="J673" s="472" t="s">
        <v>2492</v>
      </c>
      <c r="K673" s="478" t="s">
        <v>2522</v>
      </c>
      <c r="L673" s="479" t="s">
        <v>530</v>
      </c>
      <c r="M673" s="479" t="s">
        <v>1439</v>
      </c>
      <c r="N673" s="479" t="s">
        <v>3185</v>
      </c>
      <c r="O673" s="480" t="s">
        <v>3185</v>
      </c>
    </row>
    <row r="674" spans="1:15" s="475" customFormat="1" ht="12" hidden="1">
      <c r="A674" s="465">
        <v>10131000023995</v>
      </c>
      <c r="B674" s="476" t="s">
        <v>3184</v>
      </c>
      <c r="C674" s="476" t="s">
        <v>3184</v>
      </c>
      <c r="D674" s="467" t="s">
        <v>1045</v>
      </c>
      <c r="E674" s="472" t="s">
        <v>2541</v>
      </c>
      <c r="F674" s="477">
        <v>0</v>
      </c>
      <c r="G674" s="469" t="s">
        <v>2472</v>
      </c>
      <c r="H674" s="470">
        <v>1E-8</v>
      </c>
      <c r="I674" s="471">
        <v>1.5324781650000001E-8</v>
      </c>
      <c r="J674" s="485" t="s">
        <v>421</v>
      </c>
      <c r="K674" s="472" t="s">
        <v>651</v>
      </c>
      <c r="L674" s="473" t="s">
        <v>530</v>
      </c>
      <c r="M674" s="473" t="s">
        <v>1439</v>
      </c>
      <c r="N674" s="473" t="s">
        <v>3185</v>
      </c>
      <c r="O674" s="474" t="s">
        <v>3185</v>
      </c>
    </row>
    <row r="675" spans="1:15" s="475" customFormat="1" ht="12" hidden="1">
      <c r="A675" s="465">
        <v>10131000023996</v>
      </c>
      <c r="B675" s="476" t="s">
        <v>3184</v>
      </c>
      <c r="C675" s="476" t="s">
        <v>3184</v>
      </c>
      <c r="D675" s="467" t="s">
        <v>1045</v>
      </c>
      <c r="E675" s="472" t="s">
        <v>2541</v>
      </c>
      <c r="F675" s="477">
        <v>0</v>
      </c>
      <c r="G675" s="469" t="s">
        <v>2472</v>
      </c>
      <c r="H675" s="470">
        <v>1E-8</v>
      </c>
      <c r="I675" s="471">
        <v>1.5324781650000001E-8</v>
      </c>
      <c r="J675" s="485" t="s">
        <v>421</v>
      </c>
      <c r="K675" s="472" t="s">
        <v>651</v>
      </c>
      <c r="L675" s="473" t="s">
        <v>530</v>
      </c>
      <c r="M675" s="473" t="s">
        <v>1439</v>
      </c>
      <c r="N675" s="473" t="s">
        <v>3185</v>
      </c>
      <c r="O675" s="474" t="s">
        <v>3185</v>
      </c>
    </row>
    <row r="676" spans="1:15" s="475" customFormat="1" ht="12" hidden="1">
      <c r="A676" s="465">
        <v>10131000053721</v>
      </c>
      <c r="B676" s="476" t="s">
        <v>3184</v>
      </c>
      <c r="C676" s="476" t="s">
        <v>3184</v>
      </c>
      <c r="D676" s="467" t="s">
        <v>1045</v>
      </c>
      <c r="E676" s="472" t="s">
        <v>2491</v>
      </c>
      <c r="F676" s="477">
        <v>0</v>
      </c>
      <c r="G676" s="469" t="s">
        <v>2472</v>
      </c>
      <c r="H676" s="470">
        <v>1E-8</v>
      </c>
      <c r="I676" s="471">
        <v>1E-8</v>
      </c>
      <c r="J676" s="485" t="s">
        <v>421</v>
      </c>
      <c r="K676" s="472" t="s">
        <v>651</v>
      </c>
      <c r="L676" s="473" t="s">
        <v>530</v>
      </c>
      <c r="M676" s="473" t="s">
        <v>1439</v>
      </c>
      <c r="N676" s="473" t="s">
        <v>3185</v>
      </c>
      <c r="O676" s="474" t="s">
        <v>3185</v>
      </c>
    </row>
    <row r="677" spans="1:15" s="475" customFormat="1" ht="12" hidden="1">
      <c r="A677" s="465">
        <v>10131000055771</v>
      </c>
      <c r="B677" s="476" t="s">
        <v>3184</v>
      </c>
      <c r="C677" s="476" t="s">
        <v>3184</v>
      </c>
      <c r="D677" s="467" t="s">
        <v>1045</v>
      </c>
      <c r="E677" s="472" t="s">
        <v>2541</v>
      </c>
      <c r="F677" s="477">
        <v>0</v>
      </c>
      <c r="G677" s="469" t="s">
        <v>2472</v>
      </c>
      <c r="H677" s="470">
        <v>1E-8</v>
      </c>
      <c r="I677" s="471">
        <v>1.5324781650000001E-8</v>
      </c>
      <c r="J677" s="485" t="s">
        <v>421</v>
      </c>
      <c r="K677" s="472" t="s">
        <v>651</v>
      </c>
      <c r="L677" s="473" t="s">
        <v>530</v>
      </c>
      <c r="M677" s="473" t="s">
        <v>1439</v>
      </c>
      <c r="N677" s="473" t="s">
        <v>3185</v>
      </c>
      <c r="O677" s="474" t="s">
        <v>3185</v>
      </c>
    </row>
    <row r="678" spans="1:15" s="475" customFormat="1" ht="12" hidden="1">
      <c r="A678" s="465">
        <v>10131000009900</v>
      </c>
      <c r="B678" s="466" t="s">
        <v>3184</v>
      </c>
      <c r="C678" s="466" t="s">
        <v>3184</v>
      </c>
      <c r="D678" s="467" t="s">
        <v>1045</v>
      </c>
      <c r="E678" s="468" t="s">
        <v>2491</v>
      </c>
      <c r="F678" s="477">
        <v>0</v>
      </c>
      <c r="G678" s="469" t="s">
        <v>2472</v>
      </c>
      <c r="H678" s="470">
        <v>0</v>
      </c>
      <c r="I678" s="471">
        <v>0</v>
      </c>
      <c r="J678" s="472" t="s">
        <v>423</v>
      </c>
      <c r="K678" s="472" t="s">
        <v>534</v>
      </c>
      <c r="L678" s="473" t="s">
        <v>530</v>
      </c>
      <c r="M678" s="473" t="s">
        <v>1439</v>
      </c>
      <c r="N678" s="473" t="s">
        <v>3185</v>
      </c>
      <c r="O678" s="474" t="s">
        <v>3185</v>
      </c>
    </row>
    <row r="679" spans="1:15" s="475" customFormat="1" ht="12" hidden="1">
      <c r="A679" s="465">
        <v>10131000053723</v>
      </c>
      <c r="B679" s="476" t="s">
        <v>3186</v>
      </c>
      <c r="C679" s="476" t="s">
        <v>3186</v>
      </c>
      <c r="D679" s="467" t="s">
        <v>2552</v>
      </c>
      <c r="E679" s="472" t="s">
        <v>2541</v>
      </c>
      <c r="F679" s="477">
        <v>0</v>
      </c>
      <c r="G679" s="469" t="s">
        <v>2472</v>
      </c>
      <c r="H679" s="470">
        <v>1E-8</v>
      </c>
      <c r="I679" s="471">
        <v>1.5324781650000001E-8</v>
      </c>
      <c r="J679" s="485" t="s">
        <v>421</v>
      </c>
      <c r="K679" s="472" t="s">
        <v>651</v>
      </c>
      <c r="L679" s="473" t="s">
        <v>530</v>
      </c>
      <c r="M679" s="473" t="s">
        <v>1439</v>
      </c>
      <c r="N679" s="473" t="s">
        <v>1718</v>
      </c>
      <c r="O679" s="474" t="s">
        <v>3187</v>
      </c>
    </row>
    <row r="680" spans="1:15" s="475" customFormat="1" ht="12" hidden="1">
      <c r="A680" s="465">
        <v>10131000053726</v>
      </c>
      <c r="B680" s="476" t="s">
        <v>3186</v>
      </c>
      <c r="C680" s="476" t="s">
        <v>3186</v>
      </c>
      <c r="D680" s="467" t="s">
        <v>2552</v>
      </c>
      <c r="E680" s="472" t="s">
        <v>2541</v>
      </c>
      <c r="F680" s="477">
        <v>0</v>
      </c>
      <c r="G680" s="469" t="s">
        <v>2472</v>
      </c>
      <c r="H680" s="470">
        <v>1E-8</v>
      </c>
      <c r="I680" s="471">
        <v>1.5324781650000001E-8</v>
      </c>
      <c r="J680" s="485" t="s">
        <v>421</v>
      </c>
      <c r="K680" s="472" t="s">
        <v>651</v>
      </c>
      <c r="L680" s="473" t="s">
        <v>530</v>
      </c>
      <c r="M680" s="473" t="s">
        <v>1439</v>
      </c>
      <c r="N680" s="473" t="s">
        <v>1718</v>
      </c>
      <c r="O680" s="474" t="s">
        <v>3187</v>
      </c>
    </row>
    <row r="681" spans="1:15" s="475" customFormat="1" ht="12" hidden="1">
      <c r="A681" s="465">
        <v>10131000053738</v>
      </c>
      <c r="B681" s="476" t="s">
        <v>3186</v>
      </c>
      <c r="C681" s="476" t="s">
        <v>3186</v>
      </c>
      <c r="D681" s="467" t="s">
        <v>2552</v>
      </c>
      <c r="E681" s="472" t="s">
        <v>2491</v>
      </c>
      <c r="F681" s="477">
        <v>0</v>
      </c>
      <c r="G681" s="469" t="s">
        <v>2472</v>
      </c>
      <c r="H681" s="470">
        <v>1E-8</v>
      </c>
      <c r="I681" s="471">
        <v>1E-8</v>
      </c>
      <c r="J681" s="485" t="s">
        <v>421</v>
      </c>
      <c r="K681" s="472" t="s">
        <v>651</v>
      </c>
      <c r="L681" s="473" t="s">
        <v>530</v>
      </c>
      <c r="M681" s="473" t="s">
        <v>1439</v>
      </c>
      <c r="N681" s="473" t="s">
        <v>1718</v>
      </c>
      <c r="O681" s="474" t="s">
        <v>3187</v>
      </c>
    </row>
    <row r="682" spans="1:15" s="475" customFormat="1" ht="12" hidden="1">
      <c r="A682" s="465">
        <v>10131000024055</v>
      </c>
      <c r="B682" s="476" t="s">
        <v>3186</v>
      </c>
      <c r="C682" s="476" t="s">
        <v>3186</v>
      </c>
      <c r="D682" s="467" t="s">
        <v>2552</v>
      </c>
      <c r="E682" s="468" t="s">
        <v>2491</v>
      </c>
      <c r="F682" s="477">
        <v>0.32300000000000001</v>
      </c>
      <c r="G682" s="469" t="s">
        <v>2472</v>
      </c>
      <c r="H682" s="470">
        <v>0.35</v>
      </c>
      <c r="I682" s="471">
        <v>0.35</v>
      </c>
      <c r="J682" s="472" t="s">
        <v>423</v>
      </c>
      <c r="K682" s="472" t="s">
        <v>534</v>
      </c>
      <c r="L682" s="473" t="s">
        <v>530</v>
      </c>
      <c r="M682" s="473" t="s">
        <v>1439</v>
      </c>
      <c r="N682" s="473" t="s">
        <v>1718</v>
      </c>
      <c r="O682" s="474" t="s">
        <v>3187</v>
      </c>
    </row>
    <row r="683" spans="1:15" s="475" customFormat="1" ht="12" hidden="1">
      <c r="A683" s="465">
        <v>10131000024002</v>
      </c>
      <c r="B683" s="476" t="s">
        <v>3186</v>
      </c>
      <c r="C683" s="476" t="s">
        <v>3186</v>
      </c>
      <c r="D683" s="467" t="s">
        <v>2552</v>
      </c>
      <c r="E683" s="472" t="s">
        <v>2541</v>
      </c>
      <c r="F683" s="477">
        <v>0.68014680000000005</v>
      </c>
      <c r="G683" s="469" t="s">
        <v>2472</v>
      </c>
      <c r="H683" s="470">
        <v>0.51</v>
      </c>
      <c r="I683" s="471">
        <v>0.78156386415000001</v>
      </c>
      <c r="J683" s="485" t="s">
        <v>421</v>
      </c>
      <c r="K683" s="472" t="s">
        <v>651</v>
      </c>
      <c r="L683" s="473" t="s">
        <v>530</v>
      </c>
      <c r="M683" s="473" t="s">
        <v>1439</v>
      </c>
      <c r="N683" s="473" t="s">
        <v>1718</v>
      </c>
      <c r="O683" s="474" t="s">
        <v>3187</v>
      </c>
    </row>
    <row r="684" spans="1:15" s="475" customFormat="1" ht="12" hidden="1">
      <c r="A684" s="465">
        <v>10131000024001</v>
      </c>
      <c r="B684" s="476" t="s">
        <v>3186</v>
      </c>
      <c r="C684" s="476" t="s">
        <v>3186</v>
      </c>
      <c r="D684" s="467" t="s">
        <v>2552</v>
      </c>
      <c r="E684" s="472" t="s">
        <v>2541</v>
      </c>
      <c r="F684" s="477">
        <v>0.71594400000000002</v>
      </c>
      <c r="G684" s="469" t="s">
        <v>2472</v>
      </c>
      <c r="H684" s="470">
        <v>0.51</v>
      </c>
      <c r="I684" s="471">
        <v>0.78156386415000001</v>
      </c>
      <c r="J684" s="485" t="s">
        <v>421</v>
      </c>
      <c r="K684" s="472" t="s">
        <v>651</v>
      </c>
      <c r="L684" s="473" t="s">
        <v>530</v>
      </c>
      <c r="M684" s="473" t="s">
        <v>1439</v>
      </c>
      <c r="N684" s="473" t="s">
        <v>1718</v>
      </c>
      <c r="O684" s="474" t="s">
        <v>3187</v>
      </c>
    </row>
    <row r="685" spans="1:15" s="475" customFormat="1" ht="12" hidden="1">
      <c r="A685" s="465">
        <v>10131000056592</v>
      </c>
      <c r="B685" s="476" t="s">
        <v>3186</v>
      </c>
      <c r="C685" s="476" t="s">
        <v>3186</v>
      </c>
      <c r="D685" s="467" t="s">
        <v>2552</v>
      </c>
      <c r="E685" s="472" t="s">
        <v>2491</v>
      </c>
      <c r="F685" s="477">
        <v>0.72</v>
      </c>
      <c r="G685" s="469" t="s">
        <v>2472</v>
      </c>
      <c r="H685" s="470">
        <v>0.79</v>
      </c>
      <c r="I685" s="471">
        <v>0.79</v>
      </c>
      <c r="J685" s="485" t="s">
        <v>421</v>
      </c>
      <c r="K685" s="472" t="s">
        <v>651</v>
      </c>
      <c r="L685" s="473" t="s">
        <v>530</v>
      </c>
      <c r="M685" s="473" t="s">
        <v>1439</v>
      </c>
      <c r="N685" s="473" t="s">
        <v>1718</v>
      </c>
      <c r="O685" s="474" t="s">
        <v>3187</v>
      </c>
    </row>
    <row r="686" spans="1:15" s="475" customFormat="1" ht="12" hidden="1">
      <c r="A686" s="465">
        <v>10131000020664</v>
      </c>
      <c r="B686" s="476" t="s">
        <v>3186</v>
      </c>
      <c r="C686" s="476" t="s">
        <v>3188</v>
      </c>
      <c r="D686" s="467" t="s">
        <v>2552</v>
      </c>
      <c r="E686" s="472" t="s">
        <v>2491</v>
      </c>
      <c r="F686" s="477">
        <v>1.5295000000000001</v>
      </c>
      <c r="G686" s="469">
        <v>1.5</v>
      </c>
      <c r="H686" s="487">
        <v>0.22</v>
      </c>
      <c r="I686" s="471">
        <v>0.22</v>
      </c>
      <c r="J686" s="488" t="s">
        <v>2492</v>
      </c>
      <c r="K686" s="472" t="s">
        <v>2522</v>
      </c>
      <c r="L686" s="473" t="s">
        <v>530</v>
      </c>
      <c r="M686" s="473" t="s">
        <v>1439</v>
      </c>
      <c r="N686" s="473" t="s">
        <v>1718</v>
      </c>
      <c r="O686" s="474" t="s">
        <v>3187</v>
      </c>
    </row>
    <row r="687" spans="1:15" s="475" customFormat="1" ht="12" hidden="1">
      <c r="A687" s="465">
        <v>1000058604</v>
      </c>
      <c r="B687" s="476" t="s">
        <v>3186</v>
      </c>
      <c r="C687" s="476" t="s">
        <v>3189</v>
      </c>
      <c r="D687" s="467" t="s">
        <v>2552</v>
      </c>
      <c r="E687" s="472" t="s">
        <v>2491</v>
      </c>
      <c r="F687" s="477" t="s">
        <v>2472</v>
      </c>
      <c r="G687" s="469" t="s">
        <v>2472</v>
      </c>
      <c r="H687" s="487">
        <v>0.37</v>
      </c>
      <c r="I687" s="471">
        <v>0.37</v>
      </c>
      <c r="J687" s="488" t="s">
        <v>2492</v>
      </c>
      <c r="K687" s="472" t="s">
        <v>658</v>
      </c>
      <c r="L687" s="473" t="s">
        <v>530</v>
      </c>
      <c r="M687" s="473" t="s">
        <v>1439</v>
      </c>
      <c r="N687" s="473" t="s">
        <v>1718</v>
      </c>
      <c r="O687" s="474" t="s">
        <v>3187</v>
      </c>
    </row>
    <row r="688" spans="1:15" s="475" customFormat="1" ht="12" hidden="1">
      <c r="A688" s="465">
        <v>10131000024045</v>
      </c>
      <c r="B688" s="466" t="s">
        <v>3190</v>
      </c>
      <c r="C688" s="466" t="s">
        <v>3190</v>
      </c>
      <c r="D688" s="467" t="s">
        <v>1045</v>
      </c>
      <c r="E688" s="468" t="s">
        <v>2491</v>
      </c>
      <c r="F688" s="477">
        <v>0</v>
      </c>
      <c r="G688" s="469" t="s">
        <v>2472</v>
      </c>
      <c r="H688" s="470">
        <v>0</v>
      </c>
      <c r="I688" s="471">
        <v>0</v>
      </c>
      <c r="J688" s="472" t="s">
        <v>423</v>
      </c>
      <c r="K688" s="472" t="s">
        <v>534</v>
      </c>
      <c r="L688" s="473" t="s">
        <v>530</v>
      </c>
      <c r="M688" s="473" t="s">
        <v>1439</v>
      </c>
      <c r="N688" s="473" t="s">
        <v>3191</v>
      </c>
      <c r="O688" s="474" t="s">
        <v>3191</v>
      </c>
    </row>
    <row r="689" spans="1:15" s="475" customFormat="1" ht="12" hidden="1">
      <c r="A689" s="465">
        <v>10131000024018</v>
      </c>
      <c r="B689" s="466" t="s">
        <v>3192</v>
      </c>
      <c r="C689" s="466" t="s">
        <v>3192</v>
      </c>
      <c r="D689" s="467" t="s">
        <v>3193</v>
      </c>
      <c r="E689" s="468" t="s">
        <v>2491</v>
      </c>
      <c r="F689" s="477">
        <v>160</v>
      </c>
      <c r="G689" s="469" t="s">
        <v>2472</v>
      </c>
      <c r="H689" s="470">
        <v>155</v>
      </c>
      <c r="I689" s="471">
        <v>155</v>
      </c>
      <c r="J689" s="472" t="s">
        <v>423</v>
      </c>
      <c r="K689" s="472" t="s">
        <v>534</v>
      </c>
      <c r="L689" s="473" t="s">
        <v>530</v>
      </c>
      <c r="M689" s="473" t="s">
        <v>1439</v>
      </c>
      <c r="N689" s="473" t="s">
        <v>3194</v>
      </c>
      <c r="O689" s="474" t="s">
        <v>3194</v>
      </c>
    </row>
    <row r="690" spans="1:15" s="475" customFormat="1" ht="12" hidden="1">
      <c r="A690" s="465">
        <v>10131000023986</v>
      </c>
      <c r="B690" s="476" t="s">
        <v>3192</v>
      </c>
      <c r="C690" s="476" t="s">
        <v>3192</v>
      </c>
      <c r="D690" s="467" t="s">
        <v>3193</v>
      </c>
      <c r="E690" s="472" t="s">
        <v>2541</v>
      </c>
      <c r="F690" s="477">
        <v>194.73676800000001</v>
      </c>
      <c r="G690" s="469" t="s">
        <v>2472</v>
      </c>
      <c r="H690" s="470">
        <v>147.02000000000001</v>
      </c>
      <c r="I690" s="471">
        <v>225.3049398183</v>
      </c>
      <c r="J690" s="485" t="s">
        <v>421</v>
      </c>
      <c r="K690" s="472" t="s">
        <v>651</v>
      </c>
      <c r="L690" s="473" t="s">
        <v>530</v>
      </c>
      <c r="M690" s="473" t="s">
        <v>1439</v>
      </c>
      <c r="N690" s="473" t="s">
        <v>3194</v>
      </c>
      <c r="O690" s="474" t="s">
        <v>3194</v>
      </c>
    </row>
    <row r="691" spans="1:15" s="475" customFormat="1" ht="12" hidden="1">
      <c r="A691" s="465">
        <v>10131000056594</v>
      </c>
      <c r="B691" s="476" t="s">
        <v>3192</v>
      </c>
      <c r="C691" s="476" t="s">
        <v>3192</v>
      </c>
      <c r="D691" s="467" t="s">
        <v>3193</v>
      </c>
      <c r="E691" s="472" t="s">
        <v>2491</v>
      </c>
      <c r="F691" s="477">
        <v>195.63</v>
      </c>
      <c r="G691" s="469" t="s">
        <v>2472</v>
      </c>
      <c r="H691" s="470">
        <v>225.3</v>
      </c>
      <c r="I691" s="471">
        <v>225.3</v>
      </c>
      <c r="J691" s="485" t="s">
        <v>421</v>
      </c>
      <c r="K691" s="472" t="s">
        <v>651</v>
      </c>
      <c r="L691" s="473" t="s">
        <v>530</v>
      </c>
      <c r="M691" s="473" t="s">
        <v>1439</v>
      </c>
      <c r="N691" s="473" t="s">
        <v>3194</v>
      </c>
      <c r="O691" s="474" t="s">
        <v>3194</v>
      </c>
    </row>
    <row r="692" spans="1:15" s="475" customFormat="1" ht="12" hidden="1">
      <c r="A692" s="465">
        <v>10131000020645</v>
      </c>
      <c r="B692" s="476" t="s">
        <v>3192</v>
      </c>
      <c r="C692" s="476" t="s">
        <v>3195</v>
      </c>
      <c r="D692" s="467" t="s">
        <v>3193</v>
      </c>
      <c r="E692" s="472" t="s">
        <v>2491</v>
      </c>
      <c r="F692" s="477">
        <v>198.2</v>
      </c>
      <c r="G692" s="469">
        <v>222.76</v>
      </c>
      <c r="H692" s="487">
        <v>223.67</v>
      </c>
      <c r="I692" s="471">
        <v>223.67</v>
      </c>
      <c r="J692" s="488" t="s">
        <v>2492</v>
      </c>
      <c r="K692" s="472" t="s">
        <v>2522</v>
      </c>
      <c r="L692" s="473" t="s">
        <v>530</v>
      </c>
      <c r="M692" s="473" t="s">
        <v>1439</v>
      </c>
      <c r="N692" s="473" t="s">
        <v>3194</v>
      </c>
      <c r="O692" s="474" t="s">
        <v>3194</v>
      </c>
    </row>
    <row r="693" spans="1:15" s="475" customFormat="1" ht="12" hidden="1">
      <c r="A693" s="465">
        <v>10131000020648</v>
      </c>
      <c r="B693" s="476" t="s">
        <v>3192</v>
      </c>
      <c r="C693" s="476" t="s">
        <v>3196</v>
      </c>
      <c r="D693" s="467" t="s">
        <v>3193</v>
      </c>
      <c r="E693" s="472" t="s">
        <v>2491</v>
      </c>
      <c r="F693" s="477">
        <v>224.18</v>
      </c>
      <c r="G693" s="469" t="s">
        <v>2472</v>
      </c>
      <c r="H693" s="487">
        <v>230.22</v>
      </c>
      <c r="I693" s="471">
        <v>230.22</v>
      </c>
      <c r="J693" s="488" t="s">
        <v>2492</v>
      </c>
      <c r="K693" s="472" t="s">
        <v>666</v>
      </c>
      <c r="L693" s="473" t="s">
        <v>530</v>
      </c>
      <c r="M693" s="473" t="s">
        <v>1439</v>
      </c>
      <c r="N693" s="473" t="s">
        <v>3194</v>
      </c>
      <c r="O693" s="474" t="s">
        <v>3194</v>
      </c>
    </row>
    <row r="694" spans="1:15" s="475" customFormat="1" ht="12" hidden="1">
      <c r="A694" s="465">
        <v>10131000039540</v>
      </c>
      <c r="B694" s="489" t="s">
        <v>3192</v>
      </c>
      <c r="C694" s="489" t="s">
        <v>3197</v>
      </c>
      <c r="D694" s="467" t="s">
        <v>2578</v>
      </c>
      <c r="E694" s="478" t="s">
        <v>2514</v>
      </c>
      <c r="F694" s="477">
        <v>2776.5426119999997</v>
      </c>
      <c r="G694" s="469" t="s">
        <v>2472</v>
      </c>
      <c r="H694" s="481">
        <v>316401</v>
      </c>
      <c r="I694" s="482">
        <v>3229.97</v>
      </c>
      <c r="J694" s="483" t="s">
        <v>2515</v>
      </c>
      <c r="K694" s="483" t="s">
        <v>2515</v>
      </c>
      <c r="L694" s="473" t="s">
        <v>530</v>
      </c>
      <c r="M694" s="473" t="s">
        <v>1439</v>
      </c>
      <c r="N694" s="473" t="s">
        <v>3194</v>
      </c>
      <c r="O694" s="474" t="s">
        <v>3194</v>
      </c>
    </row>
    <row r="695" spans="1:15" s="475" customFormat="1" ht="12" hidden="1">
      <c r="A695" s="465">
        <v>1000058602</v>
      </c>
      <c r="B695" s="476" t="s">
        <v>3192</v>
      </c>
      <c r="C695" s="476" t="s">
        <v>3198</v>
      </c>
      <c r="D695" s="467" t="s">
        <v>3193</v>
      </c>
      <c r="E695" s="472" t="s">
        <v>2491</v>
      </c>
      <c r="F695" s="477" t="s">
        <v>2472</v>
      </c>
      <c r="G695" s="469" t="s">
        <v>2472</v>
      </c>
      <c r="H695" s="487">
        <v>326.69</v>
      </c>
      <c r="I695" s="471">
        <v>326.69</v>
      </c>
      <c r="J695" s="488" t="s">
        <v>2492</v>
      </c>
      <c r="K695" s="472" t="s">
        <v>658</v>
      </c>
      <c r="L695" s="473" t="s">
        <v>530</v>
      </c>
      <c r="M695" s="473" t="s">
        <v>1439</v>
      </c>
      <c r="N695" s="473" t="s">
        <v>3194</v>
      </c>
      <c r="O695" s="474" t="s">
        <v>3194</v>
      </c>
    </row>
    <row r="696" spans="1:15" s="475" customFormat="1" ht="12" hidden="1">
      <c r="A696" s="465">
        <v>10131000052452</v>
      </c>
      <c r="B696" s="489" t="s">
        <v>3192</v>
      </c>
      <c r="C696" s="489" t="s">
        <v>3199</v>
      </c>
      <c r="D696" s="467" t="s">
        <v>2578</v>
      </c>
      <c r="E696" s="478" t="s">
        <v>2514</v>
      </c>
      <c r="F696" s="477" t="s">
        <v>2472</v>
      </c>
      <c r="G696" s="469" t="s">
        <v>2472</v>
      </c>
      <c r="H696" s="481">
        <v>316401</v>
      </c>
      <c r="I696" s="482">
        <v>3229.97</v>
      </c>
      <c r="J696" s="483" t="s">
        <v>2515</v>
      </c>
      <c r="K696" s="483" t="s">
        <v>2515</v>
      </c>
      <c r="L696" s="473" t="s">
        <v>530</v>
      </c>
      <c r="M696" s="473" t="s">
        <v>1439</v>
      </c>
      <c r="N696" s="473" t="s">
        <v>3194</v>
      </c>
      <c r="O696" s="474" t="s">
        <v>3194</v>
      </c>
    </row>
    <row r="697" spans="1:15" s="475" customFormat="1" ht="12" hidden="1">
      <c r="A697" s="465">
        <v>1000099001</v>
      </c>
      <c r="B697" s="466" t="s">
        <v>3192</v>
      </c>
      <c r="C697" s="466" t="s">
        <v>3192</v>
      </c>
      <c r="D697" s="467" t="s">
        <v>3193</v>
      </c>
      <c r="E697" s="468" t="s">
        <v>2471</v>
      </c>
      <c r="F697" s="477" t="s">
        <v>2472</v>
      </c>
      <c r="G697" s="469" t="s">
        <v>2472</v>
      </c>
      <c r="H697" s="470" t="s">
        <v>425</v>
      </c>
      <c r="I697" s="470" t="s">
        <v>425</v>
      </c>
      <c r="J697" s="472" t="s">
        <v>422</v>
      </c>
      <c r="K697" s="472" t="s">
        <v>2473</v>
      </c>
      <c r="L697" s="473" t="s">
        <v>530</v>
      </c>
      <c r="M697" s="473" t="s">
        <v>1439</v>
      </c>
      <c r="N697" s="473" t="s">
        <v>3194</v>
      </c>
      <c r="O697" s="474" t="s">
        <v>3194</v>
      </c>
    </row>
    <row r="698" spans="1:15" s="475" customFormat="1" ht="12" hidden="1">
      <c r="A698" s="465">
        <v>10131000056364</v>
      </c>
      <c r="B698" s="466" t="s">
        <v>3200</v>
      </c>
      <c r="C698" s="466" t="s">
        <v>3200</v>
      </c>
      <c r="D698" s="467" t="s">
        <v>3193</v>
      </c>
      <c r="E698" s="468" t="s">
        <v>2491</v>
      </c>
      <c r="F698" s="477">
        <v>105</v>
      </c>
      <c r="G698" s="469" t="s">
        <v>2472</v>
      </c>
      <c r="H698" s="470">
        <v>90</v>
      </c>
      <c r="I698" s="471">
        <v>90</v>
      </c>
      <c r="J698" s="472" t="s">
        <v>423</v>
      </c>
      <c r="K698" s="472" t="s">
        <v>534</v>
      </c>
      <c r="L698" s="473" t="s">
        <v>530</v>
      </c>
      <c r="M698" s="473" t="s">
        <v>1439</v>
      </c>
      <c r="N698" s="473" t="s">
        <v>3201</v>
      </c>
      <c r="O698" s="474" t="s">
        <v>3201</v>
      </c>
    </row>
    <row r="699" spans="1:15" s="475" customFormat="1" ht="12" hidden="1">
      <c r="A699" s="465">
        <v>10131000056637</v>
      </c>
      <c r="B699" s="476" t="s">
        <v>3200</v>
      </c>
      <c r="C699" s="476" t="s">
        <v>3200</v>
      </c>
      <c r="D699" s="467" t="s">
        <v>3193</v>
      </c>
      <c r="E699" s="472" t="s">
        <v>2491</v>
      </c>
      <c r="F699" s="477">
        <v>105.41</v>
      </c>
      <c r="G699" s="469" t="s">
        <v>2472</v>
      </c>
      <c r="H699" s="487">
        <v>110.82</v>
      </c>
      <c r="I699" s="471">
        <v>110.82</v>
      </c>
      <c r="J699" s="488" t="s">
        <v>2492</v>
      </c>
      <c r="K699" s="472" t="s">
        <v>2522</v>
      </c>
      <c r="L699" s="473" t="s">
        <v>530</v>
      </c>
      <c r="M699" s="473" t="s">
        <v>1439</v>
      </c>
      <c r="N699" s="473" t="s">
        <v>3201</v>
      </c>
      <c r="O699" s="474" t="s">
        <v>3201</v>
      </c>
    </row>
    <row r="700" spans="1:15" s="475" customFormat="1" ht="12" hidden="1">
      <c r="A700" s="465">
        <v>10131000023975</v>
      </c>
      <c r="B700" s="466" t="s">
        <v>3202</v>
      </c>
      <c r="C700" s="466" t="s">
        <v>3202</v>
      </c>
      <c r="D700" s="467" t="s">
        <v>1448</v>
      </c>
      <c r="E700" s="468" t="s">
        <v>2491</v>
      </c>
      <c r="F700" s="477">
        <v>9</v>
      </c>
      <c r="G700" s="469" t="s">
        <v>2472</v>
      </c>
      <c r="H700" s="470">
        <v>8.5</v>
      </c>
      <c r="I700" s="471">
        <v>8.5</v>
      </c>
      <c r="J700" s="472" t="s">
        <v>423</v>
      </c>
      <c r="K700" s="472" t="s">
        <v>534</v>
      </c>
      <c r="L700" s="473" t="s">
        <v>530</v>
      </c>
      <c r="M700" s="473" t="s">
        <v>1439</v>
      </c>
      <c r="N700" s="473" t="s">
        <v>3203</v>
      </c>
      <c r="O700" s="474" t="s">
        <v>3203</v>
      </c>
    </row>
    <row r="701" spans="1:15" s="475" customFormat="1" ht="12" hidden="1">
      <c r="A701" s="465">
        <v>10131000024008</v>
      </c>
      <c r="B701" s="476" t="s">
        <v>3202</v>
      </c>
      <c r="C701" s="476" t="s">
        <v>3202</v>
      </c>
      <c r="D701" s="467" t="s">
        <v>1448</v>
      </c>
      <c r="E701" s="472" t="s">
        <v>2541</v>
      </c>
      <c r="F701" s="477">
        <v>18.194316000000001</v>
      </c>
      <c r="G701" s="469" t="s">
        <v>2472</v>
      </c>
      <c r="H701" s="470">
        <v>13.74</v>
      </c>
      <c r="I701" s="471">
        <v>21.056249987099999</v>
      </c>
      <c r="J701" s="485" t="s">
        <v>421</v>
      </c>
      <c r="K701" s="472" t="s">
        <v>651</v>
      </c>
      <c r="L701" s="473" t="s">
        <v>530</v>
      </c>
      <c r="M701" s="473" t="s">
        <v>1439</v>
      </c>
      <c r="N701" s="473" t="s">
        <v>3203</v>
      </c>
      <c r="O701" s="474" t="s">
        <v>3203</v>
      </c>
    </row>
    <row r="702" spans="1:15" s="475" customFormat="1" ht="12" hidden="1">
      <c r="A702" s="465">
        <v>10131000024009</v>
      </c>
      <c r="B702" s="476" t="s">
        <v>3202</v>
      </c>
      <c r="C702" s="476" t="s">
        <v>3202</v>
      </c>
      <c r="D702" s="467" t="s">
        <v>1448</v>
      </c>
      <c r="E702" s="472" t="s">
        <v>2541</v>
      </c>
      <c r="F702" s="477">
        <v>18.194316000000001</v>
      </c>
      <c r="G702" s="469" t="s">
        <v>2472</v>
      </c>
      <c r="H702" s="470">
        <v>13.74</v>
      </c>
      <c r="I702" s="471">
        <v>21.056249987099999</v>
      </c>
      <c r="J702" s="485" t="s">
        <v>421</v>
      </c>
      <c r="K702" s="472" t="s">
        <v>651</v>
      </c>
      <c r="L702" s="473" t="s">
        <v>530</v>
      </c>
      <c r="M702" s="473" t="s">
        <v>1439</v>
      </c>
      <c r="N702" s="473" t="s">
        <v>3203</v>
      </c>
      <c r="O702" s="474" t="s">
        <v>3203</v>
      </c>
    </row>
    <row r="703" spans="1:15" s="475" customFormat="1" ht="12" hidden="1">
      <c r="A703" s="465">
        <v>10131000024050</v>
      </c>
      <c r="B703" s="466" t="s">
        <v>3204</v>
      </c>
      <c r="C703" s="466" t="s">
        <v>3204</v>
      </c>
      <c r="D703" s="467" t="s">
        <v>3205</v>
      </c>
      <c r="E703" s="468" t="s">
        <v>2491</v>
      </c>
      <c r="F703" s="477">
        <v>0.90249999999999997</v>
      </c>
      <c r="G703" s="469" t="s">
        <v>2472</v>
      </c>
      <c r="H703" s="470">
        <v>0.9</v>
      </c>
      <c r="I703" s="471">
        <v>0.9</v>
      </c>
      <c r="J703" s="472" t="s">
        <v>423</v>
      </c>
      <c r="K703" s="472" t="s">
        <v>534</v>
      </c>
      <c r="L703" s="473" t="s">
        <v>530</v>
      </c>
      <c r="M703" s="473" t="s">
        <v>1439</v>
      </c>
      <c r="N703" s="473" t="s">
        <v>1718</v>
      </c>
      <c r="O703" s="474" t="s">
        <v>3206</v>
      </c>
    </row>
    <row r="704" spans="1:15" s="475" customFormat="1" ht="12" hidden="1">
      <c r="A704" s="465">
        <v>1000099035</v>
      </c>
      <c r="B704" s="466" t="s">
        <v>3204</v>
      </c>
      <c r="C704" s="466" t="s">
        <v>3204</v>
      </c>
      <c r="D704" s="467" t="s">
        <v>3205</v>
      </c>
      <c r="E704" s="468" t="s">
        <v>2471</v>
      </c>
      <c r="F704" s="477" t="s">
        <v>2472</v>
      </c>
      <c r="G704" s="469" t="s">
        <v>2472</v>
      </c>
      <c r="H704" s="470" t="s">
        <v>425</v>
      </c>
      <c r="I704" s="471" t="s">
        <v>425</v>
      </c>
      <c r="J704" s="472" t="s">
        <v>422</v>
      </c>
      <c r="K704" s="472" t="s">
        <v>2473</v>
      </c>
      <c r="L704" s="473" t="s">
        <v>530</v>
      </c>
      <c r="M704" s="473" t="s">
        <v>1439</v>
      </c>
      <c r="N704" s="473" t="s">
        <v>1718</v>
      </c>
      <c r="O704" s="474" t="s">
        <v>3206</v>
      </c>
    </row>
    <row r="705" spans="1:15" s="475" customFormat="1" ht="12" hidden="1">
      <c r="A705" s="465">
        <v>10131000036493</v>
      </c>
      <c r="B705" s="466" t="s">
        <v>3207</v>
      </c>
      <c r="C705" s="466" t="s">
        <v>3207</v>
      </c>
      <c r="D705" s="467" t="s">
        <v>1045</v>
      </c>
      <c r="E705" s="468" t="s">
        <v>2491</v>
      </c>
      <c r="F705" s="477">
        <v>0</v>
      </c>
      <c r="G705" s="469" t="s">
        <v>2472</v>
      </c>
      <c r="H705" s="470">
        <v>0</v>
      </c>
      <c r="I705" s="471">
        <v>0</v>
      </c>
      <c r="J705" s="472" t="s">
        <v>423</v>
      </c>
      <c r="K705" s="472" t="s">
        <v>534</v>
      </c>
      <c r="L705" s="473" t="s">
        <v>530</v>
      </c>
      <c r="M705" s="473" t="s">
        <v>1439</v>
      </c>
      <c r="N705" s="473" t="s">
        <v>3208</v>
      </c>
      <c r="O705" s="474" t="s">
        <v>3208</v>
      </c>
    </row>
    <row r="706" spans="1:15" s="475" customFormat="1" ht="12" hidden="1">
      <c r="A706" s="465">
        <v>10131000055781</v>
      </c>
      <c r="B706" s="476" t="s">
        <v>3209</v>
      </c>
      <c r="C706" s="476" t="s">
        <v>3209</v>
      </c>
      <c r="D706" s="467" t="s">
        <v>3193</v>
      </c>
      <c r="E706" s="472" t="s">
        <v>2541</v>
      </c>
      <c r="F706" s="477">
        <v>0</v>
      </c>
      <c r="G706" s="469" t="s">
        <v>2472</v>
      </c>
      <c r="H706" s="470">
        <v>1E-8</v>
      </c>
      <c r="I706" s="471">
        <v>1.5324781650000001E-8</v>
      </c>
      <c r="J706" s="485" t="s">
        <v>421</v>
      </c>
      <c r="K706" s="472" t="s">
        <v>651</v>
      </c>
      <c r="L706" s="473" t="s">
        <v>530</v>
      </c>
      <c r="M706" s="473" t="s">
        <v>1439</v>
      </c>
      <c r="N706" s="473" t="s">
        <v>3210</v>
      </c>
      <c r="O706" s="474" t="s">
        <v>3210</v>
      </c>
    </row>
    <row r="707" spans="1:15" s="475" customFormat="1" ht="12" hidden="1">
      <c r="A707" s="465">
        <v>10131000055784</v>
      </c>
      <c r="B707" s="476" t="s">
        <v>3209</v>
      </c>
      <c r="C707" s="476" t="s">
        <v>3209</v>
      </c>
      <c r="D707" s="467" t="s">
        <v>3193</v>
      </c>
      <c r="E707" s="472" t="s">
        <v>2541</v>
      </c>
      <c r="F707" s="477">
        <v>0</v>
      </c>
      <c r="G707" s="469" t="s">
        <v>2472</v>
      </c>
      <c r="H707" s="470">
        <v>1E-8</v>
      </c>
      <c r="I707" s="471">
        <v>1.5324781650000001E-8</v>
      </c>
      <c r="J707" s="485" t="s">
        <v>421</v>
      </c>
      <c r="K707" s="472" t="s">
        <v>651</v>
      </c>
      <c r="L707" s="473" t="s">
        <v>530</v>
      </c>
      <c r="M707" s="473" t="s">
        <v>1439</v>
      </c>
      <c r="N707" s="473" t="s">
        <v>3210</v>
      </c>
      <c r="O707" s="474" t="s">
        <v>3210</v>
      </c>
    </row>
    <row r="708" spans="1:15" s="475" customFormat="1" ht="12" hidden="1">
      <c r="A708" s="465">
        <v>10131000023977</v>
      </c>
      <c r="B708" s="466" t="s">
        <v>3209</v>
      </c>
      <c r="C708" s="466" t="s">
        <v>3209</v>
      </c>
      <c r="D708" s="467" t="s">
        <v>3193</v>
      </c>
      <c r="E708" s="468" t="s">
        <v>2491</v>
      </c>
      <c r="F708" s="477">
        <v>2.95</v>
      </c>
      <c r="G708" s="469" t="s">
        <v>2472</v>
      </c>
      <c r="H708" s="470">
        <v>2.95</v>
      </c>
      <c r="I708" s="471">
        <v>2.95</v>
      </c>
      <c r="J708" s="472" t="s">
        <v>423</v>
      </c>
      <c r="K708" s="472" t="s">
        <v>534</v>
      </c>
      <c r="L708" s="473" t="s">
        <v>530</v>
      </c>
      <c r="M708" s="473" t="s">
        <v>1439</v>
      </c>
      <c r="N708" s="473" t="s">
        <v>3210</v>
      </c>
      <c r="O708" s="474" t="s">
        <v>3210</v>
      </c>
    </row>
    <row r="709" spans="1:15" s="475" customFormat="1" ht="12" hidden="1">
      <c r="A709" s="465">
        <v>10131000024062</v>
      </c>
      <c r="B709" s="466" t="s">
        <v>3209</v>
      </c>
      <c r="C709" s="466" t="s">
        <v>3209</v>
      </c>
      <c r="D709" s="467" t="s">
        <v>3193</v>
      </c>
      <c r="E709" s="468" t="s">
        <v>2491</v>
      </c>
      <c r="F709" s="477">
        <v>2.95</v>
      </c>
      <c r="G709" s="469" t="s">
        <v>2472</v>
      </c>
      <c r="H709" s="470">
        <v>2.95</v>
      </c>
      <c r="I709" s="471">
        <v>2.95</v>
      </c>
      <c r="J709" s="472" t="s">
        <v>423</v>
      </c>
      <c r="K709" s="472" t="s">
        <v>534</v>
      </c>
      <c r="L709" s="473" t="s">
        <v>530</v>
      </c>
      <c r="M709" s="473" t="s">
        <v>1439</v>
      </c>
      <c r="N709" s="473" t="s">
        <v>3210</v>
      </c>
      <c r="O709" s="474" t="s">
        <v>3210</v>
      </c>
    </row>
    <row r="710" spans="1:15" s="475" customFormat="1" ht="12" hidden="1">
      <c r="A710" s="465">
        <v>10131000038966</v>
      </c>
      <c r="B710" s="476" t="s">
        <v>3209</v>
      </c>
      <c r="C710" s="476" t="s">
        <v>3209</v>
      </c>
      <c r="D710" s="467" t="s">
        <v>3193</v>
      </c>
      <c r="E710" s="472" t="s">
        <v>2491</v>
      </c>
      <c r="F710" s="477">
        <v>3.96</v>
      </c>
      <c r="G710" s="469" t="s">
        <v>2472</v>
      </c>
      <c r="H710" s="487">
        <v>4.72</v>
      </c>
      <c r="I710" s="471">
        <v>4.72</v>
      </c>
      <c r="J710" s="488" t="s">
        <v>2492</v>
      </c>
      <c r="K710" s="472" t="s">
        <v>2522</v>
      </c>
      <c r="L710" s="473" t="s">
        <v>530</v>
      </c>
      <c r="M710" s="473" t="s">
        <v>1439</v>
      </c>
      <c r="N710" s="473" t="s">
        <v>3210</v>
      </c>
      <c r="O710" s="474" t="s">
        <v>3210</v>
      </c>
    </row>
    <row r="711" spans="1:15" s="475" customFormat="1" ht="12" hidden="1">
      <c r="A711" s="465">
        <v>1000099002</v>
      </c>
      <c r="B711" s="466" t="s">
        <v>3209</v>
      </c>
      <c r="C711" s="466" t="s">
        <v>3209</v>
      </c>
      <c r="D711" s="467" t="s">
        <v>3193</v>
      </c>
      <c r="E711" s="468" t="s">
        <v>2471</v>
      </c>
      <c r="F711" s="477" t="s">
        <v>2472</v>
      </c>
      <c r="G711" s="469" t="s">
        <v>2472</v>
      </c>
      <c r="H711" s="470" t="s">
        <v>425</v>
      </c>
      <c r="I711" s="471" t="s">
        <v>425</v>
      </c>
      <c r="J711" s="472" t="s">
        <v>422</v>
      </c>
      <c r="K711" s="472" t="s">
        <v>2473</v>
      </c>
      <c r="L711" s="473" t="s">
        <v>530</v>
      </c>
      <c r="M711" s="473" t="s">
        <v>1439</v>
      </c>
      <c r="N711" s="473" t="s">
        <v>3210</v>
      </c>
      <c r="O711" s="474" t="s">
        <v>3210</v>
      </c>
    </row>
    <row r="712" spans="1:15" s="475" customFormat="1" ht="12" hidden="1">
      <c r="A712" s="465">
        <v>1000099004</v>
      </c>
      <c r="B712" s="466" t="s">
        <v>3211</v>
      </c>
      <c r="C712" s="466" t="s">
        <v>3211</v>
      </c>
      <c r="D712" s="467" t="s">
        <v>3193</v>
      </c>
      <c r="E712" s="468" t="s">
        <v>2471</v>
      </c>
      <c r="F712" s="477" t="s">
        <v>2472</v>
      </c>
      <c r="G712" s="469" t="s">
        <v>2472</v>
      </c>
      <c r="H712" s="470">
        <v>14300</v>
      </c>
      <c r="I712" s="471">
        <v>1104.2471042471043</v>
      </c>
      <c r="J712" s="472" t="s">
        <v>422</v>
      </c>
      <c r="K712" s="472" t="s">
        <v>2473</v>
      </c>
      <c r="L712" s="473" t="s">
        <v>530</v>
      </c>
      <c r="M712" s="473" t="s">
        <v>1439</v>
      </c>
      <c r="N712" s="473" t="s">
        <v>3212</v>
      </c>
      <c r="O712" s="474" t="s">
        <v>3212</v>
      </c>
    </row>
    <row r="713" spans="1:15" s="475" customFormat="1" ht="12" hidden="1">
      <c r="A713" s="465">
        <v>10131000053710</v>
      </c>
      <c r="B713" s="476" t="s">
        <v>3213</v>
      </c>
      <c r="C713" s="476" t="s">
        <v>3214</v>
      </c>
      <c r="D713" s="467" t="s">
        <v>2552</v>
      </c>
      <c r="E713" s="472" t="s">
        <v>2541</v>
      </c>
      <c r="F713" s="477">
        <v>0</v>
      </c>
      <c r="G713" s="469" t="s">
        <v>2472</v>
      </c>
      <c r="H713" s="470">
        <v>1E-8</v>
      </c>
      <c r="I713" s="471">
        <v>1.5324781650000001E-8</v>
      </c>
      <c r="J713" s="485" t="s">
        <v>421</v>
      </c>
      <c r="K713" s="472" t="s">
        <v>651</v>
      </c>
      <c r="L713" s="473" t="s">
        <v>530</v>
      </c>
      <c r="M713" s="473" t="s">
        <v>1439</v>
      </c>
      <c r="N713" s="473" t="s">
        <v>1718</v>
      </c>
      <c r="O713" s="474" t="s">
        <v>3215</v>
      </c>
    </row>
    <row r="714" spans="1:15" s="475" customFormat="1" ht="12" hidden="1">
      <c r="A714" s="465">
        <v>10131000053730</v>
      </c>
      <c r="B714" s="476" t="s">
        <v>3213</v>
      </c>
      <c r="C714" s="476" t="s">
        <v>3214</v>
      </c>
      <c r="D714" s="467" t="s">
        <v>2552</v>
      </c>
      <c r="E714" s="472" t="s">
        <v>2491</v>
      </c>
      <c r="F714" s="477">
        <v>0</v>
      </c>
      <c r="G714" s="469" t="s">
        <v>2472</v>
      </c>
      <c r="H714" s="470">
        <v>1E-8</v>
      </c>
      <c r="I714" s="471">
        <v>1E-8</v>
      </c>
      <c r="J714" s="485" t="s">
        <v>421</v>
      </c>
      <c r="K714" s="472" t="s">
        <v>651</v>
      </c>
      <c r="L714" s="473" t="s">
        <v>530</v>
      </c>
      <c r="M714" s="473" t="s">
        <v>1439</v>
      </c>
      <c r="N714" s="473" t="s">
        <v>1718</v>
      </c>
      <c r="O714" s="474" t="s">
        <v>3215</v>
      </c>
    </row>
    <row r="715" spans="1:15" s="475" customFormat="1" ht="12" hidden="1">
      <c r="A715" s="465">
        <v>10131000053737</v>
      </c>
      <c r="B715" s="476" t="s">
        <v>3213</v>
      </c>
      <c r="C715" s="476" t="s">
        <v>3214</v>
      </c>
      <c r="D715" s="467" t="s">
        <v>2552</v>
      </c>
      <c r="E715" s="472" t="s">
        <v>2541</v>
      </c>
      <c r="F715" s="477">
        <v>0</v>
      </c>
      <c r="G715" s="469" t="s">
        <v>2472</v>
      </c>
      <c r="H715" s="470">
        <v>1E-8</v>
      </c>
      <c r="I715" s="471">
        <v>1.5324781650000001E-8</v>
      </c>
      <c r="J715" s="485" t="s">
        <v>421</v>
      </c>
      <c r="K715" s="472" t="s">
        <v>651</v>
      </c>
      <c r="L715" s="473" t="s">
        <v>530</v>
      </c>
      <c r="M715" s="473" t="s">
        <v>1439</v>
      </c>
      <c r="N715" s="473" t="s">
        <v>1718</v>
      </c>
      <c r="O715" s="474" t="s">
        <v>3215</v>
      </c>
    </row>
    <row r="716" spans="1:15" s="475" customFormat="1" ht="12" hidden="1">
      <c r="A716" s="465">
        <v>1000099003</v>
      </c>
      <c r="B716" s="466" t="s">
        <v>3216</v>
      </c>
      <c r="C716" s="466" t="s">
        <v>3216</v>
      </c>
      <c r="D716" s="467" t="s">
        <v>3193</v>
      </c>
      <c r="E716" s="468" t="s">
        <v>2471</v>
      </c>
      <c r="F716" s="477" t="s">
        <v>2472</v>
      </c>
      <c r="G716" s="469" t="s">
        <v>2472</v>
      </c>
      <c r="H716" s="470">
        <v>2912</v>
      </c>
      <c r="I716" s="471">
        <v>224.86486486486487</v>
      </c>
      <c r="J716" s="472" t="s">
        <v>422</v>
      </c>
      <c r="K716" s="472" t="s">
        <v>2473</v>
      </c>
      <c r="L716" s="473" t="s">
        <v>530</v>
      </c>
      <c r="M716" s="473" t="s">
        <v>1439</v>
      </c>
      <c r="N716" s="473" t="s">
        <v>3217</v>
      </c>
      <c r="O716" s="474" t="s">
        <v>3217</v>
      </c>
    </row>
    <row r="717" spans="1:15" s="475" customFormat="1" ht="12" hidden="1">
      <c r="A717" s="465">
        <v>1000099111</v>
      </c>
      <c r="B717" s="473" t="s">
        <v>3218</v>
      </c>
      <c r="C717" s="473" t="s">
        <v>3218</v>
      </c>
      <c r="D717" s="467" t="s">
        <v>1045</v>
      </c>
      <c r="E717" s="468" t="s">
        <v>2471</v>
      </c>
      <c r="F717" s="477" t="s">
        <v>2472</v>
      </c>
      <c r="G717" s="469" t="s">
        <v>2472</v>
      </c>
      <c r="H717" s="470">
        <v>0</v>
      </c>
      <c r="I717" s="471">
        <v>0</v>
      </c>
      <c r="J717" s="472" t="s">
        <v>422</v>
      </c>
      <c r="K717" s="472" t="s">
        <v>2473</v>
      </c>
      <c r="L717" s="473" t="s">
        <v>2474</v>
      </c>
      <c r="M717" s="473" t="s">
        <v>1835</v>
      </c>
      <c r="N717" s="473" t="s">
        <v>204</v>
      </c>
      <c r="O717" s="474" t="s">
        <v>3218</v>
      </c>
    </row>
    <row r="718" spans="1:15" s="475" customFormat="1" ht="12" hidden="1">
      <c r="A718" s="465">
        <v>1000099148</v>
      </c>
      <c r="B718" s="473" t="s">
        <v>3218</v>
      </c>
      <c r="C718" s="473" t="s">
        <v>3219</v>
      </c>
      <c r="D718" s="467" t="s">
        <v>1045</v>
      </c>
      <c r="E718" s="468" t="s">
        <v>2471</v>
      </c>
      <c r="F718" s="477" t="s">
        <v>2472</v>
      </c>
      <c r="G718" s="469" t="s">
        <v>2472</v>
      </c>
      <c r="H718" s="470">
        <v>0</v>
      </c>
      <c r="I718" s="471">
        <v>0</v>
      </c>
      <c r="J718" s="472" t="s">
        <v>422</v>
      </c>
      <c r="K718" s="472" t="s">
        <v>2473</v>
      </c>
      <c r="L718" s="473" t="s">
        <v>2474</v>
      </c>
      <c r="M718" s="473" t="s">
        <v>1835</v>
      </c>
      <c r="N718" s="473" t="s">
        <v>204</v>
      </c>
      <c r="O718" s="474" t="s">
        <v>3218</v>
      </c>
    </row>
    <row r="719" spans="1:15" s="475" customFormat="1" ht="12" hidden="1">
      <c r="A719" s="465">
        <v>10131000007861</v>
      </c>
      <c r="B719" s="476" t="s">
        <v>3220</v>
      </c>
      <c r="C719" s="476" t="s">
        <v>3220</v>
      </c>
      <c r="D719" s="467" t="s">
        <v>3221</v>
      </c>
      <c r="E719" s="472" t="s">
        <v>2541</v>
      </c>
      <c r="F719" s="477">
        <v>0</v>
      </c>
      <c r="G719" s="469" t="s">
        <v>2472</v>
      </c>
      <c r="H719" s="470">
        <v>1E-8</v>
      </c>
      <c r="I719" s="471">
        <v>1.5324781650000001E-8</v>
      </c>
      <c r="J719" s="485" t="s">
        <v>421</v>
      </c>
      <c r="K719" s="472" t="s">
        <v>651</v>
      </c>
      <c r="L719" s="473" t="s">
        <v>530</v>
      </c>
      <c r="M719" s="473" t="s">
        <v>1439</v>
      </c>
      <c r="N719" s="473" t="s">
        <v>3222</v>
      </c>
      <c r="O719" s="474" t="s">
        <v>3222</v>
      </c>
    </row>
    <row r="720" spans="1:15" s="475" customFormat="1" ht="12" hidden="1">
      <c r="A720" s="465">
        <v>10131000053707</v>
      </c>
      <c r="B720" s="476" t="s">
        <v>3220</v>
      </c>
      <c r="C720" s="476" t="s">
        <v>3220</v>
      </c>
      <c r="D720" s="467" t="s">
        <v>3221</v>
      </c>
      <c r="E720" s="472" t="s">
        <v>2541</v>
      </c>
      <c r="F720" s="477">
        <v>0</v>
      </c>
      <c r="G720" s="469" t="s">
        <v>2472</v>
      </c>
      <c r="H720" s="470">
        <v>1E-8</v>
      </c>
      <c r="I720" s="471">
        <v>1.5324781650000001E-8</v>
      </c>
      <c r="J720" s="485" t="s">
        <v>421</v>
      </c>
      <c r="K720" s="472" t="s">
        <v>651</v>
      </c>
      <c r="L720" s="473" t="s">
        <v>530</v>
      </c>
      <c r="M720" s="473" t="s">
        <v>1439</v>
      </c>
      <c r="N720" s="473" t="s">
        <v>3222</v>
      </c>
      <c r="O720" s="474" t="s">
        <v>3222</v>
      </c>
    </row>
    <row r="721" spans="1:15" s="475" customFormat="1" ht="12" hidden="1">
      <c r="A721" s="465">
        <v>10131000053728</v>
      </c>
      <c r="B721" s="476" t="s">
        <v>3220</v>
      </c>
      <c r="C721" s="476" t="s">
        <v>3220</v>
      </c>
      <c r="D721" s="467" t="s">
        <v>3221</v>
      </c>
      <c r="E721" s="472" t="s">
        <v>2491</v>
      </c>
      <c r="F721" s="477">
        <v>0</v>
      </c>
      <c r="G721" s="469" t="s">
        <v>2472</v>
      </c>
      <c r="H721" s="470">
        <v>1E-8</v>
      </c>
      <c r="I721" s="471">
        <v>1E-8</v>
      </c>
      <c r="J721" s="485" t="s">
        <v>421</v>
      </c>
      <c r="K721" s="472" t="s">
        <v>651</v>
      </c>
      <c r="L721" s="473" t="s">
        <v>530</v>
      </c>
      <c r="M721" s="473" t="s">
        <v>1439</v>
      </c>
      <c r="N721" s="473" t="s">
        <v>3222</v>
      </c>
      <c r="O721" s="474" t="s">
        <v>3222</v>
      </c>
    </row>
    <row r="722" spans="1:15" s="475" customFormat="1" ht="12" hidden="1">
      <c r="A722" s="465">
        <v>10131000020601</v>
      </c>
      <c r="B722" s="466" t="s">
        <v>3220</v>
      </c>
      <c r="C722" s="466" t="s">
        <v>3220</v>
      </c>
      <c r="D722" s="467" t="s">
        <v>1045</v>
      </c>
      <c r="E722" s="468" t="s">
        <v>2491</v>
      </c>
      <c r="F722" s="477">
        <v>0</v>
      </c>
      <c r="G722" s="469" t="s">
        <v>2472</v>
      </c>
      <c r="H722" s="470">
        <v>0</v>
      </c>
      <c r="I722" s="471">
        <v>0</v>
      </c>
      <c r="J722" s="472" t="s">
        <v>423</v>
      </c>
      <c r="K722" s="472" t="s">
        <v>534</v>
      </c>
      <c r="L722" s="473" t="s">
        <v>530</v>
      </c>
      <c r="M722" s="473" t="s">
        <v>1439</v>
      </c>
      <c r="N722" s="473" t="s">
        <v>3222</v>
      </c>
      <c r="O722" s="474" t="s">
        <v>3222</v>
      </c>
    </row>
    <row r="723" spans="1:15" s="475" customFormat="1" ht="12" hidden="1">
      <c r="A723" s="465">
        <v>10131000022622</v>
      </c>
      <c r="B723" s="466" t="s">
        <v>3223</v>
      </c>
      <c r="C723" s="466" t="s">
        <v>3223</v>
      </c>
      <c r="D723" s="467" t="s">
        <v>3224</v>
      </c>
      <c r="E723" s="468" t="s">
        <v>2491</v>
      </c>
      <c r="F723" s="477">
        <v>833.33045189999996</v>
      </c>
      <c r="G723" s="469" t="s">
        <v>2472</v>
      </c>
      <c r="H723" s="470">
        <v>833.33</v>
      </c>
      <c r="I723" s="471">
        <v>833.33</v>
      </c>
      <c r="J723" s="472" t="s">
        <v>423</v>
      </c>
      <c r="K723" s="472" t="s">
        <v>534</v>
      </c>
      <c r="L723" s="473" t="s">
        <v>530</v>
      </c>
      <c r="M723" s="473" t="s">
        <v>1439</v>
      </c>
      <c r="N723" s="473" t="s">
        <v>3222</v>
      </c>
      <c r="O723" s="474" t="s">
        <v>3224</v>
      </c>
    </row>
    <row r="724" spans="1:15" s="475" customFormat="1" ht="12" hidden="1">
      <c r="A724" s="465">
        <v>10131000030971</v>
      </c>
      <c r="B724" s="476" t="s">
        <v>3225</v>
      </c>
      <c r="C724" s="476" t="s">
        <v>3225</v>
      </c>
      <c r="D724" s="467" t="s">
        <v>3226</v>
      </c>
      <c r="E724" s="472" t="s">
        <v>2541</v>
      </c>
      <c r="F724" s="477">
        <v>0</v>
      </c>
      <c r="G724" s="469" t="s">
        <v>2472</v>
      </c>
      <c r="H724" s="470">
        <v>1E-8</v>
      </c>
      <c r="I724" s="471">
        <v>1.5324781650000001E-8</v>
      </c>
      <c r="J724" s="485" t="s">
        <v>421</v>
      </c>
      <c r="K724" s="472" t="s">
        <v>651</v>
      </c>
      <c r="L724" s="473" t="s">
        <v>530</v>
      </c>
      <c r="M724" s="473" t="s">
        <v>1439</v>
      </c>
      <c r="N724" s="473" t="s">
        <v>3222</v>
      </c>
      <c r="O724" s="474" t="s">
        <v>1718</v>
      </c>
    </row>
    <row r="725" spans="1:15" s="475" customFormat="1" ht="12" hidden="1">
      <c r="A725" s="465">
        <v>10131000053711</v>
      </c>
      <c r="B725" s="476" t="s">
        <v>3225</v>
      </c>
      <c r="C725" s="476" t="s">
        <v>3225</v>
      </c>
      <c r="D725" s="467" t="s">
        <v>3226</v>
      </c>
      <c r="E725" s="472" t="s">
        <v>2541</v>
      </c>
      <c r="F725" s="477">
        <v>0</v>
      </c>
      <c r="G725" s="469" t="s">
        <v>2472</v>
      </c>
      <c r="H725" s="470">
        <v>1E-8</v>
      </c>
      <c r="I725" s="471">
        <v>1.5324781650000001E-8</v>
      </c>
      <c r="J725" s="485" t="s">
        <v>421</v>
      </c>
      <c r="K725" s="472" t="s">
        <v>651</v>
      </c>
      <c r="L725" s="473" t="s">
        <v>530</v>
      </c>
      <c r="M725" s="473" t="s">
        <v>1439</v>
      </c>
      <c r="N725" s="473" t="s">
        <v>3222</v>
      </c>
      <c r="O725" s="474" t="s">
        <v>1718</v>
      </c>
    </row>
    <row r="726" spans="1:15" s="475" customFormat="1" ht="12" hidden="1">
      <c r="A726" s="465">
        <v>10131000053713</v>
      </c>
      <c r="B726" s="476" t="s">
        <v>3225</v>
      </c>
      <c r="C726" s="476" t="s">
        <v>3225</v>
      </c>
      <c r="D726" s="467" t="s">
        <v>3226</v>
      </c>
      <c r="E726" s="472" t="s">
        <v>2491</v>
      </c>
      <c r="F726" s="477">
        <v>0</v>
      </c>
      <c r="G726" s="469" t="s">
        <v>2472</v>
      </c>
      <c r="H726" s="470">
        <v>1E-8</v>
      </c>
      <c r="I726" s="471">
        <v>1E-8</v>
      </c>
      <c r="J726" s="485" t="s">
        <v>421</v>
      </c>
      <c r="K726" s="472" t="s">
        <v>651</v>
      </c>
      <c r="L726" s="473" t="s">
        <v>530</v>
      </c>
      <c r="M726" s="473" t="s">
        <v>1439</v>
      </c>
      <c r="N726" s="473" t="s">
        <v>3222</v>
      </c>
      <c r="O726" s="474" t="s">
        <v>1718</v>
      </c>
    </row>
    <row r="727" spans="1:15" s="475" customFormat="1" ht="12" hidden="1">
      <c r="A727" s="465">
        <v>10131000054434</v>
      </c>
      <c r="B727" s="476" t="s">
        <v>3225</v>
      </c>
      <c r="C727" s="476" t="s">
        <v>3225</v>
      </c>
      <c r="D727" s="467" t="s">
        <v>3226</v>
      </c>
      <c r="E727" s="472" t="s">
        <v>2541</v>
      </c>
      <c r="F727" s="477">
        <v>0</v>
      </c>
      <c r="G727" s="469" t="s">
        <v>2472</v>
      </c>
      <c r="H727" s="470">
        <v>1E-8</v>
      </c>
      <c r="I727" s="471">
        <v>1.5324781650000001E-8</v>
      </c>
      <c r="J727" s="485" t="s">
        <v>421</v>
      </c>
      <c r="K727" s="472" t="s">
        <v>651</v>
      </c>
      <c r="L727" s="473" t="s">
        <v>530</v>
      </c>
      <c r="M727" s="473" t="s">
        <v>1439</v>
      </c>
      <c r="N727" s="473" t="s">
        <v>3222</v>
      </c>
      <c r="O727" s="474" t="s">
        <v>1718</v>
      </c>
    </row>
    <row r="728" spans="1:15" s="475" customFormat="1" ht="12" hidden="1">
      <c r="A728" s="465">
        <v>10131000054867</v>
      </c>
      <c r="B728" s="476" t="s">
        <v>3225</v>
      </c>
      <c r="C728" s="476" t="s">
        <v>3225</v>
      </c>
      <c r="D728" s="467" t="s">
        <v>3226</v>
      </c>
      <c r="E728" s="472" t="s">
        <v>2541</v>
      </c>
      <c r="F728" s="477">
        <v>0</v>
      </c>
      <c r="G728" s="469" t="s">
        <v>2472</v>
      </c>
      <c r="H728" s="470">
        <v>1E-8</v>
      </c>
      <c r="I728" s="471">
        <v>1.5324781650000001E-8</v>
      </c>
      <c r="J728" s="485" t="s">
        <v>421</v>
      </c>
      <c r="K728" s="472" t="s">
        <v>651</v>
      </c>
      <c r="L728" s="473" t="s">
        <v>530</v>
      </c>
      <c r="M728" s="473" t="s">
        <v>1439</v>
      </c>
      <c r="N728" s="473" t="s">
        <v>3222</v>
      </c>
      <c r="O728" s="474" t="s">
        <v>1718</v>
      </c>
    </row>
    <row r="729" spans="1:15" s="475" customFormat="1" ht="12" hidden="1">
      <c r="A729" s="465">
        <v>10131000022621</v>
      </c>
      <c r="B729" s="466" t="s">
        <v>3225</v>
      </c>
      <c r="C729" s="466" t="s">
        <v>3225</v>
      </c>
      <c r="D729" s="467" t="s">
        <v>3226</v>
      </c>
      <c r="E729" s="468" t="s">
        <v>2491</v>
      </c>
      <c r="F729" s="477">
        <v>0.44</v>
      </c>
      <c r="G729" s="469" t="s">
        <v>2472</v>
      </c>
      <c r="H729" s="470">
        <v>0.44</v>
      </c>
      <c r="I729" s="471">
        <v>0.44</v>
      </c>
      <c r="J729" s="472" t="s">
        <v>423</v>
      </c>
      <c r="K729" s="472" t="s">
        <v>534</v>
      </c>
      <c r="L729" s="473" t="s">
        <v>530</v>
      </c>
      <c r="M729" s="473" t="s">
        <v>1439</v>
      </c>
      <c r="N729" s="473" t="s">
        <v>3222</v>
      </c>
      <c r="O729" s="474" t="s">
        <v>1718</v>
      </c>
    </row>
    <row r="730" spans="1:15" s="475" customFormat="1" ht="12" hidden="1">
      <c r="A730" s="465">
        <v>10131000020605</v>
      </c>
      <c r="B730" s="466" t="s">
        <v>3225</v>
      </c>
      <c r="C730" s="466" t="s">
        <v>3225</v>
      </c>
      <c r="D730" s="467" t="s">
        <v>3226</v>
      </c>
      <c r="E730" s="468" t="s">
        <v>2491</v>
      </c>
      <c r="F730" s="477">
        <v>1.57</v>
      </c>
      <c r="G730" s="469" t="s">
        <v>2472</v>
      </c>
      <c r="H730" s="470">
        <v>1.55</v>
      </c>
      <c r="I730" s="471">
        <v>1.55</v>
      </c>
      <c r="J730" s="472" t="s">
        <v>423</v>
      </c>
      <c r="K730" s="472" t="s">
        <v>534</v>
      </c>
      <c r="L730" s="473" t="s">
        <v>530</v>
      </c>
      <c r="M730" s="473" t="s">
        <v>1439</v>
      </c>
      <c r="N730" s="473" t="s">
        <v>3222</v>
      </c>
      <c r="O730" s="474" t="s">
        <v>1718</v>
      </c>
    </row>
    <row r="731" spans="1:15" s="475" customFormat="1" ht="12" hidden="1">
      <c r="A731" s="465">
        <v>10131000020607</v>
      </c>
      <c r="B731" s="466" t="s">
        <v>3227</v>
      </c>
      <c r="C731" s="466" t="s">
        <v>3227</v>
      </c>
      <c r="D731" s="467" t="s">
        <v>3205</v>
      </c>
      <c r="E731" s="468" t="s">
        <v>2491</v>
      </c>
      <c r="F731" s="477">
        <v>5.48</v>
      </c>
      <c r="G731" s="469" t="s">
        <v>2472</v>
      </c>
      <c r="H731" s="470">
        <v>5.4</v>
      </c>
      <c r="I731" s="471">
        <v>5.4</v>
      </c>
      <c r="J731" s="472" t="s">
        <v>423</v>
      </c>
      <c r="K731" s="472" t="s">
        <v>534</v>
      </c>
      <c r="L731" s="473" t="s">
        <v>530</v>
      </c>
      <c r="M731" s="473" t="s">
        <v>1439</v>
      </c>
      <c r="N731" s="473" t="s">
        <v>3222</v>
      </c>
      <c r="O731" s="474" t="s">
        <v>1801</v>
      </c>
    </row>
    <row r="732" spans="1:15" s="475" customFormat="1" ht="12" hidden="1">
      <c r="A732" s="465">
        <v>10131000020603</v>
      </c>
      <c r="B732" s="466" t="s">
        <v>3228</v>
      </c>
      <c r="C732" s="466" t="s">
        <v>3229</v>
      </c>
      <c r="D732" s="467" t="s">
        <v>3221</v>
      </c>
      <c r="E732" s="468" t="s">
        <v>2491</v>
      </c>
      <c r="F732" s="477">
        <v>5.03</v>
      </c>
      <c r="G732" s="469" t="s">
        <v>2472</v>
      </c>
      <c r="H732" s="470">
        <v>5</v>
      </c>
      <c r="I732" s="471">
        <v>5</v>
      </c>
      <c r="J732" s="472" t="s">
        <v>423</v>
      </c>
      <c r="K732" s="472" t="s">
        <v>534</v>
      </c>
      <c r="L732" s="473" t="s">
        <v>530</v>
      </c>
      <c r="M732" s="473" t="s">
        <v>1439</v>
      </c>
      <c r="N732" s="473" t="s">
        <v>3222</v>
      </c>
      <c r="O732" s="474" t="s">
        <v>3230</v>
      </c>
    </row>
    <row r="733" spans="1:15" s="475" customFormat="1" ht="12" hidden="1">
      <c r="A733" s="465">
        <v>10131000053709</v>
      </c>
      <c r="B733" s="476" t="s">
        <v>3231</v>
      </c>
      <c r="C733" s="476" t="s">
        <v>3231</v>
      </c>
      <c r="D733" s="467" t="s">
        <v>1045</v>
      </c>
      <c r="E733" s="472" t="s">
        <v>2541</v>
      </c>
      <c r="F733" s="477">
        <v>0</v>
      </c>
      <c r="G733" s="469" t="s">
        <v>2472</v>
      </c>
      <c r="H733" s="470">
        <v>1E-8</v>
      </c>
      <c r="I733" s="471">
        <v>1.5324781650000001E-8</v>
      </c>
      <c r="J733" s="485" t="s">
        <v>421</v>
      </c>
      <c r="K733" s="472" t="s">
        <v>651</v>
      </c>
      <c r="L733" s="473" t="s">
        <v>530</v>
      </c>
      <c r="M733" s="473" t="s">
        <v>1439</v>
      </c>
      <c r="N733" s="473" t="s">
        <v>3232</v>
      </c>
      <c r="O733" s="474" t="s">
        <v>3232</v>
      </c>
    </row>
    <row r="734" spans="1:15" s="475" customFormat="1" ht="12" hidden="1">
      <c r="A734" s="465">
        <v>10131000053712</v>
      </c>
      <c r="B734" s="476" t="s">
        <v>3231</v>
      </c>
      <c r="C734" s="476" t="s">
        <v>3231</v>
      </c>
      <c r="D734" s="467" t="s">
        <v>1045</v>
      </c>
      <c r="E734" s="472" t="s">
        <v>2491</v>
      </c>
      <c r="F734" s="477">
        <v>0</v>
      </c>
      <c r="G734" s="469" t="s">
        <v>2472</v>
      </c>
      <c r="H734" s="470">
        <v>1E-8</v>
      </c>
      <c r="I734" s="471">
        <v>1E-8</v>
      </c>
      <c r="J734" s="485" t="s">
        <v>421</v>
      </c>
      <c r="K734" s="472" t="s">
        <v>651</v>
      </c>
      <c r="L734" s="473" t="s">
        <v>530</v>
      </c>
      <c r="M734" s="473" t="s">
        <v>1439</v>
      </c>
      <c r="N734" s="473" t="s">
        <v>3232</v>
      </c>
      <c r="O734" s="474" t="s">
        <v>3232</v>
      </c>
    </row>
    <row r="735" spans="1:15" s="475" customFormat="1" ht="12" hidden="1">
      <c r="A735" s="465">
        <v>10131000054948</v>
      </c>
      <c r="B735" s="476" t="s">
        <v>3231</v>
      </c>
      <c r="C735" s="476" t="s">
        <v>3231</v>
      </c>
      <c r="D735" s="467" t="s">
        <v>1045</v>
      </c>
      <c r="E735" s="472" t="s">
        <v>2541</v>
      </c>
      <c r="F735" s="477">
        <v>0</v>
      </c>
      <c r="G735" s="469" t="s">
        <v>2472</v>
      </c>
      <c r="H735" s="470">
        <v>1E-8</v>
      </c>
      <c r="I735" s="471">
        <v>1.5324781650000001E-8</v>
      </c>
      <c r="J735" s="485" t="s">
        <v>421</v>
      </c>
      <c r="K735" s="472" t="s">
        <v>651</v>
      </c>
      <c r="L735" s="473" t="s">
        <v>530</v>
      </c>
      <c r="M735" s="473" t="s">
        <v>1439</v>
      </c>
      <c r="N735" s="473" t="s">
        <v>3232</v>
      </c>
      <c r="O735" s="474" t="s">
        <v>3232</v>
      </c>
    </row>
    <row r="736" spans="1:15" s="475" customFormat="1" ht="12" hidden="1">
      <c r="A736" s="465">
        <v>10131000055751</v>
      </c>
      <c r="B736" s="476" t="s">
        <v>3231</v>
      </c>
      <c r="C736" s="476" t="s">
        <v>3231</v>
      </c>
      <c r="D736" s="467" t="s">
        <v>1045</v>
      </c>
      <c r="E736" s="472" t="s">
        <v>2541</v>
      </c>
      <c r="F736" s="477">
        <v>0</v>
      </c>
      <c r="G736" s="469" t="s">
        <v>2472</v>
      </c>
      <c r="H736" s="470">
        <v>1E-8</v>
      </c>
      <c r="I736" s="471">
        <v>1.5324781650000001E-8</v>
      </c>
      <c r="J736" s="485" t="s">
        <v>421</v>
      </c>
      <c r="K736" s="472" t="s">
        <v>651</v>
      </c>
      <c r="L736" s="473" t="s">
        <v>530</v>
      </c>
      <c r="M736" s="473" t="s">
        <v>1439</v>
      </c>
      <c r="N736" s="473" t="s">
        <v>3232</v>
      </c>
      <c r="O736" s="474" t="s">
        <v>3232</v>
      </c>
    </row>
    <row r="737" spans="1:15" s="475" customFormat="1" ht="12" hidden="1">
      <c r="A737" s="465">
        <v>10131000035261</v>
      </c>
      <c r="B737" s="476" t="s">
        <v>3231</v>
      </c>
      <c r="C737" s="476" t="s">
        <v>3231</v>
      </c>
      <c r="D737" s="467" t="s">
        <v>3233</v>
      </c>
      <c r="E737" s="472" t="s">
        <v>2491</v>
      </c>
      <c r="F737" s="477">
        <v>5.36</v>
      </c>
      <c r="G737" s="469" t="s">
        <v>2472</v>
      </c>
      <c r="H737" s="487">
        <v>6.34</v>
      </c>
      <c r="I737" s="471">
        <v>6.34</v>
      </c>
      <c r="J737" s="488" t="s">
        <v>2492</v>
      </c>
      <c r="K737" s="472" t="s">
        <v>2522</v>
      </c>
      <c r="L737" s="473" t="s">
        <v>530</v>
      </c>
      <c r="M737" s="473" t="s">
        <v>1439</v>
      </c>
      <c r="N737" s="473" t="s">
        <v>3232</v>
      </c>
      <c r="O737" s="474" t="s">
        <v>3232</v>
      </c>
    </row>
    <row r="738" spans="1:15" s="475" customFormat="1" ht="12" hidden="1">
      <c r="A738" s="465">
        <v>10131000035260</v>
      </c>
      <c r="B738" s="489" t="s">
        <v>3231</v>
      </c>
      <c r="C738" s="489" t="s">
        <v>3234</v>
      </c>
      <c r="D738" s="467" t="s">
        <v>2578</v>
      </c>
      <c r="E738" s="478" t="s">
        <v>2514</v>
      </c>
      <c r="F738" s="477">
        <v>106231.23633432</v>
      </c>
      <c r="G738" s="469" t="s">
        <v>2472</v>
      </c>
      <c r="H738" s="481">
        <v>197973</v>
      </c>
      <c r="I738" s="482">
        <v>2021</v>
      </c>
      <c r="J738" s="483" t="s">
        <v>2515</v>
      </c>
      <c r="K738" s="483" t="s">
        <v>2515</v>
      </c>
      <c r="L738" s="473" t="s">
        <v>530</v>
      </c>
      <c r="M738" s="473" t="s">
        <v>1439</v>
      </c>
      <c r="N738" s="473" t="s">
        <v>3232</v>
      </c>
      <c r="O738" s="474" t="s">
        <v>3232</v>
      </c>
    </row>
    <row r="739" spans="1:15" s="475" customFormat="1" ht="12" hidden="1">
      <c r="A739" s="465">
        <v>10131000052459</v>
      </c>
      <c r="B739" s="489" t="s">
        <v>3231</v>
      </c>
      <c r="C739" s="489" t="s">
        <v>3235</v>
      </c>
      <c r="D739" s="467" t="s">
        <v>2578</v>
      </c>
      <c r="E739" s="478" t="s">
        <v>2514</v>
      </c>
      <c r="F739" s="477" t="s">
        <v>2472</v>
      </c>
      <c r="G739" s="469" t="s">
        <v>2472</v>
      </c>
      <c r="H739" s="481">
        <v>197973</v>
      </c>
      <c r="I739" s="482">
        <v>2021</v>
      </c>
      <c r="J739" s="483" t="s">
        <v>2515</v>
      </c>
      <c r="K739" s="483" t="s">
        <v>2515</v>
      </c>
      <c r="L739" s="473" t="s">
        <v>530</v>
      </c>
      <c r="M739" s="473" t="s">
        <v>1439</v>
      </c>
      <c r="N739" s="473" t="s">
        <v>3232</v>
      </c>
      <c r="O739" s="474" t="s">
        <v>3232</v>
      </c>
    </row>
    <row r="740" spans="1:15" s="475" customFormat="1" ht="12" hidden="1">
      <c r="A740" s="465">
        <v>10131000058718</v>
      </c>
      <c r="B740" s="489" t="s">
        <v>3236</v>
      </c>
      <c r="C740" s="489" t="s">
        <v>3237</v>
      </c>
      <c r="D740" s="467" t="s">
        <v>1045</v>
      </c>
      <c r="E740" s="478" t="s">
        <v>2514</v>
      </c>
      <c r="F740" s="477" t="s">
        <v>2472</v>
      </c>
      <c r="G740" s="469" t="s">
        <v>2472</v>
      </c>
      <c r="H740" s="481">
        <v>0</v>
      </c>
      <c r="I740" s="482">
        <v>0</v>
      </c>
      <c r="J740" s="483" t="s">
        <v>2515</v>
      </c>
      <c r="K740" s="483" t="s">
        <v>2515</v>
      </c>
      <c r="L740" s="473" t="s">
        <v>2693</v>
      </c>
      <c r="M740" s="473" t="s">
        <v>1575</v>
      </c>
      <c r="N740" s="473" t="s">
        <v>3238</v>
      </c>
      <c r="O740" s="474" t="s">
        <v>3236</v>
      </c>
    </row>
    <row r="741" spans="1:15" s="475" customFormat="1" ht="12" hidden="1">
      <c r="A741" s="465">
        <v>10131000058719</v>
      </c>
      <c r="B741" s="489" t="s">
        <v>3236</v>
      </c>
      <c r="C741" s="489" t="s">
        <v>3239</v>
      </c>
      <c r="D741" s="467" t="s">
        <v>1045</v>
      </c>
      <c r="E741" s="478" t="s">
        <v>2514</v>
      </c>
      <c r="F741" s="477" t="s">
        <v>2472</v>
      </c>
      <c r="G741" s="469" t="s">
        <v>2472</v>
      </c>
      <c r="H741" s="481">
        <v>0</v>
      </c>
      <c r="I741" s="482">
        <v>0</v>
      </c>
      <c r="J741" s="483" t="s">
        <v>2515</v>
      </c>
      <c r="K741" s="483" t="s">
        <v>2515</v>
      </c>
      <c r="L741" s="473" t="s">
        <v>2693</v>
      </c>
      <c r="M741" s="473" t="s">
        <v>1575</v>
      </c>
      <c r="N741" s="473" t="s">
        <v>3238</v>
      </c>
      <c r="O741" s="474" t="s">
        <v>3236</v>
      </c>
    </row>
    <row r="742" spans="1:15" s="475" customFormat="1" ht="12" hidden="1">
      <c r="A742" s="465">
        <v>10131000058611</v>
      </c>
      <c r="B742" s="489" t="s">
        <v>3236</v>
      </c>
      <c r="C742" s="466" t="s">
        <v>3240</v>
      </c>
      <c r="D742" s="467" t="s">
        <v>1045</v>
      </c>
      <c r="E742" s="472" t="s">
        <v>2541</v>
      </c>
      <c r="F742" s="477" t="s">
        <v>2472</v>
      </c>
      <c r="G742" s="469" t="s">
        <v>2472</v>
      </c>
      <c r="H742" s="470">
        <v>1E-8</v>
      </c>
      <c r="I742" s="471">
        <v>1.5324781650000001E-8</v>
      </c>
      <c r="J742" s="485" t="s">
        <v>421</v>
      </c>
      <c r="K742" s="472" t="s">
        <v>651</v>
      </c>
      <c r="L742" s="473" t="s">
        <v>2693</v>
      </c>
      <c r="M742" s="473" t="s">
        <v>1575</v>
      </c>
      <c r="N742" s="473" t="s">
        <v>3238</v>
      </c>
      <c r="O742" s="474" t="s">
        <v>3236</v>
      </c>
    </row>
    <row r="743" spans="1:15" s="475" customFormat="1" ht="12" hidden="1">
      <c r="A743" s="465">
        <v>10131000057847</v>
      </c>
      <c r="B743" s="466" t="s">
        <v>3236</v>
      </c>
      <c r="C743" s="466" t="s">
        <v>3236</v>
      </c>
      <c r="D743" s="467" t="s">
        <v>1045</v>
      </c>
      <c r="E743" s="468" t="s">
        <v>2491</v>
      </c>
      <c r="F743" s="477" t="s">
        <v>2472</v>
      </c>
      <c r="G743" s="469" t="s">
        <v>2472</v>
      </c>
      <c r="H743" s="470">
        <v>0</v>
      </c>
      <c r="I743" s="471">
        <v>0</v>
      </c>
      <c r="J743" s="472" t="s">
        <v>423</v>
      </c>
      <c r="K743" s="472" t="s">
        <v>534</v>
      </c>
      <c r="L743" s="473" t="s">
        <v>2693</v>
      </c>
      <c r="M743" s="473" t="s">
        <v>1575</v>
      </c>
      <c r="N743" s="473" t="s">
        <v>3238</v>
      </c>
      <c r="O743" s="474" t="s">
        <v>3236</v>
      </c>
    </row>
    <row r="744" spans="1:15" s="475" customFormat="1" ht="12" hidden="1">
      <c r="A744" s="465">
        <v>10131000058619</v>
      </c>
      <c r="B744" s="466" t="s">
        <v>3241</v>
      </c>
      <c r="C744" s="466" t="s">
        <v>3242</v>
      </c>
      <c r="D744" s="467" t="s">
        <v>1045</v>
      </c>
      <c r="E744" s="472" t="s">
        <v>2541</v>
      </c>
      <c r="F744" s="477" t="s">
        <v>2472</v>
      </c>
      <c r="G744" s="469" t="s">
        <v>2472</v>
      </c>
      <c r="H744" s="470">
        <v>1E-8</v>
      </c>
      <c r="I744" s="471">
        <v>1.5324781650000001E-8</v>
      </c>
      <c r="J744" s="485" t="s">
        <v>421</v>
      </c>
      <c r="K744" s="472" t="s">
        <v>651</v>
      </c>
      <c r="L744" s="473" t="s">
        <v>2693</v>
      </c>
      <c r="M744" s="473" t="s">
        <v>1575</v>
      </c>
      <c r="N744" s="473" t="s">
        <v>3241</v>
      </c>
      <c r="O744" s="474" t="s">
        <v>3241</v>
      </c>
    </row>
    <row r="745" spans="1:15" s="475" customFormat="1" ht="12" hidden="1">
      <c r="A745" s="465">
        <v>10131000057846</v>
      </c>
      <c r="B745" s="466" t="s">
        <v>3241</v>
      </c>
      <c r="C745" s="466" t="s">
        <v>3241</v>
      </c>
      <c r="D745" s="467" t="s">
        <v>1045</v>
      </c>
      <c r="E745" s="468" t="s">
        <v>2491</v>
      </c>
      <c r="F745" s="477" t="s">
        <v>2472</v>
      </c>
      <c r="G745" s="469" t="s">
        <v>2472</v>
      </c>
      <c r="H745" s="470">
        <v>0</v>
      </c>
      <c r="I745" s="471">
        <v>0</v>
      </c>
      <c r="J745" s="472" t="s">
        <v>423</v>
      </c>
      <c r="K745" s="472" t="s">
        <v>534</v>
      </c>
      <c r="L745" s="473" t="s">
        <v>2693</v>
      </c>
      <c r="M745" s="473" t="s">
        <v>1575</v>
      </c>
      <c r="N745" s="473" t="s">
        <v>3241</v>
      </c>
      <c r="O745" s="474" t="s">
        <v>3241</v>
      </c>
    </row>
    <row r="746" spans="1:15" s="475" customFormat="1" ht="12" hidden="1">
      <c r="A746" s="465">
        <v>10131000020690</v>
      </c>
      <c r="B746" s="476" t="s">
        <v>1796</v>
      </c>
      <c r="C746" s="476" t="s">
        <v>1796</v>
      </c>
      <c r="D746" s="467" t="s">
        <v>2552</v>
      </c>
      <c r="E746" s="472" t="s">
        <v>2491</v>
      </c>
      <c r="F746" s="477">
        <v>0.49299999999999999</v>
      </c>
      <c r="G746" s="469" t="s">
        <v>2472</v>
      </c>
      <c r="H746" s="487">
        <v>0.6</v>
      </c>
      <c r="I746" s="471">
        <v>0.6</v>
      </c>
      <c r="J746" s="488" t="s">
        <v>2492</v>
      </c>
      <c r="K746" s="472" t="s">
        <v>2522</v>
      </c>
      <c r="L746" s="473" t="s">
        <v>530</v>
      </c>
      <c r="M746" s="473" t="s">
        <v>2481</v>
      </c>
      <c r="N746" s="473" t="s">
        <v>204</v>
      </c>
      <c r="O746" s="490" t="s">
        <v>3243</v>
      </c>
    </row>
    <row r="747" spans="1:15" s="475" customFormat="1" ht="12">
      <c r="A747" s="465">
        <v>10131000020577</v>
      </c>
      <c r="B747" s="476" t="s">
        <v>1796</v>
      </c>
      <c r="C747" s="476" t="s">
        <v>1796</v>
      </c>
      <c r="D747" s="467" t="s">
        <v>2552</v>
      </c>
      <c r="E747" s="468" t="s">
        <v>2491</v>
      </c>
      <c r="F747" s="511">
        <v>0.66300000000000003</v>
      </c>
      <c r="G747" s="469" t="s">
        <v>2472</v>
      </c>
      <c r="H747" s="470">
        <v>0.62</v>
      </c>
      <c r="I747" s="510">
        <v>0.62</v>
      </c>
      <c r="J747" s="472" t="s">
        <v>423</v>
      </c>
      <c r="K747" s="472" t="s">
        <v>534</v>
      </c>
      <c r="L747" s="473" t="s">
        <v>530</v>
      </c>
      <c r="M747" s="473" t="s">
        <v>2481</v>
      </c>
      <c r="N747" s="473" t="s">
        <v>204</v>
      </c>
      <c r="O747" s="490" t="s">
        <v>3243</v>
      </c>
    </row>
    <row r="748" spans="1:15" s="475" customFormat="1" ht="12" hidden="1">
      <c r="A748" s="465">
        <v>1000099034</v>
      </c>
      <c r="B748" s="476" t="s">
        <v>1796</v>
      </c>
      <c r="C748" s="476" t="s">
        <v>1796</v>
      </c>
      <c r="D748" s="467" t="s">
        <v>2552</v>
      </c>
      <c r="E748" s="468" t="s">
        <v>2471</v>
      </c>
      <c r="F748" s="477" t="s">
        <v>2472</v>
      </c>
      <c r="G748" s="469" t="s">
        <v>2472</v>
      </c>
      <c r="H748" s="470">
        <v>6.37</v>
      </c>
      <c r="I748" s="471">
        <v>0.49189189189189192</v>
      </c>
      <c r="J748" s="472" t="s">
        <v>422</v>
      </c>
      <c r="K748" s="472" t="s">
        <v>2473</v>
      </c>
      <c r="L748" s="473" t="s">
        <v>530</v>
      </c>
      <c r="M748" s="473" t="s">
        <v>2481</v>
      </c>
      <c r="N748" s="473" t="s">
        <v>204</v>
      </c>
      <c r="O748" s="490" t="s">
        <v>3243</v>
      </c>
    </row>
    <row r="749" spans="1:15" s="475" customFormat="1" ht="12" hidden="1">
      <c r="A749" s="465">
        <v>1000099127</v>
      </c>
      <c r="B749" s="466" t="s">
        <v>3244</v>
      </c>
      <c r="C749" s="466" t="s">
        <v>3245</v>
      </c>
      <c r="D749" s="467" t="s">
        <v>2685</v>
      </c>
      <c r="E749" s="468" t="s">
        <v>2471</v>
      </c>
      <c r="F749" s="477" t="s">
        <v>2472</v>
      </c>
      <c r="G749" s="469" t="s">
        <v>2472</v>
      </c>
      <c r="H749" s="470">
        <v>225</v>
      </c>
      <c r="I749" s="471">
        <v>17.374517374517374</v>
      </c>
      <c r="J749" s="472" t="s">
        <v>422</v>
      </c>
      <c r="K749" s="472" t="s">
        <v>2473</v>
      </c>
      <c r="L749" s="473" t="s">
        <v>2474</v>
      </c>
      <c r="M749" s="473" t="s">
        <v>1835</v>
      </c>
      <c r="N749" s="473" t="s">
        <v>204</v>
      </c>
      <c r="O749" s="490" t="s">
        <v>3245</v>
      </c>
    </row>
    <row r="750" spans="1:15" s="475" customFormat="1" ht="12" hidden="1">
      <c r="A750" s="465">
        <v>1000099041</v>
      </c>
      <c r="B750" s="466" t="s">
        <v>3246</v>
      </c>
      <c r="C750" s="466" t="s">
        <v>3246</v>
      </c>
      <c r="D750" s="467" t="s">
        <v>2721</v>
      </c>
      <c r="E750" s="468" t="s">
        <v>2471</v>
      </c>
      <c r="F750" s="477" t="s">
        <v>2472</v>
      </c>
      <c r="G750" s="469" t="s">
        <v>2472</v>
      </c>
      <c r="H750" s="470">
        <v>878506</v>
      </c>
      <c r="I750" s="471">
        <v>67838.301158301168</v>
      </c>
      <c r="J750" s="472" t="s">
        <v>422</v>
      </c>
      <c r="K750" s="472" t="s">
        <v>2473</v>
      </c>
      <c r="L750" s="473" t="s">
        <v>530</v>
      </c>
      <c r="M750" s="473" t="s">
        <v>2481</v>
      </c>
      <c r="N750" s="473" t="s">
        <v>204</v>
      </c>
      <c r="O750" s="474" t="s">
        <v>3246</v>
      </c>
    </row>
    <row r="751" spans="1:15" s="475" customFormat="1" ht="12" hidden="1">
      <c r="A751" s="465">
        <v>1000099044</v>
      </c>
      <c r="B751" s="466" t="s">
        <v>3247</v>
      </c>
      <c r="C751" s="466" t="s">
        <v>3247</v>
      </c>
      <c r="D751" s="467" t="s">
        <v>2721</v>
      </c>
      <c r="E751" s="468" t="s">
        <v>2471</v>
      </c>
      <c r="F751" s="477" t="s">
        <v>2472</v>
      </c>
      <c r="G751" s="469" t="s">
        <v>2472</v>
      </c>
      <c r="H751" s="470">
        <v>259129.89</v>
      </c>
      <c r="I751" s="471">
        <v>20010.030115830119</v>
      </c>
      <c r="J751" s="472" t="s">
        <v>422</v>
      </c>
      <c r="K751" s="472" t="s">
        <v>2473</v>
      </c>
      <c r="L751" s="473" t="s">
        <v>530</v>
      </c>
      <c r="M751" s="473" t="s">
        <v>2481</v>
      </c>
      <c r="N751" s="473" t="s">
        <v>204</v>
      </c>
      <c r="O751" s="490" t="s">
        <v>3247</v>
      </c>
    </row>
    <row r="752" spans="1:15" s="475" customFormat="1" ht="12" hidden="1">
      <c r="A752" s="465">
        <v>1000099136</v>
      </c>
      <c r="B752" s="466" t="s">
        <v>3248</v>
      </c>
      <c r="C752" s="466" t="s">
        <v>3248</v>
      </c>
      <c r="D752" s="467" t="s">
        <v>1045</v>
      </c>
      <c r="E752" s="468" t="s">
        <v>2471</v>
      </c>
      <c r="F752" s="477" t="s">
        <v>2472</v>
      </c>
      <c r="G752" s="469" t="s">
        <v>2472</v>
      </c>
      <c r="H752" s="470">
        <v>0</v>
      </c>
      <c r="I752" s="471">
        <v>0</v>
      </c>
      <c r="J752" s="472" t="s">
        <v>422</v>
      </c>
      <c r="K752" s="472" t="s">
        <v>2473</v>
      </c>
      <c r="L752" s="473" t="s">
        <v>2474</v>
      </c>
      <c r="M752" s="473" t="s">
        <v>1835</v>
      </c>
      <c r="N752" s="473" t="s">
        <v>204</v>
      </c>
      <c r="O752" s="490" t="s">
        <v>3248</v>
      </c>
    </row>
    <row r="753" spans="1:15" s="475" customFormat="1" ht="12" hidden="1">
      <c r="A753" s="465">
        <v>1000099173</v>
      </c>
      <c r="B753" s="466" t="s">
        <v>3248</v>
      </c>
      <c r="C753" s="466" t="s">
        <v>3249</v>
      </c>
      <c r="D753" s="467" t="s">
        <v>1045</v>
      </c>
      <c r="E753" s="468" t="s">
        <v>2471</v>
      </c>
      <c r="F753" s="477" t="s">
        <v>2472</v>
      </c>
      <c r="G753" s="469" t="s">
        <v>2472</v>
      </c>
      <c r="H753" s="470">
        <v>0</v>
      </c>
      <c r="I753" s="471">
        <v>0</v>
      </c>
      <c r="J753" s="472" t="s">
        <v>422</v>
      </c>
      <c r="K753" s="472" t="s">
        <v>2473</v>
      </c>
      <c r="L753" s="473" t="s">
        <v>2474</v>
      </c>
      <c r="M753" s="473" t="s">
        <v>1835</v>
      </c>
      <c r="N753" s="473" t="s">
        <v>204</v>
      </c>
      <c r="O753" s="490" t="s">
        <v>3248</v>
      </c>
    </row>
    <row r="754" spans="1:15" s="475" customFormat="1" ht="12" hidden="1">
      <c r="A754" s="465">
        <v>1000099056</v>
      </c>
      <c r="B754" s="466" t="s">
        <v>3250</v>
      </c>
      <c r="C754" s="466" t="s">
        <v>3250</v>
      </c>
      <c r="D754" s="467" t="s">
        <v>3251</v>
      </c>
      <c r="E754" s="468" t="s">
        <v>2471</v>
      </c>
      <c r="F754" s="477" t="s">
        <v>2472</v>
      </c>
      <c r="G754" s="469" t="s">
        <v>2472</v>
      </c>
      <c r="H754" s="470">
        <v>2212</v>
      </c>
      <c r="I754" s="471">
        <v>170.81081081081081</v>
      </c>
      <c r="J754" s="472" t="s">
        <v>422</v>
      </c>
      <c r="K754" s="472" t="s">
        <v>2473</v>
      </c>
      <c r="L754" s="473" t="s">
        <v>570</v>
      </c>
      <c r="M754" s="473" t="s">
        <v>2732</v>
      </c>
      <c r="N754" s="473" t="s">
        <v>2643</v>
      </c>
      <c r="O754" s="490" t="s">
        <v>3250</v>
      </c>
    </row>
    <row r="755" spans="1:15" s="475" customFormat="1" ht="12" hidden="1">
      <c r="A755" s="465">
        <v>1000099137</v>
      </c>
      <c r="B755" s="466" t="s">
        <v>3252</v>
      </c>
      <c r="C755" s="466" t="s">
        <v>3252</v>
      </c>
      <c r="D755" s="467" t="s">
        <v>1045</v>
      </c>
      <c r="E755" s="468" t="s">
        <v>2471</v>
      </c>
      <c r="F755" s="477" t="s">
        <v>2472</v>
      </c>
      <c r="G755" s="469" t="s">
        <v>2472</v>
      </c>
      <c r="H755" s="470">
        <v>0</v>
      </c>
      <c r="I755" s="471">
        <v>0</v>
      </c>
      <c r="J755" s="472" t="s">
        <v>422</v>
      </c>
      <c r="K755" s="472" t="s">
        <v>2473</v>
      </c>
      <c r="L755" s="473" t="s">
        <v>2474</v>
      </c>
      <c r="M755" s="473" t="s">
        <v>1835</v>
      </c>
      <c r="N755" s="473" t="s">
        <v>204</v>
      </c>
      <c r="O755" s="490" t="s">
        <v>3252</v>
      </c>
    </row>
    <row r="756" spans="1:15" s="475" customFormat="1" ht="12" hidden="1">
      <c r="A756" s="465">
        <v>1000099174</v>
      </c>
      <c r="B756" s="466" t="s">
        <v>3252</v>
      </c>
      <c r="C756" s="466" t="s">
        <v>3253</v>
      </c>
      <c r="D756" s="467" t="s">
        <v>1045</v>
      </c>
      <c r="E756" s="468" t="s">
        <v>2471</v>
      </c>
      <c r="F756" s="477" t="s">
        <v>2472</v>
      </c>
      <c r="G756" s="469" t="s">
        <v>2472</v>
      </c>
      <c r="H756" s="470">
        <v>0</v>
      </c>
      <c r="I756" s="471">
        <v>0</v>
      </c>
      <c r="J756" s="472" t="s">
        <v>422</v>
      </c>
      <c r="K756" s="472" t="s">
        <v>2473</v>
      </c>
      <c r="L756" s="473" t="s">
        <v>2474</v>
      </c>
      <c r="M756" s="473" t="s">
        <v>1835</v>
      </c>
      <c r="N756" s="473" t="s">
        <v>204</v>
      </c>
      <c r="O756" s="490" t="s">
        <v>3252</v>
      </c>
    </row>
    <row r="757" spans="1:15" s="475" customFormat="1" ht="12" hidden="1">
      <c r="A757" s="465">
        <v>1000099057</v>
      </c>
      <c r="B757" s="466" t="s">
        <v>3254</v>
      </c>
      <c r="C757" s="466" t="s">
        <v>3254</v>
      </c>
      <c r="D757" s="467" t="s">
        <v>3251</v>
      </c>
      <c r="E757" s="468" t="s">
        <v>2471</v>
      </c>
      <c r="F757" s="477" t="s">
        <v>2472</v>
      </c>
      <c r="G757" s="469" t="s">
        <v>2472</v>
      </c>
      <c r="H757" s="470">
        <v>4375</v>
      </c>
      <c r="I757" s="471">
        <v>337.83783783783787</v>
      </c>
      <c r="J757" s="472" t="s">
        <v>422</v>
      </c>
      <c r="K757" s="472" t="s">
        <v>2473</v>
      </c>
      <c r="L757" s="473" t="s">
        <v>570</v>
      </c>
      <c r="M757" s="473" t="s">
        <v>2732</v>
      </c>
      <c r="N757" s="473" t="s">
        <v>2643</v>
      </c>
      <c r="O757" s="490" t="s">
        <v>3254</v>
      </c>
    </row>
    <row r="758" spans="1:15" s="475" customFormat="1" ht="12" hidden="1">
      <c r="A758" s="465">
        <v>10131000016845</v>
      </c>
      <c r="B758" s="476" t="s">
        <v>686</v>
      </c>
      <c r="C758" s="476" t="s">
        <v>3255</v>
      </c>
      <c r="D758" s="467" t="s">
        <v>571</v>
      </c>
      <c r="E758" s="472" t="s">
        <v>2715</v>
      </c>
      <c r="F758" s="477">
        <v>0</v>
      </c>
      <c r="G758" s="469" t="s">
        <v>2472</v>
      </c>
      <c r="H758" s="470">
        <v>1E-8</v>
      </c>
      <c r="I758" s="471">
        <v>1.3280192891666669E-8</v>
      </c>
      <c r="J758" s="485" t="s">
        <v>421</v>
      </c>
      <c r="K758" s="472" t="s">
        <v>601</v>
      </c>
      <c r="L758" s="473" t="s">
        <v>570</v>
      </c>
      <c r="M758" s="473" t="s">
        <v>571</v>
      </c>
      <c r="N758" s="473" t="s">
        <v>686</v>
      </c>
      <c r="O758" s="474" t="s">
        <v>686</v>
      </c>
    </row>
    <row r="759" spans="1:15" s="475" customFormat="1" ht="12" hidden="1">
      <c r="A759" s="465">
        <v>10131000057332</v>
      </c>
      <c r="B759" s="476" t="s">
        <v>686</v>
      </c>
      <c r="C759" s="476" t="s">
        <v>3256</v>
      </c>
      <c r="D759" s="467" t="s">
        <v>571</v>
      </c>
      <c r="E759" s="472" t="s">
        <v>2491</v>
      </c>
      <c r="F759" s="477">
        <v>33.450000000000003</v>
      </c>
      <c r="G759" s="469" t="s">
        <v>2472</v>
      </c>
      <c r="H759" s="495">
        <v>116.7</v>
      </c>
      <c r="I759" s="471">
        <v>116.7</v>
      </c>
      <c r="J759" s="488" t="s">
        <v>2492</v>
      </c>
      <c r="K759" s="472" t="s">
        <v>678</v>
      </c>
      <c r="L759" s="473" t="s">
        <v>570</v>
      </c>
      <c r="M759" s="473" t="s">
        <v>571</v>
      </c>
      <c r="N759" s="473" t="s">
        <v>686</v>
      </c>
      <c r="O759" s="474" t="s">
        <v>686</v>
      </c>
    </row>
    <row r="760" spans="1:15" s="475" customFormat="1" ht="12" hidden="1">
      <c r="A760" s="465">
        <v>10131000021685</v>
      </c>
      <c r="B760" s="476" t="s">
        <v>686</v>
      </c>
      <c r="C760" s="476" t="s">
        <v>3257</v>
      </c>
      <c r="D760" s="467" t="s">
        <v>571</v>
      </c>
      <c r="E760" s="472" t="s">
        <v>2491</v>
      </c>
      <c r="F760" s="477">
        <v>34.590000000000003</v>
      </c>
      <c r="G760" s="469" t="s">
        <v>2472</v>
      </c>
      <c r="H760" s="487">
        <v>58.74</v>
      </c>
      <c r="I760" s="471">
        <v>58.74</v>
      </c>
      <c r="J760" s="488" t="s">
        <v>2492</v>
      </c>
      <c r="K760" s="472" t="s">
        <v>668</v>
      </c>
      <c r="L760" s="473" t="s">
        <v>570</v>
      </c>
      <c r="M760" s="473" t="s">
        <v>571</v>
      </c>
      <c r="N760" s="473" t="s">
        <v>686</v>
      </c>
      <c r="O760" s="474" t="s">
        <v>686</v>
      </c>
    </row>
    <row r="761" spans="1:15" s="475" customFormat="1" ht="12" hidden="1">
      <c r="A761" s="465">
        <v>10131000021680</v>
      </c>
      <c r="B761" s="476" t="s">
        <v>686</v>
      </c>
      <c r="C761" s="476" t="s">
        <v>3258</v>
      </c>
      <c r="D761" s="467" t="s">
        <v>571</v>
      </c>
      <c r="E761" s="472" t="s">
        <v>2491</v>
      </c>
      <c r="F761" s="477">
        <v>34.799999999999997</v>
      </c>
      <c r="G761" s="469" t="s">
        <v>2472</v>
      </c>
      <c r="H761" s="487">
        <v>84.28</v>
      </c>
      <c r="I761" s="471">
        <v>84.28</v>
      </c>
      <c r="J761" s="488" t="s">
        <v>2492</v>
      </c>
      <c r="K761" s="472" t="s">
        <v>660</v>
      </c>
      <c r="L761" s="473" t="s">
        <v>570</v>
      </c>
      <c r="M761" s="473" t="s">
        <v>571</v>
      </c>
      <c r="N761" s="473" t="s">
        <v>686</v>
      </c>
      <c r="O761" s="474" t="s">
        <v>686</v>
      </c>
    </row>
    <row r="762" spans="1:15" s="475" customFormat="1" ht="12" hidden="1">
      <c r="A762" s="465">
        <v>10131000021687</v>
      </c>
      <c r="B762" s="476" t="s">
        <v>686</v>
      </c>
      <c r="C762" s="476" t="s">
        <v>3259</v>
      </c>
      <c r="D762" s="467" t="s">
        <v>571</v>
      </c>
      <c r="E762" s="472" t="s">
        <v>2491</v>
      </c>
      <c r="F762" s="477">
        <v>36.659999999999997</v>
      </c>
      <c r="G762" s="469" t="s">
        <v>2472</v>
      </c>
      <c r="H762" s="487">
        <v>72.44</v>
      </c>
      <c r="I762" s="471">
        <v>72.44</v>
      </c>
      <c r="J762" s="488" t="s">
        <v>2492</v>
      </c>
      <c r="K762" s="472" t="s">
        <v>672</v>
      </c>
      <c r="L762" s="473" t="s">
        <v>570</v>
      </c>
      <c r="M762" s="473" t="s">
        <v>571</v>
      </c>
      <c r="N762" s="473" t="s">
        <v>686</v>
      </c>
      <c r="O762" s="474" t="s">
        <v>686</v>
      </c>
    </row>
    <row r="763" spans="1:15" s="475" customFormat="1" ht="12" hidden="1">
      <c r="A763" s="465">
        <v>10131000021689</v>
      </c>
      <c r="B763" s="476" t="s">
        <v>686</v>
      </c>
      <c r="C763" s="476" t="s">
        <v>3260</v>
      </c>
      <c r="D763" s="467" t="s">
        <v>571</v>
      </c>
      <c r="E763" s="472" t="s">
        <v>2491</v>
      </c>
      <c r="F763" s="477">
        <v>37</v>
      </c>
      <c r="G763" s="469" t="s">
        <v>2472</v>
      </c>
      <c r="H763" s="487">
        <v>104.59</v>
      </c>
      <c r="I763" s="471">
        <v>104.59</v>
      </c>
      <c r="J763" s="488" t="s">
        <v>2492</v>
      </c>
      <c r="K763" s="472" t="s">
        <v>674</v>
      </c>
      <c r="L763" s="473" t="s">
        <v>570</v>
      </c>
      <c r="M763" s="473" t="s">
        <v>571</v>
      </c>
      <c r="N763" s="473" t="s">
        <v>686</v>
      </c>
      <c r="O763" s="474" t="s">
        <v>686</v>
      </c>
    </row>
    <row r="764" spans="1:15" s="475" customFormat="1" ht="12" hidden="1">
      <c r="A764" s="465">
        <v>10131000021688</v>
      </c>
      <c r="B764" s="476" t="s">
        <v>686</v>
      </c>
      <c r="C764" s="476" t="s">
        <v>3261</v>
      </c>
      <c r="D764" s="467" t="s">
        <v>571</v>
      </c>
      <c r="E764" s="472" t="s">
        <v>2491</v>
      </c>
      <c r="F764" s="477">
        <v>37.1</v>
      </c>
      <c r="G764" s="469" t="s">
        <v>2472</v>
      </c>
      <c r="H764" s="487">
        <v>82.38</v>
      </c>
      <c r="I764" s="471">
        <v>82.38</v>
      </c>
      <c r="J764" s="488" t="s">
        <v>2492</v>
      </c>
      <c r="K764" s="472" t="s">
        <v>676</v>
      </c>
      <c r="L764" s="473" t="s">
        <v>570</v>
      </c>
      <c r="M764" s="473" t="s">
        <v>571</v>
      </c>
      <c r="N764" s="473" t="s">
        <v>686</v>
      </c>
      <c r="O764" s="474" t="s">
        <v>686</v>
      </c>
    </row>
    <row r="765" spans="1:15" s="475" customFormat="1" ht="12" hidden="1">
      <c r="A765" s="465">
        <v>10131000021682</v>
      </c>
      <c r="B765" s="476" t="s">
        <v>686</v>
      </c>
      <c r="C765" s="476" t="s">
        <v>3262</v>
      </c>
      <c r="D765" s="467" t="s">
        <v>571</v>
      </c>
      <c r="E765" s="472" t="s">
        <v>2491</v>
      </c>
      <c r="F765" s="477">
        <v>37.54</v>
      </c>
      <c r="G765" s="469" t="s">
        <v>2472</v>
      </c>
      <c r="H765" s="487">
        <v>56.23</v>
      </c>
      <c r="I765" s="471">
        <v>56.23</v>
      </c>
      <c r="J765" s="488" t="s">
        <v>2492</v>
      </c>
      <c r="K765" s="472" t="s">
        <v>664</v>
      </c>
      <c r="L765" s="473" t="s">
        <v>570</v>
      </c>
      <c r="M765" s="473" t="s">
        <v>571</v>
      </c>
      <c r="N765" s="473" t="s">
        <v>686</v>
      </c>
      <c r="O765" s="474" t="s">
        <v>686</v>
      </c>
    </row>
    <row r="766" spans="1:15" s="475" customFormat="1" ht="12" hidden="1">
      <c r="A766" s="465">
        <v>10131000021678</v>
      </c>
      <c r="B766" s="476" t="s">
        <v>686</v>
      </c>
      <c r="C766" s="476" t="s">
        <v>3263</v>
      </c>
      <c r="D766" s="467" t="s">
        <v>571</v>
      </c>
      <c r="E766" s="472" t="s">
        <v>2491</v>
      </c>
      <c r="F766" s="477">
        <v>37.69</v>
      </c>
      <c r="G766" s="469" t="s">
        <v>2472</v>
      </c>
      <c r="H766" s="487">
        <v>136.47</v>
      </c>
      <c r="I766" s="471">
        <v>136.47</v>
      </c>
      <c r="J766" s="488" t="s">
        <v>2492</v>
      </c>
      <c r="K766" s="472" t="s">
        <v>656</v>
      </c>
      <c r="L766" s="473" t="s">
        <v>570</v>
      </c>
      <c r="M766" s="473" t="s">
        <v>571</v>
      </c>
      <c r="N766" s="473" t="s">
        <v>686</v>
      </c>
      <c r="O766" s="474" t="s">
        <v>686</v>
      </c>
    </row>
    <row r="767" spans="1:15" s="475" customFormat="1" ht="12" hidden="1">
      <c r="A767" s="465">
        <v>10131000021686</v>
      </c>
      <c r="B767" s="476" t="s">
        <v>686</v>
      </c>
      <c r="C767" s="476" t="s">
        <v>3264</v>
      </c>
      <c r="D767" s="467" t="s">
        <v>571</v>
      </c>
      <c r="E767" s="472" t="s">
        <v>2491</v>
      </c>
      <c r="F767" s="477">
        <v>38.11</v>
      </c>
      <c r="G767" s="469" t="s">
        <v>2472</v>
      </c>
      <c r="H767" s="487">
        <v>40.36</v>
      </c>
      <c r="I767" s="471">
        <v>40.36</v>
      </c>
      <c r="J767" s="488" t="s">
        <v>2492</v>
      </c>
      <c r="K767" s="472" t="s">
        <v>670</v>
      </c>
      <c r="L767" s="473" t="s">
        <v>570</v>
      </c>
      <c r="M767" s="473" t="s">
        <v>571</v>
      </c>
      <c r="N767" s="473" t="s">
        <v>686</v>
      </c>
      <c r="O767" s="474" t="s">
        <v>686</v>
      </c>
    </row>
    <row r="768" spans="1:15" s="475" customFormat="1" ht="12" hidden="1">
      <c r="A768" s="465">
        <v>10131000021684</v>
      </c>
      <c r="B768" s="476" t="s">
        <v>686</v>
      </c>
      <c r="C768" s="476" t="s">
        <v>3265</v>
      </c>
      <c r="D768" s="467" t="s">
        <v>571</v>
      </c>
      <c r="E768" s="472" t="s">
        <v>2491</v>
      </c>
      <c r="F768" s="477">
        <v>38.35</v>
      </c>
      <c r="G768" s="469" t="s">
        <v>2472</v>
      </c>
      <c r="H768" s="487">
        <v>296.43</v>
      </c>
      <c r="I768" s="471">
        <v>296.43</v>
      </c>
      <c r="J768" s="488" t="s">
        <v>2492</v>
      </c>
      <c r="K768" s="472" t="s">
        <v>666</v>
      </c>
      <c r="L768" s="473" t="s">
        <v>570</v>
      </c>
      <c r="M768" s="473" t="s">
        <v>571</v>
      </c>
      <c r="N768" s="473" t="s">
        <v>686</v>
      </c>
      <c r="O768" s="474" t="s">
        <v>686</v>
      </c>
    </row>
    <row r="769" spans="1:15" s="475" customFormat="1" ht="12" hidden="1">
      <c r="A769" s="465">
        <v>10131000021679</v>
      </c>
      <c r="B769" s="476" t="s">
        <v>686</v>
      </c>
      <c r="C769" s="476" t="s">
        <v>3266</v>
      </c>
      <c r="D769" s="467" t="s">
        <v>571</v>
      </c>
      <c r="E769" s="472" t="s">
        <v>2491</v>
      </c>
      <c r="F769" s="477">
        <v>39.369999999999997</v>
      </c>
      <c r="G769" s="469" t="s">
        <v>2472</v>
      </c>
      <c r="H769" s="487">
        <v>66.349999999999994</v>
      </c>
      <c r="I769" s="471">
        <v>66.349999999999994</v>
      </c>
      <c r="J769" s="488" t="s">
        <v>2492</v>
      </c>
      <c r="K769" s="472" t="s">
        <v>658</v>
      </c>
      <c r="L769" s="473" t="s">
        <v>570</v>
      </c>
      <c r="M769" s="473" t="s">
        <v>571</v>
      </c>
      <c r="N769" s="473" t="s">
        <v>686</v>
      </c>
      <c r="O769" s="474" t="s">
        <v>686</v>
      </c>
    </row>
    <row r="770" spans="1:15" s="475" customFormat="1" ht="12" hidden="1">
      <c r="A770" s="465">
        <v>10131000021683</v>
      </c>
      <c r="B770" s="476" t="s">
        <v>686</v>
      </c>
      <c r="C770" s="476" t="s">
        <v>3267</v>
      </c>
      <c r="D770" s="467" t="s">
        <v>571</v>
      </c>
      <c r="E770" s="472" t="s">
        <v>2491</v>
      </c>
      <c r="F770" s="477">
        <v>39.79</v>
      </c>
      <c r="G770" s="469" t="s">
        <v>2472</v>
      </c>
      <c r="H770" s="487">
        <v>82.81</v>
      </c>
      <c r="I770" s="471">
        <v>82.81</v>
      </c>
      <c r="J770" s="488" t="s">
        <v>2492</v>
      </c>
      <c r="K770" s="472" t="s">
        <v>662</v>
      </c>
      <c r="L770" s="473" t="s">
        <v>570</v>
      </c>
      <c r="M770" s="473" t="s">
        <v>571</v>
      </c>
      <c r="N770" s="473" t="s">
        <v>686</v>
      </c>
      <c r="O770" s="474" t="s">
        <v>686</v>
      </c>
    </row>
    <row r="771" spans="1:15" s="475" customFormat="1" ht="12" hidden="1">
      <c r="A771" s="465">
        <v>10131000016849</v>
      </c>
      <c r="B771" s="473" t="s">
        <v>686</v>
      </c>
      <c r="C771" s="473" t="s">
        <v>3268</v>
      </c>
      <c r="D771" s="467" t="s">
        <v>571</v>
      </c>
      <c r="E771" s="472" t="s">
        <v>2801</v>
      </c>
      <c r="F771" s="477">
        <v>49.023461591400007</v>
      </c>
      <c r="G771" s="469" t="s">
        <v>2472</v>
      </c>
      <c r="H771" s="470">
        <v>3208.49</v>
      </c>
      <c r="I771" s="471">
        <v>164.52681649168329</v>
      </c>
      <c r="J771" s="485" t="s">
        <v>421</v>
      </c>
      <c r="K771" s="472" t="s">
        <v>587</v>
      </c>
      <c r="L771" s="473" t="s">
        <v>570</v>
      </c>
      <c r="M771" s="473" t="s">
        <v>571</v>
      </c>
      <c r="N771" s="473" t="s">
        <v>686</v>
      </c>
      <c r="O771" s="474" t="s">
        <v>686</v>
      </c>
    </row>
    <row r="772" spans="1:15" s="475" customFormat="1" ht="12" hidden="1">
      <c r="A772" s="465">
        <v>10131000016840</v>
      </c>
      <c r="B772" s="476" t="s">
        <v>686</v>
      </c>
      <c r="C772" s="476" t="s">
        <v>3269</v>
      </c>
      <c r="D772" s="467" t="s">
        <v>571</v>
      </c>
      <c r="E772" s="472" t="s">
        <v>2541</v>
      </c>
      <c r="F772" s="477">
        <v>66.536100000000005</v>
      </c>
      <c r="G772" s="469" t="s">
        <v>2472</v>
      </c>
      <c r="H772" s="470">
        <v>132.02000000000001</v>
      </c>
      <c r="I772" s="471">
        <v>202.31776734330001</v>
      </c>
      <c r="J772" s="485" t="s">
        <v>421</v>
      </c>
      <c r="K772" s="472" t="s">
        <v>651</v>
      </c>
      <c r="L772" s="473" t="s">
        <v>570</v>
      </c>
      <c r="M772" s="473" t="s">
        <v>571</v>
      </c>
      <c r="N772" s="473" t="s">
        <v>686</v>
      </c>
      <c r="O772" s="474" t="s">
        <v>686</v>
      </c>
    </row>
    <row r="773" spans="1:15" s="475" customFormat="1" ht="12" hidden="1">
      <c r="A773" s="465">
        <v>10131000016842</v>
      </c>
      <c r="B773" s="476" t="s">
        <v>686</v>
      </c>
      <c r="C773" s="476" t="s">
        <v>3269</v>
      </c>
      <c r="D773" s="467" t="s">
        <v>571</v>
      </c>
      <c r="E773" s="472" t="s">
        <v>2541</v>
      </c>
      <c r="F773" s="477">
        <v>66.536100000000005</v>
      </c>
      <c r="G773" s="469" t="s">
        <v>2472</v>
      </c>
      <c r="H773" s="470">
        <v>132.02000000000001</v>
      </c>
      <c r="I773" s="471">
        <v>202.31776734330001</v>
      </c>
      <c r="J773" s="485" t="s">
        <v>421</v>
      </c>
      <c r="K773" s="472" t="s">
        <v>651</v>
      </c>
      <c r="L773" s="473" t="s">
        <v>570</v>
      </c>
      <c r="M773" s="473" t="s">
        <v>571</v>
      </c>
      <c r="N773" s="473" t="s">
        <v>686</v>
      </c>
      <c r="O773" s="474" t="s">
        <v>686</v>
      </c>
    </row>
    <row r="774" spans="1:15" s="475" customFormat="1" ht="12" hidden="1">
      <c r="A774" s="465">
        <v>10131000039382</v>
      </c>
      <c r="B774" s="476" t="s">
        <v>686</v>
      </c>
      <c r="C774" s="476" t="s">
        <v>3269</v>
      </c>
      <c r="D774" s="467" t="s">
        <v>571</v>
      </c>
      <c r="E774" s="472" t="s">
        <v>2491</v>
      </c>
      <c r="F774" s="477">
        <v>66.84</v>
      </c>
      <c r="G774" s="469" t="s">
        <v>2472</v>
      </c>
      <c r="H774" s="470">
        <v>202.32</v>
      </c>
      <c r="I774" s="471">
        <v>202.32</v>
      </c>
      <c r="J774" s="485" t="s">
        <v>421</v>
      </c>
      <c r="K774" s="472" t="s">
        <v>651</v>
      </c>
      <c r="L774" s="473" t="s">
        <v>570</v>
      </c>
      <c r="M774" s="473" t="s">
        <v>571</v>
      </c>
      <c r="N774" s="473" t="s">
        <v>686</v>
      </c>
      <c r="O774" s="474" t="s">
        <v>686</v>
      </c>
    </row>
    <row r="775" spans="1:15" s="475" customFormat="1" ht="12" hidden="1">
      <c r="A775" s="465">
        <v>10131000027895</v>
      </c>
      <c r="B775" s="489" t="s">
        <v>686</v>
      </c>
      <c r="C775" s="489" t="s">
        <v>3270</v>
      </c>
      <c r="D775" s="467" t="s">
        <v>571</v>
      </c>
      <c r="E775" s="478" t="s">
        <v>2514</v>
      </c>
      <c r="F775" s="477">
        <v>76.673285759999999</v>
      </c>
      <c r="G775" s="469" t="s">
        <v>2472</v>
      </c>
      <c r="H775" s="481">
        <v>28250</v>
      </c>
      <c r="I775" s="482">
        <v>288.39</v>
      </c>
      <c r="J775" s="483" t="s">
        <v>2515</v>
      </c>
      <c r="K775" s="483" t="s">
        <v>2515</v>
      </c>
      <c r="L775" s="473" t="s">
        <v>570</v>
      </c>
      <c r="M775" s="473" t="s">
        <v>571</v>
      </c>
      <c r="N775" s="473" t="s">
        <v>686</v>
      </c>
      <c r="O775" s="474" t="s">
        <v>686</v>
      </c>
    </row>
    <row r="776" spans="1:15" s="475" customFormat="1" ht="12" hidden="1">
      <c r="A776" s="465">
        <v>10131000052479</v>
      </c>
      <c r="B776" s="489" t="s">
        <v>686</v>
      </c>
      <c r="C776" s="489" t="s">
        <v>3271</v>
      </c>
      <c r="D776" s="467" t="s">
        <v>571</v>
      </c>
      <c r="E776" s="478" t="s">
        <v>2514</v>
      </c>
      <c r="F776" s="477">
        <v>76.673285759999999</v>
      </c>
      <c r="G776" s="469" t="s">
        <v>2472</v>
      </c>
      <c r="H776" s="481">
        <v>28250</v>
      </c>
      <c r="I776" s="482">
        <v>288.39</v>
      </c>
      <c r="J776" s="483" t="s">
        <v>2515</v>
      </c>
      <c r="K776" s="483" t="s">
        <v>2515</v>
      </c>
      <c r="L776" s="473" t="s">
        <v>570</v>
      </c>
      <c r="M776" s="473" t="s">
        <v>571</v>
      </c>
      <c r="N776" s="473" t="s">
        <v>686</v>
      </c>
      <c r="O776" s="474" t="s">
        <v>686</v>
      </c>
    </row>
    <row r="777" spans="1:15" s="475" customFormat="1" ht="12" hidden="1">
      <c r="A777" s="465">
        <v>10131000027897</v>
      </c>
      <c r="B777" s="466" t="s">
        <v>686</v>
      </c>
      <c r="C777" s="466" t="s">
        <v>3272</v>
      </c>
      <c r="D777" s="467" t="s">
        <v>571</v>
      </c>
      <c r="E777" s="468" t="s">
        <v>2619</v>
      </c>
      <c r="F777" s="477">
        <v>96.27791551</v>
      </c>
      <c r="G777" s="469" t="s">
        <v>2472</v>
      </c>
      <c r="H777" s="470">
        <v>209.4</v>
      </c>
      <c r="I777" s="471">
        <v>209.4</v>
      </c>
      <c r="J777" s="472" t="s">
        <v>423</v>
      </c>
      <c r="K777" s="472" t="s">
        <v>2620</v>
      </c>
      <c r="L777" s="473" t="s">
        <v>570</v>
      </c>
      <c r="M777" s="473" t="s">
        <v>571</v>
      </c>
      <c r="N777" s="473" t="s">
        <v>686</v>
      </c>
      <c r="O777" s="474" t="s">
        <v>686</v>
      </c>
    </row>
    <row r="778" spans="1:15" s="475" customFormat="1" ht="12" hidden="1">
      <c r="A778" s="465">
        <v>10131000027892</v>
      </c>
      <c r="B778" s="466" t="s">
        <v>686</v>
      </c>
      <c r="C778" s="466" t="s">
        <v>686</v>
      </c>
      <c r="D778" s="467" t="s">
        <v>571</v>
      </c>
      <c r="E778" s="468" t="s">
        <v>2491</v>
      </c>
      <c r="F778" s="477">
        <v>97</v>
      </c>
      <c r="G778" s="469" t="s">
        <v>2472</v>
      </c>
      <c r="H778" s="470">
        <v>209.4</v>
      </c>
      <c r="I778" s="471">
        <v>209.4</v>
      </c>
      <c r="J778" s="472" t="s">
        <v>423</v>
      </c>
      <c r="K778" s="472" t="s">
        <v>534</v>
      </c>
      <c r="L778" s="473" t="s">
        <v>570</v>
      </c>
      <c r="M778" s="473" t="s">
        <v>571</v>
      </c>
      <c r="N778" s="473" t="s">
        <v>686</v>
      </c>
      <c r="O778" s="474" t="s">
        <v>686</v>
      </c>
    </row>
    <row r="779" spans="1:15" s="475" customFormat="1" ht="12" hidden="1">
      <c r="A779" s="465">
        <v>10131000016847</v>
      </c>
      <c r="B779" s="476" t="s">
        <v>686</v>
      </c>
      <c r="C779" s="476" t="s">
        <v>3273</v>
      </c>
      <c r="D779" s="467" t="s">
        <v>571</v>
      </c>
      <c r="E779" s="472" t="s">
        <v>2874</v>
      </c>
      <c r="F779" s="477">
        <v>140.49091790490002</v>
      </c>
      <c r="G779" s="469" t="s">
        <v>2472</v>
      </c>
      <c r="H779" s="470">
        <v>423.93</v>
      </c>
      <c r="I779" s="471">
        <v>458.99114654737502</v>
      </c>
      <c r="J779" s="485" t="s">
        <v>421</v>
      </c>
      <c r="K779" s="472" t="s">
        <v>637</v>
      </c>
      <c r="L779" s="473" t="s">
        <v>570</v>
      </c>
      <c r="M779" s="473" t="s">
        <v>571</v>
      </c>
      <c r="N779" s="473" t="s">
        <v>686</v>
      </c>
      <c r="O779" s="474" t="s">
        <v>686</v>
      </c>
    </row>
    <row r="780" spans="1:15" s="475" customFormat="1" ht="12" hidden="1">
      <c r="A780" s="465">
        <v>10131000016843</v>
      </c>
      <c r="B780" s="476" t="s">
        <v>686</v>
      </c>
      <c r="C780" s="476" t="s">
        <v>3274</v>
      </c>
      <c r="D780" s="467" t="s">
        <v>571</v>
      </c>
      <c r="E780" s="472" t="s">
        <v>2715</v>
      </c>
      <c r="F780" s="477">
        <v>146.56326400000003</v>
      </c>
      <c r="G780" s="469" t="s">
        <v>2472</v>
      </c>
      <c r="H780" s="470">
        <v>213.37</v>
      </c>
      <c r="I780" s="471">
        <v>283.35947572949175</v>
      </c>
      <c r="J780" s="485" t="s">
        <v>421</v>
      </c>
      <c r="K780" s="472" t="s">
        <v>591</v>
      </c>
      <c r="L780" s="473" t="s">
        <v>570</v>
      </c>
      <c r="M780" s="473" t="s">
        <v>571</v>
      </c>
      <c r="N780" s="473" t="s">
        <v>686</v>
      </c>
      <c r="O780" s="474" t="s">
        <v>686</v>
      </c>
    </row>
    <row r="781" spans="1:15" s="475" customFormat="1" ht="12" hidden="1">
      <c r="A781" s="465">
        <v>10131000016844</v>
      </c>
      <c r="B781" s="476" t="s">
        <v>686</v>
      </c>
      <c r="C781" s="476" t="s">
        <v>3275</v>
      </c>
      <c r="D781" s="467" t="s">
        <v>571</v>
      </c>
      <c r="E781" s="472" t="s">
        <v>2715</v>
      </c>
      <c r="F781" s="477" t="s">
        <v>2472</v>
      </c>
      <c r="G781" s="469" t="s">
        <v>2472</v>
      </c>
      <c r="H781" s="470">
        <v>1E-8</v>
      </c>
      <c r="I781" s="471">
        <v>1.3280192891666669E-8</v>
      </c>
      <c r="J781" s="485" t="s">
        <v>421</v>
      </c>
      <c r="K781" s="472" t="s">
        <v>593</v>
      </c>
      <c r="L781" s="473" t="s">
        <v>570</v>
      </c>
      <c r="M781" s="473" t="s">
        <v>571</v>
      </c>
      <c r="N781" s="473" t="s">
        <v>686</v>
      </c>
      <c r="O781" s="474" t="s">
        <v>686</v>
      </c>
    </row>
    <row r="782" spans="1:15" s="475" customFormat="1" ht="12" hidden="1">
      <c r="A782" s="465">
        <v>10131000058858</v>
      </c>
      <c r="B782" s="476" t="s">
        <v>686</v>
      </c>
      <c r="C782" s="476" t="s">
        <v>3267</v>
      </c>
      <c r="D782" s="467" t="s">
        <v>571</v>
      </c>
      <c r="E782" s="472" t="s">
        <v>2491</v>
      </c>
      <c r="F782" s="477" t="s">
        <v>2472</v>
      </c>
      <c r="G782" s="469" t="s">
        <v>2472</v>
      </c>
      <c r="H782" s="487">
        <v>115.09</v>
      </c>
      <c r="I782" s="471">
        <v>115.09</v>
      </c>
      <c r="J782" s="488" t="s">
        <v>2492</v>
      </c>
      <c r="K782" s="472" t="s">
        <v>662</v>
      </c>
      <c r="L782" s="473" t="s">
        <v>570</v>
      </c>
      <c r="M782" s="473" t="s">
        <v>571</v>
      </c>
      <c r="N782" s="473" t="s">
        <v>686</v>
      </c>
      <c r="O782" s="474" t="s">
        <v>686</v>
      </c>
    </row>
    <row r="783" spans="1:15" s="475" customFormat="1" ht="12" hidden="1">
      <c r="A783" s="465">
        <v>10131000058859</v>
      </c>
      <c r="B783" s="476" t="s">
        <v>686</v>
      </c>
      <c r="C783" s="476" t="s">
        <v>3265</v>
      </c>
      <c r="D783" s="467" t="s">
        <v>571</v>
      </c>
      <c r="E783" s="472" t="s">
        <v>2491</v>
      </c>
      <c r="F783" s="477" t="s">
        <v>2472</v>
      </c>
      <c r="G783" s="469" t="s">
        <v>2472</v>
      </c>
      <c r="H783" s="487">
        <v>328.43</v>
      </c>
      <c r="I783" s="471">
        <v>328.43</v>
      </c>
      <c r="J783" s="488" t="s">
        <v>2492</v>
      </c>
      <c r="K783" s="472" t="s">
        <v>666</v>
      </c>
      <c r="L783" s="473" t="s">
        <v>570</v>
      </c>
      <c r="M783" s="473" t="s">
        <v>571</v>
      </c>
      <c r="N783" s="473" t="s">
        <v>686</v>
      </c>
      <c r="O783" s="474" t="s">
        <v>686</v>
      </c>
    </row>
    <row r="784" spans="1:15" s="475" customFormat="1" ht="12" hidden="1">
      <c r="A784" s="465">
        <v>1000099063</v>
      </c>
      <c r="B784" s="466" t="s">
        <v>686</v>
      </c>
      <c r="C784" s="466" t="s">
        <v>686</v>
      </c>
      <c r="D784" s="467" t="s">
        <v>571</v>
      </c>
      <c r="E784" s="468" t="s">
        <v>2471</v>
      </c>
      <c r="F784" s="477" t="s">
        <v>2472</v>
      </c>
      <c r="G784" s="469" t="s">
        <v>2472</v>
      </c>
      <c r="H784" s="470">
        <v>517.5</v>
      </c>
      <c r="I784" s="471">
        <v>39.961389961389962</v>
      </c>
      <c r="J784" s="472" t="s">
        <v>422</v>
      </c>
      <c r="K784" s="472" t="s">
        <v>2473</v>
      </c>
      <c r="L784" s="473" t="s">
        <v>570</v>
      </c>
      <c r="M784" s="473" t="s">
        <v>571</v>
      </c>
      <c r="N784" s="473" t="s">
        <v>686</v>
      </c>
      <c r="O784" s="474" t="s">
        <v>686</v>
      </c>
    </row>
    <row r="785" spans="1:15" s="475" customFormat="1" ht="12" hidden="1">
      <c r="A785" s="465">
        <v>10131000058860</v>
      </c>
      <c r="B785" s="476" t="s">
        <v>686</v>
      </c>
      <c r="C785" s="476" t="s">
        <v>3260</v>
      </c>
      <c r="D785" s="467" t="s">
        <v>571</v>
      </c>
      <c r="E785" s="472" t="s">
        <v>2491</v>
      </c>
      <c r="F785" s="477" t="s">
        <v>2472</v>
      </c>
      <c r="G785" s="469" t="s">
        <v>2472</v>
      </c>
      <c r="H785" s="487">
        <v>161.38</v>
      </c>
      <c r="I785" s="471">
        <v>161.38</v>
      </c>
      <c r="J785" s="488" t="s">
        <v>2492</v>
      </c>
      <c r="K785" s="472" t="s">
        <v>674</v>
      </c>
      <c r="L785" s="473" t="s">
        <v>570</v>
      </c>
      <c r="M785" s="473" t="s">
        <v>571</v>
      </c>
      <c r="N785" s="473" t="s">
        <v>686</v>
      </c>
      <c r="O785" s="474" t="s">
        <v>686</v>
      </c>
    </row>
    <row r="786" spans="1:15" s="475" customFormat="1" ht="12" hidden="1">
      <c r="A786" s="465">
        <v>10131000027904</v>
      </c>
      <c r="B786" s="476" t="s">
        <v>3276</v>
      </c>
      <c r="C786" s="476" t="s">
        <v>3277</v>
      </c>
      <c r="D786" s="467" t="s">
        <v>1045</v>
      </c>
      <c r="E786" s="472" t="s">
        <v>2718</v>
      </c>
      <c r="F786" s="477">
        <v>0</v>
      </c>
      <c r="G786" s="469" t="s">
        <v>2472</v>
      </c>
      <c r="H786" s="470">
        <v>1E-8</v>
      </c>
      <c r="I786" s="471">
        <v>2.9145899166666672E-10</v>
      </c>
      <c r="J786" s="485" t="s">
        <v>421</v>
      </c>
      <c r="K786" s="472" t="s">
        <v>625</v>
      </c>
      <c r="L786" s="473" t="s">
        <v>570</v>
      </c>
      <c r="M786" s="473" t="s">
        <v>820</v>
      </c>
      <c r="N786" s="473" t="s">
        <v>3276</v>
      </c>
      <c r="O786" s="474" t="s">
        <v>3276</v>
      </c>
    </row>
    <row r="787" spans="1:15" s="475" customFormat="1" ht="12" hidden="1">
      <c r="A787" s="465">
        <v>10131000027909</v>
      </c>
      <c r="B787" s="476" t="s">
        <v>3276</v>
      </c>
      <c r="C787" s="476" t="s">
        <v>3278</v>
      </c>
      <c r="D787" s="467" t="s">
        <v>1045</v>
      </c>
      <c r="E787" s="472" t="s">
        <v>2541</v>
      </c>
      <c r="F787" s="477">
        <v>0</v>
      </c>
      <c r="G787" s="469" t="s">
        <v>2472</v>
      </c>
      <c r="H787" s="470">
        <v>1E-8</v>
      </c>
      <c r="I787" s="471">
        <v>1.5324781650000001E-8</v>
      </c>
      <c r="J787" s="485" t="s">
        <v>421</v>
      </c>
      <c r="K787" s="472" t="s">
        <v>651</v>
      </c>
      <c r="L787" s="473" t="s">
        <v>570</v>
      </c>
      <c r="M787" s="473" t="s">
        <v>820</v>
      </c>
      <c r="N787" s="473" t="s">
        <v>3276</v>
      </c>
      <c r="O787" s="474" t="s">
        <v>3276</v>
      </c>
    </row>
    <row r="788" spans="1:15" s="475" customFormat="1" ht="12" hidden="1">
      <c r="A788" s="465">
        <v>10131000051992</v>
      </c>
      <c r="B788" s="476" t="s">
        <v>3276</v>
      </c>
      <c r="C788" s="476" t="s">
        <v>3278</v>
      </c>
      <c r="D788" s="467" t="s">
        <v>1045</v>
      </c>
      <c r="E788" s="472" t="s">
        <v>2491</v>
      </c>
      <c r="F788" s="477">
        <v>0</v>
      </c>
      <c r="G788" s="469" t="s">
        <v>2472</v>
      </c>
      <c r="H788" s="470">
        <v>1E-8</v>
      </c>
      <c r="I788" s="471">
        <v>1E-8</v>
      </c>
      <c r="J788" s="485" t="s">
        <v>421</v>
      </c>
      <c r="K788" s="472" t="s">
        <v>651</v>
      </c>
      <c r="L788" s="473" t="s">
        <v>570</v>
      </c>
      <c r="M788" s="473" t="s">
        <v>820</v>
      </c>
      <c r="N788" s="473" t="s">
        <v>3276</v>
      </c>
      <c r="O788" s="474" t="s">
        <v>3276</v>
      </c>
    </row>
    <row r="789" spans="1:15" s="475" customFormat="1" ht="12" hidden="1">
      <c r="A789" s="465">
        <v>10131000009408</v>
      </c>
      <c r="B789" s="476" t="s">
        <v>3276</v>
      </c>
      <c r="C789" s="476" t="s">
        <v>3278</v>
      </c>
      <c r="D789" s="467" t="s">
        <v>1045</v>
      </c>
      <c r="E789" s="472" t="s">
        <v>2541</v>
      </c>
      <c r="F789" s="477">
        <v>0</v>
      </c>
      <c r="G789" s="469" t="s">
        <v>2472</v>
      </c>
      <c r="H789" s="470">
        <v>39.225937809999998</v>
      </c>
      <c r="I789" s="471">
        <v>60.112893195472914</v>
      </c>
      <c r="J789" s="485" t="s">
        <v>421</v>
      </c>
      <c r="K789" s="472" t="s">
        <v>651</v>
      </c>
      <c r="L789" s="473" t="s">
        <v>570</v>
      </c>
      <c r="M789" s="473" t="s">
        <v>820</v>
      </c>
      <c r="N789" s="473" t="s">
        <v>3276</v>
      </c>
      <c r="O789" s="474" t="s">
        <v>3276</v>
      </c>
    </row>
    <row r="790" spans="1:15" s="475" customFormat="1" ht="12" hidden="1">
      <c r="A790" s="465">
        <v>10131000056443</v>
      </c>
      <c r="B790" s="476" t="s">
        <v>3276</v>
      </c>
      <c r="C790" s="476" t="s">
        <v>3279</v>
      </c>
      <c r="D790" s="467" t="s">
        <v>571</v>
      </c>
      <c r="E790" s="472" t="s">
        <v>2491</v>
      </c>
      <c r="F790" s="477">
        <v>59.998399999999997</v>
      </c>
      <c r="G790" s="469" t="s">
        <v>2472</v>
      </c>
      <c r="H790" s="487">
        <v>37.24</v>
      </c>
      <c r="I790" s="471">
        <v>37.24</v>
      </c>
      <c r="J790" s="488" t="s">
        <v>2492</v>
      </c>
      <c r="K790" s="472" t="s">
        <v>672</v>
      </c>
      <c r="L790" s="473" t="s">
        <v>570</v>
      </c>
      <c r="M790" s="473" t="s">
        <v>820</v>
      </c>
      <c r="N790" s="473" t="s">
        <v>3276</v>
      </c>
      <c r="O790" s="474" t="s">
        <v>3276</v>
      </c>
    </row>
    <row r="791" spans="1:15" s="475" customFormat="1" ht="12" hidden="1">
      <c r="A791" s="465">
        <v>10131000056441</v>
      </c>
      <c r="B791" s="476" t="s">
        <v>3276</v>
      </c>
      <c r="C791" s="476" t="s">
        <v>3280</v>
      </c>
      <c r="D791" s="467" t="s">
        <v>571</v>
      </c>
      <c r="E791" s="472" t="s">
        <v>2491</v>
      </c>
      <c r="F791" s="477">
        <v>64.380799999999994</v>
      </c>
      <c r="G791" s="469" t="s">
        <v>2472</v>
      </c>
      <c r="H791" s="487">
        <v>54.66</v>
      </c>
      <c r="I791" s="471">
        <v>54.66</v>
      </c>
      <c r="J791" s="488" t="s">
        <v>2492</v>
      </c>
      <c r="K791" s="472" t="s">
        <v>660</v>
      </c>
      <c r="L791" s="473" t="s">
        <v>570</v>
      </c>
      <c r="M791" s="473" t="s">
        <v>820</v>
      </c>
      <c r="N791" s="473" t="s">
        <v>3276</v>
      </c>
      <c r="O791" s="474" t="s">
        <v>3276</v>
      </c>
    </row>
    <row r="792" spans="1:15" s="475" customFormat="1" ht="12" hidden="1">
      <c r="A792" s="465">
        <v>10131000017813</v>
      </c>
      <c r="B792" s="466" t="s">
        <v>3276</v>
      </c>
      <c r="C792" s="466" t="s">
        <v>3276</v>
      </c>
      <c r="D792" s="467" t="s">
        <v>571</v>
      </c>
      <c r="E792" s="468" t="s">
        <v>2491</v>
      </c>
      <c r="F792" s="477">
        <v>95.04</v>
      </c>
      <c r="G792" s="469" t="s">
        <v>2472</v>
      </c>
      <c r="H792" s="470">
        <v>123</v>
      </c>
      <c r="I792" s="471">
        <v>123</v>
      </c>
      <c r="J792" s="472" t="s">
        <v>423</v>
      </c>
      <c r="K792" s="472" t="s">
        <v>534</v>
      </c>
      <c r="L792" s="473" t="s">
        <v>570</v>
      </c>
      <c r="M792" s="473" t="s">
        <v>820</v>
      </c>
      <c r="N792" s="473" t="s">
        <v>3276</v>
      </c>
      <c r="O792" s="474" t="s">
        <v>3276</v>
      </c>
    </row>
    <row r="793" spans="1:15" s="475" customFormat="1" ht="12" hidden="1">
      <c r="A793" s="465">
        <v>10131000027900</v>
      </c>
      <c r="B793" s="489" t="s">
        <v>3276</v>
      </c>
      <c r="C793" s="489" t="s">
        <v>3281</v>
      </c>
      <c r="D793" s="467" t="s">
        <v>571</v>
      </c>
      <c r="E793" s="478" t="s">
        <v>2514</v>
      </c>
      <c r="F793" s="477">
        <v>117.00572526720001</v>
      </c>
      <c r="G793" s="469" t="s">
        <v>2472</v>
      </c>
      <c r="H793" s="481">
        <v>18043</v>
      </c>
      <c r="I793" s="482">
        <v>184.19</v>
      </c>
      <c r="J793" s="483" t="s">
        <v>2515</v>
      </c>
      <c r="K793" s="483" t="s">
        <v>2515</v>
      </c>
      <c r="L793" s="473" t="s">
        <v>570</v>
      </c>
      <c r="M793" s="473" t="s">
        <v>820</v>
      </c>
      <c r="N793" s="473" t="s">
        <v>3276</v>
      </c>
      <c r="O793" s="474" t="s">
        <v>3276</v>
      </c>
    </row>
    <row r="794" spans="1:15" s="475" customFormat="1" ht="12" hidden="1">
      <c r="A794" s="465">
        <v>10131000052475</v>
      </c>
      <c r="B794" s="489" t="s">
        <v>3276</v>
      </c>
      <c r="C794" s="489" t="s">
        <v>3282</v>
      </c>
      <c r="D794" s="467" t="s">
        <v>571</v>
      </c>
      <c r="E794" s="478" t="s">
        <v>2514</v>
      </c>
      <c r="F794" s="477">
        <v>117.00572526720001</v>
      </c>
      <c r="G794" s="469" t="s">
        <v>2472</v>
      </c>
      <c r="H794" s="481">
        <v>18043</v>
      </c>
      <c r="I794" s="482">
        <v>184.19</v>
      </c>
      <c r="J794" s="483" t="s">
        <v>2515</v>
      </c>
      <c r="K794" s="483" t="s">
        <v>2515</v>
      </c>
      <c r="L794" s="473" t="s">
        <v>570</v>
      </c>
      <c r="M794" s="473" t="s">
        <v>820</v>
      </c>
      <c r="N794" s="473" t="s">
        <v>3276</v>
      </c>
      <c r="O794" s="474" t="s">
        <v>3276</v>
      </c>
    </row>
    <row r="795" spans="1:15" s="475" customFormat="1" ht="12" hidden="1">
      <c r="A795" s="465">
        <v>10131000056430</v>
      </c>
      <c r="B795" s="476" t="s">
        <v>3276</v>
      </c>
      <c r="C795" s="476" t="s">
        <v>3283</v>
      </c>
      <c r="D795" s="467" t="s">
        <v>571</v>
      </c>
      <c r="E795" s="472" t="s">
        <v>2491</v>
      </c>
      <c r="F795" s="477">
        <v>130.8912</v>
      </c>
      <c r="G795" s="469" t="s">
        <v>2472</v>
      </c>
      <c r="H795" s="487">
        <v>60.93</v>
      </c>
      <c r="I795" s="471">
        <v>60.93</v>
      </c>
      <c r="J795" s="488" t="s">
        <v>2492</v>
      </c>
      <c r="K795" s="472" t="s">
        <v>656</v>
      </c>
      <c r="L795" s="473" t="s">
        <v>570</v>
      </c>
      <c r="M795" s="473" t="s">
        <v>820</v>
      </c>
      <c r="N795" s="473" t="s">
        <v>3276</v>
      </c>
      <c r="O795" s="474" t="s">
        <v>3276</v>
      </c>
    </row>
    <row r="796" spans="1:15" s="475" customFormat="1" ht="12" hidden="1">
      <c r="A796" s="465">
        <v>10131000027906</v>
      </c>
      <c r="B796" s="476" t="s">
        <v>3276</v>
      </c>
      <c r="C796" s="476" t="s">
        <v>3284</v>
      </c>
      <c r="D796" s="467" t="s">
        <v>1045</v>
      </c>
      <c r="E796" s="472" t="s">
        <v>2833</v>
      </c>
      <c r="F796" s="477">
        <v>134.12603309776</v>
      </c>
      <c r="G796" s="469" t="s">
        <v>2472</v>
      </c>
      <c r="H796" s="470">
        <v>2022.95</v>
      </c>
      <c r="I796" s="471">
        <v>195.54327456904167</v>
      </c>
      <c r="J796" s="485" t="s">
        <v>421</v>
      </c>
      <c r="K796" s="472" t="s">
        <v>631</v>
      </c>
      <c r="L796" s="473" t="s">
        <v>570</v>
      </c>
      <c r="M796" s="473" t="s">
        <v>820</v>
      </c>
      <c r="N796" s="473" t="s">
        <v>3276</v>
      </c>
      <c r="O796" s="474" t="s">
        <v>3276</v>
      </c>
    </row>
    <row r="797" spans="1:15" s="475" customFormat="1" ht="12" hidden="1">
      <c r="A797" s="465">
        <v>10131000027910</v>
      </c>
      <c r="B797" s="476" t="s">
        <v>3276</v>
      </c>
      <c r="C797" s="476" t="s">
        <v>3285</v>
      </c>
      <c r="D797" s="467" t="s">
        <v>1045</v>
      </c>
      <c r="E797" s="472" t="s">
        <v>2715</v>
      </c>
      <c r="F797" s="477">
        <v>194.56783104000002</v>
      </c>
      <c r="G797" s="469" t="s">
        <v>2472</v>
      </c>
      <c r="H797" s="470">
        <v>285.89999999999998</v>
      </c>
      <c r="I797" s="471">
        <v>379.68071477275004</v>
      </c>
      <c r="J797" s="485" t="s">
        <v>421</v>
      </c>
      <c r="K797" s="472" t="s">
        <v>591</v>
      </c>
      <c r="L797" s="473" t="s">
        <v>570</v>
      </c>
      <c r="M797" s="473" t="s">
        <v>820</v>
      </c>
      <c r="N797" s="473" t="s">
        <v>3276</v>
      </c>
      <c r="O797" s="474" t="s">
        <v>3276</v>
      </c>
    </row>
    <row r="798" spans="1:15" s="475" customFormat="1" ht="12" hidden="1">
      <c r="A798" s="465">
        <v>10131000027911</v>
      </c>
      <c r="B798" s="476" t="s">
        <v>3276</v>
      </c>
      <c r="C798" s="476" t="s">
        <v>3286</v>
      </c>
      <c r="D798" s="467" t="s">
        <v>1045</v>
      </c>
      <c r="E798" s="472" t="s">
        <v>2715</v>
      </c>
      <c r="F798" s="477">
        <v>233.42618112000002</v>
      </c>
      <c r="G798" s="469" t="s">
        <v>2472</v>
      </c>
      <c r="H798" s="470">
        <v>205.2</v>
      </c>
      <c r="I798" s="471">
        <v>272.50955813700006</v>
      </c>
      <c r="J798" s="485" t="s">
        <v>421</v>
      </c>
      <c r="K798" s="472" t="s">
        <v>593</v>
      </c>
      <c r="L798" s="473" t="s">
        <v>570</v>
      </c>
      <c r="M798" s="473" t="s">
        <v>820</v>
      </c>
      <c r="N798" s="473" t="s">
        <v>3276</v>
      </c>
      <c r="O798" s="474" t="s">
        <v>3276</v>
      </c>
    </row>
    <row r="799" spans="1:15" s="475" customFormat="1" ht="12" hidden="1">
      <c r="A799" s="465">
        <v>10131000027913</v>
      </c>
      <c r="B799" s="476" t="s">
        <v>3276</v>
      </c>
      <c r="C799" s="476" t="s">
        <v>3287</v>
      </c>
      <c r="D799" s="467" t="s">
        <v>1045</v>
      </c>
      <c r="E799" s="472" t="s">
        <v>2715</v>
      </c>
      <c r="F799" s="477">
        <v>321.74897920000001</v>
      </c>
      <c r="G799" s="469" t="s">
        <v>2472</v>
      </c>
      <c r="H799" s="470">
        <v>235.59</v>
      </c>
      <c r="I799" s="471">
        <v>312.86806433477506</v>
      </c>
      <c r="J799" s="485" t="s">
        <v>421</v>
      </c>
      <c r="K799" s="472" t="s">
        <v>601</v>
      </c>
      <c r="L799" s="473" t="s">
        <v>570</v>
      </c>
      <c r="M799" s="473" t="s">
        <v>820</v>
      </c>
      <c r="N799" s="473" t="s">
        <v>3276</v>
      </c>
      <c r="O799" s="474" t="s">
        <v>3276</v>
      </c>
    </row>
    <row r="800" spans="1:15" s="475" customFormat="1" ht="12" hidden="1">
      <c r="A800" s="465">
        <v>10131000027914</v>
      </c>
      <c r="B800" s="476" t="s">
        <v>3276</v>
      </c>
      <c r="C800" s="476" t="s">
        <v>3288</v>
      </c>
      <c r="D800" s="467" t="s">
        <v>1045</v>
      </c>
      <c r="E800" s="472" t="s">
        <v>2874</v>
      </c>
      <c r="F800" s="477">
        <v>528.02886695829602</v>
      </c>
      <c r="G800" s="469" t="s">
        <v>2472</v>
      </c>
      <c r="H800" s="470">
        <v>2564.4</v>
      </c>
      <c r="I800" s="471">
        <v>2776.4887981649999</v>
      </c>
      <c r="J800" s="485" t="s">
        <v>421</v>
      </c>
      <c r="K800" s="472" t="s">
        <v>637</v>
      </c>
      <c r="L800" s="473" t="s">
        <v>570</v>
      </c>
      <c r="M800" s="473" t="s">
        <v>820</v>
      </c>
      <c r="N800" s="473" t="s">
        <v>3276</v>
      </c>
      <c r="O800" s="474" t="s">
        <v>3276</v>
      </c>
    </row>
    <row r="801" spans="1:15" s="475" customFormat="1" ht="12" hidden="1">
      <c r="A801" s="465">
        <v>10131000027901</v>
      </c>
      <c r="B801" s="476" t="s">
        <v>3276</v>
      </c>
      <c r="C801" s="476" t="s">
        <v>3289</v>
      </c>
      <c r="D801" s="467" t="s">
        <v>1045</v>
      </c>
      <c r="E801" s="472" t="s">
        <v>2801</v>
      </c>
      <c r="F801" s="477">
        <v>4433.657744297936</v>
      </c>
      <c r="G801" s="469" t="s">
        <v>2472</v>
      </c>
      <c r="H801" s="470">
        <v>96519.34</v>
      </c>
      <c r="I801" s="471">
        <v>4949.374858602765</v>
      </c>
      <c r="J801" s="485" t="s">
        <v>421</v>
      </c>
      <c r="K801" s="472" t="s">
        <v>587</v>
      </c>
      <c r="L801" s="473" t="s">
        <v>570</v>
      </c>
      <c r="M801" s="473" t="s">
        <v>820</v>
      </c>
      <c r="N801" s="473" t="s">
        <v>3276</v>
      </c>
      <c r="O801" s="474" t="s">
        <v>3276</v>
      </c>
    </row>
    <row r="802" spans="1:15" s="475" customFormat="1" ht="12" hidden="1">
      <c r="A802" s="465">
        <v>10131000051989</v>
      </c>
      <c r="B802" s="476" t="s">
        <v>3276</v>
      </c>
      <c r="C802" s="476" t="s">
        <v>3290</v>
      </c>
      <c r="D802" s="467" t="s">
        <v>1045</v>
      </c>
      <c r="E802" s="472" t="s">
        <v>2808</v>
      </c>
      <c r="F802" s="477">
        <v>7503.4861568736969</v>
      </c>
      <c r="G802" s="469" t="s">
        <v>2472</v>
      </c>
      <c r="H802" s="470">
        <v>1E-8</v>
      </c>
      <c r="I802" s="471">
        <v>2.7946916750000001E-9</v>
      </c>
      <c r="J802" s="485" t="s">
        <v>421</v>
      </c>
      <c r="K802" s="472" t="s">
        <v>599</v>
      </c>
      <c r="L802" s="473" t="s">
        <v>570</v>
      </c>
      <c r="M802" s="473" t="s">
        <v>820</v>
      </c>
      <c r="N802" s="473" t="s">
        <v>3276</v>
      </c>
      <c r="O802" s="474" t="s">
        <v>3276</v>
      </c>
    </row>
    <row r="803" spans="1:15" s="475" customFormat="1" ht="12" hidden="1">
      <c r="A803" s="465">
        <v>10131000020863</v>
      </c>
      <c r="B803" s="466" t="s">
        <v>3291</v>
      </c>
      <c r="C803" s="466" t="s">
        <v>3291</v>
      </c>
      <c r="D803" s="467" t="s">
        <v>3292</v>
      </c>
      <c r="E803" s="468" t="s">
        <v>2491</v>
      </c>
      <c r="F803" s="477">
        <v>105.6</v>
      </c>
      <c r="G803" s="469" t="s">
        <v>2472</v>
      </c>
      <c r="H803" s="470">
        <v>80</v>
      </c>
      <c r="I803" s="471">
        <v>80</v>
      </c>
      <c r="J803" s="472" t="s">
        <v>423</v>
      </c>
      <c r="K803" s="472" t="s">
        <v>534</v>
      </c>
      <c r="L803" s="473" t="s">
        <v>570</v>
      </c>
      <c r="M803" s="473" t="s">
        <v>820</v>
      </c>
      <c r="N803" s="473" t="s">
        <v>3291</v>
      </c>
      <c r="O803" s="474" t="s">
        <v>3291</v>
      </c>
    </row>
    <row r="804" spans="1:15" s="475" customFormat="1" ht="12" hidden="1">
      <c r="A804" s="465">
        <v>10131000056422</v>
      </c>
      <c r="B804" s="466" t="s">
        <v>3293</v>
      </c>
      <c r="C804" s="466" t="s">
        <v>3293</v>
      </c>
      <c r="D804" s="467" t="s">
        <v>1984</v>
      </c>
      <c r="E804" s="468" t="s">
        <v>2491</v>
      </c>
      <c r="F804" s="477">
        <v>15</v>
      </c>
      <c r="G804" s="469" t="s">
        <v>2472</v>
      </c>
      <c r="H804" s="470">
        <v>14.4</v>
      </c>
      <c r="I804" s="471">
        <v>14.4</v>
      </c>
      <c r="J804" s="472" t="s">
        <v>423</v>
      </c>
      <c r="K804" s="472" t="s">
        <v>534</v>
      </c>
      <c r="L804" s="473" t="s">
        <v>2474</v>
      </c>
      <c r="M804" s="473" t="s">
        <v>1835</v>
      </c>
      <c r="N804" s="473" t="s">
        <v>1976</v>
      </c>
      <c r="O804" s="474" t="s">
        <v>3293</v>
      </c>
    </row>
    <row r="805" spans="1:15" s="475" customFormat="1" ht="12" hidden="1">
      <c r="A805" s="465">
        <v>10131000057869</v>
      </c>
      <c r="B805" s="466" t="s">
        <v>3293</v>
      </c>
      <c r="C805" s="466" t="s">
        <v>3294</v>
      </c>
      <c r="D805" s="467" t="s">
        <v>1984</v>
      </c>
      <c r="E805" s="468" t="s">
        <v>2619</v>
      </c>
      <c r="F805" s="477" t="s">
        <v>2472</v>
      </c>
      <c r="G805" s="469" t="s">
        <v>2472</v>
      </c>
      <c r="H805" s="470">
        <v>14.4</v>
      </c>
      <c r="I805" s="471">
        <v>14.4</v>
      </c>
      <c r="J805" s="472" t="s">
        <v>423</v>
      </c>
      <c r="K805" s="472" t="s">
        <v>2620</v>
      </c>
      <c r="L805" s="473" t="s">
        <v>2474</v>
      </c>
      <c r="M805" s="473" t="s">
        <v>1835</v>
      </c>
      <c r="N805" s="473" t="s">
        <v>1976</v>
      </c>
      <c r="O805" s="474" t="s">
        <v>3293</v>
      </c>
    </row>
    <row r="806" spans="1:15" s="475" customFormat="1" ht="12" hidden="1">
      <c r="A806" s="465">
        <v>1000099068</v>
      </c>
      <c r="B806" s="466" t="s">
        <v>3295</v>
      </c>
      <c r="C806" s="466" t="s">
        <v>3295</v>
      </c>
      <c r="D806" s="467" t="s">
        <v>571</v>
      </c>
      <c r="E806" s="468" t="s">
        <v>2471</v>
      </c>
      <c r="F806" s="477" t="s">
        <v>2472</v>
      </c>
      <c r="G806" s="469" t="s">
        <v>2472</v>
      </c>
      <c r="H806" s="470">
        <v>55.757399999999997</v>
      </c>
      <c r="I806" s="471">
        <v>4.3055907335907335</v>
      </c>
      <c r="J806" s="472" t="s">
        <v>422</v>
      </c>
      <c r="K806" s="472" t="s">
        <v>2473</v>
      </c>
      <c r="L806" s="473" t="s">
        <v>570</v>
      </c>
      <c r="M806" s="473" t="s">
        <v>2732</v>
      </c>
      <c r="N806" s="473" t="s">
        <v>2643</v>
      </c>
      <c r="O806" s="474" t="s">
        <v>3296</v>
      </c>
    </row>
    <row r="807" spans="1:15" s="475" customFormat="1" ht="12" hidden="1">
      <c r="A807" s="465">
        <v>1000099076</v>
      </c>
      <c r="B807" s="466" t="s">
        <v>3295</v>
      </c>
      <c r="C807" s="466" t="s">
        <v>3297</v>
      </c>
      <c r="D807" s="467" t="s">
        <v>571</v>
      </c>
      <c r="E807" s="468" t="s">
        <v>2471</v>
      </c>
      <c r="F807" s="477" t="s">
        <v>2472</v>
      </c>
      <c r="G807" s="469" t="s">
        <v>2472</v>
      </c>
      <c r="H807" s="470">
        <v>66.345699999999994</v>
      </c>
      <c r="I807" s="471">
        <v>5.1232200772200773</v>
      </c>
      <c r="J807" s="472" t="s">
        <v>422</v>
      </c>
      <c r="K807" s="472" t="s">
        <v>2473</v>
      </c>
      <c r="L807" s="473" t="s">
        <v>570</v>
      </c>
      <c r="M807" s="473" t="s">
        <v>2732</v>
      </c>
      <c r="N807" s="473" t="s">
        <v>2643</v>
      </c>
      <c r="O807" s="474" t="s">
        <v>3296</v>
      </c>
    </row>
    <row r="808" spans="1:15" s="475" customFormat="1" ht="12" hidden="1">
      <c r="A808" s="465">
        <v>10131000056414</v>
      </c>
      <c r="B808" s="466" t="s">
        <v>3298</v>
      </c>
      <c r="C808" s="466" t="s">
        <v>3298</v>
      </c>
      <c r="D808" s="467" t="s">
        <v>1862</v>
      </c>
      <c r="E808" s="468" t="s">
        <v>2491</v>
      </c>
      <c r="F808" s="477">
        <v>40</v>
      </c>
      <c r="G808" s="469" t="s">
        <v>2472</v>
      </c>
      <c r="H808" s="470">
        <v>40.799999999999997</v>
      </c>
      <c r="I808" s="471">
        <v>40.799999999999997</v>
      </c>
      <c r="J808" s="472" t="s">
        <v>423</v>
      </c>
      <c r="K808" s="472" t="s">
        <v>534</v>
      </c>
      <c r="L808" s="473" t="s">
        <v>2474</v>
      </c>
      <c r="M808" s="473" t="s">
        <v>1835</v>
      </c>
      <c r="N808" s="473" t="s">
        <v>1858</v>
      </c>
      <c r="O808" s="474" t="s">
        <v>3298</v>
      </c>
    </row>
    <row r="809" spans="1:15" s="475" customFormat="1" ht="12" hidden="1">
      <c r="A809" s="465">
        <v>10131000057866</v>
      </c>
      <c r="B809" s="466" t="s">
        <v>3298</v>
      </c>
      <c r="C809" s="466" t="s">
        <v>3299</v>
      </c>
      <c r="D809" s="467" t="s">
        <v>1862</v>
      </c>
      <c r="E809" s="468" t="s">
        <v>2619</v>
      </c>
      <c r="F809" s="477">
        <v>49.627791500000001</v>
      </c>
      <c r="G809" s="469" t="s">
        <v>2472</v>
      </c>
      <c r="H809" s="470">
        <v>40.799999999999997</v>
      </c>
      <c r="I809" s="471">
        <v>40.799999999999997</v>
      </c>
      <c r="J809" s="472" t="s">
        <v>423</v>
      </c>
      <c r="K809" s="472" t="s">
        <v>2620</v>
      </c>
      <c r="L809" s="473" t="s">
        <v>2474</v>
      </c>
      <c r="M809" s="473" t="s">
        <v>1835</v>
      </c>
      <c r="N809" s="473" t="s">
        <v>1858</v>
      </c>
      <c r="O809" s="474" t="s">
        <v>3298</v>
      </c>
    </row>
    <row r="810" spans="1:15" s="475" customFormat="1" ht="12" hidden="1">
      <c r="A810" s="465">
        <v>1000099142</v>
      </c>
      <c r="B810" s="466" t="s">
        <v>3298</v>
      </c>
      <c r="C810" s="466" t="s">
        <v>3298</v>
      </c>
      <c r="D810" s="467" t="s">
        <v>2685</v>
      </c>
      <c r="E810" s="468" t="s">
        <v>2471</v>
      </c>
      <c r="F810" s="477" t="s">
        <v>2472</v>
      </c>
      <c r="G810" s="469" t="s">
        <v>2472</v>
      </c>
      <c r="H810" s="470">
        <v>815.02386000000001</v>
      </c>
      <c r="I810" s="471">
        <v>62.93620540540541</v>
      </c>
      <c r="J810" s="472" t="s">
        <v>422</v>
      </c>
      <c r="K810" s="472" t="s">
        <v>2473</v>
      </c>
      <c r="L810" s="473" t="s">
        <v>2474</v>
      </c>
      <c r="M810" s="473" t="s">
        <v>1835</v>
      </c>
      <c r="N810" s="473" t="s">
        <v>1858</v>
      </c>
      <c r="O810" s="474" t="s">
        <v>3298</v>
      </c>
    </row>
    <row r="811" spans="1:15" s="475" customFormat="1" ht="12" hidden="1">
      <c r="A811" s="465">
        <v>1000099179</v>
      </c>
      <c r="B811" s="466" t="s">
        <v>3298</v>
      </c>
      <c r="C811" s="466" t="s">
        <v>3300</v>
      </c>
      <c r="D811" s="467" t="s">
        <v>2685</v>
      </c>
      <c r="E811" s="468" t="s">
        <v>2471</v>
      </c>
      <c r="F811" s="477" t="s">
        <v>2472</v>
      </c>
      <c r="G811" s="469" t="s">
        <v>2472</v>
      </c>
      <c r="H811" s="470">
        <v>855.77505300000007</v>
      </c>
      <c r="I811" s="471">
        <v>66.083015675675682</v>
      </c>
      <c r="J811" s="472" t="s">
        <v>422</v>
      </c>
      <c r="K811" s="472" t="s">
        <v>2473</v>
      </c>
      <c r="L811" s="473" t="s">
        <v>2474</v>
      </c>
      <c r="M811" s="473" t="s">
        <v>1835</v>
      </c>
      <c r="N811" s="473" t="s">
        <v>1858</v>
      </c>
      <c r="O811" s="474" t="s">
        <v>3298</v>
      </c>
    </row>
    <row r="812" spans="1:15" s="475" customFormat="1" ht="12" hidden="1">
      <c r="A812" s="465">
        <v>10131000056532</v>
      </c>
      <c r="B812" s="476" t="s">
        <v>3301</v>
      </c>
      <c r="C812" s="476" t="s">
        <v>3302</v>
      </c>
      <c r="D812" s="467" t="s">
        <v>990</v>
      </c>
      <c r="E812" s="472" t="s">
        <v>2491</v>
      </c>
      <c r="F812" s="477">
        <v>69.44</v>
      </c>
      <c r="G812" s="469" t="s">
        <v>2472</v>
      </c>
      <c r="H812" s="487">
        <v>91.81</v>
      </c>
      <c r="I812" s="471">
        <v>91.81</v>
      </c>
      <c r="J812" s="488" t="s">
        <v>2492</v>
      </c>
      <c r="K812" s="472" t="s">
        <v>2522</v>
      </c>
      <c r="L812" s="473" t="s">
        <v>570</v>
      </c>
      <c r="M812" s="473" t="s">
        <v>2735</v>
      </c>
      <c r="N812" s="473" t="s">
        <v>3301</v>
      </c>
      <c r="O812" s="474" t="s">
        <v>3301</v>
      </c>
    </row>
    <row r="813" spans="1:15" s="475" customFormat="1" ht="12" hidden="1">
      <c r="A813" s="465">
        <v>10131000016940</v>
      </c>
      <c r="B813" s="466" t="s">
        <v>3301</v>
      </c>
      <c r="C813" s="466" t="s">
        <v>3301</v>
      </c>
      <c r="D813" s="467" t="s">
        <v>990</v>
      </c>
      <c r="E813" s="468" t="s">
        <v>2491</v>
      </c>
      <c r="F813" s="477">
        <v>74</v>
      </c>
      <c r="G813" s="469" t="s">
        <v>2472</v>
      </c>
      <c r="H813" s="470">
        <v>129.5</v>
      </c>
      <c r="I813" s="471">
        <v>129.5</v>
      </c>
      <c r="J813" s="472" t="s">
        <v>423</v>
      </c>
      <c r="K813" s="472" t="s">
        <v>534</v>
      </c>
      <c r="L813" s="473" t="s">
        <v>570</v>
      </c>
      <c r="M813" s="473" t="s">
        <v>2735</v>
      </c>
      <c r="N813" s="473" t="s">
        <v>988</v>
      </c>
      <c r="O813" s="474" t="s">
        <v>988</v>
      </c>
    </row>
    <row r="814" spans="1:15" s="475" customFormat="1" ht="12" hidden="1">
      <c r="A814" s="465">
        <v>10131000058286</v>
      </c>
      <c r="B814" s="489" t="s">
        <v>3301</v>
      </c>
      <c r="C814" s="489" t="s">
        <v>3303</v>
      </c>
      <c r="D814" s="467" t="s">
        <v>990</v>
      </c>
      <c r="E814" s="478" t="s">
        <v>2514</v>
      </c>
      <c r="F814" s="477" t="s">
        <v>2472</v>
      </c>
      <c r="G814" s="469" t="s">
        <v>2472</v>
      </c>
      <c r="H814" s="481">
        <v>9811</v>
      </c>
      <c r="I814" s="482">
        <v>100.16</v>
      </c>
      <c r="J814" s="483" t="s">
        <v>2515</v>
      </c>
      <c r="K814" s="483" t="s">
        <v>2515</v>
      </c>
      <c r="L814" s="473" t="s">
        <v>570</v>
      </c>
      <c r="M814" s="473" t="s">
        <v>2735</v>
      </c>
      <c r="N814" s="473" t="s">
        <v>3301</v>
      </c>
      <c r="O814" s="474" t="s">
        <v>3301</v>
      </c>
    </row>
    <row r="815" spans="1:15" s="475" customFormat="1" ht="12" hidden="1">
      <c r="A815" s="465">
        <v>10131000058287</v>
      </c>
      <c r="B815" s="489" t="s">
        <v>3301</v>
      </c>
      <c r="C815" s="489" t="s">
        <v>3304</v>
      </c>
      <c r="D815" s="467" t="s">
        <v>990</v>
      </c>
      <c r="E815" s="478" t="s">
        <v>2514</v>
      </c>
      <c r="F815" s="477" t="s">
        <v>2472</v>
      </c>
      <c r="G815" s="469" t="s">
        <v>2472</v>
      </c>
      <c r="H815" s="481">
        <v>9811</v>
      </c>
      <c r="I815" s="482">
        <v>100.16</v>
      </c>
      <c r="J815" s="483" t="s">
        <v>2515</v>
      </c>
      <c r="K815" s="483" t="s">
        <v>2515</v>
      </c>
      <c r="L815" s="473" t="s">
        <v>570</v>
      </c>
      <c r="M815" s="473" t="s">
        <v>2735</v>
      </c>
      <c r="N815" s="473" t="s">
        <v>3301</v>
      </c>
      <c r="O815" s="474" t="s">
        <v>3301</v>
      </c>
    </row>
    <row r="816" spans="1:15" s="475" customFormat="1" ht="12" hidden="1">
      <c r="A816" s="465">
        <v>10131000058612</v>
      </c>
      <c r="B816" s="476" t="s">
        <v>3301</v>
      </c>
      <c r="C816" s="476" t="s">
        <v>3305</v>
      </c>
      <c r="D816" s="467" t="s">
        <v>982</v>
      </c>
      <c r="E816" s="472" t="s">
        <v>2541</v>
      </c>
      <c r="F816" s="477" t="s">
        <v>2472</v>
      </c>
      <c r="G816" s="469" t="s">
        <v>2472</v>
      </c>
      <c r="H816" s="470">
        <v>1E-8</v>
      </c>
      <c r="I816" s="471">
        <v>1.5324781650000001E-8</v>
      </c>
      <c r="J816" s="485" t="s">
        <v>421</v>
      </c>
      <c r="K816" s="472" t="s">
        <v>651</v>
      </c>
      <c r="L816" s="473" t="s">
        <v>570</v>
      </c>
      <c r="M816" s="473" t="s">
        <v>2735</v>
      </c>
      <c r="N816" s="473" t="s">
        <v>3301</v>
      </c>
      <c r="O816" s="474" t="s">
        <v>3301</v>
      </c>
    </row>
    <row r="817" spans="1:15" s="475" customFormat="1" ht="12" hidden="1">
      <c r="A817" s="465">
        <v>10131000028048</v>
      </c>
      <c r="B817" s="476" t="s">
        <v>876</v>
      </c>
      <c r="C817" s="476" t="s">
        <v>3306</v>
      </c>
      <c r="D817" s="467" t="s">
        <v>3307</v>
      </c>
      <c r="E817" s="472" t="s">
        <v>2704</v>
      </c>
      <c r="F817" s="477">
        <v>3.3836378268000002</v>
      </c>
      <c r="G817" s="469" t="s">
        <v>2472</v>
      </c>
      <c r="H817" s="470">
        <v>38.47</v>
      </c>
      <c r="I817" s="471">
        <v>4.8139320372333323</v>
      </c>
      <c r="J817" s="485" t="s">
        <v>421</v>
      </c>
      <c r="K817" s="472" t="s">
        <v>589</v>
      </c>
      <c r="L817" s="473" t="s">
        <v>570</v>
      </c>
      <c r="M817" s="473" t="s">
        <v>2732</v>
      </c>
      <c r="N817" s="473" t="s">
        <v>876</v>
      </c>
      <c r="O817" s="474" t="s">
        <v>876</v>
      </c>
    </row>
    <row r="818" spans="1:15" s="475" customFormat="1" ht="12" hidden="1">
      <c r="A818" s="465">
        <v>10131000028065</v>
      </c>
      <c r="B818" s="476" t="s">
        <v>876</v>
      </c>
      <c r="C818" s="476" t="s">
        <v>3308</v>
      </c>
      <c r="D818" s="467" t="s">
        <v>3307</v>
      </c>
      <c r="E818" s="472" t="s">
        <v>2833</v>
      </c>
      <c r="F818" s="477">
        <v>3.6141622579999995</v>
      </c>
      <c r="G818" s="469" t="s">
        <v>2472</v>
      </c>
      <c r="H818" s="470">
        <v>79.790000000000006</v>
      </c>
      <c r="I818" s="471">
        <v>7.7126957551416675</v>
      </c>
      <c r="J818" s="485" t="s">
        <v>421</v>
      </c>
      <c r="K818" s="472" t="s">
        <v>631</v>
      </c>
      <c r="L818" s="473" t="s">
        <v>570</v>
      </c>
      <c r="M818" s="473" t="s">
        <v>2732</v>
      </c>
      <c r="N818" s="473" t="s">
        <v>876</v>
      </c>
      <c r="O818" s="474" t="s">
        <v>876</v>
      </c>
    </row>
    <row r="819" spans="1:15" s="475" customFormat="1" ht="12" hidden="1">
      <c r="A819" s="465">
        <v>10131000028056</v>
      </c>
      <c r="B819" s="476" t="s">
        <v>876</v>
      </c>
      <c r="C819" s="476" t="s">
        <v>3309</v>
      </c>
      <c r="D819" s="467" t="s">
        <v>3307</v>
      </c>
      <c r="E819" s="472" t="s">
        <v>2823</v>
      </c>
      <c r="F819" s="477">
        <v>5.2244869522000004</v>
      </c>
      <c r="G819" s="469" t="s">
        <v>2472</v>
      </c>
      <c r="H819" s="470">
        <v>4632.17</v>
      </c>
      <c r="I819" s="471">
        <v>42.329537628191673</v>
      </c>
      <c r="J819" s="485" t="s">
        <v>421</v>
      </c>
      <c r="K819" s="472" t="s">
        <v>619</v>
      </c>
      <c r="L819" s="473" t="s">
        <v>570</v>
      </c>
      <c r="M819" s="473" t="s">
        <v>2732</v>
      </c>
      <c r="N819" s="473" t="s">
        <v>876</v>
      </c>
      <c r="O819" s="474" t="s">
        <v>876</v>
      </c>
    </row>
    <row r="820" spans="1:15" s="475" customFormat="1" ht="12" hidden="1">
      <c r="A820" s="465">
        <v>10131000028052</v>
      </c>
      <c r="B820" s="476" t="s">
        <v>876</v>
      </c>
      <c r="C820" s="476" t="s">
        <v>3310</v>
      </c>
      <c r="D820" s="467" t="s">
        <v>3307</v>
      </c>
      <c r="E820" s="472" t="s">
        <v>2813</v>
      </c>
      <c r="F820" s="477">
        <v>12.363675814399999</v>
      </c>
      <c r="G820" s="469" t="s">
        <v>2472</v>
      </c>
      <c r="H820" s="470">
        <v>2041.78</v>
      </c>
      <c r="I820" s="471">
        <v>12.722252911766669</v>
      </c>
      <c r="J820" s="485" t="s">
        <v>421</v>
      </c>
      <c r="K820" s="472" t="s">
        <v>605</v>
      </c>
      <c r="L820" s="473" t="s">
        <v>570</v>
      </c>
      <c r="M820" s="473" t="s">
        <v>2732</v>
      </c>
      <c r="N820" s="473" t="s">
        <v>876</v>
      </c>
      <c r="O820" s="474" t="s">
        <v>876</v>
      </c>
    </row>
    <row r="821" spans="1:15" s="475" customFormat="1" ht="12" hidden="1">
      <c r="A821" s="465">
        <v>10131000028067</v>
      </c>
      <c r="B821" s="476" t="s">
        <v>876</v>
      </c>
      <c r="C821" s="476" t="s">
        <v>3311</v>
      </c>
      <c r="D821" s="467" t="s">
        <v>3307</v>
      </c>
      <c r="E821" s="472" t="s">
        <v>2838</v>
      </c>
      <c r="F821" s="477">
        <v>14.5915740012</v>
      </c>
      <c r="G821" s="469" t="s">
        <v>2472</v>
      </c>
      <c r="H821" s="470">
        <v>16.79</v>
      </c>
      <c r="I821" s="471">
        <v>9.6770612158083331</v>
      </c>
      <c r="J821" s="485" t="s">
        <v>421</v>
      </c>
      <c r="K821" s="472" t="s">
        <v>641</v>
      </c>
      <c r="L821" s="473" t="s">
        <v>570</v>
      </c>
      <c r="M821" s="473" t="s">
        <v>2732</v>
      </c>
      <c r="N821" s="473" t="s">
        <v>876</v>
      </c>
      <c r="O821" s="474" t="s">
        <v>876</v>
      </c>
    </row>
    <row r="822" spans="1:15" s="475" customFormat="1" ht="12" hidden="1">
      <c r="A822" s="465">
        <v>10131000028064</v>
      </c>
      <c r="B822" s="476" t="s">
        <v>876</v>
      </c>
      <c r="C822" s="476" t="s">
        <v>3312</v>
      </c>
      <c r="D822" s="467" t="s">
        <v>3307</v>
      </c>
      <c r="E822" s="472" t="s">
        <v>2715</v>
      </c>
      <c r="F822" s="477">
        <v>19.163552000000003</v>
      </c>
      <c r="G822" s="469" t="s">
        <v>2472</v>
      </c>
      <c r="H822" s="470">
        <v>46.08</v>
      </c>
      <c r="I822" s="471">
        <v>61.19512884480001</v>
      </c>
      <c r="J822" s="485" t="s">
        <v>421</v>
      </c>
      <c r="K822" s="472" t="s">
        <v>629</v>
      </c>
      <c r="L822" s="473" t="s">
        <v>570</v>
      </c>
      <c r="M822" s="473" t="s">
        <v>2732</v>
      </c>
      <c r="N822" s="473" t="s">
        <v>876</v>
      </c>
      <c r="O822" s="474" t="s">
        <v>876</v>
      </c>
    </row>
    <row r="823" spans="1:15" s="475" customFormat="1" ht="12" hidden="1">
      <c r="A823" s="465">
        <v>10131000028051</v>
      </c>
      <c r="B823" s="476" t="s">
        <v>876</v>
      </c>
      <c r="C823" s="476" t="s">
        <v>3313</v>
      </c>
      <c r="D823" s="467" t="s">
        <v>3307</v>
      </c>
      <c r="E823" s="472" t="s">
        <v>2811</v>
      </c>
      <c r="F823" s="477">
        <v>21.368124185999999</v>
      </c>
      <c r="G823" s="469" t="s">
        <v>2472</v>
      </c>
      <c r="H823" s="470">
        <v>29.6</v>
      </c>
      <c r="I823" s="471">
        <v>41.748942304000003</v>
      </c>
      <c r="J823" s="485" t="s">
        <v>421</v>
      </c>
      <c r="K823" s="472" t="s">
        <v>603</v>
      </c>
      <c r="L823" s="473" t="s">
        <v>570</v>
      </c>
      <c r="M823" s="473" t="s">
        <v>2732</v>
      </c>
      <c r="N823" s="473" t="s">
        <v>876</v>
      </c>
      <c r="O823" s="474" t="s">
        <v>876</v>
      </c>
    </row>
    <row r="824" spans="1:15" s="475" customFormat="1" ht="12" hidden="1">
      <c r="A824" s="465">
        <v>10131000028038</v>
      </c>
      <c r="B824" s="476" t="s">
        <v>876</v>
      </c>
      <c r="C824" s="476" t="s">
        <v>3314</v>
      </c>
      <c r="D824" s="467" t="s">
        <v>3307</v>
      </c>
      <c r="E824" s="472" t="s">
        <v>2792</v>
      </c>
      <c r="F824" s="477">
        <v>24.063660850800002</v>
      </c>
      <c r="G824" s="469" t="s">
        <v>2472</v>
      </c>
      <c r="H824" s="470">
        <v>3959.01</v>
      </c>
      <c r="I824" s="471">
        <v>49.003160946300007</v>
      </c>
      <c r="J824" s="485" t="s">
        <v>421</v>
      </c>
      <c r="K824" s="472" t="s">
        <v>575</v>
      </c>
      <c r="L824" s="473" t="s">
        <v>570</v>
      </c>
      <c r="M824" s="473" t="s">
        <v>2732</v>
      </c>
      <c r="N824" s="473" t="s">
        <v>876</v>
      </c>
      <c r="O824" s="474" t="s">
        <v>876</v>
      </c>
    </row>
    <row r="825" spans="1:15" s="475" customFormat="1" ht="12" hidden="1">
      <c r="A825" s="465">
        <v>10131000028054</v>
      </c>
      <c r="B825" s="476" t="s">
        <v>876</v>
      </c>
      <c r="C825" s="476" t="s">
        <v>3315</v>
      </c>
      <c r="D825" s="467" t="s">
        <v>3307</v>
      </c>
      <c r="E825" s="472" t="s">
        <v>2852</v>
      </c>
      <c r="F825" s="477">
        <v>26.471787505800002</v>
      </c>
      <c r="G825" s="469" t="s">
        <v>2472</v>
      </c>
      <c r="H825" s="470">
        <v>133.25</v>
      </c>
      <c r="I825" s="471">
        <v>15.256749012916668</v>
      </c>
      <c r="J825" s="485" t="s">
        <v>421</v>
      </c>
      <c r="K825" s="472" t="s">
        <v>613</v>
      </c>
      <c r="L825" s="473" t="s">
        <v>570</v>
      </c>
      <c r="M825" s="473" t="s">
        <v>2732</v>
      </c>
      <c r="N825" s="473" t="s">
        <v>876</v>
      </c>
      <c r="O825" s="474" t="s">
        <v>876</v>
      </c>
    </row>
    <row r="826" spans="1:15" s="475" customFormat="1" ht="12" hidden="1">
      <c r="A826" s="465">
        <v>10131000028053</v>
      </c>
      <c r="B826" s="476" t="s">
        <v>876</v>
      </c>
      <c r="C826" s="476" t="s">
        <v>3316</v>
      </c>
      <c r="D826" s="467" t="s">
        <v>3307</v>
      </c>
      <c r="E826" s="472" t="s">
        <v>2815</v>
      </c>
      <c r="F826" s="477">
        <v>43.139063398200001</v>
      </c>
      <c r="G826" s="469" t="s">
        <v>2472</v>
      </c>
      <c r="H826" s="470">
        <v>1653.97</v>
      </c>
      <c r="I826" s="471">
        <v>17.582920902875003</v>
      </c>
      <c r="J826" s="485" t="s">
        <v>421</v>
      </c>
      <c r="K826" s="472" t="s">
        <v>607</v>
      </c>
      <c r="L826" s="473" t="s">
        <v>570</v>
      </c>
      <c r="M826" s="473" t="s">
        <v>2732</v>
      </c>
      <c r="N826" s="473" t="s">
        <v>876</v>
      </c>
      <c r="O826" s="474" t="s">
        <v>876</v>
      </c>
    </row>
    <row r="827" spans="1:15" s="475" customFormat="1" ht="12" hidden="1">
      <c r="A827" s="465">
        <v>10131000028083</v>
      </c>
      <c r="B827" s="476" t="s">
        <v>876</v>
      </c>
      <c r="C827" s="476" t="s">
        <v>3317</v>
      </c>
      <c r="D827" s="467" t="s">
        <v>3307</v>
      </c>
      <c r="E827" s="472" t="s">
        <v>2715</v>
      </c>
      <c r="F827" s="477">
        <v>44.287936000000009</v>
      </c>
      <c r="G827" s="469" t="s">
        <v>2472</v>
      </c>
      <c r="H827" s="470">
        <v>46.03</v>
      </c>
      <c r="I827" s="471">
        <v>61.128727880341678</v>
      </c>
      <c r="J827" s="485" t="s">
        <v>421</v>
      </c>
      <c r="K827" s="472" t="s">
        <v>743</v>
      </c>
      <c r="L827" s="473" t="s">
        <v>570</v>
      </c>
      <c r="M827" s="473" t="s">
        <v>2732</v>
      </c>
      <c r="N827" s="473" t="s">
        <v>876</v>
      </c>
      <c r="O827" s="474" t="s">
        <v>876</v>
      </c>
    </row>
    <row r="828" spans="1:15" s="475" customFormat="1" ht="12" hidden="1">
      <c r="A828" s="465">
        <v>10131000028080</v>
      </c>
      <c r="B828" s="476" t="s">
        <v>876</v>
      </c>
      <c r="C828" s="476" t="s">
        <v>3318</v>
      </c>
      <c r="D828" s="467" t="s">
        <v>3307</v>
      </c>
      <c r="E828" s="472" t="s">
        <v>2715</v>
      </c>
      <c r="F828" s="477">
        <v>44.418655999999999</v>
      </c>
      <c r="G828" s="469" t="s">
        <v>2472</v>
      </c>
      <c r="H828" s="470">
        <v>22.39</v>
      </c>
      <c r="I828" s="471">
        <v>29.734351884441672</v>
      </c>
      <c r="J828" s="485" t="s">
        <v>421</v>
      </c>
      <c r="K828" s="472" t="s">
        <v>597</v>
      </c>
      <c r="L828" s="473" t="s">
        <v>570</v>
      </c>
      <c r="M828" s="473" t="s">
        <v>2732</v>
      </c>
      <c r="N828" s="473" t="s">
        <v>876</v>
      </c>
      <c r="O828" s="474" t="s">
        <v>876</v>
      </c>
    </row>
    <row r="829" spans="1:15" s="475" customFormat="1" ht="12" hidden="1">
      <c r="A829" s="465">
        <v>10131000028066</v>
      </c>
      <c r="B829" s="476" t="s">
        <v>876</v>
      </c>
      <c r="C829" s="476" t="s">
        <v>3319</v>
      </c>
      <c r="D829" s="467" t="s">
        <v>3307</v>
      </c>
      <c r="E829" s="472" t="s">
        <v>2836</v>
      </c>
      <c r="F829" s="477">
        <v>44.923884434099996</v>
      </c>
      <c r="G829" s="469" t="s">
        <v>2472</v>
      </c>
      <c r="H829" s="470">
        <v>355547.62</v>
      </c>
      <c r="I829" s="471">
        <v>201.38157938863333</v>
      </c>
      <c r="J829" s="485" t="s">
        <v>421</v>
      </c>
      <c r="K829" s="472" t="s">
        <v>639</v>
      </c>
      <c r="L829" s="473" t="s">
        <v>570</v>
      </c>
      <c r="M829" s="473" t="s">
        <v>2732</v>
      </c>
      <c r="N829" s="473" t="s">
        <v>876</v>
      </c>
      <c r="O829" s="474" t="s">
        <v>876</v>
      </c>
    </row>
    <row r="830" spans="1:15" s="475" customFormat="1" ht="12" hidden="1">
      <c r="A830" s="465">
        <v>10131000028049</v>
      </c>
      <c r="B830" s="476" t="s">
        <v>876</v>
      </c>
      <c r="C830" s="476" t="s">
        <v>3320</v>
      </c>
      <c r="D830" s="467" t="s">
        <v>3307</v>
      </c>
      <c r="E830" s="472" t="s">
        <v>2795</v>
      </c>
      <c r="F830" s="477">
        <v>45.648561112000003</v>
      </c>
      <c r="G830" s="469" t="s">
        <v>2472</v>
      </c>
      <c r="H830" s="470">
        <v>15133.75</v>
      </c>
      <c r="I830" s="471">
        <v>30.64322056666666</v>
      </c>
      <c r="J830" s="485" t="s">
        <v>421</v>
      </c>
      <c r="K830" s="472" t="s">
        <v>724</v>
      </c>
      <c r="L830" s="473" t="s">
        <v>570</v>
      </c>
      <c r="M830" s="473" t="s">
        <v>2732</v>
      </c>
      <c r="N830" s="473" t="s">
        <v>876</v>
      </c>
      <c r="O830" s="474" t="s">
        <v>876</v>
      </c>
    </row>
    <row r="831" spans="1:15" s="475" customFormat="1" ht="12" hidden="1">
      <c r="A831" s="465">
        <v>10131000028073</v>
      </c>
      <c r="B831" s="476" t="s">
        <v>876</v>
      </c>
      <c r="C831" s="476" t="s">
        <v>3321</v>
      </c>
      <c r="D831" s="467" t="s">
        <v>3307</v>
      </c>
      <c r="E831" s="472" t="s">
        <v>2856</v>
      </c>
      <c r="F831" s="477">
        <v>46.567200129600003</v>
      </c>
      <c r="G831" s="469" t="s">
        <v>2472</v>
      </c>
      <c r="H831" s="470">
        <v>282.08999999999997</v>
      </c>
      <c r="I831" s="471">
        <v>33.427608581999998</v>
      </c>
      <c r="J831" s="485" t="s">
        <v>421</v>
      </c>
      <c r="K831" s="472" t="s">
        <v>649</v>
      </c>
      <c r="L831" s="473" t="s">
        <v>570</v>
      </c>
      <c r="M831" s="473" t="s">
        <v>2732</v>
      </c>
      <c r="N831" s="473" t="s">
        <v>876</v>
      </c>
      <c r="O831" s="474" t="s">
        <v>876</v>
      </c>
    </row>
    <row r="832" spans="1:15" s="475" customFormat="1" ht="12" hidden="1">
      <c r="A832" s="465">
        <v>10131000028042</v>
      </c>
      <c r="B832" s="476" t="s">
        <v>876</v>
      </c>
      <c r="C832" s="476" t="s">
        <v>3322</v>
      </c>
      <c r="D832" s="467" t="s">
        <v>3307</v>
      </c>
      <c r="E832" s="472" t="s">
        <v>2795</v>
      </c>
      <c r="F832" s="477">
        <v>53.042538332699998</v>
      </c>
      <c r="G832" s="469" t="s">
        <v>2472</v>
      </c>
      <c r="H832" s="470">
        <v>27529.48</v>
      </c>
      <c r="I832" s="471">
        <v>55.742425223466654</v>
      </c>
      <c r="J832" s="485" t="s">
        <v>421</v>
      </c>
      <c r="K832" s="472" t="s">
        <v>583</v>
      </c>
      <c r="L832" s="473" t="s">
        <v>570</v>
      </c>
      <c r="M832" s="473" t="s">
        <v>2732</v>
      </c>
      <c r="N832" s="473" t="s">
        <v>876</v>
      </c>
      <c r="O832" s="474" t="s">
        <v>876</v>
      </c>
    </row>
    <row r="833" spans="1:15" s="475" customFormat="1" ht="12" hidden="1">
      <c r="A833" s="465">
        <v>10131000028086</v>
      </c>
      <c r="B833" s="476" t="s">
        <v>876</v>
      </c>
      <c r="C833" s="476" t="s">
        <v>3323</v>
      </c>
      <c r="D833" s="467" t="s">
        <v>3307</v>
      </c>
      <c r="E833" s="472" t="s">
        <v>2817</v>
      </c>
      <c r="F833" s="477">
        <v>58.273254873299997</v>
      </c>
      <c r="G833" s="469" t="s">
        <v>2472</v>
      </c>
      <c r="H833" s="470">
        <v>6.82</v>
      </c>
      <c r="I833" s="471">
        <v>23.8682539777</v>
      </c>
      <c r="J833" s="485" t="s">
        <v>421</v>
      </c>
      <c r="K833" s="472" t="s">
        <v>609</v>
      </c>
      <c r="L833" s="473" t="s">
        <v>570</v>
      </c>
      <c r="M833" s="473" t="s">
        <v>2732</v>
      </c>
      <c r="N833" s="473" t="s">
        <v>876</v>
      </c>
      <c r="O833" s="474" t="s">
        <v>876</v>
      </c>
    </row>
    <row r="834" spans="1:15" s="475" customFormat="1" ht="12" hidden="1">
      <c r="A834" s="465">
        <v>10131000028069</v>
      </c>
      <c r="B834" s="476" t="s">
        <v>876</v>
      </c>
      <c r="C834" s="476" t="s">
        <v>3324</v>
      </c>
      <c r="D834" s="467" t="s">
        <v>3307</v>
      </c>
      <c r="E834" s="472" t="s">
        <v>2840</v>
      </c>
      <c r="F834" s="477">
        <v>67.774117569000012</v>
      </c>
      <c r="G834" s="469" t="s">
        <v>2472</v>
      </c>
      <c r="H834" s="470">
        <v>871.14</v>
      </c>
      <c r="I834" s="471">
        <v>422.10191208014999</v>
      </c>
      <c r="J834" s="485" t="s">
        <v>421</v>
      </c>
      <c r="K834" s="472" t="s">
        <v>643</v>
      </c>
      <c r="L834" s="473" t="s">
        <v>570</v>
      </c>
      <c r="M834" s="473" t="s">
        <v>2732</v>
      </c>
      <c r="N834" s="473" t="s">
        <v>876</v>
      </c>
      <c r="O834" s="474" t="s">
        <v>876</v>
      </c>
    </row>
    <row r="835" spans="1:15" s="475" customFormat="1" ht="12" hidden="1">
      <c r="A835" s="465">
        <v>10131000028044</v>
      </c>
      <c r="B835" s="476" t="s">
        <v>876</v>
      </c>
      <c r="C835" s="476" t="s">
        <v>3325</v>
      </c>
      <c r="D835" s="467" t="s">
        <v>3307</v>
      </c>
      <c r="E835" s="472" t="s">
        <v>2491</v>
      </c>
      <c r="F835" s="477">
        <v>68.290000000000006</v>
      </c>
      <c r="G835" s="469" t="s">
        <v>2472</v>
      </c>
      <c r="H835" s="470">
        <v>59.54</v>
      </c>
      <c r="I835" s="471">
        <v>59.54</v>
      </c>
      <c r="J835" s="485" t="s">
        <v>421</v>
      </c>
      <c r="K835" s="472" t="s">
        <v>585</v>
      </c>
      <c r="L835" s="473" t="s">
        <v>570</v>
      </c>
      <c r="M835" s="473" t="s">
        <v>2732</v>
      </c>
      <c r="N835" s="473" t="s">
        <v>876</v>
      </c>
      <c r="O835" s="474" t="s">
        <v>876</v>
      </c>
    </row>
    <row r="836" spans="1:15" s="475" customFormat="1" ht="12" hidden="1">
      <c r="A836" s="465">
        <v>10131000028072</v>
      </c>
      <c r="B836" s="476" t="s">
        <v>876</v>
      </c>
      <c r="C836" s="476" t="s">
        <v>3326</v>
      </c>
      <c r="D836" s="467" t="s">
        <v>3307</v>
      </c>
      <c r="E836" s="472" t="s">
        <v>2842</v>
      </c>
      <c r="F836" s="477">
        <v>81.186643458800006</v>
      </c>
      <c r="G836" s="469" t="s">
        <v>2472</v>
      </c>
      <c r="H836" s="470">
        <v>304169.49080000003</v>
      </c>
      <c r="I836" s="471">
        <v>108.87797618101132</v>
      </c>
      <c r="J836" s="485" t="s">
        <v>421</v>
      </c>
      <c r="K836" s="472" t="s">
        <v>647</v>
      </c>
      <c r="L836" s="473" t="s">
        <v>570</v>
      </c>
      <c r="M836" s="473" t="s">
        <v>2732</v>
      </c>
      <c r="N836" s="473" t="s">
        <v>876</v>
      </c>
      <c r="O836" s="474" t="s">
        <v>876</v>
      </c>
    </row>
    <row r="837" spans="1:15" s="475" customFormat="1" ht="12" hidden="1">
      <c r="A837" s="465">
        <v>10131000028055</v>
      </c>
      <c r="B837" s="476" t="s">
        <v>876</v>
      </c>
      <c r="C837" s="476" t="s">
        <v>3327</v>
      </c>
      <c r="D837" s="467" t="s">
        <v>3307</v>
      </c>
      <c r="E837" s="472" t="s">
        <v>2821</v>
      </c>
      <c r="F837" s="477">
        <v>111.30188661</v>
      </c>
      <c r="G837" s="469" t="s">
        <v>2472</v>
      </c>
      <c r="H837" s="470">
        <v>26093.79</v>
      </c>
      <c r="I837" s="471">
        <v>157.15606929494999</v>
      </c>
      <c r="J837" s="485" t="s">
        <v>421</v>
      </c>
      <c r="K837" s="472" t="s">
        <v>617</v>
      </c>
      <c r="L837" s="473" t="s">
        <v>570</v>
      </c>
      <c r="M837" s="473" t="s">
        <v>2732</v>
      </c>
      <c r="N837" s="473" t="s">
        <v>876</v>
      </c>
      <c r="O837" s="474" t="s">
        <v>876</v>
      </c>
    </row>
    <row r="838" spans="1:15" s="475" customFormat="1" ht="12" hidden="1">
      <c r="A838" s="465">
        <v>10131000028062</v>
      </c>
      <c r="B838" s="476" t="s">
        <v>876</v>
      </c>
      <c r="C838" s="476" t="s">
        <v>3328</v>
      </c>
      <c r="D838" s="467" t="s">
        <v>3307</v>
      </c>
      <c r="E838" s="472" t="s">
        <v>2795</v>
      </c>
      <c r="F838" s="477">
        <v>111.34957553300001</v>
      </c>
      <c r="G838" s="469" t="s">
        <v>2472</v>
      </c>
      <c r="H838" s="470">
        <v>55486.66</v>
      </c>
      <c r="I838" s="471">
        <v>112.35086881226665</v>
      </c>
      <c r="J838" s="485" t="s">
        <v>421</v>
      </c>
      <c r="K838" s="472" t="s">
        <v>627</v>
      </c>
      <c r="L838" s="473" t="s">
        <v>570</v>
      </c>
      <c r="M838" s="473" t="s">
        <v>2732</v>
      </c>
      <c r="N838" s="473" t="s">
        <v>876</v>
      </c>
      <c r="O838" s="474" t="s">
        <v>876</v>
      </c>
    </row>
    <row r="839" spans="1:15" s="475" customFormat="1" ht="12" hidden="1">
      <c r="A839" s="465">
        <v>10131000028045</v>
      </c>
      <c r="B839" s="476" t="s">
        <v>876</v>
      </c>
      <c r="C839" s="476" t="s">
        <v>3329</v>
      </c>
      <c r="D839" s="467" t="s">
        <v>3307</v>
      </c>
      <c r="E839" s="472" t="s">
        <v>2795</v>
      </c>
      <c r="F839" s="477">
        <v>170.69322311439998</v>
      </c>
      <c r="G839" s="469" t="s">
        <v>2472</v>
      </c>
      <c r="H839" s="470">
        <v>90858.98</v>
      </c>
      <c r="I839" s="471">
        <v>183.97368561013329</v>
      </c>
      <c r="J839" s="485" t="s">
        <v>421</v>
      </c>
      <c r="K839" s="472" t="s">
        <v>719</v>
      </c>
      <c r="L839" s="473" t="s">
        <v>570</v>
      </c>
      <c r="M839" s="473" t="s">
        <v>2732</v>
      </c>
      <c r="N839" s="473" t="s">
        <v>876</v>
      </c>
      <c r="O839" s="474" t="s">
        <v>876</v>
      </c>
    </row>
    <row r="840" spans="1:15" s="475" customFormat="1" ht="12" hidden="1">
      <c r="A840" s="465">
        <v>10131000028087</v>
      </c>
      <c r="B840" s="476" t="s">
        <v>876</v>
      </c>
      <c r="C840" s="476" t="s">
        <v>3330</v>
      </c>
      <c r="D840" s="467" t="s">
        <v>3307</v>
      </c>
      <c r="E840" s="472" t="s">
        <v>2491</v>
      </c>
      <c r="F840" s="477">
        <v>173.93</v>
      </c>
      <c r="G840" s="469" t="s">
        <v>2472</v>
      </c>
      <c r="H840" s="470">
        <v>22.6</v>
      </c>
      <c r="I840" s="471">
        <v>22.6</v>
      </c>
      <c r="J840" s="485" t="s">
        <v>421</v>
      </c>
      <c r="K840" s="472" t="s">
        <v>745</v>
      </c>
      <c r="L840" s="473" t="s">
        <v>570</v>
      </c>
      <c r="M840" s="473" t="s">
        <v>2732</v>
      </c>
      <c r="N840" s="473" t="s">
        <v>876</v>
      </c>
      <c r="O840" s="474" t="s">
        <v>876</v>
      </c>
    </row>
    <row r="841" spans="1:15" s="475" customFormat="1" ht="12" hidden="1">
      <c r="A841" s="465">
        <v>10131000028050</v>
      </c>
      <c r="B841" s="476" t="s">
        <v>876</v>
      </c>
      <c r="C841" s="476" t="s">
        <v>3331</v>
      </c>
      <c r="D841" s="467" t="s">
        <v>3307</v>
      </c>
      <c r="E841" s="472" t="s">
        <v>2808</v>
      </c>
      <c r="F841" s="477">
        <v>209.54368118100004</v>
      </c>
      <c r="G841" s="469" t="s">
        <v>2472</v>
      </c>
      <c r="H841" s="470">
        <v>461.14</v>
      </c>
      <c r="I841" s="471">
        <v>128.87441190095001</v>
      </c>
      <c r="J841" s="485" t="s">
        <v>421</v>
      </c>
      <c r="K841" s="472" t="s">
        <v>599</v>
      </c>
      <c r="L841" s="473" t="s">
        <v>570</v>
      </c>
      <c r="M841" s="473" t="s">
        <v>2732</v>
      </c>
      <c r="N841" s="473" t="s">
        <v>876</v>
      </c>
      <c r="O841" s="474" t="s">
        <v>876</v>
      </c>
    </row>
    <row r="842" spans="1:15" s="475" customFormat="1" ht="12" hidden="1">
      <c r="A842" s="465">
        <v>10131000028040</v>
      </c>
      <c r="B842" s="476" t="s">
        <v>876</v>
      </c>
      <c r="C842" s="476" t="s">
        <v>3332</v>
      </c>
      <c r="D842" s="467" t="s">
        <v>3307</v>
      </c>
      <c r="E842" s="472" t="s">
        <v>2491</v>
      </c>
      <c r="F842" s="477">
        <v>253.05</v>
      </c>
      <c r="G842" s="469" t="s">
        <v>2472</v>
      </c>
      <c r="H842" s="470">
        <v>216.21</v>
      </c>
      <c r="I842" s="471">
        <v>216.21</v>
      </c>
      <c r="J842" s="485" t="s">
        <v>421</v>
      </c>
      <c r="K842" s="472" t="s">
        <v>577</v>
      </c>
      <c r="L842" s="473" t="s">
        <v>570</v>
      </c>
      <c r="M842" s="473" t="s">
        <v>2732</v>
      </c>
      <c r="N842" s="473" t="s">
        <v>876</v>
      </c>
      <c r="O842" s="474" t="s">
        <v>876</v>
      </c>
    </row>
    <row r="843" spans="1:15" s="475" customFormat="1" ht="12" hidden="1">
      <c r="A843" s="465">
        <v>10131000028074</v>
      </c>
      <c r="B843" s="476" t="s">
        <v>876</v>
      </c>
      <c r="C843" s="476" t="s">
        <v>3333</v>
      </c>
      <c r="D843" s="467" t="s">
        <v>3307</v>
      </c>
      <c r="E843" s="472" t="s">
        <v>2845</v>
      </c>
      <c r="F843" s="477">
        <v>255.35164787999997</v>
      </c>
      <c r="G843" s="469" t="s">
        <v>2472</v>
      </c>
      <c r="H843" s="470">
        <v>904815.75</v>
      </c>
      <c r="I843" s="471">
        <v>152.69444393062503</v>
      </c>
      <c r="J843" s="485" t="s">
        <v>421</v>
      </c>
      <c r="K843" s="472" t="s">
        <v>653</v>
      </c>
      <c r="L843" s="473" t="s">
        <v>570</v>
      </c>
      <c r="M843" s="473" t="s">
        <v>2732</v>
      </c>
      <c r="N843" s="473" t="s">
        <v>876</v>
      </c>
      <c r="O843" s="474" t="s">
        <v>876</v>
      </c>
    </row>
    <row r="844" spans="1:15" s="475" customFormat="1" ht="12" hidden="1">
      <c r="A844" s="465">
        <v>1000099045</v>
      </c>
      <c r="B844" s="466" t="s">
        <v>3334</v>
      </c>
      <c r="C844" s="466" t="s">
        <v>3335</v>
      </c>
      <c r="D844" s="467" t="s">
        <v>2721</v>
      </c>
      <c r="E844" s="468" t="s">
        <v>2471</v>
      </c>
      <c r="F844" s="477" t="s">
        <v>2472</v>
      </c>
      <c r="G844" s="469" t="s">
        <v>2472</v>
      </c>
      <c r="H844" s="470">
        <v>51159</v>
      </c>
      <c r="I844" s="471">
        <v>3950.5019305019309</v>
      </c>
      <c r="J844" s="472" t="s">
        <v>422</v>
      </c>
      <c r="K844" s="472" t="s">
        <v>2473</v>
      </c>
      <c r="L844" s="473" t="s">
        <v>530</v>
      </c>
      <c r="M844" s="473" t="s">
        <v>2481</v>
      </c>
      <c r="N844" s="473" t="s">
        <v>204</v>
      </c>
      <c r="O844" s="490" t="s">
        <v>3336</v>
      </c>
    </row>
    <row r="845" spans="1:15" s="475" customFormat="1" ht="12" hidden="1">
      <c r="A845" s="465">
        <v>10131000029107</v>
      </c>
      <c r="B845" s="489" t="s">
        <v>1706</v>
      </c>
      <c r="C845" s="489" t="s">
        <v>3337</v>
      </c>
      <c r="D845" s="467" t="s">
        <v>2604</v>
      </c>
      <c r="E845" s="478" t="s">
        <v>2514</v>
      </c>
      <c r="F845" s="477">
        <v>89.516265696000005</v>
      </c>
      <c r="G845" s="469" t="s">
        <v>2472</v>
      </c>
      <c r="H845" s="481">
        <v>12383</v>
      </c>
      <c r="I845" s="482">
        <v>126.41</v>
      </c>
      <c r="J845" s="483" t="s">
        <v>2515</v>
      </c>
      <c r="K845" s="483" t="s">
        <v>2515</v>
      </c>
      <c r="L845" s="473" t="s">
        <v>204</v>
      </c>
      <c r="M845" s="473" t="s">
        <v>2758</v>
      </c>
      <c r="N845" s="473" t="s">
        <v>1706</v>
      </c>
      <c r="O845" s="474" t="s">
        <v>1706</v>
      </c>
    </row>
    <row r="846" spans="1:15" s="475" customFormat="1" ht="12" hidden="1">
      <c r="A846" s="465">
        <v>10131000051755</v>
      </c>
      <c r="B846" s="489" t="s">
        <v>1706</v>
      </c>
      <c r="C846" s="489" t="s">
        <v>3338</v>
      </c>
      <c r="D846" s="467" t="s">
        <v>2604</v>
      </c>
      <c r="E846" s="478" t="s">
        <v>2514</v>
      </c>
      <c r="F846" s="477">
        <v>99.462517439999999</v>
      </c>
      <c r="G846" s="469" t="s">
        <v>2472</v>
      </c>
      <c r="H846" s="481">
        <v>12383</v>
      </c>
      <c r="I846" s="482">
        <v>126.41</v>
      </c>
      <c r="J846" s="483" t="s">
        <v>2515</v>
      </c>
      <c r="K846" s="483" t="s">
        <v>2515</v>
      </c>
      <c r="L846" s="473" t="s">
        <v>204</v>
      </c>
      <c r="M846" s="473" t="s">
        <v>2758</v>
      </c>
      <c r="N846" s="473" t="s">
        <v>1706</v>
      </c>
      <c r="O846" s="474" t="s">
        <v>1706</v>
      </c>
    </row>
    <row r="847" spans="1:15" s="475" customFormat="1" ht="12" hidden="1">
      <c r="A847" s="465">
        <v>10131000021566</v>
      </c>
      <c r="B847" s="466" t="s">
        <v>1710</v>
      </c>
      <c r="C847" s="476" t="s">
        <v>3339</v>
      </c>
      <c r="D847" s="467" t="s">
        <v>1045</v>
      </c>
      <c r="E847" s="472" t="s">
        <v>2491</v>
      </c>
      <c r="F847" s="477">
        <v>0</v>
      </c>
      <c r="G847" s="469" t="s">
        <v>2472</v>
      </c>
      <c r="H847" s="470">
        <v>1E-8</v>
      </c>
      <c r="I847" s="471">
        <v>0</v>
      </c>
      <c r="J847" s="472" t="s">
        <v>2492</v>
      </c>
      <c r="K847" s="472" t="s">
        <v>2495</v>
      </c>
      <c r="L847" s="479" t="s">
        <v>204</v>
      </c>
      <c r="M847" s="479" t="s">
        <v>3340</v>
      </c>
      <c r="N847" s="479" t="s">
        <v>3340</v>
      </c>
      <c r="O847" s="480" t="s">
        <v>3340</v>
      </c>
    </row>
    <row r="848" spans="1:15" s="475" customFormat="1" ht="12" hidden="1">
      <c r="A848" s="465">
        <v>10131000029766</v>
      </c>
      <c r="B848" s="466" t="s">
        <v>1710</v>
      </c>
      <c r="C848" s="476" t="s">
        <v>3341</v>
      </c>
      <c r="D848" s="467" t="s">
        <v>1045</v>
      </c>
      <c r="E848" s="472" t="s">
        <v>2491</v>
      </c>
      <c r="F848" s="477">
        <v>0</v>
      </c>
      <c r="G848" s="469" t="s">
        <v>2472</v>
      </c>
      <c r="H848" s="470">
        <v>1E-8</v>
      </c>
      <c r="I848" s="471">
        <v>0</v>
      </c>
      <c r="J848" s="472" t="s">
        <v>2492</v>
      </c>
      <c r="K848" s="478" t="s">
        <v>2522</v>
      </c>
      <c r="L848" s="479" t="s">
        <v>204</v>
      </c>
      <c r="M848" s="479" t="s">
        <v>3340</v>
      </c>
      <c r="N848" s="479" t="s">
        <v>3340</v>
      </c>
      <c r="O848" s="480" t="s">
        <v>3340</v>
      </c>
    </row>
    <row r="849" spans="1:15" s="475" customFormat="1" ht="12" hidden="1">
      <c r="A849" s="465">
        <v>10131000025845</v>
      </c>
      <c r="B849" s="476" t="s">
        <v>1710</v>
      </c>
      <c r="C849" s="476" t="s">
        <v>3341</v>
      </c>
      <c r="D849" s="467" t="s">
        <v>1045</v>
      </c>
      <c r="E849" s="472" t="s">
        <v>2491</v>
      </c>
      <c r="F849" s="477">
        <v>0</v>
      </c>
      <c r="G849" s="469" t="s">
        <v>2472</v>
      </c>
      <c r="H849" s="470">
        <v>1E-8</v>
      </c>
      <c r="I849" s="471">
        <v>0</v>
      </c>
      <c r="J849" s="472" t="s">
        <v>2492</v>
      </c>
      <c r="K849" s="478" t="s">
        <v>2522</v>
      </c>
      <c r="L849" s="479" t="s">
        <v>530</v>
      </c>
      <c r="M849" s="479" t="s">
        <v>2555</v>
      </c>
      <c r="N849" s="479" t="s">
        <v>3342</v>
      </c>
      <c r="O849" s="480" t="s">
        <v>3340</v>
      </c>
    </row>
    <row r="850" spans="1:15" s="475" customFormat="1" ht="12" hidden="1">
      <c r="A850" s="465">
        <v>10131000015382</v>
      </c>
      <c r="B850" s="476" t="s">
        <v>1710</v>
      </c>
      <c r="C850" s="476" t="s">
        <v>3343</v>
      </c>
      <c r="D850" s="467" t="s">
        <v>2604</v>
      </c>
      <c r="E850" s="472" t="s">
        <v>2541</v>
      </c>
      <c r="F850" s="477">
        <v>0</v>
      </c>
      <c r="G850" s="469" t="s">
        <v>2472</v>
      </c>
      <c r="H850" s="470">
        <v>1E-8</v>
      </c>
      <c r="I850" s="471">
        <v>1.5324781650000001E-8</v>
      </c>
      <c r="J850" s="485" t="s">
        <v>421</v>
      </c>
      <c r="K850" s="472" t="s">
        <v>651</v>
      </c>
      <c r="L850" s="473" t="s">
        <v>204</v>
      </c>
      <c r="M850" s="473" t="s">
        <v>2758</v>
      </c>
      <c r="N850" s="473" t="s">
        <v>2758</v>
      </c>
      <c r="O850" s="474" t="s">
        <v>2758</v>
      </c>
    </row>
    <row r="851" spans="1:15" s="475" customFormat="1" ht="12" hidden="1">
      <c r="A851" s="465">
        <v>10131000015383</v>
      </c>
      <c r="B851" s="476" t="s">
        <v>1710</v>
      </c>
      <c r="C851" s="476" t="s">
        <v>3343</v>
      </c>
      <c r="D851" s="467" t="s">
        <v>2604</v>
      </c>
      <c r="E851" s="472" t="s">
        <v>2541</v>
      </c>
      <c r="F851" s="477">
        <v>0</v>
      </c>
      <c r="G851" s="469" t="s">
        <v>2472</v>
      </c>
      <c r="H851" s="470">
        <v>1E-8</v>
      </c>
      <c r="I851" s="471">
        <v>1.5324781650000001E-8</v>
      </c>
      <c r="J851" s="485" t="s">
        <v>421</v>
      </c>
      <c r="K851" s="472" t="s">
        <v>651</v>
      </c>
      <c r="L851" s="473" t="s">
        <v>204</v>
      </c>
      <c r="M851" s="473" t="s">
        <v>2758</v>
      </c>
      <c r="N851" s="473" t="s">
        <v>2758</v>
      </c>
      <c r="O851" s="474" t="s">
        <v>2758</v>
      </c>
    </row>
    <row r="852" spans="1:15" s="475" customFormat="1" ht="12" hidden="1">
      <c r="A852" s="465">
        <v>10131000015385</v>
      </c>
      <c r="B852" s="476" t="s">
        <v>1710</v>
      </c>
      <c r="C852" s="476" t="s">
        <v>3343</v>
      </c>
      <c r="D852" s="467" t="s">
        <v>2604</v>
      </c>
      <c r="E852" s="472" t="s">
        <v>2491</v>
      </c>
      <c r="F852" s="477">
        <v>0</v>
      </c>
      <c r="G852" s="469" t="s">
        <v>2472</v>
      </c>
      <c r="H852" s="470">
        <v>1E-8</v>
      </c>
      <c r="I852" s="471">
        <v>1E-8</v>
      </c>
      <c r="J852" s="485" t="s">
        <v>421</v>
      </c>
      <c r="K852" s="472" t="s">
        <v>651</v>
      </c>
      <c r="L852" s="473" t="s">
        <v>204</v>
      </c>
      <c r="M852" s="473" t="s">
        <v>2758</v>
      </c>
      <c r="N852" s="473" t="s">
        <v>2758</v>
      </c>
      <c r="O852" s="474" t="s">
        <v>2758</v>
      </c>
    </row>
    <row r="853" spans="1:15" s="475" customFormat="1" ht="12" hidden="1">
      <c r="A853" s="465">
        <v>10131000029100</v>
      </c>
      <c r="B853" s="466" t="s">
        <v>1710</v>
      </c>
      <c r="C853" s="466" t="s">
        <v>1710</v>
      </c>
      <c r="D853" s="467" t="s">
        <v>2604</v>
      </c>
      <c r="E853" s="468" t="s">
        <v>2491</v>
      </c>
      <c r="F853" s="477">
        <v>103.5</v>
      </c>
      <c r="G853" s="469" t="s">
        <v>2472</v>
      </c>
      <c r="H853" s="470">
        <v>90</v>
      </c>
      <c r="I853" s="471">
        <v>90</v>
      </c>
      <c r="J853" s="472" t="s">
        <v>423</v>
      </c>
      <c r="K853" s="472" t="s">
        <v>534</v>
      </c>
      <c r="L853" s="473" t="s">
        <v>204</v>
      </c>
      <c r="M853" s="473" t="s">
        <v>2758</v>
      </c>
      <c r="N853" s="473" t="s">
        <v>2758</v>
      </c>
      <c r="O853" s="474" t="s">
        <v>2758</v>
      </c>
    </row>
    <row r="854" spans="1:15" s="475" customFormat="1" ht="12" hidden="1">
      <c r="A854" s="465">
        <v>10131000029124</v>
      </c>
      <c r="B854" s="489" t="s">
        <v>1710</v>
      </c>
      <c r="C854" s="489" t="s">
        <v>3344</v>
      </c>
      <c r="D854" s="467" t="s">
        <v>2604</v>
      </c>
      <c r="E854" s="478" t="s">
        <v>2514</v>
      </c>
      <c r="F854" s="477">
        <v>112.38323443199999</v>
      </c>
      <c r="G854" s="469" t="s">
        <v>2472</v>
      </c>
      <c r="H854" s="481">
        <v>13614</v>
      </c>
      <c r="I854" s="482">
        <v>138.97999999999999</v>
      </c>
      <c r="J854" s="483" t="s">
        <v>2515</v>
      </c>
      <c r="K854" s="483" t="s">
        <v>2515</v>
      </c>
      <c r="L854" s="473" t="s">
        <v>204</v>
      </c>
      <c r="M854" s="473" t="s">
        <v>2758</v>
      </c>
      <c r="N854" s="473" t="s">
        <v>2758</v>
      </c>
      <c r="O854" s="474" t="s">
        <v>2758</v>
      </c>
    </row>
    <row r="855" spans="1:15" s="475" customFormat="1" ht="12" hidden="1">
      <c r="A855" s="465">
        <v>10131000051756</v>
      </c>
      <c r="B855" s="489" t="s">
        <v>1710</v>
      </c>
      <c r="C855" s="489" t="s">
        <v>3345</v>
      </c>
      <c r="D855" s="467" t="s">
        <v>2604</v>
      </c>
      <c r="E855" s="478" t="s">
        <v>2514</v>
      </c>
      <c r="F855" s="477">
        <v>124.87026048</v>
      </c>
      <c r="G855" s="469" t="s">
        <v>2472</v>
      </c>
      <c r="H855" s="481">
        <v>13614</v>
      </c>
      <c r="I855" s="482">
        <v>138.97999999999999</v>
      </c>
      <c r="J855" s="483" t="s">
        <v>2515</v>
      </c>
      <c r="K855" s="483" t="s">
        <v>2515</v>
      </c>
      <c r="L855" s="473" t="s">
        <v>204</v>
      </c>
      <c r="M855" s="473" t="s">
        <v>2758</v>
      </c>
      <c r="N855" s="473" t="s">
        <v>2758</v>
      </c>
      <c r="O855" s="474" t="s">
        <v>2758</v>
      </c>
    </row>
    <row r="856" spans="1:15" s="475" customFormat="1" ht="12" hidden="1">
      <c r="A856" s="465">
        <v>10131000021569</v>
      </c>
      <c r="B856" s="466" t="s">
        <v>1710</v>
      </c>
      <c r="C856" s="476" t="s">
        <v>3346</v>
      </c>
      <c r="D856" s="467" t="s">
        <v>1045</v>
      </c>
      <c r="E856" s="472" t="s">
        <v>2491</v>
      </c>
      <c r="F856" s="477" t="s">
        <v>2472</v>
      </c>
      <c r="G856" s="469" t="s">
        <v>2472</v>
      </c>
      <c r="H856" s="470">
        <v>1E-8</v>
      </c>
      <c r="I856" s="471">
        <v>0</v>
      </c>
      <c r="J856" s="472" t="s">
        <v>2492</v>
      </c>
      <c r="K856" s="478" t="s">
        <v>666</v>
      </c>
      <c r="L856" s="479" t="s">
        <v>204</v>
      </c>
      <c r="M856" s="479" t="s">
        <v>3340</v>
      </c>
      <c r="N856" s="479" t="s">
        <v>3340</v>
      </c>
      <c r="O856" s="480" t="s">
        <v>3340</v>
      </c>
    </row>
    <row r="857" spans="1:15" s="475" customFormat="1" ht="12" hidden="1">
      <c r="A857" s="465">
        <v>1000099109</v>
      </c>
      <c r="B857" s="466" t="s">
        <v>1710</v>
      </c>
      <c r="C857" s="466" t="s">
        <v>1710</v>
      </c>
      <c r="D857" s="467" t="s">
        <v>1045</v>
      </c>
      <c r="E857" s="468" t="s">
        <v>2471</v>
      </c>
      <c r="F857" s="477" t="s">
        <v>2472</v>
      </c>
      <c r="G857" s="469" t="s">
        <v>2472</v>
      </c>
      <c r="H857" s="470">
        <v>0</v>
      </c>
      <c r="I857" s="471">
        <v>0</v>
      </c>
      <c r="J857" s="472" t="s">
        <v>422</v>
      </c>
      <c r="K857" s="472" t="s">
        <v>2473</v>
      </c>
      <c r="L857" s="473" t="s">
        <v>204</v>
      </c>
      <c r="M857" s="473" t="s">
        <v>2758</v>
      </c>
      <c r="N857" s="473" t="s">
        <v>2758</v>
      </c>
      <c r="O857" s="474" t="s">
        <v>2758</v>
      </c>
    </row>
    <row r="858" spans="1:15" s="475" customFormat="1" ht="12" hidden="1">
      <c r="A858" s="465">
        <v>1000099046</v>
      </c>
      <c r="B858" s="466" t="s">
        <v>3347</v>
      </c>
      <c r="C858" s="466" t="s">
        <v>3347</v>
      </c>
      <c r="D858" s="467" t="s">
        <v>3168</v>
      </c>
      <c r="E858" s="468" t="s">
        <v>2471</v>
      </c>
      <c r="F858" s="477" t="s">
        <v>2472</v>
      </c>
      <c r="G858" s="469" t="s">
        <v>2472</v>
      </c>
      <c r="H858" s="470">
        <v>370.75</v>
      </c>
      <c r="I858" s="471">
        <v>28.62934362934363</v>
      </c>
      <c r="J858" s="472" t="s">
        <v>422</v>
      </c>
      <c r="K858" s="472" t="s">
        <v>2473</v>
      </c>
      <c r="L858" s="473" t="s">
        <v>530</v>
      </c>
      <c r="M858" s="473" t="s">
        <v>2481</v>
      </c>
      <c r="N858" s="473" t="s">
        <v>204</v>
      </c>
      <c r="O858" s="490" t="s">
        <v>3347</v>
      </c>
    </row>
    <row r="859" spans="1:15" s="475" customFormat="1" ht="12" hidden="1">
      <c r="A859" s="465">
        <v>1000099047</v>
      </c>
      <c r="B859" s="466" t="s">
        <v>3348</v>
      </c>
      <c r="C859" s="466" t="s">
        <v>3348</v>
      </c>
      <c r="D859" s="467" t="s">
        <v>3168</v>
      </c>
      <c r="E859" s="468" t="s">
        <v>2471</v>
      </c>
      <c r="F859" s="477" t="s">
        <v>2472</v>
      </c>
      <c r="G859" s="469" t="s">
        <v>2472</v>
      </c>
      <c r="H859" s="470">
        <v>2408.41</v>
      </c>
      <c r="I859" s="471">
        <v>185.97760617760616</v>
      </c>
      <c r="J859" s="472" t="s">
        <v>422</v>
      </c>
      <c r="K859" s="472" t="s">
        <v>2473</v>
      </c>
      <c r="L859" s="473" t="s">
        <v>530</v>
      </c>
      <c r="M859" s="473" t="s">
        <v>2481</v>
      </c>
      <c r="N859" s="473" t="s">
        <v>204</v>
      </c>
      <c r="O859" s="490" t="s">
        <v>3348</v>
      </c>
    </row>
    <row r="860" spans="1:15" s="475" customFormat="1" ht="12" hidden="1">
      <c r="A860" s="465">
        <v>1000099098</v>
      </c>
      <c r="B860" s="466" t="s">
        <v>3349</v>
      </c>
      <c r="C860" s="466" t="s">
        <v>3349</v>
      </c>
      <c r="D860" s="467" t="s">
        <v>982</v>
      </c>
      <c r="E860" s="468" t="s">
        <v>2471</v>
      </c>
      <c r="F860" s="477" t="s">
        <v>2472</v>
      </c>
      <c r="G860" s="469" t="s">
        <v>2472</v>
      </c>
      <c r="H860" s="470">
        <v>256.33600000000001</v>
      </c>
      <c r="I860" s="471">
        <v>19.794285714285717</v>
      </c>
      <c r="J860" s="472" t="s">
        <v>422</v>
      </c>
      <c r="K860" s="472" t="s">
        <v>2473</v>
      </c>
      <c r="L860" s="473" t="s">
        <v>2693</v>
      </c>
      <c r="M860" s="473" t="s">
        <v>1478</v>
      </c>
      <c r="N860" s="466" t="s">
        <v>3349</v>
      </c>
      <c r="O860" s="490" t="s">
        <v>3349</v>
      </c>
    </row>
    <row r="861" spans="1:15" s="475" customFormat="1" ht="12" hidden="1">
      <c r="A861" s="465">
        <v>1000099099</v>
      </c>
      <c r="B861" s="466" t="s">
        <v>3349</v>
      </c>
      <c r="C861" s="466" t="s">
        <v>3350</v>
      </c>
      <c r="D861" s="467" t="s">
        <v>982</v>
      </c>
      <c r="E861" s="468" t="s">
        <v>2471</v>
      </c>
      <c r="F861" s="477" t="s">
        <v>2472</v>
      </c>
      <c r="G861" s="469" t="s">
        <v>2472</v>
      </c>
      <c r="H861" s="470">
        <v>315.93412000000001</v>
      </c>
      <c r="I861" s="471">
        <v>24.396457142857145</v>
      </c>
      <c r="J861" s="472" t="s">
        <v>422</v>
      </c>
      <c r="K861" s="472" t="s">
        <v>2473</v>
      </c>
      <c r="L861" s="473" t="s">
        <v>2693</v>
      </c>
      <c r="M861" s="473" t="s">
        <v>1478</v>
      </c>
      <c r="N861" s="466" t="s">
        <v>3349</v>
      </c>
      <c r="O861" s="490" t="s">
        <v>3349</v>
      </c>
    </row>
    <row r="862" spans="1:15" s="475" customFormat="1" ht="12" hidden="1">
      <c r="A862" s="465">
        <v>1000099125</v>
      </c>
      <c r="B862" s="466" t="s">
        <v>3351</v>
      </c>
      <c r="C862" s="466" t="s">
        <v>3351</v>
      </c>
      <c r="D862" s="467" t="s">
        <v>2685</v>
      </c>
      <c r="E862" s="468" t="s">
        <v>2471</v>
      </c>
      <c r="F862" s="477" t="s">
        <v>2472</v>
      </c>
      <c r="G862" s="469" t="s">
        <v>2472</v>
      </c>
      <c r="H862" s="470">
        <v>174.22</v>
      </c>
      <c r="I862" s="471">
        <v>13.453281853281855</v>
      </c>
      <c r="J862" s="472" t="s">
        <v>422</v>
      </c>
      <c r="K862" s="472" t="s">
        <v>2473</v>
      </c>
      <c r="L862" s="473" t="s">
        <v>2474</v>
      </c>
      <c r="M862" s="473" t="s">
        <v>1835</v>
      </c>
      <c r="N862" s="473" t="s">
        <v>204</v>
      </c>
      <c r="O862" s="490" t="s">
        <v>3351</v>
      </c>
    </row>
    <row r="863" spans="1:15" s="475" customFormat="1" ht="12" hidden="1">
      <c r="A863" s="465">
        <v>1000099162</v>
      </c>
      <c r="B863" s="466" t="s">
        <v>3351</v>
      </c>
      <c r="C863" s="466" t="s">
        <v>3352</v>
      </c>
      <c r="D863" s="467" t="s">
        <v>2685</v>
      </c>
      <c r="E863" s="468" t="s">
        <v>2471</v>
      </c>
      <c r="F863" s="477" t="s">
        <v>2472</v>
      </c>
      <c r="G863" s="469" t="s">
        <v>2472</v>
      </c>
      <c r="H863" s="470">
        <v>190.23</v>
      </c>
      <c r="I863" s="471">
        <v>14.68957528957529</v>
      </c>
      <c r="J863" s="472" t="s">
        <v>422</v>
      </c>
      <c r="K863" s="472" t="s">
        <v>2473</v>
      </c>
      <c r="L863" s="473" t="s">
        <v>2474</v>
      </c>
      <c r="M863" s="473" t="s">
        <v>1835</v>
      </c>
      <c r="N863" s="473" t="s">
        <v>204</v>
      </c>
      <c r="O863" s="490" t="s">
        <v>3351</v>
      </c>
    </row>
    <row r="864" spans="1:15" s="475" customFormat="1" ht="12" hidden="1">
      <c r="A864" s="465">
        <v>1000099129</v>
      </c>
      <c r="B864" s="466" t="s">
        <v>3353</v>
      </c>
      <c r="C864" s="466" t="s">
        <v>3353</v>
      </c>
      <c r="D864" s="467" t="s">
        <v>1045</v>
      </c>
      <c r="E864" s="468" t="s">
        <v>2471</v>
      </c>
      <c r="F864" s="477" t="s">
        <v>2472</v>
      </c>
      <c r="G864" s="469" t="s">
        <v>2472</v>
      </c>
      <c r="H864" s="470">
        <v>0</v>
      </c>
      <c r="I864" s="471">
        <v>0</v>
      </c>
      <c r="J864" s="472" t="s">
        <v>422</v>
      </c>
      <c r="K864" s="472" t="s">
        <v>2473</v>
      </c>
      <c r="L864" s="473" t="s">
        <v>2474</v>
      </c>
      <c r="M864" s="473" t="s">
        <v>1835</v>
      </c>
      <c r="N864" s="473" t="s">
        <v>204</v>
      </c>
      <c r="O864" s="474" t="s">
        <v>3353</v>
      </c>
    </row>
    <row r="865" spans="1:15" s="475" customFormat="1" ht="12" hidden="1">
      <c r="A865" s="465">
        <v>1000099166</v>
      </c>
      <c r="B865" s="466" t="s">
        <v>3353</v>
      </c>
      <c r="C865" s="466" t="s">
        <v>3354</v>
      </c>
      <c r="D865" s="467" t="s">
        <v>1045</v>
      </c>
      <c r="E865" s="468" t="s">
        <v>2471</v>
      </c>
      <c r="F865" s="477" t="s">
        <v>2472</v>
      </c>
      <c r="G865" s="469" t="s">
        <v>2472</v>
      </c>
      <c r="H865" s="470">
        <v>0</v>
      </c>
      <c r="I865" s="471">
        <v>0</v>
      </c>
      <c r="J865" s="472" t="s">
        <v>422</v>
      </c>
      <c r="K865" s="472" t="s">
        <v>2473</v>
      </c>
      <c r="L865" s="473" t="s">
        <v>2474</v>
      </c>
      <c r="M865" s="473" t="s">
        <v>1835</v>
      </c>
      <c r="N865" s="473" t="s">
        <v>204</v>
      </c>
      <c r="O865" s="474" t="s">
        <v>3353</v>
      </c>
    </row>
    <row r="866" spans="1:15" s="475" customFormat="1" ht="12" hidden="1">
      <c r="A866" s="465">
        <v>1000099121</v>
      </c>
      <c r="B866" s="466" t="s">
        <v>3355</v>
      </c>
      <c r="C866" s="466" t="s">
        <v>3355</v>
      </c>
      <c r="D866" s="467" t="s">
        <v>3356</v>
      </c>
      <c r="E866" s="468" t="s">
        <v>2471</v>
      </c>
      <c r="F866" s="477" t="s">
        <v>2472</v>
      </c>
      <c r="G866" s="469" t="s">
        <v>2472</v>
      </c>
      <c r="H866" s="470">
        <v>205</v>
      </c>
      <c r="I866" s="471">
        <v>15.830115830115831</v>
      </c>
      <c r="J866" s="472" t="s">
        <v>422</v>
      </c>
      <c r="K866" s="472" t="s">
        <v>2473</v>
      </c>
      <c r="L866" s="473" t="s">
        <v>2474</v>
      </c>
      <c r="M866" s="473" t="s">
        <v>1835</v>
      </c>
      <c r="N866" s="473" t="s">
        <v>204</v>
      </c>
      <c r="O866" s="490" t="s">
        <v>3355</v>
      </c>
    </row>
    <row r="867" spans="1:15" s="475" customFormat="1" ht="12" hidden="1">
      <c r="A867" s="465">
        <v>1000099158</v>
      </c>
      <c r="B867" s="466" t="s">
        <v>3355</v>
      </c>
      <c r="C867" s="466" t="s">
        <v>3357</v>
      </c>
      <c r="D867" s="467" t="s">
        <v>3356</v>
      </c>
      <c r="E867" s="468" t="s">
        <v>2471</v>
      </c>
      <c r="F867" s="477" t="s">
        <v>2472</v>
      </c>
      <c r="G867" s="469" t="s">
        <v>2472</v>
      </c>
      <c r="H867" s="470">
        <v>223.83</v>
      </c>
      <c r="I867" s="471">
        <v>17.284169884169884</v>
      </c>
      <c r="J867" s="472" t="s">
        <v>422</v>
      </c>
      <c r="K867" s="472" t="s">
        <v>2473</v>
      </c>
      <c r="L867" s="473" t="s">
        <v>2474</v>
      </c>
      <c r="M867" s="473" t="s">
        <v>1835</v>
      </c>
      <c r="N867" s="473" t="s">
        <v>204</v>
      </c>
      <c r="O867" s="490" t="s">
        <v>3355</v>
      </c>
    </row>
    <row r="868" spans="1:15" s="475" customFormat="1" ht="12" hidden="1">
      <c r="A868" s="465">
        <v>1000099042</v>
      </c>
      <c r="B868" s="466" t="s">
        <v>3358</v>
      </c>
      <c r="C868" s="466" t="s">
        <v>3359</v>
      </c>
      <c r="D868" s="467" t="s">
        <v>2721</v>
      </c>
      <c r="E868" s="468" t="s">
        <v>2471</v>
      </c>
      <c r="F868" s="477" t="s">
        <v>2472</v>
      </c>
      <c r="G868" s="469" t="s">
        <v>2472</v>
      </c>
      <c r="H868" s="470">
        <v>402514.78</v>
      </c>
      <c r="I868" s="471">
        <v>31082.222393822398</v>
      </c>
      <c r="J868" s="472" t="s">
        <v>422</v>
      </c>
      <c r="K868" s="472" t="s">
        <v>2473</v>
      </c>
      <c r="L868" s="473" t="s">
        <v>530</v>
      </c>
      <c r="M868" s="473" t="s">
        <v>2481</v>
      </c>
      <c r="N868" s="473" t="s">
        <v>204</v>
      </c>
      <c r="O868" s="474" t="s">
        <v>3358</v>
      </c>
    </row>
    <row r="869" spans="1:15" s="475" customFormat="1" ht="12" hidden="1">
      <c r="A869" s="465">
        <v>1000099052</v>
      </c>
      <c r="B869" s="473" t="s">
        <v>3360</v>
      </c>
      <c r="C869" s="466" t="s">
        <v>3361</v>
      </c>
      <c r="D869" s="467" t="s">
        <v>571</v>
      </c>
      <c r="E869" s="468" t="s">
        <v>2471</v>
      </c>
      <c r="F869" s="477" t="s">
        <v>2472</v>
      </c>
      <c r="G869" s="469" t="s">
        <v>2472</v>
      </c>
      <c r="H869" s="470">
        <v>130</v>
      </c>
      <c r="I869" s="471">
        <v>10.03861003861004</v>
      </c>
      <c r="J869" s="472" t="s">
        <v>422</v>
      </c>
      <c r="K869" s="472" t="s">
        <v>2473</v>
      </c>
      <c r="L869" s="473" t="s">
        <v>570</v>
      </c>
      <c r="M869" s="473" t="s">
        <v>2732</v>
      </c>
      <c r="N869" s="473" t="s">
        <v>3360</v>
      </c>
      <c r="O869" s="474" t="s">
        <v>3360</v>
      </c>
    </row>
    <row r="870" spans="1:15" s="475" customFormat="1" ht="12" hidden="1">
      <c r="A870" s="465">
        <v>1000099071</v>
      </c>
      <c r="B870" s="473" t="s">
        <v>3360</v>
      </c>
      <c r="C870" s="466" t="s">
        <v>3362</v>
      </c>
      <c r="D870" s="467" t="s">
        <v>571</v>
      </c>
      <c r="E870" s="468" t="s">
        <v>2471</v>
      </c>
      <c r="F870" s="477" t="s">
        <v>2472</v>
      </c>
      <c r="G870" s="469" t="s">
        <v>2472</v>
      </c>
      <c r="H870" s="470">
        <v>146.57971014492753</v>
      </c>
      <c r="I870" s="471">
        <v>11.318896536287841</v>
      </c>
      <c r="J870" s="472" t="s">
        <v>422</v>
      </c>
      <c r="K870" s="472" t="s">
        <v>2473</v>
      </c>
      <c r="L870" s="473" t="s">
        <v>570</v>
      </c>
      <c r="M870" s="473" t="s">
        <v>2732</v>
      </c>
      <c r="N870" s="473" t="s">
        <v>3360</v>
      </c>
      <c r="O870" s="474" t="s">
        <v>3360</v>
      </c>
    </row>
    <row r="871" spans="1:15" s="475" customFormat="1" ht="12">
      <c r="A871" s="465">
        <v>10131000033568</v>
      </c>
      <c r="B871" s="466" t="s">
        <v>3363</v>
      </c>
      <c r="C871" s="466" t="s">
        <v>3363</v>
      </c>
      <c r="D871" s="467" t="s">
        <v>990</v>
      </c>
      <c r="E871" s="468" t="s">
        <v>2491</v>
      </c>
      <c r="F871" s="511">
        <v>123.5</v>
      </c>
      <c r="G871" s="469" t="s">
        <v>2472</v>
      </c>
      <c r="H871" s="470">
        <v>133.5</v>
      </c>
      <c r="I871" s="510">
        <v>133.5</v>
      </c>
      <c r="J871" s="472" t="s">
        <v>423</v>
      </c>
      <c r="K871" s="472" t="s">
        <v>534</v>
      </c>
      <c r="L871" s="473" t="s">
        <v>530</v>
      </c>
      <c r="M871" s="473" t="s">
        <v>3364</v>
      </c>
      <c r="N871" s="473" t="s">
        <v>820</v>
      </c>
      <c r="O871" s="474" t="s">
        <v>2566</v>
      </c>
    </row>
    <row r="872" spans="1:15" s="475" customFormat="1" ht="12" hidden="1">
      <c r="A872" s="465">
        <v>10131000017201</v>
      </c>
      <c r="B872" s="466" t="s">
        <v>3363</v>
      </c>
      <c r="C872" s="466" t="s">
        <v>3365</v>
      </c>
      <c r="D872" s="467" t="s">
        <v>990</v>
      </c>
      <c r="E872" s="468" t="s">
        <v>2619</v>
      </c>
      <c r="F872" s="477">
        <v>160.297766545</v>
      </c>
      <c r="G872" s="469" t="s">
        <v>2472</v>
      </c>
      <c r="H872" s="470">
        <v>187.1</v>
      </c>
      <c r="I872" s="471">
        <v>187.1</v>
      </c>
      <c r="J872" s="472" t="s">
        <v>423</v>
      </c>
      <c r="K872" s="472" t="s">
        <v>2620</v>
      </c>
      <c r="L872" s="473" t="s">
        <v>530</v>
      </c>
      <c r="M872" s="473" t="s">
        <v>3364</v>
      </c>
      <c r="N872" s="473" t="s">
        <v>820</v>
      </c>
      <c r="O872" s="474" t="s">
        <v>2566</v>
      </c>
    </row>
    <row r="873" spans="1:15" s="475" customFormat="1" ht="12" hidden="1">
      <c r="A873" s="465">
        <v>10131000017200</v>
      </c>
      <c r="B873" s="466" t="s">
        <v>3363</v>
      </c>
      <c r="C873" s="466" t="s">
        <v>3365</v>
      </c>
      <c r="D873" s="467" t="s">
        <v>990</v>
      </c>
      <c r="E873" s="468" t="s">
        <v>2491</v>
      </c>
      <c r="F873" s="477">
        <v>161.5</v>
      </c>
      <c r="G873" s="469" t="s">
        <v>2472</v>
      </c>
      <c r="H873" s="470">
        <v>187.1</v>
      </c>
      <c r="I873" s="471">
        <v>187.1</v>
      </c>
      <c r="J873" s="472" t="s">
        <v>423</v>
      </c>
      <c r="K873" s="472" t="s">
        <v>2620</v>
      </c>
      <c r="L873" s="473" t="s">
        <v>530</v>
      </c>
      <c r="M873" s="473" t="s">
        <v>3364</v>
      </c>
      <c r="N873" s="473" t="s">
        <v>820</v>
      </c>
      <c r="O873" s="474" t="s">
        <v>2566</v>
      </c>
    </row>
    <row r="874" spans="1:15" s="475" customFormat="1" ht="12">
      <c r="A874" s="465">
        <v>10131000017198</v>
      </c>
      <c r="B874" s="466" t="s">
        <v>3363</v>
      </c>
      <c r="C874" s="466" t="s">
        <v>3363</v>
      </c>
      <c r="D874" s="467" t="s">
        <v>990</v>
      </c>
      <c r="E874" s="468" t="s">
        <v>2491</v>
      </c>
      <c r="F874" s="511">
        <v>161.5</v>
      </c>
      <c r="G874" s="469" t="s">
        <v>2472</v>
      </c>
      <c r="H874" s="470">
        <v>187.1</v>
      </c>
      <c r="I874" s="510">
        <v>187.1</v>
      </c>
      <c r="J874" s="472" t="s">
        <v>423</v>
      </c>
      <c r="K874" s="472" t="s">
        <v>534</v>
      </c>
      <c r="L874" s="473" t="s">
        <v>530</v>
      </c>
      <c r="M874" s="473" t="s">
        <v>3364</v>
      </c>
      <c r="N874" s="473" t="s">
        <v>820</v>
      </c>
      <c r="O874" s="474" t="s">
        <v>2566</v>
      </c>
    </row>
    <row r="875" spans="1:15" s="475" customFormat="1" ht="12" hidden="1">
      <c r="A875" s="465">
        <v>10131000056640</v>
      </c>
      <c r="B875" s="476" t="s">
        <v>3363</v>
      </c>
      <c r="C875" s="476" t="s">
        <v>3366</v>
      </c>
      <c r="D875" s="467" t="s">
        <v>990</v>
      </c>
      <c r="E875" s="472" t="s">
        <v>2491</v>
      </c>
      <c r="F875" s="477">
        <v>188.33</v>
      </c>
      <c r="G875" s="469">
        <v>325.17</v>
      </c>
      <c r="H875" s="487">
        <v>321.14</v>
      </c>
      <c r="I875" s="471">
        <v>321.14</v>
      </c>
      <c r="J875" s="488" t="s">
        <v>2492</v>
      </c>
      <c r="K875" s="472" t="s">
        <v>2522</v>
      </c>
      <c r="L875" s="473" t="s">
        <v>530</v>
      </c>
      <c r="M875" s="473" t="s">
        <v>3364</v>
      </c>
      <c r="N875" s="473" t="s">
        <v>820</v>
      </c>
      <c r="O875" s="474" t="s">
        <v>2566</v>
      </c>
    </row>
    <row r="876" spans="1:15" s="475" customFormat="1" ht="12" hidden="1">
      <c r="A876" s="465">
        <v>10131000017196</v>
      </c>
      <c r="B876" s="466" t="s">
        <v>3363</v>
      </c>
      <c r="C876" s="466" t="s">
        <v>3365</v>
      </c>
      <c r="D876" s="467" t="s">
        <v>990</v>
      </c>
      <c r="E876" s="468" t="s">
        <v>2619</v>
      </c>
      <c r="F876" s="477">
        <v>193.30024789250001</v>
      </c>
      <c r="G876" s="469" t="s">
        <v>2472</v>
      </c>
      <c r="H876" s="470">
        <v>187.1</v>
      </c>
      <c r="I876" s="471">
        <v>187.1</v>
      </c>
      <c r="J876" s="472" t="s">
        <v>423</v>
      </c>
      <c r="K876" s="472" t="s">
        <v>2620</v>
      </c>
      <c r="L876" s="473" t="s">
        <v>530</v>
      </c>
      <c r="M876" s="473" t="s">
        <v>3364</v>
      </c>
      <c r="N876" s="473" t="s">
        <v>820</v>
      </c>
      <c r="O876" s="474" t="s">
        <v>2566</v>
      </c>
    </row>
    <row r="877" spans="1:15" s="475" customFormat="1" ht="12" hidden="1">
      <c r="A877" s="465">
        <v>10131000017195</v>
      </c>
      <c r="B877" s="466" t="s">
        <v>3363</v>
      </c>
      <c r="C877" s="466" t="s">
        <v>3365</v>
      </c>
      <c r="D877" s="467" t="s">
        <v>990</v>
      </c>
      <c r="E877" s="468" t="s">
        <v>2491</v>
      </c>
      <c r="F877" s="477">
        <v>194.75</v>
      </c>
      <c r="G877" s="469" t="s">
        <v>2472</v>
      </c>
      <c r="H877" s="470">
        <v>187.1</v>
      </c>
      <c r="I877" s="471">
        <v>187.1</v>
      </c>
      <c r="J877" s="472" t="s">
        <v>423</v>
      </c>
      <c r="K877" s="472" t="s">
        <v>2620</v>
      </c>
      <c r="L877" s="473" t="s">
        <v>530</v>
      </c>
      <c r="M877" s="473" t="s">
        <v>3364</v>
      </c>
      <c r="N877" s="473" t="s">
        <v>820</v>
      </c>
      <c r="O877" s="474" t="s">
        <v>2566</v>
      </c>
    </row>
    <row r="878" spans="1:15" s="475" customFormat="1" ht="12">
      <c r="A878" s="465">
        <v>10131000017192</v>
      </c>
      <c r="B878" s="466" t="s">
        <v>3363</v>
      </c>
      <c r="C878" s="466" t="s">
        <v>3363</v>
      </c>
      <c r="D878" s="467" t="s">
        <v>990</v>
      </c>
      <c r="E878" s="468" t="s">
        <v>2491</v>
      </c>
      <c r="F878" s="511">
        <v>194.75</v>
      </c>
      <c r="G878" s="469" t="s">
        <v>2472</v>
      </c>
      <c r="H878" s="470">
        <v>187.1</v>
      </c>
      <c r="I878" s="510">
        <v>187.1</v>
      </c>
      <c r="J878" s="472" t="s">
        <v>423</v>
      </c>
      <c r="K878" s="472" t="s">
        <v>534</v>
      </c>
      <c r="L878" s="473" t="s">
        <v>530</v>
      </c>
      <c r="M878" s="473" t="s">
        <v>3364</v>
      </c>
      <c r="N878" s="473" t="s">
        <v>820</v>
      </c>
      <c r="O878" s="474" t="s">
        <v>2566</v>
      </c>
    </row>
    <row r="879" spans="1:15" s="475" customFormat="1" ht="12" hidden="1">
      <c r="A879" s="465">
        <v>10131000038684</v>
      </c>
      <c r="B879" s="476" t="s">
        <v>3363</v>
      </c>
      <c r="C879" s="476" t="s">
        <v>3363</v>
      </c>
      <c r="D879" s="467" t="s">
        <v>990</v>
      </c>
      <c r="E879" s="472" t="s">
        <v>2541</v>
      </c>
      <c r="F879" s="477">
        <v>208.32414</v>
      </c>
      <c r="G879" s="469" t="s">
        <v>2472</v>
      </c>
      <c r="H879" s="470">
        <v>172.19625000000002</v>
      </c>
      <c r="I879" s="471">
        <v>263.88699321988128</v>
      </c>
      <c r="J879" s="485" t="s">
        <v>421</v>
      </c>
      <c r="K879" s="472" t="s">
        <v>651</v>
      </c>
      <c r="L879" s="473" t="s">
        <v>530</v>
      </c>
      <c r="M879" s="473" t="s">
        <v>3364</v>
      </c>
      <c r="N879" s="473" t="s">
        <v>820</v>
      </c>
      <c r="O879" s="474" t="s">
        <v>2566</v>
      </c>
    </row>
    <row r="880" spans="1:15" s="475" customFormat="1" ht="12" hidden="1">
      <c r="A880" s="465">
        <v>10131000038685</v>
      </c>
      <c r="B880" s="476" t="s">
        <v>3363</v>
      </c>
      <c r="C880" s="476" t="s">
        <v>3363</v>
      </c>
      <c r="D880" s="467" t="s">
        <v>990</v>
      </c>
      <c r="E880" s="472" t="s">
        <v>2541</v>
      </c>
      <c r="F880" s="477">
        <v>208.32414</v>
      </c>
      <c r="G880" s="469" t="s">
        <v>2472</v>
      </c>
      <c r="H880" s="470">
        <v>172.19625000000002</v>
      </c>
      <c r="I880" s="471">
        <v>263.88699321988128</v>
      </c>
      <c r="J880" s="485" t="s">
        <v>421</v>
      </c>
      <c r="K880" s="472" t="s">
        <v>651</v>
      </c>
      <c r="L880" s="473" t="s">
        <v>530</v>
      </c>
      <c r="M880" s="473" t="s">
        <v>3364</v>
      </c>
      <c r="N880" s="473" t="s">
        <v>820</v>
      </c>
      <c r="O880" s="474" t="s">
        <v>2566</v>
      </c>
    </row>
    <row r="881" spans="1:15" s="475" customFormat="1" ht="12" hidden="1">
      <c r="A881" s="465">
        <v>10131000038686</v>
      </c>
      <c r="B881" s="476" t="s">
        <v>3363</v>
      </c>
      <c r="C881" s="476" t="s">
        <v>3363</v>
      </c>
      <c r="D881" s="467" t="s">
        <v>990</v>
      </c>
      <c r="E881" s="472" t="s">
        <v>2491</v>
      </c>
      <c r="F881" s="477">
        <v>209.28</v>
      </c>
      <c r="G881" s="469" t="s">
        <v>2472</v>
      </c>
      <c r="H881" s="470">
        <v>263.88699321988128</v>
      </c>
      <c r="I881" s="471">
        <v>263.88699321988128</v>
      </c>
      <c r="J881" s="485" t="s">
        <v>421</v>
      </c>
      <c r="K881" s="472" t="s">
        <v>651</v>
      </c>
      <c r="L881" s="473" t="s">
        <v>530</v>
      </c>
      <c r="M881" s="473" t="s">
        <v>3364</v>
      </c>
      <c r="N881" s="473" t="s">
        <v>820</v>
      </c>
      <c r="O881" s="474" t="s">
        <v>2566</v>
      </c>
    </row>
    <row r="882" spans="1:15" s="475" customFormat="1" ht="12" hidden="1">
      <c r="A882" s="465">
        <v>10131000037182</v>
      </c>
      <c r="B882" s="476" t="s">
        <v>3363</v>
      </c>
      <c r="C882" s="476" t="s">
        <v>3363</v>
      </c>
      <c r="D882" s="467" t="s">
        <v>990</v>
      </c>
      <c r="E882" s="472" t="s">
        <v>2541</v>
      </c>
      <c r="F882" s="477">
        <v>247.87226399999997</v>
      </c>
      <c r="G882" s="469" t="s">
        <v>2472</v>
      </c>
      <c r="H882" s="470">
        <v>172.19625000000002</v>
      </c>
      <c r="I882" s="471">
        <v>263.88699321988128</v>
      </c>
      <c r="J882" s="485" t="s">
        <v>421</v>
      </c>
      <c r="K882" s="472" t="s">
        <v>651</v>
      </c>
      <c r="L882" s="473" t="s">
        <v>530</v>
      </c>
      <c r="M882" s="473" t="s">
        <v>3364</v>
      </c>
      <c r="N882" s="473" t="s">
        <v>820</v>
      </c>
      <c r="O882" s="474" t="s">
        <v>2566</v>
      </c>
    </row>
    <row r="883" spans="1:15" s="475" customFormat="1" ht="12" hidden="1">
      <c r="A883" s="465">
        <v>10131000037183</v>
      </c>
      <c r="B883" s="476" t="s">
        <v>3363</v>
      </c>
      <c r="C883" s="476" t="s">
        <v>3363</v>
      </c>
      <c r="D883" s="467" t="s">
        <v>990</v>
      </c>
      <c r="E883" s="472" t="s">
        <v>2541</v>
      </c>
      <c r="F883" s="477">
        <v>247.87226399999997</v>
      </c>
      <c r="G883" s="469" t="s">
        <v>2472</v>
      </c>
      <c r="H883" s="470">
        <v>172.19625000000002</v>
      </c>
      <c r="I883" s="471">
        <v>263.88699321988128</v>
      </c>
      <c r="J883" s="485" t="s">
        <v>421</v>
      </c>
      <c r="K883" s="472" t="s">
        <v>651</v>
      </c>
      <c r="L883" s="473" t="s">
        <v>530</v>
      </c>
      <c r="M883" s="473" t="s">
        <v>3364</v>
      </c>
      <c r="N883" s="473" t="s">
        <v>820</v>
      </c>
      <c r="O883" s="474" t="s">
        <v>2566</v>
      </c>
    </row>
    <row r="884" spans="1:15" s="475" customFormat="1" ht="12" hidden="1">
      <c r="A884" s="465">
        <v>10131000037184</v>
      </c>
      <c r="B884" s="476" t="s">
        <v>3363</v>
      </c>
      <c r="C884" s="476" t="s">
        <v>3363</v>
      </c>
      <c r="D884" s="467" t="s">
        <v>990</v>
      </c>
      <c r="E884" s="472" t="s">
        <v>2491</v>
      </c>
      <c r="F884" s="477">
        <v>249</v>
      </c>
      <c r="G884" s="469" t="s">
        <v>2472</v>
      </c>
      <c r="H884" s="470">
        <v>263.88699321988128</v>
      </c>
      <c r="I884" s="471">
        <v>263.88699321988128</v>
      </c>
      <c r="J884" s="485" t="s">
        <v>421</v>
      </c>
      <c r="K884" s="472" t="s">
        <v>651</v>
      </c>
      <c r="L884" s="473" t="s">
        <v>530</v>
      </c>
      <c r="M884" s="473" t="s">
        <v>3364</v>
      </c>
      <c r="N884" s="473" t="s">
        <v>820</v>
      </c>
      <c r="O884" s="474" t="s">
        <v>2566</v>
      </c>
    </row>
    <row r="885" spans="1:15" s="475" customFormat="1" ht="12" hidden="1">
      <c r="A885" s="465">
        <v>10131000057097</v>
      </c>
      <c r="B885" s="466" t="s">
        <v>3363</v>
      </c>
      <c r="C885" s="476" t="s">
        <v>3367</v>
      </c>
      <c r="D885" s="467" t="s">
        <v>990</v>
      </c>
      <c r="E885" s="472" t="s">
        <v>2491</v>
      </c>
      <c r="F885" s="477">
        <v>357.41</v>
      </c>
      <c r="G885" s="469" t="s">
        <v>2472</v>
      </c>
      <c r="H885" s="487">
        <v>800</v>
      </c>
      <c r="I885" s="471">
        <v>800</v>
      </c>
      <c r="J885" s="488" t="s">
        <v>2492</v>
      </c>
      <c r="K885" s="472" t="s">
        <v>656</v>
      </c>
      <c r="L885" s="473" t="s">
        <v>530</v>
      </c>
      <c r="M885" s="473" t="s">
        <v>3364</v>
      </c>
      <c r="N885" s="473" t="s">
        <v>820</v>
      </c>
      <c r="O885" s="474" t="s">
        <v>2566</v>
      </c>
    </row>
    <row r="886" spans="1:15" s="475" customFormat="1" ht="12" hidden="1">
      <c r="A886" s="465">
        <v>10131000009877</v>
      </c>
      <c r="B886" s="489" t="s">
        <v>3363</v>
      </c>
      <c r="C886" s="489" t="s">
        <v>3368</v>
      </c>
      <c r="D886" s="467" t="s">
        <v>990</v>
      </c>
      <c r="E886" s="478" t="s">
        <v>2514</v>
      </c>
      <c r="F886" s="477">
        <v>370.87377704400001</v>
      </c>
      <c r="G886" s="469" t="s">
        <v>2472</v>
      </c>
      <c r="H886" s="481">
        <v>56446</v>
      </c>
      <c r="I886" s="482">
        <v>576.23</v>
      </c>
      <c r="J886" s="483" t="s">
        <v>2515</v>
      </c>
      <c r="K886" s="483" t="s">
        <v>2515</v>
      </c>
      <c r="L886" s="473" t="s">
        <v>530</v>
      </c>
      <c r="M886" s="473" t="s">
        <v>3364</v>
      </c>
      <c r="N886" s="473" t="s">
        <v>820</v>
      </c>
      <c r="O886" s="474" t="s">
        <v>2566</v>
      </c>
    </row>
    <row r="887" spans="1:15" s="475" customFormat="1" ht="12" hidden="1">
      <c r="A887" s="465">
        <v>10131000052460</v>
      </c>
      <c r="B887" s="489" t="s">
        <v>3363</v>
      </c>
      <c r="C887" s="489" t="s">
        <v>3369</v>
      </c>
      <c r="D887" s="467" t="s">
        <v>990</v>
      </c>
      <c r="E887" s="478" t="s">
        <v>2514</v>
      </c>
      <c r="F887" s="477">
        <v>370.87377704400001</v>
      </c>
      <c r="G887" s="469" t="s">
        <v>2472</v>
      </c>
      <c r="H887" s="481">
        <v>56446</v>
      </c>
      <c r="I887" s="482">
        <v>576.23</v>
      </c>
      <c r="J887" s="483" t="s">
        <v>2515</v>
      </c>
      <c r="K887" s="483" t="s">
        <v>2515</v>
      </c>
      <c r="L887" s="473" t="s">
        <v>530</v>
      </c>
      <c r="M887" s="473" t="s">
        <v>3364</v>
      </c>
      <c r="N887" s="473" t="s">
        <v>820</v>
      </c>
      <c r="O887" s="474" t="s">
        <v>2566</v>
      </c>
    </row>
    <row r="888" spans="1:15" s="475" customFormat="1" ht="12" hidden="1">
      <c r="A888" s="465">
        <v>10131000058559</v>
      </c>
      <c r="B888" s="466" t="s">
        <v>3363</v>
      </c>
      <c r="C888" s="476" t="s">
        <v>3370</v>
      </c>
      <c r="D888" s="467" t="s">
        <v>990</v>
      </c>
      <c r="E888" s="472" t="s">
        <v>2491</v>
      </c>
      <c r="F888" s="477" t="s">
        <v>2472</v>
      </c>
      <c r="G888" s="469" t="s">
        <v>2472</v>
      </c>
      <c r="H888" s="487">
        <v>697.26</v>
      </c>
      <c r="I888" s="471">
        <v>697.26</v>
      </c>
      <c r="J888" s="488" t="s">
        <v>2492</v>
      </c>
      <c r="K888" s="472" t="s">
        <v>658</v>
      </c>
      <c r="L888" s="473" t="s">
        <v>530</v>
      </c>
      <c r="M888" s="473" t="s">
        <v>3364</v>
      </c>
      <c r="N888" s="473" t="s">
        <v>820</v>
      </c>
      <c r="O888" s="474" t="s">
        <v>2566</v>
      </c>
    </row>
    <row r="889" spans="1:15" s="475" customFormat="1" ht="12" hidden="1">
      <c r="A889" s="465">
        <v>10131000058560</v>
      </c>
      <c r="B889" s="466" t="s">
        <v>3363</v>
      </c>
      <c r="C889" s="476" t="s">
        <v>3371</v>
      </c>
      <c r="D889" s="467" t="s">
        <v>990</v>
      </c>
      <c r="E889" s="472" t="s">
        <v>2491</v>
      </c>
      <c r="F889" s="477" t="s">
        <v>2472</v>
      </c>
      <c r="G889" s="469" t="s">
        <v>2472</v>
      </c>
      <c r="H889" s="487">
        <v>306.31</v>
      </c>
      <c r="I889" s="471">
        <v>306.31</v>
      </c>
      <c r="J889" s="488" t="s">
        <v>2492</v>
      </c>
      <c r="K889" s="472" t="s">
        <v>664</v>
      </c>
      <c r="L889" s="473" t="s">
        <v>530</v>
      </c>
      <c r="M889" s="473" t="s">
        <v>3364</v>
      </c>
      <c r="N889" s="473" t="s">
        <v>820</v>
      </c>
      <c r="O889" s="474" t="s">
        <v>2566</v>
      </c>
    </row>
    <row r="890" spans="1:15" s="475" customFormat="1" ht="12" hidden="1">
      <c r="A890" s="465">
        <v>10131000058584</v>
      </c>
      <c r="B890" s="476" t="s">
        <v>3363</v>
      </c>
      <c r="C890" s="476" t="s">
        <v>3372</v>
      </c>
      <c r="D890" s="467" t="s">
        <v>990</v>
      </c>
      <c r="E890" s="472" t="s">
        <v>2491</v>
      </c>
      <c r="F890" s="477" t="s">
        <v>2472</v>
      </c>
      <c r="G890" s="469" t="s">
        <v>2472</v>
      </c>
      <c r="H890" s="487">
        <v>565.5</v>
      </c>
      <c r="I890" s="471">
        <v>565.5</v>
      </c>
      <c r="J890" s="488" t="s">
        <v>2492</v>
      </c>
      <c r="K890" s="472" t="s">
        <v>666</v>
      </c>
      <c r="L890" s="473" t="s">
        <v>530</v>
      </c>
      <c r="M890" s="473" t="s">
        <v>3364</v>
      </c>
      <c r="N890" s="473" t="s">
        <v>820</v>
      </c>
      <c r="O890" s="474" t="s">
        <v>2566</v>
      </c>
    </row>
    <row r="891" spans="1:15" s="475" customFormat="1" ht="12" hidden="1">
      <c r="A891" s="465">
        <v>10131000058561</v>
      </c>
      <c r="B891" s="466" t="s">
        <v>3363</v>
      </c>
      <c r="C891" s="476" t="s">
        <v>3373</v>
      </c>
      <c r="D891" s="467" t="s">
        <v>990</v>
      </c>
      <c r="E891" s="472" t="s">
        <v>2491</v>
      </c>
      <c r="F891" s="477" t="s">
        <v>2472</v>
      </c>
      <c r="G891" s="469" t="s">
        <v>2472</v>
      </c>
      <c r="H891" s="487">
        <v>202.64</v>
      </c>
      <c r="I891" s="471">
        <v>202.64</v>
      </c>
      <c r="J891" s="488" t="s">
        <v>2492</v>
      </c>
      <c r="K891" s="472" t="s">
        <v>668</v>
      </c>
      <c r="L891" s="473" t="s">
        <v>530</v>
      </c>
      <c r="M891" s="473" t="s">
        <v>3364</v>
      </c>
      <c r="N891" s="473" t="s">
        <v>820</v>
      </c>
      <c r="O891" s="474" t="s">
        <v>2566</v>
      </c>
    </row>
    <row r="892" spans="1:15" s="475" customFormat="1" ht="12" hidden="1">
      <c r="A892" s="465">
        <v>10131000058562</v>
      </c>
      <c r="B892" s="466" t="s">
        <v>3363</v>
      </c>
      <c r="C892" s="476" t="s">
        <v>3374</v>
      </c>
      <c r="D892" s="467" t="s">
        <v>990</v>
      </c>
      <c r="E892" s="472" t="s">
        <v>2491</v>
      </c>
      <c r="F892" s="477" t="s">
        <v>2472</v>
      </c>
      <c r="G892" s="469" t="s">
        <v>2472</v>
      </c>
      <c r="H892" s="487">
        <v>333.43</v>
      </c>
      <c r="I892" s="471">
        <v>333.43</v>
      </c>
      <c r="J892" s="488" t="s">
        <v>2492</v>
      </c>
      <c r="K892" s="472" t="s">
        <v>670</v>
      </c>
      <c r="L892" s="473" t="s">
        <v>530</v>
      </c>
      <c r="M892" s="473" t="s">
        <v>3364</v>
      </c>
      <c r="N892" s="473" t="s">
        <v>820</v>
      </c>
      <c r="O892" s="474" t="s">
        <v>2566</v>
      </c>
    </row>
    <row r="893" spans="1:15" s="475" customFormat="1" ht="12" hidden="1">
      <c r="A893" s="465">
        <v>10131000058564</v>
      </c>
      <c r="B893" s="466" t="s">
        <v>3363</v>
      </c>
      <c r="C893" s="476" t="s">
        <v>3375</v>
      </c>
      <c r="D893" s="467" t="s">
        <v>990</v>
      </c>
      <c r="E893" s="472" t="s">
        <v>2491</v>
      </c>
      <c r="F893" s="477" t="s">
        <v>2472</v>
      </c>
      <c r="G893" s="469" t="s">
        <v>2472</v>
      </c>
      <c r="H893" s="487">
        <v>407.14</v>
      </c>
      <c r="I893" s="471">
        <v>407.14</v>
      </c>
      <c r="J893" s="488" t="s">
        <v>2492</v>
      </c>
      <c r="K893" s="472" t="s">
        <v>674</v>
      </c>
      <c r="L893" s="473" t="s">
        <v>530</v>
      </c>
      <c r="M893" s="473" t="s">
        <v>3364</v>
      </c>
      <c r="N893" s="473" t="s">
        <v>820</v>
      </c>
      <c r="O893" s="474" t="s">
        <v>2566</v>
      </c>
    </row>
    <row r="894" spans="1:15" s="475" customFormat="1" ht="12" hidden="1">
      <c r="A894" s="465">
        <v>10131000058563</v>
      </c>
      <c r="B894" s="466" t="s">
        <v>3363</v>
      </c>
      <c r="C894" s="476" t="s">
        <v>3376</v>
      </c>
      <c r="D894" s="467" t="s">
        <v>990</v>
      </c>
      <c r="E894" s="472" t="s">
        <v>2491</v>
      </c>
      <c r="F894" s="477" t="s">
        <v>2472</v>
      </c>
      <c r="G894" s="469" t="s">
        <v>2472</v>
      </c>
      <c r="H894" s="487">
        <v>358.31</v>
      </c>
      <c r="I894" s="471">
        <v>358.31</v>
      </c>
      <c r="J894" s="488" t="s">
        <v>2492</v>
      </c>
      <c r="K894" s="472" t="s">
        <v>676</v>
      </c>
      <c r="L894" s="473" t="s">
        <v>530</v>
      </c>
      <c r="M894" s="473" t="s">
        <v>3364</v>
      </c>
      <c r="N894" s="473" t="s">
        <v>820</v>
      </c>
      <c r="O894" s="474" t="s">
        <v>2566</v>
      </c>
    </row>
    <row r="895" spans="1:15" s="475" customFormat="1" ht="12" hidden="1">
      <c r="A895" s="465">
        <v>10131000037130</v>
      </c>
      <c r="B895" s="476" t="s">
        <v>3377</v>
      </c>
      <c r="C895" s="476" t="s">
        <v>3377</v>
      </c>
      <c r="D895" s="467" t="s">
        <v>12</v>
      </c>
      <c r="E895" s="472" t="s">
        <v>2541</v>
      </c>
      <c r="F895" s="477">
        <v>1.5564</v>
      </c>
      <c r="G895" s="469" t="s">
        <v>2472</v>
      </c>
      <c r="H895" s="470">
        <v>1.18</v>
      </c>
      <c r="I895" s="471">
        <v>1.8083242346999997</v>
      </c>
      <c r="J895" s="485" t="s">
        <v>421</v>
      </c>
      <c r="K895" s="472" t="s">
        <v>651</v>
      </c>
      <c r="L895" s="473" t="s">
        <v>530</v>
      </c>
      <c r="M895" s="473" t="s">
        <v>3364</v>
      </c>
      <c r="N895" s="473" t="s">
        <v>820</v>
      </c>
      <c r="O895" s="474" t="s">
        <v>2566</v>
      </c>
    </row>
    <row r="896" spans="1:15" s="475" customFormat="1" ht="12" hidden="1">
      <c r="A896" s="465">
        <v>10131000037131</v>
      </c>
      <c r="B896" s="476" t="s">
        <v>3377</v>
      </c>
      <c r="C896" s="476" t="s">
        <v>3377</v>
      </c>
      <c r="D896" s="467" t="s">
        <v>12</v>
      </c>
      <c r="E896" s="472" t="s">
        <v>2541</v>
      </c>
      <c r="F896" s="477">
        <v>1.5564</v>
      </c>
      <c r="G896" s="469" t="s">
        <v>2472</v>
      </c>
      <c r="H896" s="470">
        <v>1.18</v>
      </c>
      <c r="I896" s="471">
        <v>1.8083242346999997</v>
      </c>
      <c r="J896" s="485" t="s">
        <v>421</v>
      </c>
      <c r="K896" s="472" t="s">
        <v>651</v>
      </c>
      <c r="L896" s="473" t="s">
        <v>530</v>
      </c>
      <c r="M896" s="473" t="s">
        <v>3364</v>
      </c>
      <c r="N896" s="473" t="s">
        <v>820</v>
      </c>
      <c r="O896" s="474" t="s">
        <v>2566</v>
      </c>
    </row>
    <row r="897" spans="1:15" s="475" customFormat="1" ht="12" hidden="1">
      <c r="A897" s="465">
        <v>10131000037132</v>
      </c>
      <c r="B897" s="476" t="s">
        <v>3377</v>
      </c>
      <c r="C897" s="476" t="s">
        <v>3377</v>
      </c>
      <c r="D897" s="467" t="s">
        <v>12</v>
      </c>
      <c r="E897" s="472" t="s">
        <v>2491</v>
      </c>
      <c r="F897" s="477">
        <v>1.56</v>
      </c>
      <c r="G897" s="469" t="s">
        <v>2472</v>
      </c>
      <c r="H897" s="470">
        <v>1.8</v>
      </c>
      <c r="I897" s="471">
        <v>1.8</v>
      </c>
      <c r="J897" s="485" t="s">
        <v>421</v>
      </c>
      <c r="K897" s="472" t="s">
        <v>651</v>
      </c>
      <c r="L897" s="473" t="s">
        <v>530</v>
      </c>
      <c r="M897" s="473" t="s">
        <v>3364</v>
      </c>
      <c r="N897" s="473" t="s">
        <v>820</v>
      </c>
      <c r="O897" s="474" t="s">
        <v>2566</v>
      </c>
    </row>
    <row r="898" spans="1:15" s="475" customFormat="1" ht="12" hidden="1">
      <c r="A898" s="465">
        <v>10131000038646</v>
      </c>
      <c r="B898" s="476" t="s">
        <v>3378</v>
      </c>
      <c r="C898" s="476" t="s">
        <v>3378</v>
      </c>
      <c r="D898" s="467" t="s">
        <v>12</v>
      </c>
      <c r="E898" s="472" t="s">
        <v>2541</v>
      </c>
      <c r="F898" s="477">
        <v>1.5564</v>
      </c>
      <c r="G898" s="469" t="s">
        <v>2472</v>
      </c>
      <c r="H898" s="470">
        <v>1.18</v>
      </c>
      <c r="I898" s="471">
        <v>1.8083242346999997</v>
      </c>
      <c r="J898" s="485" t="s">
        <v>421</v>
      </c>
      <c r="K898" s="472" t="s">
        <v>651</v>
      </c>
      <c r="L898" s="473" t="s">
        <v>530</v>
      </c>
      <c r="M898" s="473" t="s">
        <v>3364</v>
      </c>
      <c r="N898" s="473" t="s">
        <v>820</v>
      </c>
      <c r="O898" s="474" t="s">
        <v>2566</v>
      </c>
    </row>
    <row r="899" spans="1:15" s="475" customFormat="1" ht="12" hidden="1">
      <c r="A899" s="465">
        <v>10131000038648</v>
      </c>
      <c r="B899" s="476" t="s">
        <v>3378</v>
      </c>
      <c r="C899" s="476" t="s">
        <v>3378</v>
      </c>
      <c r="D899" s="467" t="s">
        <v>12</v>
      </c>
      <c r="E899" s="472" t="s">
        <v>2541</v>
      </c>
      <c r="F899" s="477">
        <v>1.5564</v>
      </c>
      <c r="G899" s="469" t="s">
        <v>2472</v>
      </c>
      <c r="H899" s="470">
        <v>1.18</v>
      </c>
      <c r="I899" s="471">
        <v>1.8083242346999997</v>
      </c>
      <c r="J899" s="485" t="s">
        <v>421</v>
      </c>
      <c r="K899" s="472" t="s">
        <v>651</v>
      </c>
      <c r="L899" s="473" t="s">
        <v>530</v>
      </c>
      <c r="M899" s="473" t="s">
        <v>3364</v>
      </c>
      <c r="N899" s="473" t="s">
        <v>820</v>
      </c>
      <c r="O899" s="474" t="s">
        <v>2566</v>
      </c>
    </row>
    <row r="900" spans="1:15" s="475" customFormat="1" ht="12" hidden="1">
      <c r="A900" s="465">
        <v>10131000038649</v>
      </c>
      <c r="B900" s="476" t="s">
        <v>3378</v>
      </c>
      <c r="C900" s="476" t="s">
        <v>3378</v>
      </c>
      <c r="D900" s="467" t="s">
        <v>12</v>
      </c>
      <c r="E900" s="472" t="s">
        <v>2491</v>
      </c>
      <c r="F900" s="477">
        <v>1.56</v>
      </c>
      <c r="G900" s="469" t="s">
        <v>2472</v>
      </c>
      <c r="H900" s="470">
        <v>1.8</v>
      </c>
      <c r="I900" s="471">
        <v>1.8</v>
      </c>
      <c r="J900" s="485" t="s">
        <v>421</v>
      </c>
      <c r="K900" s="472" t="s">
        <v>651</v>
      </c>
      <c r="L900" s="473" t="s">
        <v>530</v>
      </c>
      <c r="M900" s="473" t="s">
        <v>3364</v>
      </c>
      <c r="N900" s="473" t="s">
        <v>820</v>
      </c>
      <c r="O900" s="474" t="s">
        <v>2566</v>
      </c>
    </row>
    <row r="901" spans="1:15" s="475" customFormat="1" ht="12" hidden="1">
      <c r="A901" s="465">
        <v>10131000023476</v>
      </c>
      <c r="B901" s="476" t="s">
        <v>3379</v>
      </c>
      <c r="C901" s="476" t="s">
        <v>3379</v>
      </c>
      <c r="D901" s="467" t="s">
        <v>990</v>
      </c>
      <c r="E901" s="472" t="s">
        <v>2541</v>
      </c>
      <c r="F901" s="477">
        <v>350.26782000000003</v>
      </c>
      <c r="G901" s="469" t="s">
        <v>2472</v>
      </c>
      <c r="H901" s="470">
        <v>264.43</v>
      </c>
      <c r="I901" s="471">
        <v>405.23320117095</v>
      </c>
      <c r="J901" s="485" t="s">
        <v>421</v>
      </c>
      <c r="K901" s="472" t="s">
        <v>651</v>
      </c>
      <c r="L901" s="473" t="s">
        <v>530</v>
      </c>
      <c r="M901" s="473" t="s">
        <v>3364</v>
      </c>
      <c r="N901" s="473" t="s">
        <v>820</v>
      </c>
      <c r="O901" s="474" t="s">
        <v>2566</v>
      </c>
    </row>
    <row r="902" spans="1:15" s="475" customFormat="1" ht="12" hidden="1">
      <c r="A902" s="465">
        <v>10131000023478</v>
      </c>
      <c r="B902" s="476" t="s">
        <v>3379</v>
      </c>
      <c r="C902" s="476" t="s">
        <v>3379</v>
      </c>
      <c r="D902" s="467" t="s">
        <v>990</v>
      </c>
      <c r="E902" s="472" t="s">
        <v>2541</v>
      </c>
      <c r="F902" s="477">
        <v>350.26782000000003</v>
      </c>
      <c r="G902" s="469" t="s">
        <v>2472</v>
      </c>
      <c r="H902" s="470">
        <v>264.43</v>
      </c>
      <c r="I902" s="471">
        <v>405.23320117095</v>
      </c>
      <c r="J902" s="485" t="s">
        <v>421</v>
      </c>
      <c r="K902" s="472" t="s">
        <v>651</v>
      </c>
      <c r="L902" s="473" t="s">
        <v>530</v>
      </c>
      <c r="M902" s="473" t="s">
        <v>3364</v>
      </c>
      <c r="N902" s="473" t="s">
        <v>820</v>
      </c>
      <c r="O902" s="474" t="s">
        <v>2566</v>
      </c>
    </row>
    <row r="903" spans="1:15" s="475" customFormat="1" ht="12" hidden="1">
      <c r="A903" s="465">
        <v>10131000023479</v>
      </c>
      <c r="B903" s="476" t="s">
        <v>3379</v>
      </c>
      <c r="C903" s="476" t="s">
        <v>3379</v>
      </c>
      <c r="D903" s="467" t="s">
        <v>990</v>
      </c>
      <c r="E903" s="472" t="s">
        <v>2491</v>
      </c>
      <c r="F903" s="477">
        <v>351.86</v>
      </c>
      <c r="G903" s="469" t="s">
        <v>2472</v>
      </c>
      <c r="H903" s="470">
        <v>405.24</v>
      </c>
      <c r="I903" s="471">
        <v>405.24</v>
      </c>
      <c r="J903" s="485" t="s">
        <v>421</v>
      </c>
      <c r="K903" s="472" t="s">
        <v>651</v>
      </c>
      <c r="L903" s="473" t="s">
        <v>530</v>
      </c>
      <c r="M903" s="473" t="s">
        <v>3364</v>
      </c>
      <c r="N903" s="473" t="s">
        <v>820</v>
      </c>
      <c r="O903" s="474" t="s">
        <v>2566</v>
      </c>
    </row>
    <row r="904" spans="1:15" s="475" customFormat="1" ht="12" hidden="1">
      <c r="A904" s="465">
        <v>10131000034651</v>
      </c>
      <c r="B904" s="476" t="s">
        <v>3380</v>
      </c>
      <c r="C904" s="476" t="s">
        <v>3380</v>
      </c>
      <c r="D904" s="467" t="s">
        <v>2552</v>
      </c>
      <c r="E904" s="472" t="s">
        <v>2491</v>
      </c>
      <c r="F904" s="477">
        <v>0.23799999999999999</v>
      </c>
      <c r="G904" s="469" t="s">
        <v>2472</v>
      </c>
      <c r="H904" s="470">
        <v>0.28000000000000003</v>
      </c>
      <c r="I904" s="471">
        <v>0.28000000000000003</v>
      </c>
      <c r="J904" s="485" t="s">
        <v>421</v>
      </c>
      <c r="K904" s="472" t="s">
        <v>651</v>
      </c>
      <c r="L904" s="473" t="s">
        <v>530</v>
      </c>
      <c r="M904" s="473" t="s">
        <v>3364</v>
      </c>
      <c r="N904" s="473" t="s">
        <v>1718</v>
      </c>
      <c r="O904" s="474" t="s">
        <v>3381</v>
      </c>
    </row>
    <row r="905" spans="1:15" s="475" customFormat="1" ht="12" hidden="1">
      <c r="A905" s="465">
        <v>10131000034648</v>
      </c>
      <c r="B905" s="476" t="s">
        <v>3380</v>
      </c>
      <c r="C905" s="476" t="s">
        <v>3380</v>
      </c>
      <c r="D905" s="467" t="s">
        <v>2552</v>
      </c>
      <c r="E905" s="472" t="s">
        <v>2541</v>
      </c>
      <c r="F905" s="477">
        <v>0.23812919999999999</v>
      </c>
      <c r="G905" s="469" t="s">
        <v>2472</v>
      </c>
      <c r="H905" s="470">
        <v>0.18</v>
      </c>
      <c r="I905" s="471">
        <v>0.27584606969999997</v>
      </c>
      <c r="J905" s="485" t="s">
        <v>421</v>
      </c>
      <c r="K905" s="472" t="s">
        <v>651</v>
      </c>
      <c r="L905" s="473" t="s">
        <v>530</v>
      </c>
      <c r="M905" s="473" t="s">
        <v>3364</v>
      </c>
      <c r="N905" s="473" t="s">
        <v>1718</v>
      </c>
      <c r="O905" s="474" t="s">
        <v>3381</v>
      </c>
    </row>
    <row r="906" spans="1:15" s="475" customFormat="1" ht="12" hidden="1">
      <c r="A906" s="465">
        <v>10131000034650</v>
      </c>
      <c r="B906" s="476" t="s">
        <v>3380</v>
      </c>
      <c r="C906" s="476" t="s">
        <v>3380</v>
      </c>
      <c r="D906" s="467" t="s">
        <v>2552</v>
      </c>
      <c r="E906" s="472" t="s">
        <v>2541</v>
      </c>
      <c r="F906" s="477">
        <v>0.23812919999999999</v>
      </c>
      <c r="G906" s="469" t="s">
        <v>2472</v>
      </c>
      <c r="H906" s="470">
        <v>0.18</v>
      </c>
      <c r="I906" s="471">
        <v>0.27584606969999997</v>
      </c>
      <c r="J906" s="485" t="s">
        <v>421</v>
      </c>
      <c r="K906" s="472" t="s">
        <v>651</v>
      </c>
      <c r="L906" s="473" t="s">
        <v>530</v>
      </c>
      <c r="M906" s="473" t="s">
        <v>3364</v>
      </c>
      <c r="N906" s="473" t="s">
        <v>1718</v>
      </c>
      <c r="O906" s="474" t="s">
        <v>3381</v>
      </c>
    </row>
    <row r="907" spans="1:15" s="475" customFormat="1" ht="12" hidden="1">
      <c r="A907" s="465">
        <v>10131000039772</v>
      </c>
      <c r="B907" s="489" t="s">
        <v>3380</v>
      </c>
      <c r="C907" s="489" t="s">
        <v>3382</v>
      </c>
      <c r="D907" s="467" t="s">
        <v>2552</v>
      </c>
      <c r="E907" s="478" t="s">
        <v>2514</v>
      </c>
      <c r="F907" s="477">
        <v>13.56307056</v>
      </c>
      <c r="G907" s="469" t="s">
        <v>2472</v>
      </c>
      <c r="H907" s="481">
        <v>599</v>
      </c>
      <c r="I907" s="482">
        <v>6.11</v>
      </c>
      <c r="J907" s="483" t="s">
        <v>2515</v>
      </c>
      <c r="K907" s="483" t="s">
        <v>2515</v>
      </c>
      <c r="L907" s="473" t="s">
        <v>530</v>
      </c>
      <c r="M907" s="473" t="s">
        <v>3364</v>
      </c>
      <c r="N907" s="473" t="s">
        <v>1718</v>
      </c>
      <c r="O907" s="474" t="s">
        <v>3381</v>
      </c>
    </row>
    <row r="908" spans="1:15" s="475" customFormat="1" ht="12" hidden="1">
      <c r="A908" s="465">
        <v>10131000052455</v>
      </c>
      <c r="B908" s="489" t="s">
        <v>3380</v>
      </c>
      <c r="C908" s="489" t="s">
        <v>3383</v>
      </c>
      <c r="D908" s="467" t="s">
        <v>2552</v>
      </c>
      <c r="E908" s="478" t="s">
        <v>2514</v>
      </c>
      <c r="F908" s="477">
        <v>13.56307056</v>
      </c>
      <c r="G908" s="469" t="s">
        <v>2472</v>
      </c>
      <c r="H908" s="481">
        <v>599</v>
      </c>
      <c r="I908" s="482">
        <v>6.11</v>
      </c>
      <c r="J908" s="483" t="s">
        <v>2515</v>
      </c>
      <c r="K908" s="483" t="s">
        <v>2515</v>
      </c>
      <c r="L908" s="473" t="s">
        <v>530</v>
      </c>
      <c r="M908" s="473" t="s">
        <v>3364</v>
      </c>
      <c r="N908" s="473" t="s">
        <v>1718</v>
      </c>
      <c r="O908" s="474" t="s">
        <v>3381</v>
      </c>
    </row>
    <row r="909" spans="1:15" s="475" customFormat="1" ht="12" hidden="1">
      <c r="A909" s="465">
        <v>10131000056649</v>
      </c>
      <c r="B909" s="476" t="s">
        <v>3384</v>
      </c>
      <c r="C909" s="476" t="s">
        <v>3385</v>
      </c>
      <c r="D909" s="467" t="s">
        <v>2552</v>
      </c>
      <c r="E909" s="472" t="s">
        <v>2491</v>
      </c>
      <c r="F909" s="477">
        <v>0.49</v>
      </c>
      <c r="G909" s="469">
        <v>0.63</v>
      </c>
      <c r="H909" s="487">
        <v>0.66</v>
      </c>
      <c r="I909" s="471">
        <v>0.66</v>
      </c>
      <c r="J909" s="488" t="s">
        <v>2492</v>
      </c>
      <c r="K909" s="472" t="s">
        <v>2522</v>
      </c>
      <c r="L909" s="473" t="s">
        <v>530</v>
      </c>
      <c r="M909" s="473" t="s">
        <v>3364</v>
      </c>
      <c r="N909" s="473" t="s">
        <v>1718</v>
      </c>
      <c r="O909" s="474" t="s">
        <v>3386</v>
      </c>
    </row>
    <row r="910" spans="1:15" s="475" customFormat="1" ht="12">
      <c r="A910" s="465">
        <v>10131000056331</v>
      </c>
      <c r="B910" s="466" t="s">
        <v>3384</v>
      </c>
      <c r="C910" s="466" t="s">
        <v>3384</v>
      </c>
      <c r="D910" s="467" t="s">
        <v>2552</v>
      </c>
      <c r="E910" s="468" t="s">
        <v>2491</v>
      </c>
      <c r="F910" s="511">
        <v>0.55000000000000004</v>
      </c>
      <c r="G910" s="469" t="s">
        <v>2472</v>
      </c>
      <c r="H910" s="470">
        <v>0.45</v>
      </c>
      <c r="I910" s="510">
        <v>0.45</v>
      </c>
      <c r="J910" s="472" t="s">
        <v>423</v>
      </c>
      <c r="K910" s="472" t="s">
        <v>534</v>
      </c>
      <c r="L910" s="473" t="s">
        <v>530</v>
      </c>
      <c r="M910" s="473" t="s">
        <v>3364</v>
      </c>
      <c r="N910" s="473" t="s">
        <v>1718</v>
      </c>
      <c r="O910" s="474" t="s">
        <v>3386</v>
      </c>
    </row>
    <row r="911" spans="1:15" s="475" customFormat="1" ht="12" hidden="1">
      <c r="A911" s="465">
        <v>10131000030974</v>
      </c>
      <c r="B911" s="476" t="s">
        <v>3384</v>
      </c>
      <c r="C911" s="476" t="s">
        <v>3384</v>
      </c>
      <c r="D911" s="467" t="s">
        <v>2552</v>
      </c>
      <c r="E911" s="472" t="s">
        <v>2541</v>
      </c>
      <c r="F911" s="477">
        <v>0.90271199999999996</v>
      </c>
      <c r="G911" s="469" t="s">
        <v>2472</v>
      </c>
      <c r="H911" s="470">
        <v>0.68</v>
      </c>
      <c r="I911" s="471">
        <v>1.0420851522000001</v>
      </c>
      <c r="J911" s="485" t="s">
        <v>421</v>
      </c>
      <c r="K911" s="472" t="s">
        <v>651</v>
      </c>
      <c r="L911" s="473" t="s">
        <v>530</v>
      </c>
      <c r="M911" s="473" t="s">
        <v>3364</v>
      </c>
      <c r="N911" s="473" t="s">
        <v>1718</v>
      </c>
      <c r="O911" s="474" t="s">
        <v>3386</v>
      </c>
    </row>
    <row r="912" spans="1:15" s="475" customFormat="1" ht="12" hidden="1">
      <c r="A912" s="465">
        <v>10131000030976</v>
      </c>
      <c r="B912" s="476" t="s">
        <v>3384</v>
      </c>
      <c r="C912" s="476" t="s">
        <v>3384</v>
      </c>
      <c r="D912" s="467" t="s">
        <v>2552</v>
      </c>
      <c r="E912" s="472" t="s">
        <v>2541</v>
      </c>
      <c r="F912" s="477">
        <v>0.90271199999999996</v>
      </c>
      <c r="G912" s="469" t="s">
        <v>2472</v>
      </c>
      <c r="H912" s="470">
        <v>0.68</v>
      </c>
      <c r="I912" s="471">
        <v>1.0420851522000001</v>
      </c>
      <c r="J912" s="485" t="s">
        <v>421</v>
      </c>
      <c r="K912" s="472" t="s">
        <v>651</v>
      </c>
      <c r="L912" s="473" t="s">
        <v>530</v>
      </c>
      <c r="M912" s="473" t="s">
        <v>3364</v>
      </c>
      <c r="N912" s="473" t="s">
        <v>1718</v>
      </c>
      <c r="O912" s="474" t="s">
        <v>3386</v>
      </c>
    </row>
    <row r="913" spans="1:15" s="475" customFormat="1" ht="12" hidden="1">
      <c r="A913" s="465">
        <v>10131000030983</v>
      </c>
      <c r="B913" s="476" t="s">
        <v>3384</v>
      </c>
      <c r="C913" s="476" t="s">
        <v>3384</v>
      </c>
      <c r="D913" s="467" t="s">
        <v>2552</v>
      </c>
      <c r="E913" s="472" t="s">
        <v>2541</v>
      </c>
      <c r="F913" s="477">
        <v>0.90271199999999996</v>
      </c>
      <c r="G913" s="469" t="s">
        <v>2472</v>
      </c>
      <c r="H913" s="470">
        <v>0.68</v>
      </c>
      <c r="I913" s="471">
        <v>1.0420851522000001</v>
      </c>
      <c r="J913" s="485" t="s">
        <v>421</v>
      </c>
      <c r="K913" s="472" t="s">
        <v>651</v>
      </c>
      <c r="L913" s="473" t="s">
        <v>530</v>
      </c>
      <c r="M913" s="473" t="s">
        <v>3364</v>
      </c>
      <c r="N913" s="473" t="s">
        <v>1718</v>
      </c>
      <c r="O913" s="474" t="s">
        <v>3386</v>
      </c>
    </row>
    <row r="914" spans="1:15" s="475" customFormat="1" ht="12" hidden="1">
      <c r="A914" s="465">
        <v>10131000030985</v>
      </c>
      <c r="B914" s="476" t="s">
        <v>3384</v>
      </c>
      <c r="C914" s="476" t="s">
        <v>3384</v>
      </c>
      <c r="D914" s="467" t="s">
        <v>2552</v>
      </c>
      <c r="E914" s="472" t="s">
        <v>2541</v>
      </c>
      <c r="F914" s="477">
        <v>0.90271199999999996</v>
      </c>
      <c r="G914" s="469" t="s">
        <v>2472</v>
      </c>
      <c r="H914" s="470">
        <v>0.68</v>
      </c>
      <c r="I914" s="471">
        <v>1.0420851522000001</v>
      </c>
      <c r="J914" s="485" t="s">
        <v>421</v>
      </c>
      <c r="K914" s="472" t="s">
        <v>651</v>
      </c>
      <c r="L914" s="473" t="s">
        <v>530</v>
      </c>
      <c r="M914" s="473" t="s">
        <v>3364</v>
      </c>
      <c r="N914" s="473" t="s">
        <v>1718</v>
      </c>
      <c r="O914" s="474" t="s">
        <v>3386</v>
      </c>
    </row>
    <row r="915" spans="1:15" s="475" customFormat="1" ht="12" hidden="1">
      <c r="A915" s="465">
        <v>10131000030977</v>
      </c>
      <c r="B915" s="476" t="s">
        <v>3384</v>
      </c>
      <c r="C915" s="476" t="s">
        <v>3384</v>
      </c>
      <c r="D915" s="467" t="s">
        <v>2552</v>
      </c>
      <c r="E915" s="472" t="s">
        <v>2491</v>
      </c>
      <c r="F915" s="477">
        <v>0.91</v>
      </c>
      <c r="G915" s="469" t="s">
        <v>2472</v>
      </c>
      <c r="H915" s="470">
        <v>1.04</v>
      </c>
      <c r="I915" s="471">
        <v>1.04</v>
      </c>
      <c r="J915" s="485" t="s">
        <v>421</v>
      </c>
      <c r="K915" s="472" t="s">
        <v>651</v>
      </c>
      <c r="L915" s="473" t="s">
        <v>530</v>
      </c>
      <c r="M915" s="473" t="s">
        <v>3364</v>
      </c>
      <c r="N915" s="473" t="s">
        <v>1718</v>
      </c>
      <c r="O915" s="474" t="s">
        <v>3386</v>
      </c>
    </row>
    <row r="916" spans="1:15" s="475" customFormat="1" ht="12" hidden="1">
      <c r="A916" s="465">
        <v>10131000030986</v>
      </c>
      <c r="B916" s="476" t="s">
        <v>3384</v>
      </c>
      <c r="C916" s="476" t="s">
        <v>3384</v>
      </c>
      <c r="D916" s="467" t="s">
        <v>2552</v>
      </c>
      <c r="E916" s="472" t="s">
        <v>2491</v>
      </c>
      <c r="F916" s="477">
        <v>0.91</v>
      </c>
      <c r="G916" s="469" t="s">
        <v>2472</v>
      </c>
      <c r="H916" s="470">
        <v>1.04</v>
      </c>
      <c r="I916" s="471">
        <v>1.04</v>
      </c>
      <c r="J916" s="485" t="s">
        <v>421</v>
      </c>
      <c r="K916" s="472" t="s">
        <v>651</v>
      </c>
      <c r="L916" s="473" t="s">
        <v>530</v>
      </c>
      <c r="M916" s="473" t="s">
        <v>3364</v>
      </c>
      <c r="N916" s="473" t="s">
        <v>1718</v>
      </c>
      <c r="O916" s="474" t="s">
        <v>3386</v>
      </c>
    </row>
    <row r="917" spans="1:15" s="475" customFormat="1" ht="12" hidden="1">
      <c r="A917" s="465">
        <v>10131000007482</v>
      </c>
      <c r="B917" s="476" t="s">
        <v>3384</v>
      </c>
      <c r="C917" s="476" t="s">
        <v>3387</v>
      </c>
      <c r="D917" s="467" t="s">
        <v>2552</v>
      </c>
      <c r="E917" s="472" t="s">
        <v>2491</v>
      </c>
      <c r="F917" s="477">
        <v>1.1499999999999999</v>
      </c>
      <c r="G917" s="469" t="s">
        <v>2472</v>
      </c>
      <c r="H917" s="487">
        <v>0.53</v>
      </c>
      <c r="I917" s="471">
        <v>0.53</v>
      </c>
      <c r="J917" s="488" t="s">
        <v>2492</v>
      </c>
      <c r="K917" s="472" t="s">
        <v>666</v>
      </c>
      <c r="L917" s="473" t="s">
        <v>530</v>
      </c>
      <c r="M917" s="473" t="s">
        <v>3364</v>
      </c>
      <c r="N917" s="473" t="s">
        <v>1718</v>
      </c>
      <c r="O917" s="474" t="s">
        <v>3386</v>
      </c>
    </row>
    <row r="918" spans="1:15" s="475" customFormat="1" ht="12" hidden="1">
      <c r="A918" s="465">
        <v>10131000039778</v>
      </c>
      <c r="B918" s="489" t="s">
        <v>3384</v>
      </c>
      <c r="C918" s="489" t="s">
        <v>3388</v>
      </c>
      <c r="D918" s="467" t="s">
        <v>2552</v>
      </c>
      <c r="E918" s="478" t="s">
        <v>2514</v>
      </c>
      <c r="F918" s="477">
        <v>2.52645432</v>
      </c>
      <c r="G918" s="469" t="s">
        <v>2472</v>
      </c>
      <c r="H918" s="481">
        <v>259</v>
      </c>
      <c r="I918" s="482">
        <v>2.64</v>
      </c>
      <c r="J918" s="483" t="s">
        <v>2515</v>
      </c>
      <c r="K918" s="483" t="s">
        <v>2515</v>
      </c>
      <c r="L918" s="473" t="s">
        <v>530</v>
      </c>
      <c r="M918" s="473" t="s">
        <v>3364</v>
      </c>
      <c r="N918" s="473" t="s">
        <v>1718</v>
      </c>
      <c r="O918" s="474" t="s">
        <v>3386</v>
      </c>
    </row>
    <row r="919" spans="1:15" s="475" customFormat="1" ht="12" hidden="1">
      <c r="A919" s="465">
        <v>10131000052457</v>
      </c>
      <c r="B919" s="489" t="s">
        <v>3384</v>
      </c>
      <c r="C919" s="489" t="s">
        <v>3389</v>
      </c>
      <c r="D919" s="467" t="s">
        <v>2552</v>
      </c>
      <c r="E919" s="478" t="s">
        <v>2514</v>
      </c>
      <c r="F919" s="477">
        <v>2.52645432</v>
      </c>
      <c r="G919" s="469" t="s">
        <v>2472</v>
      </c>
      <c r="H919" s="481">
        <v>259</v>
      </c>
      <c r="I919" s="482">
        <v>2.64</v>
      </c>
      <c r="J919" s="483" t="s">
        <v>2515</v>
      </c>
      <c r="K919" s="483" t="s">
        <v>2515</v>
      </c>
      <c r="L919" s="473" t="s">
        <v>530</v>
      </c>
      <c r="M919" s="473" t="s">
        <v>3364</v>
      </c>
      <c r="N919" s="473" t="s">
        <v>1718</v>
      </c>
      <c r="O919" s="474" t="s">
        <v>3386</v>
      </c>
    </row>
    <row r="920" spans="1:15" s="475" customFormat="1" ht="12" hidden="1">
      <c r="A920" s="465">
        <v>1000058593</v>
      </c>
      <c r="B920" s="476" t="s">
        <v>3384</v>
      </c>
      <c r="C920" s="476" t="s">
        <v>3390</v>
      </c>
      <c r="D920" s="467" t="s">
        <v>2552</v>
      </c>
      <c r="E920" s="472" t="s">
        <v>2491</v>
      </c>
      <c r="F920" s="477" t="s">
        <v>2472</v>
      </c>
      <c r="G920" s="469" t="s">
        <v>2472</v>
      </c>
      <c r="H920" s="487">
        <v>1.85</v>
      </c>
      <c r="I920" s="471">
        <v>1.85</v>
      </c>
      <c r="J920" s="488" t="s">
        <v>2492</v>
      </c>
      <c r="K920" s="472" t="s">
        <v>658</v>
      </c>
      <c r="L920" s="473" t="s">
        <v>530</v>
      </c>
      <c r="M920" s="473" t="s">
        <v>3364</v>
      </c>
      <c r="N920" s="473" t="s">
        <v>1718</v>
      </c>
      <c r="O920" s="474" t="s">
        <v>3386</v>
      </c>
    </row>
    <row r="921" spans="1:15" s="475" customFormat="1" ht="12" hidden="1">
      <c r="A921" s="465">
        <v>1000099031</v>
      </c>
      <c r="B921" s="466" t="s">
        <v>3384</v>
      </c>
      <c r="C921" s="466" t="s">
        <v>3384</v>
      </c>
      <c r="D921" s="467" t="s">
        <v>2552</v>
      </c>
      <c r="E921" s="468" t="s">
        <v>2471</v>
      </c>
      <c r="F921" s="477" t="s">
        <v>2472</v>
      </c>
      <c r="G921" s="469" t="s">
        <v>2472</v>
      </c>
      <c r="H921" s="470">
        <v>7.8</v>
      </c>
      <c r="I921" s="471">
        <v>0.60231660231660233</v>
      </c>
      <c r="J921" s="472" t="s">
        <v>422</v>
      </c>
      <c r="K921" s="472" t="s">
        <v>2473</v>
      </c>
      <c r="L921" s="473" t="s">
        <v>530</v>
      </c>
      <c r="M921" s="473" t="s">
        <v>3364</v>
      </c>
      <c r="N921" s="473" t="s">
        <v>1718</v>
      </c>
      <c r="O921" s="474" t="s">
        <v>3386</v>
      </c>
    </row>
    <row r="922" spans="1:15" s="475" customFormat="1" ht="12" hidden="1">
      <c r="A922" s="465">
        <v>10131000029266</v>
      </c>
      <c r="B922" s="476" t="s">
        <v>3391</v>
      </c>
      <c r="C922" s="476" t="s">
        <v>3391</v>
      </c>
      <c r="D922" s="467" t="s">
        <v>2552</v>
      </c>
      <c r="E922" s="472" t="s">
        <v>2491</v>
      </c>
      <c r="F922" s="477">
        <v>0</v>
      </c>
      <c r="G922" s="469" t="s">
        <v>2472</v>
      </c>
      <c r="H922" s="487">
        <v>0.16</v>
      </c>
      <c r="I922" s="471">
        <v>0.16</v>
      </c>
      <c r="J922" s="488" t="s">
        <v>2492</v>
      </c>
      <c r="K922" s="472" t="s">
        <v>2522</v>
      </c>
      <c r="L922" s="473" t="s">
        <v>530</v>
      </c>
      <c r="M922" s="473" t="s">
        <v>3364</v>
      </c>
      <c r="N922" s="473" t="s">
        <v>1718</v>
      </c>
      <c r="O922" s="474" t="s">
        <v>3392</v>
      </c>
    </row>
    <row r="923" spans="1:15" s="475" customFormat="1" ht="12" hidden="1">
      <c r="A923" s="465">
        <v>10131000056332</v>
      </c>
      <c r="B923" s="466" t="s">
        <v>3391</v>
      </c>
      <c r="C923" s="466" t="s">
        <v>3391</v>
      </c>
      <c r="D923" s="467" t="s">
        <v>2552</v>
      </c>
      <c r="E923" s="468" t="s">
        <v>2491</v>
      </c>
      <c r="F923" s="477">
        <v>0.35</v>
      </c>
      <c r="G923" s="469" t="s">
        <v>2472</v>
      </c>
      <c r="H923" s="470">
        <v>0.35</v>
      </c>
      <c r="I923" s="471">
        <v>0.35</v>
      </c>
      <c r="J923" s="472" t="s">
        <v>423</v>
      </c>
      <c r="K923" s="472" t="s">
        <v>534</v>
      </c>
      <c r="L923" s="473" t="s">
        <v>530</v>
      </c>
      <c r="M923" s="473" t="s">
        <v>3364</v>
      </c>
      <c r="N923" s="473" t="s">
        <v>1718</v>
      </c>
      <c r="O923" s="474" t="s">
        <v>3392</v>
      </c>
    </row>
    <row r="924" spans="1:15" s="475" customFormat="1" ht="12" hidden="1">
      <c r="A924" s="465">
        <v>10131000007476</v>
      </c>
      <c r="B924" s="476" t="s">
        <v>3391</v>
      </c>
      <c r="C924" s="476" t="s">
        <v>3393</v>
      </c>
      <c r="D924" s="467" t="s">
        <v>2552</v>
      </c>
      <c r="E924" s="472" t="s">
        <v>2491</v>
      </c>
      <c r="F924" s="477">
        <v>0.62</v>
      </c>
      <c r="G924" s="469" t="s">
        <v>2472</v>
      </c>
      <c r="H924" s="487">
        <v>0.48</v>
      </c>
      <c r="I924" s="471">
        <v>0.48</v>
      </c>
      <c r="J924" s="488" t="s">
        <v>2492</v>
      </c>
      <c r="K924" s="472" t="s">
        <v>666</v>
      </c>
      <c r="L924" s="473" t="s">
        <v>530</v>
      </c>
      <c r="M924" s="473" t="s">
        <v>3364</v>
      </c>
      <c r="N924" s="473" t="s">
        <v>1718</v>
      </c>
      <c r="O924" s="474" t="s">
        <v>3392</v>
      </c>
    </row>
    <row r="925" spans="1:15" s="475" customFormat="1" ht="12" hidden="1">
      <c r="A925" s="465">
        <v>10131000007818</v>
      </c>
      <c r="B925" s="476" t="s">
        <v>3391</v>
      </c>
      <c r="C925" s="476" t="s">
        <v>3391</v>
      </c>
      <c r="D925" s="467" t="s">
        <v>2552</v>
      </c>
      <c r="E925" s="472" t="s">
        <v>2541</v>
      </c>
      <c r="F925" s="477" t="s">
        <v>2472</v>
      </c>
      <c r="G925" s="469" t="s">
        <v>2472</v>
      </c>
      <c r="H925" s="470">
        <v>1E-8</v>
      </c>
      <c r="I925" s="471">
        <v>1.5324781650000001E-8</v>
      </c>
      <c r="J925" s="485" t="s">
        <v>421</v>
      </c>
      <c r="K925" s="472" t="s">
        <v>651</v>
      </c>
      <c r="L925" s="473" t="s">
        <v>530</v>
      </c>
      <c r="M925" s="473" t="s">
        <v>3364</v>
      </c>
      <c r="N925" s="473" t="s">
        <v>1718</v>
      </c>
      <c r="O925" s="474" t="s">
        <v>3392</v>
      </c>
    </row>
    <row r="926" spans="1:15" s="475" customFormat="1" ht="12" hidden="1">
      <c r="A926" s="465">
        <v>10131000058051</v>
      </c>
      <c r="B926" s="476" t="s">
        <v>3391</v>
      </c>
      <c r="C926" s="476" t="s">
        <v>3391</v>
      </c>
      <c r="D926" s="467" t="s">
        <v>2552</v>
      </c>
      <c r="E926" s="472" t="s">
        <v>2491</v>
      </c>
      <c r="F926" s="477" t="s">
        <v>2472</v>
      </c>
      <c r="G926" s="469" t="s">
        <v>2472</v>
      </c>
      <c r="H926" s="470">
        <v>0.41125</v>
      </c>
      <c r="I926" s="471">
        <v>0.41125</v>
      </c>
      <c r="J926" s="485" t="s">
        <v>421</v>
      </c>
      <c r="K926" s="472" t="s">
        <v>651</v>
      </c>
      <c r="L926" s="473" t="s">
        <v>530</v>
      </c>
      <c r="M926" s="473" t="s">
        <v>3364</v>
      </c>
      <c r="N926" s="473" t="s">
        <v>1718</v>
      </c>
      <c r="O926" s="474" t="s">
        <v>3392</v>
      </c>
    </row>
    <row r="927" spans="1:15" s="475" customFormat="1" ht="12" hidden="1">
      <c r="A927" s="465">
        <v>10131000058052</v>
      </c>
      <c r="B927" s="476" t="s">
        <v>3391</v>
      </c>
      <c r="C927" s="476" t="s">
        <v>3391</v>
      </c>
      <c r="D927" s="467" t="s">
        <v>2552</v>
      </c>
      <c r="E927" s="472" t="s">
        <v>2541</v>
      </c>
      <c r="F927" s="477" t="s">
        <v>2472</v>
      </c>
      <c r="G927" s="469" t="s">
        <v>2472</v>
      </c>
      <c r="H927" s="470">
        <v>0.26835618900000002</v>
      </c>
      <c r="I927" s="471">
        <v>0.4112500000851132</v>
      </c>
      <c r="J927" s="485" t="s">
        <v>421</v>
      </c>
      <c r="K927" s="472" t="s">
        <v>651</v>
      </c>
      <c r="L927" s="473" t="s">
        <v>530</v>
      </c>
      <c r="M927" s="473" t="s">
        <v>3364</v>
      </c>
      <c r="N927" s="473" t="s">
        <v>1718</v>
      </c>
      <c r="O927" s="474" t="s">
        <v>3392</v>
      </c>
    </row>
    <row r="928" spans="1:15" s="475" customFormat="1" ht="12" hidden="1">
      <c r="A928" s="465">
        <v>10131000008835</v>
      </c>
      <c r="B928" s="489" t="s">
        <v>3394</v>
      </c>
      <c r="C928" s="489" t="s">
        <v>3395</v>
      </c>
      <c r="D928" s="467" t="s">
        <v>3396</v>
      </c>
      <c r="E928" s="478" t="s">
        <v>2514</v>
      </c>
      <c r="F928" s="477">
        <v>0</v>
      </c>
      <c r="G928" s="469" t="s">
        <v>2472</v>
      </c>
      <c r="H928" s="481">
        <v>0.35</v>
      </c>
      <c r="I928" s="496">
        <v>3.5999999999999999E-3</v>
      </c>
      <c r="J928" s="483" t="s">
        <v>2515</v>
      </c>
      <c r="K928" s="483" t="s">
        <v>2515</v>
      </c>
      <c r="L928" s="473" t="s">
        <v>530</v>
      </c>
      <c r="M928" s="473" t="s">
        <v>3364</v>
      </c>
      <c r="N928" s="473" t="s">
        <v>1718</v>
      </c>
      <c r="O928" s="474" t="s">
        <v>3397</v>
      </c>
    </row>
    <row r="929" spans="1:15" s="475" customFormat="1" ht="12" hidden="1">
      <c r="A929" s="465">
        <v>10131000052447</v>
      </c>
      <c r="B929" s="489" t="s">
        <v>3394</v>
      </c>
      <c r="C929" s="489" t="s">
        <v>3398</v>
      </c>
      <c r="D929" s="467" t="s">
        <v>3396</v>
      </c>
      <c r="E929" s="478" t="s">
        <v>2514</v>
      </c>
      <c r="F929" s="477">
        <v>0</v>
      </c>
      <c r="G929" s="469" t="s">
        <v>2472</v>
      </c>
      <c r="H929" s="481">
        <v>0.35</v>
      </c>
      <c r="I929" s="496">
        <v>3.5999999999999999E-3</v>
      </c>
      <c r="J929" s="483" t="s">
        <v>2515</v>
      </c>
      <c r="K929" s="483" t="s">
        <v>2515</v>
      </c>
      <c r="L929" s="473" t="s">
        <v>530</v>
      </c>
      <c r="M929" s="473" t="s">
        <v>3364</v>
      </c>
      <c r="N929" s="473" t="s">
        <v>1718</v>
      </c>
      <c r="O929" s="474" t="s">
        <v>3397</v>
      </c>
    </row>
    <row r="930" spans="1:15" s="475" customFormat="1" ht="12" hidden="1">
      <c r="A930" s="465">
        <v>10131000015836</v>
      </c>
      <c r="B930" s="466" t="s">
        <v>3394</v>
      </c>
      <c r="C930" s="466" t="s">
        <v>3394</v>
      </c>
      <c r="D930" s="467" t="s">
        <v>2552</v>
      </c>
      <c r="E930" s="468" t="s">
        <v>2491</v>
      </c>
      <c r="F930" s="477">
        <v>1.485E-2</v>
      </c>
      <c r="G930" s="469" t="s">
        <v>2472</v>
      </c>
      <c r="H930" s="470">
        <v>1.2999999999999999E-2</v>
      </c>
      <c r="I930" s="471">
        <v>1.2999999999999999E-2</v>
      </c>
      <c r="J930" s="472" t="s">
        <v>423</v>
      </c>
      <c r="K930" s="472" t="s">
        <v>534</v>
      </c>
      <c r="L930" s="473" t="s">
        <v>530</v>
      </c>
      <c r="M930" s="473" t="s">
        <v>3364</v>
      </c>
      <c r="N930" s="473" t="s">
        <v>1718</v>
      </c>
      <c r="O930" s="474" t="s">
        <v>3397</v>
      </c>
    </row>
    <row r="931" spans="1:15" s="475" customFormat="1" ht="12" hidden="1">
      <c r="A931" s="465">
        <v>10131000015986</v>
      </c>
      <c r="B931" s="466" t="s">
        <v>3394</v>
      </c>
      <c r="C931" s="466" t="s">
        <v>3399</v>
      </c>
      <c r="D931" s="467" t="s">
        <v>2552</v>
      </c>
      <c r="E931" s="468" t="s">
        <v>2619</v>
      </c>
      <c r="F931" s="477">
        <v>1.6377171195000002E-2</v>
      </c>
      <c r="G931" s="469" t="s">
        <v>2472</v>
      </c>
      <c r="H931" s="470">
        <v>1.2999999999999999E-2</v>
      </c>
      <c r="I931" s="471">
        <v>1.2999999999999999E-2</v>
      </c>
      <c r="J931" s="472" t="s">
        <v>423</v>
      </c>
      <c r="K931" s="472" t="s">
        <v>2620</v>
      </c>
      <c r="L931" s="473" t="s">
        <v>530</v>
      </c>
      <c r="M931" s="473" t="s">
        <v>3364</v>
      </c>
      <c r="N931" s="473" t="s">
        <v>1718</v>
      </c>
      <c r="O931" s="474" t="s">
        <v>3397</v>
      </c>
    </row>
    <row r="932" spans="1:15" s="475" customFormat="1" ht="12" hidden="1">
      <c r="A932" s="465">
        <v>10131000015985</v>
      </c>
      <c r="B932" s="466" t="s">
        <v>3394</v>
      </c>
      <c r="C932" s="466" t="s">
        <v>3399</v>
      </c>
      <c r="D932" s="467" t="s">
        <v>2552</v>
      </c>
      <c r="E932" s="468" t="s">
        <v>2491</v>
      </c>
      <c r="F932" s="477">
        <v>1.6500000000000001E-2</v>
      </c>
      <c r="G932" s="469" t="s">
        <v>2472</v>
      </c>
      <c r="H932" s="470">
        <v>1.2999999999999999E-2</v>
      </c>
      <c r="I932" s="471">
        <v>1.2999999999999999E-2</v>
      </c>
      <c r="J932" s="472" t="s">
        <v>423</v>
      </c>
      <c r="K932" s="472" t="s">
        <v>2620</v>
      </c>
      <c r="L932" s="473" t="s">
        <v>530</v>
      </c>
      <c r="M932" s="473" t="s">
        <v>3364</v>
      </c>
      <c r="N932" s="473" t="s">
        <v>1718</v>
      </c>
      <c r="O932" s="474" t="s">
        <v>3397</v>
      </c>
    </row>
    <row r="933" spans="1:15" s="475" customFormat="1" ht="12" hidden="1">
      <c r="A933" s="465">
        <v>10131000056473</v>
      </c>
      <c r="B933" s="476" t="s">
        <v>3394</v>
      </c>
      <c r="C933" s="476" t="s">
        <v>3394</v>
      </c>
      <c r="D933" s="467" t="s">
        <v>2552</v>
      </c>
      <c r="E933" s="472" t="s">
        <v>2491</v>
      </c>
      <c r="F933" s="477">
        <v>0.04</v>
      </c>
      <c r="G933" s="469" t="s">
        <v>2472</v>
      </c>
      <c r="H933" s="487">
        <v>0.03</v>
      </c>
      <c r="I933" s="471">
        <v>0.03</v>
      </c>
      <c r="J933" s="488" t="s">
        <v>2492</v>
      </c>
      <c r="K933" s="472" t="s">
        <v>2522</v>
      </c>
      <c r="L933" s="473" t="s">
        <v>530</v>
      </c>
      <c r="M933" s="473" t="s">
        <v>3364</v>
      </c>
      <c r="N933" s="473" t="s">
        <v>1718</v>
      </c>
      <c r="O933" s="474" t="s">
        <v>3397</v>
      </c>
    </row>
    <row r="934" spans="1:15" s="475" customFormat="1" ht="12" hidden="1">
      <c r="A934" s="465">
        <v>10131000034639</v>
      </c>
      <c r="B934" s="476" t="s">
        <v>3394</v>
      </c>
      <c r="C934" s="476" t="s">
        <v>3394</v>
      </c>
      <c r="D934" s="467" t="s">
        <v>2552</v>
      </c>
      <c r="E934" s="472" t="s">
        <v>2491</v>
      </c>
      <c r="F934" s="477">
        <v>6.8114999999999997</v>
      </c>
      <c r="G934" s="469" t="s">
        <v>2472</v>
      </c>
      <c r="H934" s="470">
        <v>7.89</v>
      </c>
      <c r="I934" s="471">
        <v>7.89</v>
      </c>
      <c r="J934" s="485" t="s">
        <v>421</v>
      </c>
      <c r="K934" s="472" t="s">
        <v>651</v>
      </c>
      <c r="L934" s="473" t="s">
        <v>530</v>
      </c>
      <c r="M934" s="473" t="s">
        <v>3364</v>
      </c>
      <c r="N934" s="473" t="s">
        <v>1718</v>
      </c>
      <c r="O934" s="474" t="s">
        <v>3397</v>
      </c>
    </row>
    <row r="935" spans="1:15" s="475" customFormat="1" ht="12" hidden="1">
      <c r="A935" s="465">
        <v>10131000034636</v>
      </c>
      <c r="B935" s="476" t="s">
        <v>3394</v>
      </c>
      <c r="C935" s="476" t="s">
        <v>3394</v>
      </c>
      <c r="D935" s="467" t="s">
        <v>2552</v>
      </c>
      <c r="E935" s="472" t="s">
        <v>2541</v>
      </c>
      <c r="F935" s="477">
        <v>6.8162538000000001</v>
      </c>
      <c r="G935" s="469" t="s">
        <v>2472</v>
      </c>
      <c r="H935" s="470">
        <v>5.15</v>
      </c>
      <c r="I935" s="471">
        <v>7.8922625497499999</v>
      </c>
      <c r="J935" s="485" t="s">
        <v>421</v>
      </c>
      <c r="K935" s="472" t="s">
        <v>651</v>
      </c>
      <c r="L935" s="473" t="s">
        <v>530</v>
      </c>
      <c r="M935" s="473" t="s">
        <v>3364</v>
      </c>
      <c r="N935" s="473" t="s">
        <v>1718</v>
      </c>
      <c r="O935" s="474" t="s">
        <v>3397</v>
      </c>
    </row>
    <row r="936" spans="1:15" s="475" customFormat="1" ht="12" hidden="1">
      <c r="A936" s="465">
        <v>10131000034638</v>
      </c>
      <c r="B936" s="476" t="s">
        <v>3394</v>
      </c>
      <c r="C936" s="476" t="s">
        <v>3394</v>
      </c>
      <c r="D936" s="467" t="s">
        <v>2552</v>
      </c>
      <c r="E936" s="472" t="s">
        <v>2541</v>
      </c>
      <c r="F936" s="477">
        <v>6.8162538000000001</v>
      </c>
      <c r="G936" s="469" t="s">
        <v>2472</v>
      </c>
      <c r="H936" s="470">
        <v>5.15</v>
      </c>
      <c r="I936" s="471">
        <v>7.8922625497499999</v>
      </c>
      <c r="J936" s="485" t="s">
        <v>421</v>
      </c>
      <c r="K936" s="472" t="s">
        <v>651</v>
      </c>
      <c r="L936" s="473" t="s">
        <v>530</v>
      </c>
      <c r="M936" s="473" t="s">
        <v>3364</v>
      </c>
      <c r="N936" s="473" t="s">
        <v>1718</v>
      </c>
      <c r="O936" s="474" t="s">
        <v>3397</v>
      </c>
    </row>
    <row r="937" spans="1:15" s="475" customFormat="1" ht="12" hidden="1">
      <c r="A937" s="465">
        <v>1000099036</v>
      </c>
      <c r="B937" s="466" t="s">
        <v>3394</v>
      </c>
      <c r="C937" s="466" t="s">
        <v>3394</v>
      </c>
      <c r="D937" s="467" t="s">
        <v>2552</v>
      </c>
      <c r="E937" s="468" t="s">
        <v>2471</v>
      </c>
      <c r="F937" s="477" t="s">
        <v>2472</v>
      </c>
      <c r="G937" s="469" t="s">
        <v>2472</v>
      </c>
      <c r="H937" s="470">
        <v>0.39</v>
      </c>
      <c r="I937" s="471">
        <v>3.0115830115830119E-2</v>
      </c>
      <c r="J937" s="472" t="s">
        <v>422</v>
      </c>
      <c r="K937" s="472" t="s">
        <v>2473</v>
      </c>
      <c r="L937" s="473" t="s">
        <v>530</v>
      </c>
      <c r="M937" s="473" t="s">
        <v>3364</v>
      </c>
      <c r="N937" s="473" t="s">
        <v>1718</v>
      </c>
      <c r="O937" s="474" t="s">
        <v>3397</v>
      </c>
    </row>
    <row r="938" spans="1:15" s="475" customFormat="1" ht="12" hidden="1">
      <c r="A938" s="465">
        <v>10131000025319</v>
      </c>
      <c r="B938" s="476" t="s">
        <v>3400</v>
      </c>
      <c r="C938" s="476" t="s">
        <v>3401</v>
      </c>
      <c r="D938" s="467" t="s">
        <v>2552</v>
      </c>
      <c r="E938" s="472" t="s">
        <v>2833</v>
      </c>
      <c r="F938" s="477">
        <v>0.12266518000000001</v>
      </c>
      <c r="G938" s="469" t="s">
        <v>2472</v>
      </c>
      <c r="H938" s="470">
        <v>0.62060183999999996</v>
      </c>
      <c r="I938" s="471">
        <v>5.9988885537048599E-2</v>
      </c>
      <c r="J938" s="485" t="s">
        <v>421</v>
      </c>
      <c r="K938" s="472" t="s">
        <v>631</v>
      </c>
      <c r="L938" s="473" t="s">
        <v>530</v>
      </c>
      <c r="M938" s="473" t="s">
        <v>3364</v>
      </c>
      <c r="N938" s="473" t="s">
        <v>1718</v>
      </c>
      <c r="O938" s="474" t="s">
        <v>3402</v>
      </c>
    </row>
    <row r="939" spans="1:15" s="475" customFormat="1" ht="12" hidden="1">
      <c r="A939" s="465">
        <v>10131000025314</v>
      </c>
      <c r="B939" s="476" t="s">
        <v>3400</v>
      </c>
      <c r="C939" s="476" t="s">
        <v>3403</v>
      </c>
      <c r="D939" s="467" t="s">
        <v>2552</v>
      </c>
      <c r="E939" s="472" t="s">
        <v>2718</v>
      </c>
      <c r="F939" s="477">
        <v>0.42871906400000004</v>
      </c>
      <c r="G939" s="469" t="s">
        <v>2472</v>
      </c>
      <c r="H939" s="470">
        <v>10.638158049999999</v>
      </c>
      <c r="I939" s="471">
        <v>0.3100586818443633</v>
      </c>
      <c r="J939" s="485" t="s">
        <v>421</v>
      </c>
      <c r="K939" s="472" t="s">
        <v>625</v>
      </c>
      <c r="L939" s="473" t="s">
        <v>530</v>
      </c>
      <c r="M939" s="473" t="s">
        <v>3364</v>
      </c>
      <c r="N939" s="473" t="s">
        <v>1718</v>
      </c>
      <c r="O939" s="474" t="s">
        <v>3402</v>
      </c>
    </row>
    <row r="940" spans="1:15" s="475" customFormat="1" ht="12" hidden="1">
      <c r="A940" s="465">
        <v>10131000056654</v>
      </c>
      <c r="B940" s="476" t="s">
        <v>3400</v>
      </c>
      <c r="C940" s="476" t="s">
        <v>3400</v>
      </c>
      <c r="D940" s="467" t="s">
        <v>2552</v>
      </c>
      <c r="E940" s="472" t="s">
        <v>2491</v>
      </c>
      <c r="F940" s="477">
        <v>0.49</v>
      </c>
      <c r="G940" s="469" t="s">
        <v>2472</v>
      </c>
      <c r="H940" s="487">
        <v>0.16</v>
      </c>
      <c r="I940" s="471">
        <v>0.16</v>
      </c>
      <c r="J940" s="488" t="s">
        <v>2492</v>
      </c>
      <c r="K940" s="472" t="s">
        <v>2522</v>
      </c>
      <c r="L940" s="473" t="s">
        <v>530</v>
      </c>
      <c r="M940" s="473" t="s">
        <v>3364</v>
      </c>
      <c r="N940" s="473" t="s">
        <v>1718</v>
      </c>
      <c r="O940" s="474" t="s">
        <v>3402</v>
      </c>
    </row>
    <row r="941" spans="1:15" s="475" customFormat="1" ht="12">
      <c r="A941" s="465">
        <v>10131000015851</v>
      </c>
      <c r="B941" s="466" t="s">
        <v>3400</v>
      </c>
      <c r="C941" s="466" t="s">
        <v>3400</v>
      </c>
      <c r="D941" s="467" t="s">
        <v>2552</v>
      </c>
      <c r="E941" s="468" t="s">
        <v>2491</v>
      </c>
      <c r="F941" s="511">
        <v>0.55000000000000004</v>
      </c>
      <c r="G941" s="469" t="s">
        <v>2472</v>
      </c>
      <c r="H941" s="470">
        <v>0.45</v>
      </c>
      <c r="I941" s="510">
        <v>0.45</v>
      </c>
      <c r="J941" s="472" t="s">
        <v>423</v>
      </c>
      <c r="K941" s="472" t="s">
        <v>534</v>
      </c>
      <c r="L941" s="473" t="s">
        <v>530</v>
      </c>
      <c r="M941" s="473" t="s">
        <v>3364</v>
      </c>
      <c r="N941" s="473" t="s">
        <v>1718</v>
      </c>
      <c r="O941" s="474" t="s">
        <v>3402</v>
      </c>
    </row>
    <row r="942" spans="1:15" s="475" customFormat="1" ht="12" hidden="1">
      <c r="A942" s="465">
        <v>10131000025328</v>
      </c>
      <c r="B942" s="476" t="s">
        <v>3400</v>
      </c>
      <c r="C942" s="476" t="s">
        <v>3400</v>
      </c>
      <c r="D942" s="467" t="s">
        <v>2552</v>
      </c>
      <c r="E942" s="472" t="s">
        <v>2541</v>
      </c>
      <c r="F942" s="477">
        <v>0.90271199999999996</v>
      </c>
      <c r="G942" s="469" t="s">
        <v>2472</v>
      </c>
      <c r="H942" s="470">
        <v>0.68</v>
      </c>
      <c r="I942" s="471">
        <v>1.0420851522000001</v>
      </c>
      <c r="J942" s="485" t="s">
        <v>421</v>
      </c>
      <c r="K942" s="472" t="s">
        <v>651</v>
      </c>
      <c r="L942" s="473" t="s">
        <v>530</v>
      </c>
      <c r="M942" s="473" t="s">
        <v>3364</v>
      </c>
      <c r="N942" s="473" t="s">
        <v>1718</v>
      </c>
      <c r="O942" s="474" t="s">
        <v>3402</v>
      </c>
    </row>
    <row r="943" spans="1:15" s="475" customFormat="1" ht="12" hidden="1">
      <c r="A943" s="465">
        <v>10131000025330</v>
      </c>
      <c r="B943" s="476" t="s">
        <v>3400</v>
      </c>
      <c r="C943" s="476" t="s">
        <v>3400</v>
      </c>
      <c r="D943" s="467" t="s">
        <v>2552</v>
      </c>
      <c r="E943" s="472" t="s">
        <v>2541</v>
      </c>
      <c r="F943" s="477">
        <v>0.90271199999999996</v>
      </c>
      <c r="G943" s="469" t="s">
        <v>2472</v>
      </c>
      <c r="H943" s="470">
        <v>0.68</v>
      </c>
      <c r="I943" s="471">
        <v>1.0420851522000001</v>
      </c>
      <c r="J943" s="485" t="s">
        <v>421</v>
      </c>
      <c r="K943" s="472" t="s">
        <v>651</v>
      </c>
      <c r="L943" s="473" t="s">
        <v>530</v>
      </c>
      <c r="M943" s="473" t="s">
        <v>3364</v>
      </c>
      <c r="N943" s="473" t="s">
        <v>1718</v>
      </c>
      <c r="O943" s="474" t="s">
        <v>3402</v>
      </c>
    </row>
    <row r="944" spans="1:15" s="475" customFormat="1" ht="12" hidden="1">
      <c r="A944" s="465">
        <v>10131000034170</v>
      </c>
      <c r="B944" s="476" t="s">
        <v>3400</v>
      </c>
      <c r="C944" s="476" t="s">
        <v>3400</v>
      </c>
      <c r="D944" s="467" t="s">
        <v>2552</v>
      </c>
      <c r="E944" s="472" t="s">
        <v>2541</v>
      </c>
      <c r="F944" s="477">
        <v>0.90271199999999996</v>
      </c>
      <c r="G944" s="469" t="s">
        <v>2472</v>
      </c>
      <c r="H944" s="470">
        <v>0.68</v>
      </c>
      <c r="I944" s="471">
        <v>1.0420851522000001</v>
      </c>
      <c r="J944" s="485" t="s">
        <v>421</v>
      </c>
      <c r="K944" s="472" t="s">
        <v>651</v>
      </c>
      <c r="L944" s="473" t="s">
        <v>530</v>
      </c>
      <c r="M944" s="473" t="s">
        <v>3364</v>
      </c>
      <c r="N944" s="473" t="s">
        <v>1718</v>
      </c>
      <c r="O944" s="474" t="s">
        <v>3402</v>
      </c>
    </row>
    <row r="945" spans="1:15" s="475" customFormat="1" ht="12" hidden="1">
      <c r="A945" s="465">
        <v>10131000034172</v>
      </c>
      <c r="B945" s="476" t="s">
        <v>3400</v>
      </c>
      <c r="C945" s="476" t="s">
        <v>3400</v>
      </c>
      <c r="D945" s="467" t="s">
        <v>2552</v>
      </c>
      <c r="E945" s="472" t="s">
        <v>2541</v>
      </c>
      <c r="F945" s="477">
        <v>0.90271199999999996</v>
      </c>
      <c r="G945" s="469" t="s">
        <v>2472</v>
      </c>
      <c r="H945" s="470">
        <v>0.68</v>
      </c>
      <c r="I945" s="471">
        <v>1.0420851522000001</v>
      </c>
      <c r="J945" s="485" t="s">
        <v>421</v>
      </c>
      <c r="K945" s="472" t="s">
        <v>651</v>
      </c>
      <c r="L945" s="473" t="s">
        <v>530</v>
      </c>
      <c r="M945" s="473" t="s">
        <v>3364</v>
      </c>
      <c r="N945" s="473" t="s">
        <v>1718</v>
      </c>
      <c r="O945" s="474" t="s">
        <v>3402</v>
      </c>
    </row>
    <row r="946" spans="1:15" s="475" customFormat="1" ht="12" hidden="1">
      <c r="A946" s="465">
        <v>10131000025331</v>
      </c>
      <c r="B946" s="476" t="s">
        <v>3400</v>
      </c>
      <c r="C946" s="476" t="s">
        <v>3400</v>
      </c>
      <c r="D946" s="467" t="s">
        <v>2552</v>
      </c>
      <c r="E946" s="472" t="s">
        <v>2491</v>
      </c>
      <c r="F946" s="477">
        <v>0.91</v>
      </c>
      <c r="G946" s="469" t="s">
        <v>2472</v>
      </c>
      <c r="H946" s="470">
        <v>1.04</v>
      </c>
      <c r="I946" s="471">
        <v>1.04</v>
      </c>
      <c r="J946" s="485" t="s">
        <v>421</v>
      </c>
      <c r="K946" s="472" t="s">
        <v>651</v>
      </c>
      <c r="L946" s="473" t="s">
        <v>530</v>
      </c>
      <c r="M946" s="473" t="s">
        <v>3364</v>
      </c>
      <c r="N946" s="473" t="s">
        <v>1718</v>
      </c>
      <c r="O946" s="474" t="s">
        <v>3402</v>
      </c>
    </row>
    <row r="947" spans="1:15" s="475" customFormat="1" ht="12" hidden="1">
      <c r="A947" s="465">
        <v>10131000034173</v>
      </c>
      <c r="B947" s="476" t="s">
        <v>3400</v>
      </c>
      <c r="C947" s="476" t="s">
        <v>3400</v>
      </c>
      <c r="D947" s="467" t="s">
        <v>2552</v>
      </c>
      <c r="E947" s="472" t="s">
        <v>2491</v>
      </c>
      <c r="F947" s="477">
        <v>0.91</v>
      </c>
      <c r="G947" s="469" t="s">
        <v>2472</v>
      </c>
      <c r="H947" s="470">
        <v>1.04</v>
      </c>
      <c r="I947" s="471">
        <v>1.04</v>
      </c>
      <c r="J947" s="485" t="s">
        <v>421</v>
      </c>
      <c r="K947" s="472" t="s">
        <v>651</v>
      </c>
      <c r="L947" s="473" t="s">
        <v>530</v>
      </c>
      <c r="M947" s="473" t="s">
        <v>3364</v>
      </c>
      <c r="N947" s="473" t="s">
        <v>1718</v>
      </c>
      <c r="O947" s="474" t="s">
        <v>3402</v>
      </c>
    </row>
    <row r="948" spans="1:15" s="475" customFormat="1" ht="12" hidden="1">
      <c r="A948" s="465">
        <v>10131000025311</v>
      </c>
      <c r="B948" s="476" t="s">
        <v>3400</v>
      </c>
      <c r="C948" s="476" t="s">
        <v>3404</v>
      </c>
      <c r="D948" s="467" t="s">
        <v>2552</v>
      </c>
      <c r="E948" s="472" t="s">
        <v>2519</v>
      </c>
      <c r="F948" s="477">
        <v>0.96466062419999998</v>
      </c>
      <c r="G948" s="469" t="s">
        <v>2472</v>
      </c>
      <c r="H948" s="470">
        <v>7.1829491089999999</v>
      </c>
      <c r="I948" s="471">
        <v>2.2157024036584478</v>
      </c>
      <c r="J948" s="485" t="s">
        <v>421</v>
      </c>
      <c r="K948" s="472" t="s">
        <v>621</v>
      </c>
      <c r="L948" s="473" t="s">
        <v>530</v>
      </c>
      <c r="M948" s="473" t="s">
        <v>3364</v>
      </c>
      <c r="N948" s="473" t="s">
        <v>1718</v>
      </c>
      <c r="O948" s="474" t="s">
        <v>3402</v>
      </c>
    </row>
    <row r="949" spans="1:15" s="475" customFormat="1" ht="12" hidden="1">
      <c r="A949" s="465">
        <v>10131000025298</v>
      </c>
      <c r="B949" s="476" t="s">
        <v>3400</v>
      </c>
      <c r="C949" s="476" t="s">
        <v>3405</v>
      </c>
      <c r="D949" s="467" t="s">
        <v>2552</v>
      </c>
      <c r="E949" s="472" t="s">
        <v>2801</v>
      </c>
      <c r="F949" s="477">
        <v>1.3743474936000002</v>
      </c>
      <c r="G949" s="469" t="s">
        <v>2472</v>
      </c>
      <c r="H949" s="470">
        <v>16.49016606</v>
      </c>
      <c r="I949" s="471">
        <v>0.84559232700460474</v>
      </c>
      <c r="J949" s="485" t="s">
        <v>421</v>
      </c>
      <c r="K949" s="472" t="s">
        <v>587</v>
      </c>
      <c r="L949" s="473" t="s">
        <v>530</v>
      </c>
      <c r="M949" s="473" t="s">
        <v>3364</v>
      </c>
      <c r="N949" s="473" t="s">
        <v>1718</v>
      </c>
      <c r="O949" s="474" t="s">
        <v>3402</v>
      </c>
    </row>
    <row r="950" spans="1:15" s="475" customFormat="1" ht="12" hidden="1">
      <c r="A950" s="465">
        <v>10131000034644</v>
      </c>
      <c r="B950" s="489" t="s">
        <v>3400</v>
      </c>
      <c r="C950" s="489" t="s">
        <v>3406</v>
      </c>
      <c r="D950" s="467" t="s">
        <v>2552</v>
      </c>
      <c r="E950" s="478" t="s">
        <v>2514</v>
      </c>
      <c r="F950" s="477">
        <v>1.7286266399999999</v>
      </c>
      <c r="G950" s="469" t="s">
        <v>2472</v>
      </c>
      <c r="H950" s="481">
        <v>203</v>
      </c>
      <c r="I950" s="482">
        <v>2.0699999999999998</v>
      </c>
      <c r="J950" s="483" t="s">
        <v>2515</v>
      </c>
      <c r="K950" s="483" t="s">
        <v>2515</v>
      </c>
      <c r="L950" s="473" t="s">
        <v>530</v>
      </c>
      <c r="M950" s="473" t="s">
        <v>3364</v>
      </c>
      <c r="N950" s="473" t="s">
        <v>1718</v>
      </c>
      <c r="O950" s="474" t="s">
        <v>3402</v>
      </c>
    </row>
    <row r="951" spans="1:15" s="475" customFormat="1" ht="12" hidden="1">
      <c r="A951" s="465">
        <v>10131000052466</v>
      </c>
      <c r="B951" s="489" t="s">
        <v>3400</v>
      </c>
      <c r="C951" s="489" t="s">
        <v>3407</v>
      </c>
      <c r="D951" s="467" t="s">
        <v>2552</v>
      </c>
      <c r="E951" s="478" t="s">
        <v>2514</v>
      </c>
      <c r="F951" s="477">
        <v>1.7286266399999999</v>
      </c>
      <c r="G951" s="469" t="s">
        <v>2472</v>
      </c>
      <c r="H951" s="481">
        <v>203</v>
      </c>
      <c r="I951" s="482">
        <v>2.0699999999999998</v>
      </c>
      <c r="J951" s="483" t="s">
        <v>2515</v>
      </c>
      <c r="K951" s="483" t="s">
        <v>2515</v>
      </c>
      <c r="L951" s="473" t="s">
        <v>530</v>
      </c>
      <c r="M951" s="473" t="s">
        <v>3364</v>
      </c>
      <c r="N951" s="473" t="s">
        <v>1718</v>
      </c>
      <c r="O951" s="474" t="s">
        <v>3402</v>
      </c>
    </row>
    <row r="952" spans="1:15" s="475" customFormat="1" ht="12" hidden="1">
      <c r="A952" s="465">
        <v>10131000058317</v>
      </c>
      <c r="B952" s="476" t="s">
        <v>3400</v>
      </c>
      <c r="C952" s="476" t="s">
        <v>3404</v>
      </c>
      <c r="D952" s="467" t="s">
        <v>2552</v>
      </c>
      <c r="E952" s="472" t="s">
        <v>2519</v>
      </c>
      <c r="F952" s="477" t="s">
        <v>2472</v>
      </c>
      <c r="G952" s="469" t="s">
        <v>2472</v>
      </c>
      <c r="H952" s="470">
        <v>37.444164950000001</v>
      </c>
      <c r="I952" s="471">
        <v>11.550287357423404</v>
      </c>
      <c r="J952" s="485" t="s">
        <v>421</v>
      </c>
      <c r="K952" s="472" t="s">
        <v>621</v>
      </c>
      <c r="L952" s="473" t="s">
        <v>530</v>
      </c>
      <c r="M952" s="473" t="s">
        <v>3364</v>
      </c>
      <c r="N952" s="473" t="s">
        <v>1718</v>
      </c>
      <c r="O952" s="474" t="s">
        <v>3402</v>
      </c>
    </row>
    <row r="953" spans="1:15" s="475" customFormat="1" ht="12" hidden="1">
      <c r="A953" s="465">
        <v>10131000016170</v>
      </c>
      <c r="B953" s="466" t="s">
        <v>3408</v>
      </c>
      <c r="C953" s="466" t="s">
        <v>3409</v>
      </c>
      <c r="D953" s="467" t="s">
        <v>2552</v>
      </c>
      <c r="E953" s="468" t="s">
        <v>2619</v>
      </c>
      <c r="F953" s="477">
        <v>0.34739454050000002</v>
      </c>
      <c r="G953" s="469" t="s">
        <v>2472</v>
      </c>
      <c r="H953" s="470">
        <v>0.35</v>
      </c>
      <c r="I953" s="471">
        <v>0.35</v>
      </c>
      <c r="J953" s="472" t="s">
        <v>423</v>
      </c>
      <c r="K953" s="472" t="s">
        <v>2620</v>
      </c>
      <c r="L953" s="473" t="s">
        <v>530</v>
      </c>
      <c r="M953" s="473" t="s">
        <v>3364</v>
      </c>
      <c r="N953" s="473" t="s">
        <v>1718</v>
      </c>
      <c r="O953" s="474" t="s">
        <v>3410</v>
      </c>
    </row>
    <row r="954" spans="1:15" s="475" customFormat="1" ht="12" hidden="1">
      <c r="A954" s="465">
        <v>10131000016169</v>
      </c>
      <c r="B954" s="466" t="s">
        <v>3408</v>
      </c>
      <c r="C954" s="466" t="s">
        <v>3409</v>
      </c>
      <c r="D954" s="467" t="s">
        <v>2552</v>
      </c>
      <c r="E954" s="468" t="s">
        <v>2491</v>
      </c>
      <c r="F954" s="477">
        <v>0.35</v>
      </c>
      <c r="G954" s="469" t="s">
        <v>2472</v>
      </c>
      <c r="H954" s="470">
        <v>0.35</v>
      </c>
      <c r="I954" s="471">
        <v>0.35</v>
      </c>
      <c r="J954" s="472" t="s">
        <v>423</v>
      </c>
      <c r="K954" s="472" t="s">
        <v>2620</v>
      </c>
      <c r="L954" s="473" t="s">
        <v>530</v>
      </c>
      <c r="M954" s="473" t="s">
        <v>3364</v>
      </c>
      <c r="N954" s="473" t="s">
        <v>1718</v>
      </c>
      <c r="O954" s="474" t="s">
        <v>3410</v>
      </c>
    </row>
    <row r="955" spans="1:15" s="475" customFormat="1" ht="12" hidden="1">
      <c r="A955" s="465">
        <v>10131000015847</v>
      </c>
      <c r="B955" s="466" t="s">
        <v>3408</v>
      </c>
      <c r="C955" s="466" t="s">
        <v>3408</v>
      </c>
      <c r="D955" s="467" t="s">
        <v>2552</v>
      </c>
      <c r="E955" s="468" t="s">
        <v>2491</v>
      </c>
      <c r="F955" s="477">
        <v>0.35</v>
      </c>
      <c r="G955" s="469" t="s">
        <v>2472</v>
      </c>
      <c r="H955" s="470">
        <v>0.35</v>
      </c>
      <c r="I955" s="471">
        <v>0.35</v>
      </c>
      <c r="J955" s="472" t="s">
        <v>423</v>
      </c>
      <c r="K955" s="472" t="s">
        <v>534</v>
      </c>
      <c r="L955" s="473" t="s">
        <v>530</v>
      </c>
      <c r="M955" s="473" t="s">
        <v>3364</v>
      </c>
      <c r="N955" s="473" t="s">
        <v>1718</v>
      </c>
      <c r="O955" s="474" t="s">
        <v>3410</v>
      </c>
    </row>
    <row r="956" spans="1:15" s="475" customFormat="1" ht="12" hidden="1">
      <c r="A956" s="465">
        <v>1000099033</v>
      </c>
      <c r="B956" s="466" t="s">
        <v>3408</v>
      </c>
      <c r="C956" s="466" t="s">
        <v>3408</v>
      </c>
      <c r="D956" s="467" t="s">
        <v>2552</v>
      </c>
      <c r="E956" s="468" t="s">
        <v>2471</v>
      </c>
      <c r="F956" s="477" t="s">
        <v>2472</v>
      </c>
      <c r="G956" s="469" t="s">
        <v>2472</v>
      </c>
      <c r="H956" s="470">
        <v>4.8099999999999996</v>
      </c>
      <c r="I956" s="471">
        <v>0.37142857142857144</v>
      </c>
      <c r="J956" s="472" t="s">
        <v>422</v>
      </c>
      <c r="K956" s="472" t="s">
        <v>2473</v>
      </c>
      <c r="L956" s="473" t="s">
        <v>530</v>
      </c>
      <c r="M956" s="473" t="s">
        <v>3364</v>
      </c>
      <c r="N956" s="473" t="s">
        <v>1718</v>
      </c>
      <c r="O956" s="474" t="s">
        <v>3410</v>
      </c>
    </row>
    <row r="957" spans="1:15" s="475" customFormat="1" ht="12" hidden="1">
      <c r="A957" s="465">
        <v>10131000020572</v>
      </c>
      <c r="B957" s="476" t="s">
        <v>3411</v>
      </c>
      <c r="C957" s="476" t="s">
        <v>3411</v>
      </c>
      <c r="D957" s="467" t="s">
        <v>990</v>
      </c>
      <c r="E957" s="472" t="s">
        <v>2541</v>
      </c>
      <c r="F957" s="477">
        <v>199.09468799999999</v>
      </c>
      <c r="G957" s="469" t="s">
        <v>2472</v>
      </c>
      <c r="H957" s="470">
        <v>127.92</v>
      </c>
      <c r="I957" s="471">
        <v>196.03460686679998</v>
      </c>
      <c r="J957" s="485" t="s">
        <v>421</v>
      </c>
      <c r="K957" s="472" t="s">
        <v>651</v>
      </c>
      <c r="L957" s="473" t="s">
        <v>530</v>
      </c>
      <c r="M957" s="473" t="s">
        <v>3364</v>
      </c>
      <c r="N957" s="473" t="s">
        <v>1005</v>
      </c>
      <c r="O957" s="474" t="s">
        <v>3412</v>
      </c>
    </row>
    <row r="958" spans="1:15" s="475" customFormat="1" ht="12" hidden="1">
      <c r="A958" s="465">
        <v>10131000020574</v>
      </c>
      <c r="B958" s="476" t="s">
        <v>3411</v>
      </c>
      <c r="C958" s="476" t="s">
        <v>3411</v>
      </c>
      <c r="D958" s="467" t="s">
        <v>990</v>
      </c>
      <c r="E958" s="472" t="s">
        <v>2541</v>
      </c>
      <c r="F958" s="477">
        <v>199.09468799999999</v>
      </c>
      <c r="G958" s="469" t="s">
        <v>2472</v>
      </c>
      <c r="H958" s="470">
        <v>127.92</v>
      </c>
      <c r="I958" s="471">
        <v>196.03460686679998</v>
      </c>
      <c r="J958" s="485" t="s">
        <v>421</v>
      </c>
      <c r="K958" s="472" t="s">
        <v>651</v>
      </c>
      <c r="L958" s="473" t="s">
        <v>530</v>
      </c>
      <c r="M958" s="473" t="s">
        <v>3364</v>
      </c>
      <c r="N958" s="473" t="s">
        <v>1005</v>
      </c>
      <c r="O958" s="474" t="s">
        <v>3412</v>
      </c>
    </row>
    <row r="959" spans="1:15" s="475" customFormat="1" ht="12" hidden="1">
      <c r="A959" s="465">
        <v>10131000054496</v>
      </c>
      <c r="B959" s="466" t="s">
        <v>3411</v>
      </c>
      <c r="C959" s="466" t="s">
        <v>3411</v>
      </c>
      <c r="D959" s="467" t="s">
        <v>990</v>
      </c>
      <c r="E959" s="472" t="s">
        <v>2491</v>
      </c>
      <c r="F959" s="477">
        <v>200</v>
      </c>
      <c r="G959" s="469" t="s">
        <v>2472</v>
      </c>
      <c r="H959" s="487">
        <v>200</v>
      </c>
      <c r="I959" s="471">
        <v>200</v>
      </c>
      <c r="J959" s="488" t="s">
        <v>2492</v>
      </c>
      <c r="K959" s="472" t="s">
        <v>2495</v>
      </c>
      <c r="L959" s="473" t="s">
        <v>530</v>
      </c>
      <c r="M959" s="473" t="s">
        <v>3364</v>
      </c>
      <c r="N959" s="473" t="s">
        <v>1005</v>
      </c>
      <c r="O959" s="474" t="s">
        <v>3412</v>
      </c>
    </row>
    <row r="960" spans="1:15" s="475" customFormat="1" ht="12" hidden="1">
      <c r="A960" s="465">
        <v>10131000020575</v>
      </c>
      <c r="B960" s="476" t="s">
        <v>3411</v>
      </c>
      <c r="C960" s="476" t="s">
        <v>3411</v>
      </c>
      <c r="D960" s="467" t="s">
        <v>990</v>
      </c>
      <c r="E960" s="472" t="s">
        <v>2491</v>
      </c>
      <c r="F960" s="477">
        <v>200</v>
      </c>
      <c r="G960" s="469" t="s">
        <v>2472</v>
      </c>
      <c r="H960" s="470">
        <v>200</v>
      </c>
      <c r="I960" s="471">
        <v>200</v>
      </c>
      <c r="J960" s="485" t="s">
        <v>421</v>
      </c>
      <c r="K960" s="472" t="s">
        <v>651</v>
      </c>
      <c r="L960" s="473" t="s">
        <v>530</v>
      </c>
      <c r="M960" s="473" t="s">
        <v>3364</v>
      </c>
      <c r="N960" s="473" t="s">
        <v>1005</v>
      </c>
      <c r="O960" s="474" t="s">
        <v>3412</v>
      </c>
    </row>
    <row r="961" spans="1:15" s="475" customFormat="1" ht="12" hidden="1">
      <c r="A961" s="465">
        <v>10131000052440</v>
      </c>
      <c r="B961" s="466" t="s">
        <v>3411</v>
      </c>
      <c r="C961" s="466" t="s">
        <v>3411</v>
      </c>
      <c r="D961" s="467" t="s">
        <v>990</v>
      </c>
      <c r="E961" s="468" t="s">
        <v>2491</v>
      </c>
      <c r="F961" s="477">
        <v>200</v>
      </c>
      <c r="G961" s="469" t="s">
        <v>2472</v>
      </c>
      <c r="H961" s="470">
        <v>200</v>
      </c>
      <c r="I961" s="471">
        <v>200</v>
      </c>
      <c r="J961" s="472" t="s">
        <v>423</v>
      </c>
      <c r="K961" s="472" t="s">
        <v>534</v>
      </c>
      <c r="L961" s="473" t="s">
        <v>530</v>
      </c>
      <c r="M961" s="473" t="s">
        <v>3364</v>
      </c>
      <c r="N961" s="473" t="s">
        <v>1005</v>
      </c>
      <c r="O961" s="474" t="s">
        <v>3412</v>
      </c>
    </row>
    <row r="962" spans="1:15" s="475" customFormat="1" ht="12" hidden="1">
      <c r="A962" s="465">
        <v>10131000009879</v>
      </c>
      <c r="B962" s="489" t="s">
        <v>3413</v>
      </c>
      <c r="C962" s="489" t="s">
        <v>3414</v>
      </c>
      <c r="D962" s="467" t="s">
        <v>2487</v>
      </c>
      <c r="E962" s="478" t="s">
        <v>2514</v>
      </c>
      <c r="F962" s="477">
        <v>857.51746473599997</v>
      </c>
      <c r="G962" s="469" t="s">
        <v>2472</v>
      </c>
      <c r="H962" s="481">
        <v>25037</v>
      </c>
      <c r="I962" s="482">
        <v>255.59</v>
      </c>
      <c r="J962" s="483" t="s">
        <v>2515</v>
      </c>
      <c r="K962" s="483" t="s">
        <v>2515</v>
      </c>
      <c r="L962" s="473" t="s">
        <v>530</v>
      </c>
      <c r="M962" s="473" t="s">
        <v>3364</v>
      </c>
      <c r="N962" s="473" t="s">
        <v>3413</v>
      </c>
      <c r="O962" s="474" t="s">
        <v>3413</v>
      </c>
    </row>
    <row r="963" spans="1:15" s="475" customFormat="1" ht="12" hidden="1">
      <c r="A963" s="465">
        <v>10131000052461</v>
      </c>
      <c r="B963" s="489" t="s">
        <v>3413</v>
      </c>
      <c r="C963" s="489" t="s">
        <v>3415</v>
      </c>
      <c r="D963" s="467" t="s">
        <v>12</v>
      </c>
      <c r="E963" s="478" t="s">
        <v>2514</v>
      </c>
      <c r="F963" s="477">
        <v>857.51746473599997</v>
      </c>
      <c r="G963" s="469" t="s">
        <v>2472</v>
      </c>
      <c r="H963" s="481">
        <v>25037</v>
      </c>
      <c r="I963" s="482">
        <v>255.59</v>
      </c>
      <c r="J963" s="483" t="s">
        <v>2515</v>
      </c>
      <c r="K963" s="483" t="s">
        <v>2515</v>
      </c>
      <c r="L963" s="473" t="s">
        <v>530</v>
      </c>
      <c r="M963" s="473" t="s">
        <v>3364</v>
      </c>
      <c r="N963" s="473" t="s">
        <v>3413</v>
      </c>
      <c r="O963" s="474" t="s">
        <v>3413</v>
      </c>
    </row>
    <row r="964" spans="1:15" s="475" customFormat="1" ht="12" hidden="1">
      <c r="A964" s="465">
        <v>10131000020418</v>
      </c>
      <c r="B964" s="476" t="s">
        <v>3416</v>
      </c>
      <c r="C964" s="476" t="s">
        <v>3417</v>
      </c>
      <c r="D964" s="467" t="s">
        <v>12</v>
      </c>
      <c r="E964" s="472" t="s">
        <v>2491</v>
      </c>
      <c r="F964" s="477">
        <v>1901.18</v>
      </c>
      <c r="G964" s="469" t="s">
        <v>2472</v>
      </c>
      <c r="H964" s="487">
        <v>3606.37</v>
      </c>
      <c r="I964" s="471">
        <v>3606.37</v>
      </c>
      <c r="J964" s="488" t="s">
        <v>2492</v>
      </c>
      <c r="K964" s="472" t="s">
        <v>666</v>
      </c>
      <c r="L964" s="473" t="s">
        <v>530</v>
      </c>
      <c r="M964" s="473" t="s">
        <v>3364</v>
      </c>
      <c r="N964" s="473" t="s">
        <v>3418</v>
      </c>
      <c r="O964" s="474" t="s">
        <v>3419</v>
      </c>
    </row>
    <row r="965" spans="1:15" s="475" customFormat="1" ht="12" hidden="1">
      <c r="A965" s="465">
        <v>10131000020415</v>
      </c>
      <c r="B965" s="476" t="s">
        <v>3416</v>
      </c>
      <c r="C965" s="476" t="s">
        <v>3416</v>
      </c>
      <c r="D965" s="467" t="s">
        <v>12</v>
      </c>
      <c r="E965" s="472" t="s">
        <v>2491</v>
      </c>
      <c r="F965" s="477">
        <v>2152.12</v>
      </c>
      <c r="G965" s="469" t="s">
        <v>2472</v>
      </c>
      <c r="H965" s="487">
        <v>4386.29</v>
      </c>
      <c r="I965" s="471">
        <v>4386.29</v>
      </c>
      <c r="J965" s="488" t="s">
        <v>2492</v>
      </c>
      <c r="K965" s="472" t="s">
        <v>2522</v>
      </c>
      <c r="L965" s="473" t="s">
        <v>530</v>
      </c>
      <c r="M965" s="473" t="s">
        <v>3364</v>
      </c>
      <c r="N965" s="473" t="s">
        <v>3418</v>
      </c>
      <c r="O965" s="474" t="s">
        <v>3419</v>
      </c>
    </row>
    <row r="966" spans="1:15" s="475" customFormat="1" ht="12">
      <c r="A966" s="465">
        <v>10131000052577</v>
      </c>
      <c r="B966" s="466" t="s">
        <v>3917</v>
      </c>
      <c r="C966" s="466" t="s">
        <v>3420</v>
      </c>
      <c r="D966" s="467" t="s">
        <v>2552</v>
      </c>
      <c r="E966" s="468" t="s">
        <v>2491</v>
      </c>
      <c r="F966" s="511">
        <v>4</v>
      </c>
      <c r="G966" s="469" t="s">
        <v>2472</v>
      </c>
      <c r="H966" s="470">
        <v>0.9</v>
      </c>
      <c r="I966" s="510">
        <v>0.9</v>
      </c>
      <c r="J966" s="472" t="s">
        <v>423</v>
      </c>
      <c r="K966" s="472" t="s">
        <v>534</v>
      </c>
      <c r="L966" s="473" t="s">
        <v>530</v>
      </c>
      <c r="M966" s="473" t="s">
        <v>3364</v>
      </c>
      <c r="N966" s="473" t="s">
        <v>3421</v>
      </c>
      <c r="O966" s="474" t="s">
        <v>3422</v>
      </c>
    </row>
    <row r="967" spans="1:15" s="475" customFormat="1" ht="12" hidden="1">
      <c r="A967" s="465">
        <v>10131000016160</v>
      </c>
      <c r="B967" s="466" t="s">
        <v>3420</v>
      </c>
      <c r="C967" s="466" t="s">
        <v>3423</v>
      </c>
      <c r="D967" s="467" t="s">
        <v>2552</v>
      </c>
      <c r="E967" s="468" t="s">
        <v>2619</v>
      </c>
      <c r="F967" s="477">
        <v>6.7493796440000002</v>
      </c>
      <c r="G967" s="469" t="s">
        <v>2472</v>
      </c>
      <c r="H967" s="470">
        <v>0.9</v>
      </c>
      <c r="I967" s="471">
        <v>0.9</v>
      </c>
      <c r="J967" s="472" t="s">
        <v>423</v>
      </c>
      <c r="K967" s="472" t="s">
        <v>2620</v>
      </c>
      <c r="L967" s="473" t="s">
        <v>530</v>
      </c>
      <c r="M967" s="473" t="s">
        <v>3364</v>
      </c>
      <c r="N967" s="473" t="s">
        <v>3421</v>
      </c>
      <c r="O967" s="474" t="s">
        <v>3422</v>
      </c>
    </row>
    <row r="968" spans="1:15" s="475" customFormat="1" ht="12" hidden="1">
      <c r="A968" s="465">
        <v>10131000016159</v>
      </c>
      <c r="B968" s="466" t="s">
        <v>3420</v>
      </c>
      <c r="C968" s="466" t="s">
        <v>3423</v>
      </c>
      <c r="D968" s="467" t="s">
        <v>2552</v>
      </c>
      <c r="E968" s="468" t="s">
        <v>2491</v>
      </c>
      <c r="F968" s="477">
        <v>6.8</v>
      </c>
      <c r="G968" s="469" t="s">
        <v>2472</v>
      </c>
      <c r="H968" s="470">
        <v>0.9</v>
      </c>
      <c r="I968" s="471">
        <v>0.9</v>
      </c>
      <c r="J968" s="472" t="s">
        <v>423</v>
      </c>
      <c r="K968" s="472" t="s">
        <v>2620</v>
      </c>
      <c r="L968" s="473" t="s">
        <v>530</v>
      </c>
      <c r="M968" s="473" t="s">
        <v>3364</v>
      </c>
      <c r="N968" s="473" t="s">
        <v>3421</v>
      </c>
      <c r="O968" s="474" t="s">
        <v>3422</v>
      </c>
    </row>
    <row r="969" spans="1:15" s="475" customFormat="1" ht="12">
      <c r="A969" s="465">
        <v>10131000016157</v>
      </c>
      <c r="B969" s="466" t="s">
        <v>3420</v>
      </c>
      <c r="C969" s="466" t="s">
        <v>3420</v>
      </c>
      <c r="D969" s="467" t="s">
        <v>2552</v>
      </c>
      <c r="E969" s="468" t="s">
        <v>2491</v>
      </c>
      <c r="F969" s="511">
        <v>6.8</v>
      </c>
      <c r="G969" s="469" t="s">
        <v>2472</v>
      </c>
      <c r="H969" s="470">
        <v>0.9</v>
      </c>
      <c r="I969" s="510">
        <v>0.9</v>
      </c>
      <c r="J969" s="472" t="s">
        <v>423</v>
      </c>
      <c r="K969" s="472" t="s">
        <v>534</v>
      </c>
      <c r="L969" s="473" t="s">
        <v>530</v>
      </c>
      <c r="M969" s="473" t="s">
        <v>3364</v>
      </c>
      <c r="N969" s="473" t="s">
        <v>3421</v>
      </c>
      <c r="O969" s="474" t="s">
        <v>3422</v>
      </c>
    </row>
    <row r="970" spans="1:15" s="475" customFormat="1" ht="12" hidden="1">
      <c r="A970" s="465">
        <v>10131000056470</v>
      </c>
      <c r="B970" s="476" t="s">
        <v>3420</v>
      </c>
      <c r="C970" s="476" t="s">
        <v>3420</v>
      </c>
      <c r="D970" s="467" t="s">
        <v>2552</v>
      </c>
      <c r="E970" s="472" t="s">
        <v>2491</v>
      </c>
      <c r="F970" s="477">
        <v>13.78</v>
      </c>
      <c r="G970" s="469" t="s">
        <v>2472</v>
      </c>
      <c r="H970" s="487">
        <v>15.79</v>
      </c>
      <c r="I970" s="471">
        <v>15.79</v>
      </c>
      <c r="J970" s="488" t="s">
        <v>2492</v>
      </c>
      <c r="K970" s="472" t="s">
        <v>2522</v>
      </c>
      <c r="L970" s="473" t="s">
        <v>530</v>
      </c>
      <c r="M970" s="473" t="s">
        <v>3364</v>
      </c>
      <c r="N970" s="473" t="s">
        <v>3421</v>
      </c>
      <c r="O970" s="474" t="s">
        <v>3422</v>
      </c>
    </row>
    <row r="971" spans="1:15" s="475" customFormat="1" ht="12" hidden="1">
      <c r="A971" s="465">
        <v>1000058595</v>
      </c>
      <c r="B971" s="476" t="s">
        <v>3420</v>
      </c>
      <c r="C971" s="476" t="s">
        <v>3424</v>
      </c>
      <c r="D971" s="467" t="s">
        <v>2552</v>
      </c>
      <c r="E971" s="472" t="s">
        <v>2491</v>
      </c>
      <c r="F971" s="477" t="s">
        <v>2472</v>
      </c>
      <c r="G971" s="469" t="s">
        <v>2472</v>
      </c>
      <c r="H971" s="487">
        <v>18.57</v>
      </c>
      <c r="I971" s="471">
        <v>18.57</v>
      </c>
      <c r="J971" s="488" t="s">
        <v>2492</v>
      </c>
      <c r="K971" s="472" t="s">
        <v>658</v>
      </c>
      <c r="L971" s="473" t="s">
        <v>530</v>
      </c>
      <c r="M971" s="473" t="s">
        <v>3364</v>
      </c>
      <c r="N971" s="473" t="s">
        <v>3421</v>
      </c>
      <c r="O971" s="474" t="s">
        <v>3422</v>
      </c>
    </row>
    <row r="972" spans="1:15" s="475" customFormat="1" ht="12" hidden="1">
      <c r="A972" s="465">
        <v>10131000058565</v>
      </c>
      <c r="B972" s="476" t="s">
        <v>3420</v>
      </c>
      <c r="C972" s="476" t="s">
        <v>3420</v>
      </c>
      <c r="D972" s="467" t="s">
        <v>2552</v>
      </c>
      <c r="E972" s="472" t="s">
        <v>2491</v>
      </c>
      <c r="F972" s="477" t="s">
        <v>2472</v>
      </c>
      <c r="G972" s="469" t="s">
        <v>2472</v>
      </c>
      <c r="H972" s="487">
        <v>15.4</v>
      </c>
      <c r="I972" s="471">
        <v>15.4</v>
      </c>
      <c r="J972" s="488" t="s">
        <v>2492</v>
      </c>
      <c r="K972" s="472" t="s">
        <v>2495</v>
      </c>
      <c r="L972" s="473" t="s">
        <v>530</v>
      </c>
      <c r="M972" s="473" t="s">
        <v>3364</v>
      </c>
      <c r="N972" s="473" t="s">
        <v>3421</v>
      </c>
      <c r="O972" s="474" t="s">
        <v>3422</v>
      </c>
    </row>
    <row r="973" spans="1:15" s="475" customFormat="1" ht="12" hidden="1">
      <c r="A973" s="465">
        <v>10131000058581</v>
      </c>
      <c r="B973" s="476" t="s">
        <v>3420</v>
      </c>
      <c r="C973" s="476" t="s">
        <v>3425</v>
      </c>
      <c r="D973" s="467" t="s">
        <v>2552</v>
      </c>
      <c r="E973" s="472" t="s">
        <v>2491</v>
      </c>
      <c r="F973" s="477" t="s">
        <v>2472</v>
      </c>
      <c r="G973" s="469" t="s">
        <v>2472</v>
      </c>
      <c r="H973" s="487">
        <v>15.4</v>
      </c>
      <c r="I973" s="471">
        <v>15.4</v>
      </c>
      <c r="J973" s="488" t="s">
        <v>2492</v>
      </c>
      <c r="K973" s="472" t="s">
        <v>666</v>
      </c>
      <c r="L973" s="473" t="s">
        <v>530</v>
      </c>
      <c r="M973" s="473" t="s">
        <v>3364</v>
      </c>
      <c r="N973" s="473" t="s">
        <v>3421</v>
      </c>
      <c r="O973" s="474" t="s">
        <v>3422</v>
      </c>
    </row>
    <row r="974" spans="1:15" s="475" customFormat="1" ht="12">
      <c r="A974" s="465">
        <v>10131000053029</v>
      </c>
      <c r="B974" s="466" t="s">
        <v>3426</v>
      </c>
      <c r="C974" s="466" t="s">
        <v>3427</v>
      </c>
      <c r="D974" s="467" t="s">
        <v>2552</v>
      </c>
      <c r="E974" s="468" t="s">
        <v>2491</v>
      </c>
      <c r="F974" s="511">
        <v>0.15</v>
      </c>
      <c r="G974" s="469" t="s">
        <v>2472</v>
      </c>
      <c r="H974" s="470">
        <v>0.03</v>
      </c>
      <c r="I974" s="510">
        <v>0.03</v>
      </c>
      <c r="J974" s="472" t="s">
        <v>423</v>
      </c>
      <c r="K974" s="472" t="s">
        <v>534</v>
      </c>
      <c r="L974" s="473" t="s">
        <v>530</v>
      </c>
      <c r="M974" s="473" t="s">
        <v>3364</v>
      </c>
      <c r="N974" s="473" t="s">
        <v>3421</v>
      </c>
      <c r="O974" s="474" t="s">
        <v>3422</v>
      </c>
    </row>
    <row r="975" spans="1:15" s="475" customFormat="1" ht="12" hidden="1">
      <c r="A975" s="465">
        <v>10131000038699</v>
      </c>
      <c r="B975" s="476" t="s">
        <v>3428</v>
      </c>
      <c r="C975" s="476" t="s">
        <v>3428</v>
      </c>
      <c r="D975" s="467" t="s">
        <v>2552</v>
      </c>
      <c r="E975" s="472" t="s">
        <v>2491</v>
      </c>
      <c r="F975" s="477">
        <v>0.82</v>
      </c>
      <c r="G975" s="469" t="s">
        <v>2472</v>
      </c>
      <c r="H975" s="470">
        <v>0.95</v>
      </c>
      <c r="I975" s="471">
        <v>0.95</v>
      </c>
      <c r="J975" s="485" t="s">
        <v>421</v>
      </c>
      <c r="K975" s="472" t="s">
        <v>651</v>
      </c>
      <c r="L975" s="473" t="s">
        <v>530</v>
      </c>
      <c r="M975" s="473" t="s">
        <v>3364</v>
      </c>
      <c r="N975" s="473" t="s">
        <v>3421</v>
      </c>
      <c r="O975" s="474" t="s">
        <v>3429</v>
      </c>
    </row>
    <row r="976" spans="1:15" s="475" customFormat="1" ht="12" hidden="1">
      <c r="A976" s="465">
        <v>10131000038696</v>
      </c>
      <c r="B976" s="476" t="s">
        <v>3428</v>
      </c>
      <c r="C976" s="476" t="s">
        <v>3428</v>
      </c>
      <c r="D976" s="467" t="s">
        <v>2552</v>
      </c>
      <c r="E976" s="472" t="s">
        <v>2541</v>
      </c>
      <c r="F976" s="477">
        <v>0.82489200000000007</v>
      </c>
      <c r="G976" s="469" t="s">
        <v>2472</v>
      </c>
      <c r="H976" s="470">
        <v>0.62</v>
      </c>
      <c r="I976" s="471">
        <v>0.95013646229999993</v>
      </c>
      <c r="J976" s="485" t="s">
        <v>421</v>
      </c>
      <c r="K976" s="472" t="s">
        <v>651</v>
      </c>
      <c r="L976" s="473" t="s">
        <v>530</v>
      </c>
      <c r="M976" s="473" t="s">
        <v>3364</v>
      </c>
      <c r="N976" s="473" t="s">
        <v>3421</v>
      </c>
      <c r="O976" s="474" t="s">
        <v>3429</v>
      </c>
    </row>
    <row r="977" spans="1:15" s="475" customFormat="1" ht="12" hidden="1">
      <c r="A977" s="465">
        <v>10131000038698</v>
      </c>
      <c r="B977" s="476" t="s">
        <v>3428</v>
      </c>
      <c r="C977" s="476" t="s">
        <v>3428</v>
      </c>
      <c r="D977" s="467" t="s">
        <v>2552</v>
      </c>
      <c r="E977" s="472" t="s">
        <v>2541</v>
      </c>
      <c r="F977" s="477">
        <v>0.82489200000000007</v>
      </c>
      <c r="G977" s="469" t="s">
        <v>2472</v>
      </c>
      <c r="H977" s="470">
        <v>0.62</v>
      </c>
      <c r="I977" s="471">
        <v>0.95013646229999993</v>
      </c>
      <c r="J977" s="485" t="s">
        <v>421</v>
      </c>
      <c r="K977" s="472" t="s">
        <v>651</v>
      </c>
      <c r="L977" s="473" t="s">
        <v>530</v>
      </c>
      <c r="M977" s="473" t="s">
        <v>3364</v>
      </c>
      <c r="N977" s="473" t="s">
        <v>3421</v>
      </c>
      <c r="O977" s="474" t="s">
        <v>3429</v>
      </c>
    </row>
    <row r="978" spans="1:15" s="475" customFormat="1" ht="12" hidden="1">
      <c r="A978" s="465">
        <v>10131000056472</v>
      </c>
      <c r="B978" s="476" t="s">
        <v>3428</v>
      </c>
      <c r="C978" s="476" t="s">
        <v>3428</v>
      </c>
      <c r="D978" s="467" t="s">
        <v>2552</v>
      </c>
      <c r="E978" s="472" t="s">
        <v>2491</v>
      </c>
      <c r="F978" s="477">
        <v>2.5099999999999998</v>
      </c>
      <c r="G978" s="469" t="s">
        <v>2472</v>
      </c>
      <c r="H978" s="487">
        <v>2.36</v>
      </c>
      <c r="I978" s="471">
        <v>2.36</v>
      </c>
      <c r="J978" s="488" t="s">
        <v>2492</v>
      </c>
      <c r="K978" s="472" t="s">
        <v>2522</v>
      </c>
      <c r="L978" s="473" t="s">
        <v>530</v>
      </c>
      <c r="M978" s="473" t="s">
        <v>3364</v>
      </c>
      <c r="N978" s="473" t="s">
        <v>3421</v>
      </c>
      <c r="O978" s="474" t="s">
        <v>3429</v>
      </c>
    </row>
    <row r="979" spans="1:15" s="475" customFormat="1" ht="12">
      <c r="A979" s="465">
        <v>10131000016148</v>
      </c>
      <c r="B979" s="466" t="s">
        <v>3428</v>
      </c>
      <c r="C979" s="466" t="s">
        <v>3428</v>
      </c>
      <c r="D979" s="467" t="s">
        <v>2552</v>
      </c>
      <c r="E979" s="468" t="s">
        <v>2491</v>
      </c>
      <c r="F979" s="511">
        <v>9</v>
      </c>
      <c r="G979" s="469" t="s">
        <v>2472</v>
      </c>
      <c r="H979" s="470">
        <v>9</v>
      </c>
      <c r="I979" s="510">
        <v>9</v>
      </c>
      <c r="J979" s="472" t="s">
        <v>423</v>
      </c>
      <c r="K979" s="472" t="s">
        <v>534</v>
      </c>
      <c r="L979" s="473" t="s">
        <v>530</v>
      </c>
      <c r="M979" s="473" t="s">
        <v>3364</v>
      </c>
      <c r="N979" s="473" t="s">
        <v>3421</v>
      </c>
      <c r="O979" s="474" t="s">
        <v>3429</v>
      </c>
    </row>
    <row r="980" spans="1:15" s="475" customFormat="1" ht="12">
      <c r="A980" s="465">
        <v>10131000016143</v>
      </c>
      <c r="B980" s="466" t="s">
        <v>3428</v>
      </c>
      <c r="C980" s="466" t="s">
        <v>3428</v>
      </c>
      <c r="D980" s="467" t="s">
        <v>2552</v>
      </c>
      <c r="E980" s="468" t="s">
        <v>2491</v>
      </c>
      <c r="F980" s="511">
        <v>22.57</v>
      </c>
      <c r="G980" s="469" t="s">
        <v>2472</v>
      </c>
      <c r="H980" s="470">
        <v>9</v>
      </c>
      <c r="I980" s="510">
        <v>9</v>
      </c>
      <c r="J980" s="472" t="s">
        <v>423</v>
      </c>
      <c r="K980" s="472" t="s">
        <v>534</v>
      </c>
      <c r="L980" s="473" t="s">
        <v>530</v>
      </c>
      <c r="M980" s="473" t="s">
        <v>3364</v>
      </c>
      <c r="N980" s="473" t="s">
        <v>3421</v>
      </c>
      <c r="O980" s="474" t="s">
        <v>3429</v>
      </c>
    </row>
    <row r="981" spans="1:15" s="475" customFormat="1" ht="12" hidden="1">
      <c r="A981" s="465">
        <v>10131000037194</v>
      </c>
      <c r="B981" s="476" t="s">
        <v>3428</v>
      </c>
      <c r="C981" s="476" t="s">
        <v>3428</v>
      </c>
      <c r="D981" s="467" t="s">
        <v>2552</v>
      </c>
      <c r="E981" s="472" t="s">
        <v>2541</v>
      </c>
      <c r="F981" s="477">
        <v>31.268076000000001</v>
      </c>
      <c r="G981" s="469" t="s">
        <v>2472</v>
      </c>
      <c r="H981" s="470">
        <v>23.61</v>
      </c>
      <c r="I981" s="471">
        <v>36.181809475649999</v>
      </c>
      <c r="J981" s="485" t="s">
        <v>421</v>
      </c>
      <c r="K981" s="472" t="s">
        <v>651</v>
      </c>
      <c r="L981" s="473" t="s">
        <v>530</v>
      </c>
      <c r="M981" s="473" t="s">
        <v>3364</v>
      </c>
      <c r="N981" s="473" t="s">
        <v>3421</v>
      </c>
      <c r="O981" s="474" t="s">
        <v>3429</v>
      </c>
    </row>
    <row r="982" spans="1:15" s="475" customFormat="1" ht="12" hidden="1">
      <c r="A982" s="465">
        <v>10131000037196</v>
      </c>
      <c r="B982" s="476" t="s">
        <v>3428</v>
      </c>
      <c r="C982" s="476" t="s">
        <v>3428</v>
      </c>
      <c r="D982" s="467" t="s">
        <v>2552</v>
      </c>
      <c r="E982" s="472" t="s">
        <v>2541</v>
      </c>
      <c r="F982" s="477">
        <v>31.268076000000001</v>
      </c>
      <c r="G982" s="469" t="s">
        <v>2472</v>
      </c>
      <c r="H982" s="470">
        <v>23.61</v>
      </c>
      <c r="I982" s="471">
        <v>36.181809475649999</v>
      </c>
      <c r="J982" s="485" t="s">
        <v>421</v>
      </c>
      <c r="K982" s="472" t="s">
        <v>651</v>
      </c>
      <c r="L982" s="473" t="s">
        <v>530</v>
      </c>
      <c r="M982" s="473" t="s">
        <v>3364</v>
      </c>
      <c r="N982" s="473" t="s">
        <v>3421</v>
      </c>
      <c r="O982" s="474" t="s">
        <v>3429</v>
      </c>
    </row>
    <row r="983" spans="1:15" s="475" customFormat="1" ht="12" hidden="1">
      <c r="A983" s="465">
        <v>10131000037197</v>
      </c>
      <c r="B983" s="476" t="s">
        <v>3428</v>
      </c>
      <c r="C983" s="476" t="s">
        <v>3428</v>
      </c>
      <c r="D983" s="467" t="s">
        <v>2552</v>
      </c>
      <c r="E983" s="472" t="s">
        <v>2491</v>
      </c>
      <c r="F983" s="477">
        <v>31.42</v>
      </c>
      <c r="G983" s="469" t="s">
        <v>2472</v>
      </c>
      <c r="H983" s="470">
        <v>36.18</v>
      </c>
      <c r="I983" s="471">
        <v>36.18</v>
      </c>
      <c r="J983" s="485" t="s">
        <v>421</v>
      </c>
      <c r="K983" s="472" t="s">
        <v>651</v>
      </c>
      <c r="L983" s="473" t="s">
        <v>530</v>
      </c>
      <c r="M983" s="473" t="s">
        <v>3364</v>
      </c>
      <c r="N983" s="473" t="s">
        <v>3421</v>
      </c>
      <c r="O983" s="474" t="s">
        <v>3429</v>
      </c>
    </row>
    <row r="984" spans="1:15" s="475" customFormat="1" ht="12" hidden="1">
      <c r="A984" s="465">
        <v>1000058596</v>
      </c>
      <c r="B984" s="476" t="s">
        <v>3428</v>
      </c>
      <c r="C984" s="476" t="s">
        <v>3430</v>
      </c>
      <c r="D984" s="467" t="s">
        <v>2552</v>
      </c>
      <c r="E984" s="472" t="s">
        <v>2491</v>
      </c>
      <c r="F984" s="477" t="s">
        <v>2472</v>
      </c>
      <c r="G984" s="469" t="s">
        <v>2472</v>
      </c>
      <c r="H984" s="487">
        <v>2.85</v>
      </c>
      <c r="I984" s="471">
        <v>2.85</v>
      </c>
      <c r="J984" s="488" t="s">
        <v>2492</v>
      </c>
      <c r="K984" s="472" t="s">
        <v>658</v>
      </c>
      <c r="L984" s="473" t="s">
        <v>530</v>
      </c>
      <c r="M984" s="473" t="s">
        <v>3364</v>
      </c>
      <c r="N984" s="473" t="s">
        <v>3421</v>
      </c>
      <c r="O984" s="474" t="s">
        <v>3429</v>
      </c>
    </row>
    <row r="985" spans="1:15" s="475" customFormat="1" ht="12" hidden="1">
      <c r="A985" s="465">
        <v>10131000058566</v>
      </c>
      <c r="B985" s="476" t="s">
        <v>3428</v>
      </c>
      <c r="C985" s="476" t="s">
        <v>3428</v>
      </c>
      <c r="D985" s="467" t="s">
        <v>2552</v>
      </c>
      <c r="E985" s="472" t="s">
        <v>2491</v>
      </c>
      <c r="F985" s="477" t="s">
        <v>2472</v>
      </c>
      <c r="G985" s="469" t="s">
        <v>2472</v>
      </c>
      <c r="H985" s="487">
        <v>2.29</v>
      </c>
      <c r="I985" s="471">
        <v>2.29</v>
      </c>
      <c r="J985" s="488" t="s">
        <v>2492</v>
      </c>
      <c r="K985" s="472" t="s">
        <v>2495</v>
      </c>
      <c r="L985" s="473" t="s">
        <v>530</v>
      </c>
      <c r="M985" s="473" t="s">
        <v>3364</v>
      </c>
      <c r="N985" s="473" t="s">
        <v>3421</v>
      </c>
      <c r="O985" s="474" t="s">
        <v>3429</v>
      </c>
    </row>
    <row r="986" spans="1:15" s="475" customFormat="1" ht="12" hidden="1">
      <c r="A986" s="465">
        <v>10131000058582</v>
      </c>
      <c r="B986" s="476" t="s">
        <v>3428</v>
      </c>
      <c r="C986" s="476" t="s">
        <v>3431</v>
      </c>
      <c r="D986" s="467" t="s">
        <v>2552</v>
      </c>
      <c r="E986" s="472" t="s">
        <v>2491</v>
      </c>
      <c r="F986" s="477" t="s">
        <v>2472</v>
      </c>
      <c r="G986" s="469" t="s">
        <v>2472</v>
      </c>
      <c r="H986" s="487">
        <v>2.29</v>
      </c>
      <c r="I986" s="471">
        <v>2.29</v>
      </c>
      <c r="J986" s="488" t="s">
        <v>2492</v>
      </c>
      <c r="K986" s="472" t="s">
        <v>666</v>
      </c>
      <c r="L986" s="473" t="s">
        <v>530</v>
      </c>
      <c r="M986" s="473" t="s">
        <v>3364</v>
      </c>
      <c r="N986" s="473" t="s">
        <v>3421</v>
      </c>
      <c r="O986" s="474" t="s">
        <v>3429</v>
      </c>
    </row>
    <row r="987" spans="1:15" s="475" customFormat="1" ht="12" hidden="1">
      <c r="A987" s="465">
        <v>10131000058554</v>
      </c>
      <c r="B987" s="466" t="s">
        <v>3428</v>
      </c>
      <c r="C987" s="476" t="s">
        <v>3432</v>
      </c>
      <c r="D987" s="467" t="s">
        <v>2552</v>
      </c>
      <c r="E987" s="472" t="s">
        <v>2491</v>
      </c>
      <c r="F987" s="477" t="s">
        <v>2472</v>
      </c>
      <c r="G987" s="469" t="s">
        <v>2472</v>
      </c>
      <c r="H987" s="487">
        <v>2.29</v>
      </c>
      <c r="I987" s="471">
        <v>2.29</v>
      </c>
      <c r="J987" s="488" t="s">
        <v>2492</v>
      </c>
      <c r="K987" s="472" t="s">
        <v>2522</v>
      </c>
      <c r="L987" s="473" t="s">
        <v>530</v>
      </c>
      <c r="M987" s="473" t="s">
        <v>3364</v>
      </c>
      <c r="N987" s="473" t="s">
        <v>3421</v>
      </c>
      <c r="O987" s="474" t="s">
        <v>3429</v>
      </c>
    </row>
    <row r="988" spans="1:15" s="475" customFormat="1" ht="12" hidden="1">
      <c r="A988" s="465">
        <v>10131000016155</v>
      </c>
      <c r="B988" s="466" t="s">
        <v>3433</v>
      </c>
      <c r="C988" s="466" t="s">
        <v>3434</v>
      </c>
      <c r="D988" s="467" t="s">
        <v>2552</v>
      </c>
      <c r="E988" s="468" t="s">
        <v>2619</v>
      </c>
      <c r="F988" s="477">
        <v>21.836228260000002</v>
      </c>
      <c r="G988" s="469" t="s">
        <v>2472</v>
      </c>
      <c r="H988" s="470">
        <v>22</v>
      </c>
      <c r="I988" s="471">
        <v>22</v>
      </c>
      <c r="J988" s="472" t="s">
        <v>423</v>
      </c>
      <c r="K988" s="472" t="s">
        <v>2620</v>
      </c>
      <c r="L988" s="473" t="s">
        <v>530</v>
      </c>
      <c r="M988" s="473" t="s">
        <v>3364</v>
      </c>
      <c r="N988" s="473" t="s">
        <v>3421</v>
      </c>
      <c r="O988" s="474" t="s">
        <v>3435</v>
      </c>
    </row>
    <row r="989" spans="1:15" s="475" customFormat="1" ht="12" hidden="1">
      <c r="A989" s="465">
        <v>10131000016154</v>
      </c>
      <c r="B989" s="466" t="s">
        <v>3433</v>
      </c>
      <c r="C989" s="466" t="s">
        <v>3434</v>
      </c>
      <c r="D989" s="467" t="s">
        <v>2552</v>
      </c>
      <c r="E989" s="468" t="s">
        <v>2491</v>
      </c>
      <c r="F989" s="477">
        <v>22</v>
      </c>
      <c r="G989" s="469" t="s">
        <v>2472</v>
      </c>
      <c r="H989" s="470">
        <v>22</v>
      </c>
      <c r="I989" s="471">
        <v>22</v>
      </c>
      <c r="J989" s="472" t="s">
        <v>423</v>
      </c>
      <c r="K989" s="472" t="s">
        <v>2620</v>
      </c>
      <c r="L989" s="473" t="s">
        <v>530</v>
      </c>
      <c r="M989" s="473" t="s">
        <v>3364</v>
      </c>
      <c r="N989" s="473" t="s">
        <v>3421</v>
      </c>
      <c r="O989" s="474" t="s">
        <v>3435</v>
      </c>
    </row>
    <row r="990" spans="1:15" s="475" customFormat="1" ht="12">
      <c r="A990" s="465">
        <v>10131000016152</v>
      </c>
      <c r="B990" s="466" t="s">
        <v>3433</v>
      </c>
      <c r="C990" s="466" t="s">
        <v>3433</v>
      </c>
      <c r="D990" s="467" t="s">
        <v>2552</v>
      </c>
      <c r="E990" s="468" t="s">
        <v>2491</v>
      </c>
      <c r="F990" s="511">
        <v>22</v>
      </c>
      <c r="G990" s="469" t="s">
        <v>2472</v>
      </c>
      <c r="H990" s="470">
        <v>22</v>
      </c>
      <c r="I990" s="510">
        <v>22</v>
      </c>
      <c r="J990" s="472" t="s">
        <v>423</v>
      </c>
      <c r="K990" s="472" t="s">
        <v>534</v>
      </c>
      <c r="L990" s="473" t="s">
        <v>530</v>
      </c>
      <c r="M990" s="473" t="s">
        <v>3364</v>
      </c>
      <c r="N990" s="473" t="s">
        <v>3421</v>
      </c>
      <c r="O990" s="474" t="s">
        <v>3435</v>
      </c>
    </row>
    <row r="991" spans="1:15" s="475" customFormat="1" ht="12">
      <c r="A991" s="465">
        <v>10131000029964</v>
      </c>
      <c r="B991" s="466" t="s">
        <v>3436</v>
      </c>
      <c r="C991" s="466" t="s">
        <v>3436</v>
      </c>
      <c r="D991" s="467" t="s">
        <v>3437</v>
      </c>
      <c r="E991" s="468" t="s">
        <v>2491</v>
      </c>
      <c r="F991" s="511">
        <v>58.08</v>
      </c>
      <c r="G991" s="469" t="s">
        <v>2472</v>
      </c>
      <c r="H991" s="470">
        <v>71</v>
      </c>
      <c r="I991" s="510">
        <v>71</v>
      </c>
      <c r="J991" s="472" t="s">
        <v>423</v>
      </c>
      <c r="K991" s="472" t="s">
        <v>534</v>
      </c>
      <c r="L991" s="473" t="s">
        <v>530</v>
      </c>
      <c r="M991" s="473" t="s">
        <v>3364</v>
      </c>
      <c r="N991" s="473" t="s">
        <v>3438</v>
      </c>
      <c r="O991" s="474" t="s">
        <v>3439</v>
      </c>
    </row>
    <row r="992" spans="1:15" s="475" customFormat="1" ht="12">
      <c r="A992" s="465">
        <v>10131000034031</v>
      </c>
      <c r="B992" s="466" t="s">
        <v>3436</v>
      </c>
      <c r="C992" s="466" t="s">
        <v>3436</v>
      </c>
      <c r="D992" s="467" t="s">
        <v>3437</v>
      </c>
      <c r="E992" s="468" t="s">
        <v>2491</v>
      </c>
      <c r="F992" s="511">
        <v>78</v>
      </c>
      <c r="G992" s="469" t="s">
        <v>2472</v>
      </c>
      <c r="H992" s="470">
        <v>71</v>
      </c>
      <c r="I992" s="510">
        <v>71</v>
      </c>
      <c r="J992" s="472" t="s">
        <v>423</v>
      </c>
      <c r="K992" s="472" t="s">
        <v>534</v>
      </c>
      <c r="L992" s="473" t="s">
        <v>530</v>
      </c>
      <c r="M992" s="473" t="s">
        <v>3364</v>
      </c>
      <c r="N992" s="473" t="s">
        <v>3438</v>
      </c>
      <c r="O992" s="474" t="s">
        <v>3439</v>
      </c>
    </row>
    <row r="993" spans="1:15" s="475" customFormat="1" ht="12" hidden="1">
      <c r="A993" s="465">
        <v>10131000030137</v>
      </c>
      <c r="B993" s="484" t="s">
        <v>3436</v>
      </c>
      <c r="C993" s="484" t="s">
        <v>3436</v>
      </c>
      <c r="D993" s="467" t="s">
        <v>3437</v>
      </c>
      <c r="E993" s="472" t="s">
        <v>2541</v>
      </c>
      <c r="F993" s="477">
        <v>138.46232448000001</v>
      </c>
      <c r="G993" s="469" t="s">
        <v>2472</v>
      </c>
      <c r="H993" s="470">
        <v>120.3231262</v>
      </c>
      <c r="I993" s="471">
        <v>184.39256364603941</v>
      </c>
      <c r="J993" s="485" t="s">
        <v>421</v>
      </c>
      <c r="K993" s="472" t="s">
        <v>651</v>
      </c>
      <c r="L993" s="473" t="s">
        <v>530</v>
      </c>
      <c r="M993" s="473" t="s">
        <v>3364</v>
      </c>
      <c r="N993" s="473" t="s">
        <v>3438</v>
      </c>
      <c r="O993" s="474" t="s">
        <v>3439</v>
      </c>
    </row>
    <row r="994" spans="1:15" s="475" customFormat="1" ht="12" hidden="1">
      <c r="A994" s="465">
        <v>10131000030138</v>
      </c>
      <c r="B994" s="484" t="s">
        <v>3436</v>
      </c>
      <c r="C994" s="484" t="s">
        <v>3436</v>
      </c>
      <c r="D994" s="467" t="s">
        <v>3437</v>
      </c>
      <c r="E994" s="472" t="s">
        <v>2541</v>
      </c>
      <c r="F994" s="477">
        <v>138.46232448000001</v>
      </c>
      <c r="G994" s="469" t="s">
        <v>2472</v>
      </c>
      <c r="H994" s="470">
        <v>120.3231262</v>
      </c>
      <c r="I994" s="471">
        <v>184.39256364603941</v>
      </c>
      <c r="J994" s="485" t="s">
        <v>421</v>
      </c>
      <c r="K994" s="472" t="s">
        <v>651</v>
      </c>
      <c r="L994" s="473" t="s">
        <v>530</v>
      </c>
      <c r="M994" s="473" t="s">
        <v>3364</v>
      </c>
      <c r="N994" s="473" t="s">
        <v>3438</v>
      </c>
      <c r="O994" s="474" t="s">
        <v>3439</v>
      </c>
    </row>
    <row r="995" spans="1:15" s="475" customFormat="1" ht="12" hidden="1">
      <c r="A995" s="465">
        <v>10131000030140</v>
      </c>
      <c r="B995" s="484" t="s">
        <v>3436</v>
      </c>
      <c r="C995" s="484" t="s">
        <v>3436</v>
      </c>
      <c r="D995" s="467" t="s">
        <v>3437</v>
      </c>
      <c r="E995" s="472" t="s">
        <v>2491</v>
      </c>
      <c r="F995" s="477">
        <v>139.09440000000001</v>
      </c>
      <c r="G995" s="469" t="s">
        <v>2472</v>
      </c>
      <c r="H995" s="470">
        <v>184.39256370000001</v>
      </c>
      <c r="I995" s="471">
        <v>184.39256370000001</v>
      </c>
      <c r="J995" s="485" t="s">
        <v>421</v>
      </c>
      <c r="K995" s="472" t="s">
        <v>651</v>
      </c>
      <c r="L995" s="473" t="s">
        <v>530</v>
      </c>
      <c r="M995" s="473" t="s">
        <v>3364</v>
      </c>
      <c r="N995" s="473" t="s">
        <v>3438</v>
      </c>
      <c r="O995" s="474" t="s">
        <v>3439</v>
      </c>
    </row>
    <row r="996" spans="1:15" s="475" customFormat="1" ht="12">
      <c r="A996" s="465">
        <v>10131000052443</v>
      </c>
      <c r="B996" s="466" t="s">
        <v>3436</v>
      </c>
      <c r="C996" s="466" t="s">
        <v>3436</v>
      </c>
      <c r="D996" s="467" t="s">
        <v>3437</v>
      </c>
      <c r="E996" s="468" t="s">
        <v>2491</v>
      </c>
      <c r="F996" s="511">
        <v>180</v>
      </c>
      <c r="G996" s="469" t="s">
        <v>2472</v>
      </c>
      <c r="H996" s="470">
        <v>71</v>
      </c>
      <c r="I996" s="510">
        <v>71</v>
      </c>
      <c r="J996" s="472" t="s">
        <v>423</v>
      </c>
      <c r="K996" s="472" t="s">
        <v>534</v>
      </c>
      <c r="L996" s="473" t="s">
        <v>530</v>
      </c>
      <c r="M996" s="473" t="s">
        <v>3364</v>
      </c>
      <c r="N996" s="473" t="s">
        <v>3438</v>
      </c>
      <c r="O996" s="474" t="s">
        <v>3439</v>
      </c>
    </row>
    <row r="997" spans="1:15" s="475" customFormat="1" ht="12" hidden="1">
      <c r="A997" s="465">
        <v>10131000051735</v>
      </c>
      <c r="B997" s="489" t="s">
        <v>3436</v>
      </c>
      <c r="C997" s="489" t="s">
        <v>3440</v>
      </c>
      <c r="D997" s="467" t="s">
        <v>3437</v>
      </c>
      <c r="E997" s="478" t="s">
        <v>2514</v>
      </c>
      <c r="F997" s="477">
        <v>262.19808875519999</v>
      </c>
      <c r="G997" s="469" t="s">
        <v>2472</v>
      </c>
      <c r="H997" s="481">
        <v>26160</v>
      </c>
      <c r="I997" s="482">
        <v>267.05</v>
      </c>
      <c r="J997" s="483" t="s">
        <v>2515</v>
      </c>
      <c r="K997" s="483" t="s">
        <v>2515</v>
      </c>
      <c r="L997" s="473" t="s">
        <v>530</v>
      </c>
      <c r="M997" s="473" t="s">
        <v>3364</v>
      </c>
      <c r="N997" s="473" t="s">
        <v>3438</v>
      </c>
      <c r="O997" s="474" t="s">
        <v>3439</v>
      </c>
    </row>
    <row r="998" spans="1:15" s="475" customFormat="1" ht="12" hidden="1">
      <c r="A998" s="465">
        <v>10131000051744</v>
      </c>
      <c r="B998" s="489" t="s">
        <v>3436</v>
      </c>
      <c r="C998" s="489" t="s">
        <v>3441</v>
      </c>
      <c r="D998" s="467" t="s">
        <v>3437</v>
      </c>
      <c r="E998" s="478" t="s">
        <v>2514</v>
      </c>
      <c r="F998" s="477">
        <v>262.19808875519999</v>
      </c>
      <c r="G998" s="469" t="s">
        <v>2472</v>
      </c>
      <c r="H998" s="481">
        <v>26160</v>
      </c>
      <c r="I998" s="482">
        <v>267.05</v>
      </c>
      <c r="J998" s="483" t="s">
        <v>2515</v>
      </c>
      <c r="K998" s="483" t="s">
        <v>2515</v>
      </c>
      <c r="L998" s="473" t="s">
        <v>530</v>
      </c>
      <c r="M998" s="473" t="s">
        <v>3364</v>
      </c>
      <c r="N998" s="473" t="s">
        <v>3438</v>
      </c>
      <c r="O998" s="474" t="s">
        <v>3439</v>
      </c>
    </row>
    <row r="999" spans="1:15" s="475" customFormat="1" ht="12" hidden="1">
      <c r="A999" s="465">
        <v>10131000016376</v>
      </c>
      <c r="B999" s="476" t="s">
        <v>3442</v>
      </c>
      <c r="C999" s="476" t="s">
        <v>3443</v>
      </c>
      <c r="D999" s="467" t="s">
        <v>1045</v>
      </c>
      <c r="E999" s="472" t="s">
        <v>2706</v>
      </c>
      <c r="F999" s="477">
        <v>0</v>
      </c>
      <c r="G999" s="469" t="s">
        <v>2472</v>
      </c>
      <c r="H999" s="470">
        <v>1E-8</v>
      </c>
      <c r="I999" s="471">
        <v>4.3820658333333323E-11</v>
      </c>
      <c r="J999" s="485" t="s">
        <v>421</v>
      </c>
      <c r="K999" s="472" t="s">
        <v>595</v>
      </c>
      <c r="L999" s="473" t="s">
        <v>530</v>
      </c>
      <c r="M999" s="473" t="s">
        <v>3364</v>
      </c>
      <c r="N999" s="473" t="s">
        <v>1718</v>
      </c>
      <c r="O999" s="474" t="s">
        <v>3444</v>
      </c>
    </row>
    <row r="1000" spans="1:15" s="475" customFormat="1" ht="12" hidden="1">
      <c r="A1000" s="465">
        <v>10131000016387</v>
      </c>
      <c r="B1000" s="476" t="s">
        <v>3442</v>
      </c>
      <c r="C1000" s="476" t="s">
        <v>3445</v>
      </c>
      <c r="D1000" s="467" t="s">
        <v>1045</v>
      </c>
      <c r="E1000" s="472" t="s">
        <v>2715</v>
      </c>
      <c r="F1000" s="477">
        <v>0</v>
      </c>
      <c r="G1000" s="469" t="s">
        <v>2472</v>
      </c>
      <c r="H1000" s="470">
        <v>1E-8</v>
      </c>
      <c r="I1000" s="471">
        <v>1.3280192891666669E-8</v>
      </c>
      <c r="J1000" s="485" t="s">
        <v>421</v>
      </c>
      <c r="K1000" s="472" t="s">
        <v>597</v>
      </c>
      <c r="L1000" s="473" t="s">
        <v>530</v>
      </c>
      <c r="M1000" s="473" t="s">
        <v>3364</v>
      </c>
      <c r="N1000" s="473" t="s">
        <v>1718</v>
      </c>
      <c r="O1000" s="474" t="s">
        <v>3444</v>
      </c>
    </row>
    <row r="1001" spans="1:15" s="475" customFormat="1" ht="12" hidden="1">
      <c r="A1001" s="465">
        <v>10131000016388</v>
      </c>
      <c r="B1001" s="476" t="s">
        <v>3442</v>
      </c>
      <c r="C1001" s="476" t="s">
        <v>3446</v>
      </c>
      <c r="D1001" s="467" t="s">
        <v>1045</v>
      </c>
      <c r="E1001" s="472" t="s">
        <v>2715</v>
      </c>
      <c r="F1001" s="477">
        <v>0</v>
      </c>
      <c r="G1001" s="469" t="s">
        <v>2472</v>
      </c>
      <c r="H1001" s="470">
        <v>1E-8</v>
      </c>
      <c r="I1001" s="471">
        <v>1.3280192891666669E-8</v>
      </c>
      <c r="J1001" s="485" t="s">
        <v>421</v>
      </c>
      <c r="K1001" s="472" t="s">
        <v>601</v>
      </c>
      <c r="L1001" s="473" t="s">
        <v>530</v>
      </c>
      <c r="M1001" s="473" t="s">
        <v>3364</v>
      </c>
      <c r="N1001" s="473" t="s">
        <v>1718</v>
      </c>
      <c r="O1001" s="474" t="s">
        <v>3444</v>
      </c>
    </row>
    <row r="1002" spans="1:15" s="475" customFormat="1" ht="12" hidden="1">
      <c r="A1002" s="465">
        <v>10131000016272</v>
      </c>
      <c r="B1002" s="476" t="s">
        <v>3442</v>
      </c>
      <c r="C1002" s="476" t="s">
        <v>3447</v>
      </c>
      <c r="D1002" s="467" t="s">
        <v>1045</v>
      </c>
      <c r="E1002" s="472" t="s">
        <v>2829</v>
      </c>
      <c r="F1002" s="477">
        <v>0</v>
      </c>
      <c r="G1002" s="469" t="s">
        <v>2472</v>
      </c>
      <c r="H1002" s="470">
        <v>1E-8</v>
      </c>
      <c r="I1002" s="471">
        <v>2.9191050416666665E-9</v>
      </c>
      <c r="J1002" s="485" t="s">
        <v>421</v>
      </c>
      <c r="K1002" s="472" t="s">
        <v>623</v>
      </c>
      <c r="L1002" s="473" t="s">
        <v>530</v>
      </c>
      <c r="M1002" s="473" t="s">
        <v>3364</v>
      </c>
      <c r="N1002" s="473" t="s">
        <v>1718</v>
      </c>
      <c r="O1002" s="474" t="s">
        <v>3444</v>
      </c>
    </row>
    <row r="1003" spans="1:15" s="475" customFormat="1" ht="12" hidden="1">
      <c r="A1003" s="465">
        <v>10131000016383</v>
      </c>
      <c r="B1003" s="476" t="s">
        <v>3442</v>
      </c>
      <c r="C1003" s="476" t="s">
        <v>3448</v>
      </c>
      <c r="D1003" s="467" t="s">
        <v>1045</v>
      </c>
      <c r="E1003" s="472" t="s">
        <v>2715</v>
      </c>
      <c r="F1003" s="477">
        <v>0</v>
      </c>
      <c r="G1003" s="469" t="s">
        <v>2472</v>
      </c>
      <c r="H1003" s="470">
        <v>1E-8</v>
      </c>
      <c r="I1003" s="471">
        <v>1.3280192891666669E-8</v>
      </c>
      <c r="J1003" s="485" t="s">
        <v>421</v>
      </c>
      <c r="K1003" s="472" t="s">
        <v>629</v>
      </c>
      <c r="L1003" s="473" t="s">
        <v>530</v>
      </c>
      <c r="M1003" s="473" t="s">
        <v>3364</v>
      </c>
      <c r="N1003" s="473" t="s">
        <v>1718</v>
      </c>
      <c r="O1003" s="474" t="s">
        <v>3444</v>
      </c>
    </row>
    <row r="1004" spans="1:15" s="475" customFormat="1" ht="12" hidden="1">
      <c r="A1004" s="465">
        <v>10131000016384</v>
      </c>
      <c r="B1004" s="476" t="s">
        <v>3442</v>
      </c>
      <c r="C1004" s="476" t="s">
        <v>3449</v>
      </c>
      <c r="D1004" s="467" t="s">
        <v>1045</v>
      </c>
      <c r="E1004" s="472" t="s">
        <v>2833</v>
      </c>
      <c r="F1004" s="477">
        <v>0</v>
      </c>
      <c r="G1004" s="469" t="s">
        <v>2472</v>
      </c>
      <c r="H1004" s="470">
        <v>1E-8</v>
      </c>
      <c r="I1004" s="471">
        <v>9.6662435833333333E-10</v>
      </c>
      <c r="J1004" s="485" t="s">
        <v>421</v>
      </c>
      <c r="K1004" s="472" t="s">
        <v>631</v>
      </c>
      <c r="L1004" s="473" t="s">
        <v>530</v>
      </c>
      <c r="M1004" s="473" t="s">
        <v>3364</v>
      </c>
      <c r="N1004" s="473" t="s">
        <v>1718</v>
      </c>
      <c r="O1004" s="474" t="s">
        <v>3444</v>
      </c>
    </row>
    <row r="1005" spans="1:15" s="475" customFormat="1" ht="12" hidden="1">
      <c r="A1005" s="465">
        <v>10131000016385</v>
      </c>
      <c r="B1005" s="476" t="s">
        <v>3442</v>
      </c>
      <c r="C1005" s="476" t="s">
        <v>3450</v>
      </c>
      <c r="D1005" s="467" t="s">
        <v>1045</v>
      </c>
      <c r="E1005" s="472" t="s">
        <v>2840</v>
      </c>
      <c r="F1005" s="477">
        <v>0</v>
      </c>
      <c r="G1005" s="469" t="s">
        <v>2472</v>
      </c>
      <c r="H1005" s="470">
        <v>1E-8</v>
      </c>
      <c r="I1005" s="471">
        <v>4.8453969750000001E-9</v>
      </c>
      <c r="J1005" s="485" t="s">
        <v>421</v>
      </c>
      <c r="K1005" s="472" t="s">
        <v>643</v>
      </c>
      <c r="L1005" s="473" t="s">
        <v>530</v>
      </c>
      <c r="M1005" s="473" t="s">
        <v>3364</v>
      </c>
      <c r="N1005" s="473" t="s">
        <v>1718</v>
      </c>
      <c r="O1005" s="474" t="s">
        <v>3444</v>
      </c>
    </row>
    <row r="1006" spans="1:15" s="475" customFormat="1" ht="12" hidden="1">
      <c r="A1006" s="465">
        <v>10131000016375</v>
      </c>
      <c r="B1006" s="476" t="s">
        <v>3442</v>
      </c>
      <c r="C1006" s="476" t="s">
        <v>3451</v>
      </c>
      <c r="D1006" s="467" t="s">
        <v>1045</v>
      </c>
      <c r="E1006" s="472" t="s">
        <v>2801</v>
      </c>
      <c r="F1006" s="477">
        <v>1.3008665251000002</v>
      </c>
      <c r="G1006" s="469" t="s">
        <v>2472</v>
      </c>
      <c r="H1006" s="470">
        <v>31.478728950000001</v>
      </c>
      <c r="I1006" s="471">
        <v>1.614184573225439</v>
      </c>
      <c r="J1006" s="485" t="s">
        <v>421</v>
      </c>
      <c r="K1006" s="472" t="s">
        <v>587</v>
      </c>
      <c r="L1006" s="473" t="s">
        <v>530</v>
      </c>
      <c r="M1006" s="473" t="s">
        <v>3364</v>
      </c>
      <c r="N1006" s="473" t="s">
        <v>1718</v>
      </c>
      <c r="O1006" s="474" t="s">
        <v>3444</v>
      </c>
    </row>
    <row r="1007" spans="1:15" s="475" customFormat="1" ht="12" hidden="1">
      <c r="A1007" s="465">
        <v>10131000016378</v>
      </c>
      <c r="B1007" s="476" t="s">
        <v>3442</v>
      </c>
      <c r="C1007" s="476" t="s">
        <v>3452</v>
      </c>
      <c r="D1007" s="467" t="s">
        <v>1045</v>
      </c>
      <c r="E1007" s="472" t="s">
        <v>2519</v>
      </c>
      <c r="F1007" s="477">
        <v>1.3303489654</v>
      </c>
      <c r="G1007" s="469" t="s">
        <v>2472</v>
      </c>
      <c r="H1007" s="470">
        <v>1E-8</v>
      </c>
      <c r="I1007" s="471">
        <v>3.0846695000000001E-9</v>
      </c>
      <c r="J1007" s="485" t="s">
        <v>421</v>
      </c>
      <c r="K1007" s="472" t="s">
        <v>621</v>
      </c>
      <c r="L1007" s="473" t="s">
        <v>530</v>
      </c>
      <c r="M1007" s="473" t="s">
        <v>3364</v>
      </c>
      <c r="N1007" s="473" t="s">
        <v>1718</v>
      </c>
      <c r="O1007" s="474" t="s">
        <v>3444</v>
      </c>
    </row>
    <row r="1008" spans="1:15" s="475" customFormat="1" ht="12" hidden="1">
      <c r="A1008" s="465">
        <v>10131000016380</v>
      </c>
      <c r="B1008" s="476" t="s">
        <v>3442</v>
      </c>
      <c r="C1008" s="476" t="s">
        <v>3453</v>
      </c>
      <c r="D1008" s="467" t="s">
        <v>1045</v>
      </c>
      <c r="E1008" s="472" t="s">
        <v>2718</v>
      </c>
      <c r="F1008" s="477">
        <v>1.5273916504000002</v>
      </c>
      <c r="G1008" s="469" t="s">
        <v>2472</v>
      </c>
      <c r="H1008" s="470">
        <v>43.674066549999999</v>
      </c>
      <c r="I1008" s="471">
        <v>1.2729199398645896</v>
      </c>
      <c r="J1008" s="485" t="s">
        <v>421</v>
      </c>
      <c r="K1008" s="472" t="s">
        <v>625</v>
      </c>
      <c r="L1008" s="473" t="s">
        <v>530</v>
      </c>
      <c r="M1008" s="473" t="s">
        <v>3364</v>
      </c>
      <c r="N1008" s="473" t="s">
        <v>1718</v>
      </c>
      <c r="O1008" s="474" t="s">
        <v>3444</v>
      </c>
    </row>
    <row r="1009" spans="1:15" s="475" customFormat="1" ht="12" hidden="1">
      <c r="A1009" s="465">
        <v>10131000022346</v>
      </c>
      <c r="B1009" s="476" t="s">
        <v>3442</v>
      </c>
      <c r="C1009" s="476" t="s">
        <v>3454</v>
      </c>
      <c r="D1009" s="467" t="s">
        <v>1045</v>
      </c>
      <c r="E1009" s="472" t="s">
        <v>2715</v>
      </c>
      <c r="F1009" s="477" t="s">
        <v>2472</v>
      </c>
      <c r="G1009" s="469" t="s">
        <v>2472</v>
      </c>
      <c r="H1009" s="470">
        <v>1E-8</v>
      </c>
      <c r="I1009" s="471">
        <v>1.3280192891666669E-8</v>
      </c>
      <c r="J1009" s="485" t="s">
        <v>421</v>
      </c>
      <c r="K1009" s="472" t="s">
        <v>2779</v>
      </c>
      <c r="L1009" s="473" t="s">
        <v>530</v>
      </c>
      <c r="M1009" s="473" t="s">
        <v>3364</v>
      </c>
      <c r="N1009" s="473" t="s">
        <v>1718</v>
      </c>
      <c r="O1009" s="474" t="s">
        <v>3444</v>
      </c>
    </row>
    <row r="1010" spans="1:15" s="475" customFormat="1" ht="12" hidden="1">
      <c r="A1010" s="465">
        <v>10131000058312</v>
      </c>
      <c r="B1010" s="476" t="s">
        <v>3442</v>
      </c>
      <c r="C1010" s="476" t="s">
        <v>3452</v>
      </c>
      <c r="D1010" s="467" t="s">
        <v>1045</v>
      </c>
      <c r="E1010" s="472" t="s">
        <v>2519</v>
      </c>
      <c r="F1010" s="477" t="s">
        <v>2472</v>
      </c>
      <c r="G1010" s="469" t="s">
        <v>2472</v>
      </c>
      <c r="H1010" s="470">
        <v>1E-8</v>
      </c>
      <c r="I1010" s="471">
        <v>3.0846695000000001E-9</v>
      </c>
      <c r="J1010" s="485" t="s">
        <v>421</v>
      </c>
      <c r="K1010" s="472" t="s">
        <v>621</v>
      </c>
      <c r="L1010" s="473" t="s">
        <v>530</v>
      </c>
      <c r="M1010" s="473" t="s">
        <v>3364</v>
      </c>
      <c r="N1010" s="473" t="s">
        <v>1718</v>
      </c>
      <c r="O1010" s="474" t="s">
        <v>3444</v>
      </c>
    </row>
    <row r="1011" spans="1:15" s="475" customFormat="1" ht="12" hidden="1">
      <c r="A1011" s="465">
        <v>10131000016398</v>
      </c>
      <c r="B1011" s="476" t="s">
        <v>3442</v>
      </c>
      <c r="C1011" s="476" t="s">
        <v>3455</v>
      </c>
      <c r="D1011" s="467" t="s">
        <v>1045</v>
      </c>
      <c r="E1011" s="472" t="s">
        <v>2715</v>
      </c>
      <c r="F1011" s="477" t="s">
        <v>2472</v>
      </c>
      <c r="G1011" s="469" t="s">
        <v>2472</v>
      </c>
      <c r="H1011" s="470">
        <v>1E-8</v>
      </c>
      <c r="I1011" s="471">
        <v>1.3280192891666669E-8</v>
      </c>
      <c r="J1011" s="485" t="s">
        <v>421</v>
      </c>
      <c r="K1011" s="472" t="s">
        <v>633</v>
      </c>
      <c r="L1011" s="473" t="s">
        <v>530</v>
      </c>
      <c r="M1011" s="473" t="s">
        <v>3364</v>
      </c>
      <c r="N1011" s="473" t="s">
        <v>1718</v>
      </c>
      <c r="O1011" s="474" t="s">
        <v>3444</v>
      </c>
    </row>
    <row r="1012" spans="1:15" s="475" customFormat="1" ht="12" hidden="1">
      <c r="A1012" s="465">
        <v>10131000056436</v>
      </c>
      <c r="B1012" s="476" t="s">
        <v>3456</v>
      </c>
      <c r="C1012" s="476" t="s">
        <v>3456</v>
      </c>
      <c r="D1012" s="467" t="s">
        <v>2604</v>
      </c>
      <c r="E1012" s="472" t="s">
        <v>2491</v>
      </c>
      <c r="F1012" s="477">
        <v>61.75</v>
      </c>
      <c r="G1012" s="469">
        <v>65.47</v>
      </c>
      <c r="H1012" s="487">
        <v>62.41</v>
      </c>
      <c r="I1012" s="471">
        <v>62.41</v>
      </c>
      <c r="J1012" s="488" t="s">
        <v>2492</v>
      </c>
      <c r="K1012" s="472" t="s">
        <v>2522</v>
      </c>
      <c r="L1012" s="473" t="s">
        <v>530</v>
      </c>
      <c r="M1012" s="473" t="s">
        <v>3364</v>
      </c>
      <c r="N1012" s="473" t="s">
        <v>820</v>
      </c>
      <c r="O1012" s="474" t="s">
        <v>2605</v>
      </c>
    </row>
    <row r="1013" spans="1:15" s="475" customFormat="1" ht="12" hidden="1">
      <c r="A1013" s="465">
        <v>10131000056713</v>
      </c>
      <c r="B1013" s="476" t="s">
        <v>3456</v>
      </c>
      <c r="C1013" s="476" t="s">
        <v>3456</v>
      </c>
      <c r="D1013" s="467" t="s">
        <v>2604</v>
      </c>
      <c r="E1013" s="472" t="s">
        <v>2541</v>
      </c>
      <c r="F1013" s="477">
        <v>63.3275814</v>
      </c>
      <c r="G1013" s="469" t="s">
        <v>2472</v>
      </c>
      <c r="H1013" s="470">
        <v>47.81</v>
      </c>
      <c r="I1013" s="471">
        <v>73.267781068649995</v>
      </c>
      <c r="J1013" s="485" t="s">
        <v>421</v>
      </c>
      <c r="K1013" s="472" t="s">
        <v>651</v>
      </c>
      <c r="L1013" s="473" t="s">
        <v>530</v>
      </c>
      <c r="M1013" s="473" t="s">
        <v>3364</v>
      </c>
      <c r="N1013" s="473" t="s">
        <v>820</v>
      </c>
      <c r="O1013" s="474" t="s">
        <v>2605</v>
      </c>
    </row>
    <row r="1014" spans="1:15" s="475" customFormat="1" ht="12" hidden="1">
      <c r="A1014" s="465">
        <v>10131000056729</v>
      </c>
      <c r="B1014" s="476" t="s">
        <v>3456</v>
      </c>
      <c r="C1014" s="476" t="s">
        <v>3456</v>
      </c>
      <c r="D1014" s="467" t="s">
        <v>2604</v>
      </c>
      <c r="E1014" s="472" t="s">
        <v>2541</v>
      </c>
      <c r="F1014" s="477">
        <v>63.3275814</v>
      </c>
      <c r="G1014" s="469" t="s">
        <v>2472</v>
      </c>
      <c r="H1014" s="470">
        <v>47.81</v>
      </c>
      <c r="I1014" s="471">
        <v>73.267781068649995</v>
      </c>
      <c r="J1014" s="485" t="s">
        <v>421</v>
      </c>
      <c r="K1014" s="472" t="s">
        <v>651</v>
      </c>
      <c r="L1014" s="473" t="s">
        <v>530</v>
      </c>
      <c r="M1014" s="473" t="s">
        <v>3364</v>
      </c>
      <c r="N1014" s="473" t="s">
        <v>820</v>
      </c>
      <c r="O1014" s="474" t="s">
        <v>2605</v>
      </c>
    </row>
    <row r="1015" spans="1:15" s="475" customFormat="1" ht="12" hidden="1">
      <c r="A1015" s="465">
        <v>10131000056730</v>
      </c>
      <c r="B1015" s="476" t="s">
        <v>3456</v>
      </c>
      <c r="C1015" s="476" t="s">
        <v>3456</v>
      </c>
      <c r="D1015" s="467" t="s">
        <v>2604</v>
      </c>
      <c r="E1015" s="472" t="s">
        <v>2541</v>
      </c>
      <c r="F1015" s="477">
        <v>63.3275814</v>
      </c>
      <c r="G1015" s="469" t="s">
        <v>2472</v>
      </c>
      <c r="H1015" s="470">
        <v>47.81</v>
      </c>
      <c r="I1015" s="471">
        <v>73.267781068649995</v>
      </c>
      <c r="J1015" s="485" t="s">
        <v>421</v>
      </c>
      <c r="K1015" s="472" t="s">
        <v>651</v>
      </c>
      <c r="L1015" s="473" t="s">
        <v>530</v>
      </c>
      <c r="M1015" s="473" t="s">
        <v>3364</v>
      </c>
      <c r="N1015" s="473" t="s">
        <v>820</v>
      </c>
      <c r="O1015" s="474" t="s">
        <v>2605</v>
      </c>
    </row>
    <row r="1016" spans="1:15" s="475" customFormat="1" ht="12" hidden="1">
      <c r="A1016" s="465">
        <v>10131000056732</v>
      </c>
      <c r="B1016" s="476" t="s">
        <v>3456</v>
      </c>
      <c r="C1016" s="476" t="s">
        <v>3456</v>
      </c>
      <c r="D1016" s="467" t="s">
        <v>2604</v>
      </c>
      <c r="E1016" s="472" t="s">
        <v>2541</v>
      </c>
      <c r="F1016" s="477">
        <v>63.3275814</v>
      </c>
      <c r="G1016" s="469" t="s">
        <v>2472</v>
      </c>
      <c r="H1016" s="470">
        <v>47.81</v>
      </c>
      <c r="I1016" s="471">
        <v>73.267781068649995</v>
      </c>
      <c r="J1016" s="485" t="s">
        <v>421</v>
      </c>
      <c r="K1016" s="472" t="s">
        <v>651</v>
      </c>
      <c r="L1016" s="473" t="s">
        <v>530</v>
      </c>
      <c r="M1016" s="473" t="s">
        <v>3364</v>
      </c>
      <c r="N1016" s="473" t="s">
        <v>820</v>
      </c>
      <c r="O1016" s="474" t="s">
        <v>2605</v>
      </c>
    </row>
    <row r="1017" spans="1:15" s="475" customFormat="1" ht="12" hidden="1">
      <c r="A1017" s="465">
        <v>10131000056760</v>
      </c>
      <c r="B1017" s="476" t="s">
        <v>3456</v>
      </c>
      <c r="C1017" s="476" t="s">
        <v>3456</v>
      </c>
      <c r="D1017" s="467" t="s">
        <v>2604</v>
      </c>
      <c r="E1017" s="472" t="s">
        <v>2541</v>
      </c>
      <c r="F1017" s="477">
        <v>63.3275814</v>
      </c>
      <c r="G1017" s="469" t="s">
        <v>2472</v>
      </c>
      <c r="H1017" s="470">
        <v>47.81</v>
      </c>
      <c r="I1017" s="471">
        <v>73.267781068649995</v>
      </c>
      <c r="J1017" s="485" t="s">
        <v>421</v>
      </c>
      <c r="K1017" s="472" t="s">
        <v>651</v>
      </c>
      <c r="L1017" s="473" t="s">
        <v>530</v>
      </c>
      <c r="M1017" s="473" t="s">
        <v>3364</v>
      </c>
      <c r="N1017" s="473" t="s">
        <v>820</v>
      </c>
      <c r="O1017" s="474" t="s">
        <v>2605</v>
      </c>
    </row>
    <row r="1018" spans="1:15" s="475" customFormat="1" ht="12" hidden="1">
      <c r="A1018" s="465">
        <v>10131000056762</v>
      </c>
      <c r="B1018" s="476" t="s">
        <v>3456</v>
      </c>
      <c r="C1018" s="476" t="s">
        <v>3456</v>
      </c>
      <c r="D1018" s="467" t="s">
        <v>2604</v>
      </c>
      <c r="E1018" s="472" t="s">
        <v>2541</v>
      </c>
      <c r="F1018" s="477">
        <v>63.3275814</v>
      </c>
      <c r="G1018" s="469" t="s">
        <v>2472</v>
      </c>
      <c r="H1018" s="470">
        <v>47.81</v>
      </c>
      <c r="I1018" s="471">
        <v>73.267781068649995</v>
      </c>
      <c r="J1018" s="485" t="s">
        <v>421</v>
      </c>
      <c r="K1018" s="472" t="s">
        <v>651</v>
      </c>
      <c r="L1018" s="473" t="s">
        <v>530</v>
      </c>
      <c r="M1018" s="473" t="s">
        <v>3364</v>
      </c>
      <c r="N1018" s="473" t="s">
        <v>820</v>
      </c>
      <c r="O1018" s="474" t="s">
        <v>2605</v>
      </c>
    </row>
    <row r="1019" spans="1:15" s="475" customFormat="1" ht="12" hidden="1">
      <c r="A1019" s="465">
        <v>10131000056875</v>
      </c>
      <c r="B1019" s="476" t="s">
        <v>3456</v>
      </c>
      <c r="C1019" s="476" t="s">
        <v>3456</v>
      </c>
      <c r="D1019" s="467" t="s">
        <v>2604</v>
      </c>
      <c r="E1019" s="472" t="s">
        <v>2491</v>
      </c>
      <c r="F1019" s="477">
        <v>63.612000000000002</v>
      </c>
      <c r="G1019" s="469" t="s">
        <v>2472</v>
      </c>
      <c r="H1019" s="470">
        <v>73.27</v>
      </c>
      <c r="I1019" s="471">
        <v>73.27</v>
      </c>
      <c r="J1019" s="485" t="s">
        <v>421</v>
      </c>
      <c r="K1019" s="472" t="s">
        <v>651</v>
      </c>
      <c r="L1019" s="473" t="s">
        <v>530</v>
      </c>
      <c r="M1019" s="473" t="s">
        <v>3364</v>
      </c>
      <c r="N1019" s="473" t="s">
        <v>820</v>
      </c>
      <c r="O1019" s="474" t="s">
        <v>2605</v>
      </c>
    </row>
    <row r="1020" spans="1:15" s="475" customFormat="1" ht="12" hidden="1">
      <c r="A1020" s="465">
        <v>10131000056876</v>
      </c>
      <c r="B1020" s="476" t="s">
        <v>3456</v>
      </c>
      <c r="C1020" s="476" t="s">
        <v>3456</v>
      </c>
      <c r="D1020" s="467" t="s">
        <v>2604</v>
      </c>
      <c r="E1020" s="472" t="s">
        <v>2491</v>
      </c>
      <c r="F1020" s="477">
        <v>63.612000000000002</v>
      </c>
      <c r="G1020" s="469" t="s">
        <v>2472</v>
      </c>
      <c r="H1020" s="470">
        <v>73.27</v>
      </c>
      <c r="I1020" s="471">
        <v>73.27</v>
      </c>
      <c r="J1020" s="485" t="s">
        <v>421</v>
      </c>
      <c r="K1020" s="472" t="s">
        <v>651</v>
      </c>
      <c r="L1020" s="473" t="s">
        <v>530</v>
      </c>
      <c r="M1020" s="473" t="s">
        <v>3364</v>
      </c>
      <c r="N1020" s="473" t="s">
        <v>820</v>
      </c>
      <c r="O1020" s="474" t="s">
        <v>2605</v>
      </c>
    </row>
    <row r="1021" spans="1:15" s="475" customFormat="1" ht="12" hidden="1">
      <c r="A1021" s="465">
        <v>10131000056877</v>
      </c>
      <c r="B1021" s="476" t="s">
        <v>3456</v>
      </c>
      <c r="C1021" s="476" t="s">
        <v>3456</v>
      </c>
      <c r="D1021" s="467" t="s">
        <v>2604</v>
      </c>
      <c r="E1021" s="472" t="s">
        <v>2491</v>
      </c>
      <c r="F1021" s="477">
        <v>63.612000000000002</v>
      </c>
      <c r="G1021" s="469" t="s">
        <v>2472</v>
      </c>
      <c r="H1021" s="470">
        <v>73.27</v>
      </c>
      <c r="I1021" s="471">
        <v>73.27</v>
      </c>
      <c r="J1021" s="485" t="s">
        <v>421</v>
      </c>
      <c r="K1021" s="472" t="s">
        <v>651</v>
      </c>
      <c r="L1021" s="473" t="s">
        <v>530</v>
      </c>
      <c r="M1021" s="473" t="s">
        <v>3364</v>
      </c>
      <c r="N1021" s="473" t="s">
        <v>820</v>
      </c>
      <c r="O1021" s="474" t="s">
        <v>2605</v>
      </c>
    </row>
    <row r="1022" spans="1:15" s="475" customFormat="1" ht="12" hidden="1">
      <c r="A1022" s="465">
        <v>10131000056878</v>
      </c>
      <c r="B1022" s="476" t="s">
        <v>3456</v>
      </c>
      <c r="C1022" s="476" t="s">
        <v>3456</v>
      </c>
      <c r="D1022" s="467" t="s">
        <v>2604</v>
      </c>
      <c r="E1022" s="472" t="s">
        <v>2491</v>
      </c>
      <c r="F1022" s="477">
        <v>63.612000000000002</v>
      </c>
      <c r="G1022" s="469" t="s">
        <v>2472</v>
      </c>
      <c r="H1022" s="470">
        <v>73.27</v>
      </c>
      <c r="I1022" s="471">
        <v>73.27</v>
      </c>
      <c r="J1022" s="485" t="s">
        <v>421</v>
      </c>
      <c r="K1022" s="472" t="s">
        <v>651</v>
      </c>
      <c r="L1022" s="473" t="s">
        <v>530</v>
      </c>
      <c r="M1022" s="473" t="s">
        <v>3364</v>
      </c>
      <c r="N1022" s="473" t="s">
        <v>820</v>
      </c>
      <c r="O1022" s="474" t="s">
        <v>2605</v>
      </c>
    </row>
    <row r="1023" spans="1:15" s="475" customFormat="1" ht="12" hidden="1">
      <c r="A1023" s="465">
        <v>10131000057235</v>
      </c>
      <c r="B1023" s="466" t="s">
        <v>3456</v>
      </c>
      <c r="C1023" s="466" t="s">
        <v>3456</v>
      </c>
      <c r="D1023" s="467" t="s">
        <v>2604</v>
      </c>
      <c r="E1023" s="468" t="s">
        <v>2491</v>
      </c>
      <c r="F1023" s="477">
        <v>65.650000000000006</v>
      </c>
      <c r="G1023" s="469" t="s">
        <v>2472</v>
      </c>
      <c r="H1023" s="470">
        <v>70.900000000000006</v>
      </c>
      <c r="I1023" s="471">
        <v>70.900000000000006</v>
      </c>
      <c r="J1023" s="472" t="s">
        <v>423</v>
      </c>
      <c r="K1023" s="472" t="s">
        <v>534</v>
      </c>
      <c r="L1023" s="473" t="s">
        <v>530</v>
      </c>
      <c r="M1023" s="473" t="s">
        <v>3364</v>
      </c>
      <c r="N1023" s="473" t="s">
        <v>820</v>
      </c>
      <c r="O1023" s="474" t="s">
        <v>2605</v>
      </c>
    </row>
    <row r="1024" spans="1:15" s="475" customFormat="1" ht="12" hidden="1">
      <c r="A1024" s="465">
        <v>10131000057978</v>
      </c>
      <c r="B1024" s="466" t="s">
        <v>3456</v>
      </c>
      <c r="C1024" s="466" t="s">
        <v>3457</v>
      </c>
      <c r="D1024" s="467" t="s">
        <v>2604</v>
      </c>
      <c r="E1024" s="468" t="s">
        <v>2491</v>
      </c>
      <c r="F1024" s="477" t="s">
        <v>2472</v>
      </c>
      <c r="G1024" s="469" t="s">
        <v>2472</v>
      </c>
      <c r="H1024" s="470">
        <v>70.900000000000006</v>
      </c>
      <c r="I1024" s="471">
        <v>70.900000000000006</v>
      </c>
      <c r="J1024" s="472" t="s">
        <v>423</v>
      </c>
      <c r="K1024" s="472" t="s">
        <v>2620</v>
      </c>
      <c r="L1024" s="473" t="s">
        <v>530</v>
      </c>
      <c r="M1024" s="473" t="s">
        <v>3364</v>
      </c>
      <c r="N1024" s="473" t="s">
        <v>820</v>
      </c>
      <c r="O1024" s="474" t="s">
        <v>2605</v>
      </c>
    </row>
    <row r="1025" spans="1:15" s="475" customFormat="1" ht="12" hidden="1">
      <c r="A1025" s="465">
        <v>10131000057980</v>
      </c>
      <c r="B1025" s="466" t="s">
        <v>3456</v>
      </c>
      <c r="C1025" s="466" t="s">
        <v>3457</v>
      </c>
      <c r="D1025" s="467" t="s">
        <v>2604</v>
      </c>
      <c r="E1025" s="468" t="s">
        <v>2619</v>
      </c>
      <c r="F1025" s="477" t="s">
        <v>2472</v>
      </c>
      <c r="G1025" s="469" t="s">
        <v>2472</v>
      </c>
      <c r="H1025" s="470">
        <v>70.900000000000006</v>
      </c>
      <c r="I1025" s="471">
        <v>70.900000000000006</v>
      </c>
      <c r="J1025" s="472" t="s">
        <v>423</v>
      </c>
      <c r="K1025" s="472" t="s">
        <v>2620</v>
      </c>
      <c r="L1025" s="473" t="s">
        <v>530</v>
      </c>
      <c r="M1025" s="473" t="s">
        <v>3364</v>
      </c>
      <c r="N1025" s="473" t="s">
        <v>820</v>
      </c>
      <c r="O1025" s="474" t="s">
        <v>2605</v>
      </c>
    </row>
    <row r="1026" spans="1:15" s="475" customFormat="1" ht="12" hidden="1">
      <c r="A1026" s="465">
        <v>10131000058717</v>
      </c>
      <c r="B1026" s="489" t="s">
        <v>3456</v>
      </c>
      <c r="C1026" s="489" t="s">
        <v>3458</v>
      </c>
      <c r="D1026" s="467" t="s">
        <v>2604</v>
      </c>
      <c r="E1026" s="478" t="s">
        <v>2514</v>
      </c>
      <c r="F1026" s="477" t="s">
        <v>2472</v>
      </c>
      <c r="G1026" s="469" t="s">
        <v>2472</v>
      </c>
      <c r="H1026" s="481">
        <v>0</v>
      </c>
      <c r="I1026" s="482">
        <v>0</v>
      </c>
      <c r="J1026" s="483" t="s">
        <v>2515</v>
      </c>
      <c r="K1026" s="483" t="s">
        <v>2515</v>
      </c>
      <c r="L1026" s="473" t="s">
        <v>530</v>
      </c>
      <c r="M1026" s="473" t="s">
        <v>3364</v>
      </c>
      <c r="N1026" s="473" t="s">
        <v>820</v>
      </c>
      <c r="O1026" s="474" t="s">
        <v>2605</v>
      </c>
    </row>
    <row r="1027" spans="1:15" s="475" customFormat="1" ht="12" hidden="1">
      <c r="A1027" s="465">
        <v>10131000058716</v>
      </c>
      <c r="B1027" s="489" t="s">
        <v>3456</v>
      </c>
      <c r="C1027" s="489" t="s">
        <v>3459</v>
      </c>
      <c r="D1027" s="467" t="s">
        <v>2604</v>
      </c>
      <c r="E1027" s="478" t="s">
        <v>2514</v>
      </c>
      <c r="F1027" s="477" t="s">
        <v>2472</v>
      </c>
      <c r="G1027" s="469" t="s">
        <v>2472</v>
      </c>
      <c r="H1027" s="481">
        <v>0</v>
      </c>
      <c r="I1027" s="482">
        <v>0</v>
      </c>
      <c r="J1027" s="483" t="s">
        <v>2515</v>
      </c>
      <c r="K1027" s="483" t="s">
        <v>2515</v>
      </c>
      <c r="L1027" s="473" t="s">
        <v>530</v>
      </c>
      <c r="M1027" s="473" t="s">
        <v>3364</v>
      </c>
      <c r="N1027" s="473" t="s">
        <v>820</v>
      </c>
      <c r="O1027" s="474" t="s">
        <v>2605</v>
      </c>
    </row>
    <row r="1028" spans="1:15" s="475" customFormat="1" ht="12" hidden="1">
      <c r="A1028" s="465">
        <v>10131000057111</v>
      </c>
      <c r="B1028" s="476" t="s">
        <v>3460</v>
      </c>
      <c r="C1028" s="476" t="s">
        <v>3460</v>
      </c>
      <c r="D1028" s="467" t="s">
        <v>12</v>
      </c>
      <c r="E1028" s="472" t="s">
        <v>2491</v>
      </c>
      <c r="F1028" s="477">
        <v>477.06</v>
      </c>
      <c r="G1028" s="469" t="s">
        <v>2472</v>
      </c>
      <c r="H1028" s="487">
        <v>787.24</v>
      </c>
      <c r="I1028" s="471">
        <v>787.24</v>
      </c>
      <c r="J1028" s="488" t="s">
        <v>2492</v>
      </c>
      <c r="K1028" s="472" t="s">
        <v>2522</v>
      </c>
      <c r="L1028" s="473" t="s">
        <v>530</v>
      </c>
      <c r="M1028" s="473" t="s">
        <v>3364</v>
      </c>
      <c r="N1028" s="473" t="s">
        <v>3461</v>
      </c>
      <c r="O1028" s="474" t="s">
        <v>3462</v>
      </c>
    </row>
    <row r="1029" spans="1:15" s="475" customFormat="1" ht="12">
      <c r="A1029" s="465">
        <v>10131000057232</v>
      </c>
      <c r="B1029" s="466" t="s">
        <v>3460</v>
      </c>
      <c r="C1029" s="466" t="s">
        <v>3460</v>
      </c>
      <c r="D1029" s="467" t="s">
        <v>12</v>
      </c>
      <c r="E1029" s="468" t="s">
        <v>2491</v>
      </c>
      <c r="F1029" s="511">
        <v>527</v>
      </c>
      <c r="G1029" s="469" t="s">
        <v>2472</v>
      </c>
      <c r="H1029" s="470">
        <v>609</v>
      </c>
      <c r="I1029" s="510">
        <v>609</v>
      </c>
      <c r="J1029" s="472" t="s">
        <v>423</v>
      </c>
      <c r="K1029" s="472" t="s">
        <v>534</v>
      </c>
      <c r="L1029" s="473" t="s">
        <v>530</v>
      </c>
      <c r="M1029" s="473" t="s">
        <v>3364</v>
      </c>
      <c r="N1029" s="473" t="s">
        <v>3461</v>
      </c>
      <c r="O1029" s="474" t="s">
        <v>3462</v>
      </c>
    </row>
    <row r="1030" spans="1:15" s="475" customFormat="1" ht="12" hidden="1">
      <c r="A1030" s="465">
        <v>10131000026615</v>
      </c>
      <c r="B1030" s="476" t="s">
        <v>3460</v>
      </c>
      <c r="C1030" s="476" t="s">
        <v>3460</v>
      </c>
      <c r="D1030" s="467" t="s">
        <v>12</v>
      </c>
      <c r="E1030" s="472" t="s">
        <v>2541</v>
      </c>
      <c r="F1030" s="477">
        <v>589.71996000000001</v>
      </c>
      <c r="G1030" s="469" t="s">
        <v>2472</v>
      </c>
      <c r="H1030" s="470">
        <v>445.21</v>
      </c>
      <c r="I1030" s="471">
        <v>682.2746038396499</v>
      </c>
      <c r="J1030" s="485" t="s">
        <v>421</v>
      </c>
      <c r="K1030" s="472" t="s">
        <v>651</v>
      </c>
      <c r="L1030" s="473" t="s">
        <v>530</v>
      </c>
      <c r="M1030" s="473" t="s">
        <v>3364</v>
      </c>
      <c r="N1030" s="473" t="s">
        <v>3461</v>
      </c>
      <c r="O1030" s="474" t="s">
        <v>3462</v>
      </c>
    </row>
    <row r="1031" spans="1:15" s="475" customFormat="1" ht="12" hidden="1">
      <c r="A1031" s="465">
        <v>10131000026616</v>
      </c>
      <c r="B1031" s="476" t="s">
        <v>3460</v>
      </c>
      <c r="C1031" s="476" t="s">
        <v>3460</v>
      </c>
      <c r="D1031" s="467" t="s">
        <v>12</v>
      </c>
      <c r="E1031" s="472" t="s">
        <v>2541</v>
      </c>
      <c r="F1031" s="477">
        <v>589.71996000000001</v>
      </c>
      <c r="G1031" s="469" t="s">
        <v>2472</v>
      </c>
      <c r="H1031" s="470">
        <v>445.21</v>
      </c>
      <c r="I1031" s="471">
        <v>682.2746038396499</v>
      </c>
      <c r="J1031" s="485" t="s">
        <v>421</v>
      </c>
      <c r="K1031" s="472" t="s">
        <v>651</v>
      </c>
      <c r="L1031" s="473" t="s">
        <v>530</v>
      </c>
      <c r="M1031" s="473" t="s">
        <v>3364</v>
      </c>
      <c r="N1031" s="473" t="s">
        <v>3461</v>
      </c>
      <c r="O1031" s="474" t="s">
        <v>3462</v>
      </c>
    </row>
    <row r="1032" spans="1:15" s="475" customFormat="1" ht="12" hidden="1">
      <c r="A1032" s="465">
        <v>10131000026618</v>
      </c>
      <c r="B1032" s="476" t="s">
        <v>3460</v>
      </c>
      <c r="C1032" s="476" t="s">
        <v>3460</v>
      </c>
      <c r="D1032" s="467" t="s">
        <v>12</v>
      </c>
      <c r="E1032" s="472" t="s">
        <v>2491</v>
      </c>
      <c r="F1032" s="477">
        <v>592.41</v>
      </c>
      <c r="G1032" s="469" t="s">
        <v>2472</v>
      </c>
      <c r="H1032" s="470">
        <v>682.27</v>
      </c>
      <c r="I1032" s="471">
        <v>682.27</v>
      </c>
      <c r="J1032" s="485" t="s">
        <v>421</v>
      </c>
      <c r="K1032" s="472" t="s">
        <v>651</v>
      </c>
      <c r="L1032" s="473" t="s">
        <v>530</v>
      </c>
      <c r="M1032" s="473" t="s">
        <v>3364</v>
      </c>
      <c r="N1032" s="473" t="s">
        <v>3461</v>
      </c>
      <c r="O1032" s="474" t="s">
        <v>3462</v>
      </c>
    </row>
    <row r="1033" spans="1:15" s="475" customFormat="1" ht="12" hidden="1">
      <c r="A1033" s="465">
        <v>10131000007471</v>
      </c>
      <c r="B1033" s="476" t="s">
        <v>3460</v>
      </c>
      <c r="C1033" s="476" t="s">
        <v>3463</v>
      </c>
      <c r="D1033" s="467" t="s">
        <v>12</v>
      </c>
      <c r="E1033" s="472" t="s">
        <v>2491</v>
      </c>
      <c r="F1033" s="477">
        <v>2287.23</v>
      </c>
      <c r="G1033" s="469" t="s">
        <v>2472</v>
      </c>
      <c r="H1033" s="487">
        <v>3273.46</v>
      </c>
      <c r="I1033" s="471">
        <v>3273.46</v>
      </c>
      <c r="J1033" s="488" t="s">
        <v>2492</v>
      </c>
      <c r="K1033" s="472" t="s">
        <v>666</v>
      </c>
      <c r="L1033" s="473" t="s">
        <v>530</v>
      </c>
      <c r="M1033" s="473" t="s">
        <v>3364</v>
      </c>
      <c r="N1033" s="473" t="s">
        <v>3461</v>
      </c>
      <c r="O1033" s="474" t="s">
        <v>3462</v>
      </c>
    </row>
    <row r="1034" spans="1:15" s="475" customFormat="1" ht="12" hidden="1">
      <c r="A1034" s="465">
        <v>10131000026632</v>
      </c>
      <c r="B1034" s="489" t="s">
        <v>3460</v>
      </c>
      <c r="C1034" s="489" t="s">
        <v>3464</v>
      </c>
      <c r="D1034" s="467" t="s">
        <v>12</v>
      </c>
      <c r="E1034" s="478" t="s">
        <v>2514</v>
      </c>
      <c r="F1034" s="477">
        <v>2470.67798232</v>
      </c>
      <c r="G1034" s="469" t="s">
        <v>2472</v>
      </c>
      <c r="H1034" s="481">
        <v>284820</v>
      </c>
      <c r="I1034" s="482">
        <v>2907.57</v>
      </c>
      <c r="J1034" s="483" t="s">
        <v>2515</v>
      </c>
      <c r="K1034" s="483" t="s">
        <v>2515</v>
      </c>
      <c r="L1034" s="473" t="s">
        <v>530</v>
      </c>
      <c r="M1034" s="473" t="s">
        <v>3364</v>
      </c>
      <c r="N1034" s="473" t="s">
        <v>3461</v>
      </c>
      <c r="O1034" s="474" t="s">
        <v>3462</v>
      </c>
    </row>
    <row r="1035" spans="1:15" s="475" customFormat="1" ht="12" hidden="1">
      <c r="A1035" s="465">
        <v>1000058594</v>
      </c>
      <c r="B1035" s="476" t="s">
        <v>3460</v>
      </c>
      <c r="C1035" s="476" t="s">
        <v>3465</v>
      </c>
      <c r="D1035" s="467" t="s">
        <v>12</v>
      </c>
      <c r="E1035" s="472" t="s">
        <v>2491</v>
      </c>
      <c r="F1035" s="477" t="s">
        <v>2472</v>
      </c>
      <c r="G1035" s="469" t="s">
        <v>2472</v>
      </c>
      <c r="H1035" s="487">
        <v>922.79</v>
      </c>
      <c r="I1035" s="471">
        <v>922.79</v>
      </c>
      <c r="J1035" s="488" t="s">
        <v>2492</v>
      </c>
      <c r="K1035" s="472" t="s">
        <v>658</v>
      </c>
      <c r="L1035" s="473" t="s">
        <v>530</v>
      </c>
      <c r="M1035" s="473" t="s">
        <v>3364</v>
      </c>
      <c r="N1035" s="473" t="s">
        <v>3461</v>
      </c>
      <c r="O1035" s="474" t="s">
        <v>3462</v>
      </c>
    </row>
    <row r="1036" spans="1:15" s="475" customFormat="1" ht="12" hidden="1">
      <c r="A1036" s="465">
        <v>10131000058555</v>
      </c>
      <c r="B1036" s="476" t="s">
        <v>3460</v>
      </c>
      <c r="C1036" s="476" t="s">
        <v>3460</v>
      </c>
      <c r="D1036" s="467" t="s">
        <v>12</v>
      </c>
      <c r="E1036" s="472" t="s">
        <v>2491</v>
      </c>
      <c r="F1036" s="477" t="s">
        <v>2472</v>
      </c>
      <c r="G1036" s="469" t="s">
        <v>2472</v>
      </c>
      <c r="H1036" s="487">
        <v>745.01</v>
      </c>
      <c r="I1036" s="471">
        <v>745.01</v>
      </c>
      <c r="J1036" s="488" t="s">
        <v>2492</v>
      </c>
      <c r="K1036" s="472" t="s">
        <v>2495</v>
      </c>
      <c r="L1036" s="473" t="s">
        <v>530</v>
      </c>
      <c r="M1036" s="473" t="s">
        <v>3364</v>
      </c>
      <c r="N1036" s="473" t="s">
        <v>3461</v>
      </c>
      <c r="O1036" s="474" t="s">
        <v>3462</v>
      </c>
    </row>
    <row r="1037" spans="1:15" s="475" customFormat="1" ht="12" hidden="1">
      <c r="A1037" s="465">
        <v>10131000058567</v>
      </c>
      <c r="B1037" s="476" t="s">
        <v>3460</v>
      </c>
      <c r="C1037" s="476" t="s">
        <v>3460</v>
      </c>
      <c r="D1037" s="467" t="s">
        <v>12</v>
      </c>
      <c r="E1037" s="472" t="s">
        <v>2491</v>
      </c>
      <c r="F1037" s="477" t="s">
        <v>2472</v>
      </c>
      <c r="G1037" s="469" t="s">
        <v>2472</v>
      </c>
      <c r="H1037" s="487">
        <v>745.01</v>
      </c>
      <c r="I1037" s="471">
        <v>745.01</v>
      </c>
      <c r="J1037" s="488" t="s">
        <v>2492</v>
      </c>
      <c r="K1037" s="472" t="s">
        <v>2495</v>
      </c>
      <c r="L1037" s="473" t="s">
        <v>530</v>
      </c>
      <c r="M1037" s="473" t="s">
        <v>3364</v>
      </c>
      <c r="N1037" s="473" t="s">
        <v>3461</v>
      </c>
      <c r="O1037" s="474" t="s">
        <v>3462</v>
      </c>
    </row>
    <row r="1038" spans="1:15" s="475" customFormat="1" ht="12" hidden="1">
      <c r="A1038" s="465">
        <v>10131000052448</v>
      </c>
      <c r="B1038" s="489" t="s">
        <v>3460</v>
      </c>
      <c r="C1038" s="489" t="s">
        <v>3466</v>
      </c>
      <c r="D1038" s="467" t="s">
        <v>12</v>
      </c>
      <c r="E1038" s="478" t="s">
        <v>2514</v>
      </c>
      <c r="F1038" s="477" t="s">
        <v>2472</v>
      </c>
      <c r="G1038" s="469" t="s">
        <v>2472</v>
      </c>
      <c r="H1038" s="481">
        <v>284820</v>
      </c>
      <c r="I1038" s="482">
        <v>2907.57</v>
      </c>
      <c r="J1038" s="483" t="s">
        <v>2515</v>
      </c>
      <c r="K1038" s="483" t="s">
        <v>2515</v>
      </c>
      <c r="L1038" s="473" t="s">
        <v>530</v>
      </c>
      <c r="M1038" s="473" t="s">
        <v>3364</v>
      </c>
      <c r="N1038" s="473" t="s">
        <v>3461</v>
      </c>
      <c r="O1038" s="474" t="s">
        <v>3462</v>
      </c>
    </row>
    <row r="1039" spans="1:15" s="475" customFormat="1" ht="12" hidden="1">
      <c r="A1039" s="465">
        <v>1000099005</v>
      </c>
      <c r="B1039" s="466" t="s">
        <v>3460</v>
      </c>
      <c r="C1039" s="466" t="s">
        <v>3460</v>
      </c>
      <c r="D1039" s="467" t="s">
        <v>12</v>
      </c>
      <c r="E1039" s="468" t="s">
        <v>2471</v>
      </c>
      <c r="F1039" s="477" t="s">
        <v>2472</v>
      </c>
      <c r="G1039" s="469" t="s">
        <v>2472</v>
      </c>
      <c r="H1039" s="470">
        <v>8424.4592435060695</v>
      </c>
      <c r="I1039" s="471">
        <v>650.5373933209321</v>
      </c>
      <c r="J1039" s="472" t="s">
        <v>422</v>
      </c>
      <c r="K1039" s="472" t="s">
        <v>2473</v>
      </c>
      <c r="L1039" s="473" t="s">
        <v>530</v>
      </c>
      <c r="M1039" s="473" t="s">
        <v>3364</v>
      </c>
      <c r="N1039" s="473" t="s">
        <v>3461</v>
      </c>
      <c r="O1039" s="474" t="s">
        <v>3462</v>
      </c>
    </row>
    <row r="1040" spans="1:15" s="475" customFormat="1" ht="12" hidden="1">
      <c r="A1040" s="465">
        <v>10131000057112</v>
      </c>
      <c r="B1040" s="476" t="s">
        <v>3467</v>
      </c>
      <c r="C1040" s="476" t="s">
        <v>3468</v>
      </c>
      <c r="D1040" s="467" t="s">
        <v>12</v>
      </c>
      <c r="E1040" s="472" t="s">
        <v>2491</v>
      </c>
      <c r="F1040" s="477">
        <v>644.03</v>
      </c>
      <c r="G1040" s="477">
        <v>927.4</v>
      </c>
      <c r="H1040" s="487">
        <v>1049.81</v>
      </c>
      <c r="I1040" s="471">
        <v>1049.81</v>
      </c>
      <c r="J1040" s="488" t="s">
        <v>2492</v>
      </c>
      <c r="K1040" s="472" t="s">
        <v>2522</v>
      </c>
      <c r="L1040" s="473" t="s">
        <v>530</v>
      </c>
      <c r="M1040" s="473" t="s">
        <v>3364</v>
      </c>
      <c r="N1040" s="473" t="s">
        <v>3461</v>
      </c>
      <c r="O1040" s="474" t="s">
        <v>3462</v>
      </c>
    </row>
    <row r="1041" spans="1:15" s="475" customFormat="1" ht="12" hidden="1">
      <c r="A1041" s="465">
        <v>10131000033104</v>
      </c>
      <c r="B1041" s="466" t="s">
        <v>3467</v>
      </c>
      <c r="C1041" s="466" t="s">
        <v>3469</v>
      </c>
      <c r="D1041" s="467" t="s">
        <v>12</v>
      </c>
      <c r="E1041" s="468" t="s">
        <v>2619</v>
      </c>
      <c r="F1041" s="477">
        <v>711.66253011000003</v>
      </c>
      <c r="G1041" s="469" t="s">
        <v>2472</v>
      </c>
      <c r="H1041" s="470">
        <v>829</v>
      </c>
      <c r="I1041" s="471">
        <v>829</v>
      </c>
      <c r="J1041" s="472" t="s">
        <v>423</v>
      </c>
      <c r="K1041" s="472" t="s">
        <v>2620</v>
      </c>
      <c r="L1041" s="473" t="s">
        <v>530</v>
      </c>
      <c r="M1041" s="473" t="s">
        <v>3364</v>
      </c>
      <c r="N1041" s="473" t="s">
        <v>3461</v>
      </c>
      <c r="O1041" s="474" t="s">
        <v>3470</v>
      </c>
    </row>
    <row r="1042" spans="1:15" s="475" customFormat="1" ht="12" hidden="1">
      <c r="A1042" s="465">
        <v>10131000033103</v>
      </c>
      <c r="B1042" s="466" t="s">
        <v>3467</v>
      </c>
      <c r="C1042" s="466" t="s">
        <v>3469</v>
      </c>
      <c r="D1042" s="467" t="s">
        <v>12</v>
      </c>
      <c r="E1042" s="468" t="s">
        <v>2491</v>
      </c>
      <c r="F1042" s="477">
        <v>717</v>
      </c>
      <c r="G1042" s="469" t="s">
        <v>2472</v>
      </c>
      <c r="H1042" s="470">
        <v>829</v>
      </c>
      <c r="I1042" s="471">
        <v>829</v>
      </c>
      <c r="J1042" s="472" t="s">
        <v>423</v>
      </c>
      <c r="K1042" s="472" t="s">
        <v>2620</v>
      </c>
      <c r="L1042" s="473" t="s">
        <v>530</v>
      </c>
      <c r="M1042" s="473" t="s">
        <v>3364</v>
      </c>
      <c r="N1042" s="473" t="s">
        <v>3461</v>
      </c>
      <c r="O1042" s="474" t="s">
        <v>3470</v>
      </c>
    </row>
    <row r="1043" spans="1:15" s="475" customFormat="1" ht="12">
      <c r="A1043" s="465">
        <v>10131000057233</v>
      </c>
      <c r="B1043" s="466" t="s">
        <v>3467</v>
      </c>
      <c r="C1043" s="466" t="s">
        <v>3467</v>
      </c>
      <c r="D1043" s="467" t="s">
        <v>12</v>
      </c>
      <c r="E1043" s="468" t="s">
        <v>2491</v>
      </c>
      <c r="F1043" s="511">
        <v>717</v>
      </c>
      <c r="G1043" s="469" t="s">
        <v>2472</v>
      </c>
      <c r="H1043" s="470">
        <v>829</v>
      </c>
      <c r="I1043" s="510">
        <v>829</v>
      </c>
      <c r="J1043" s="472" t="s">
        <v>423</v>
      </c>
      <c r="K1043" s="472" t="s">
        <v>534</v>
      </c>
      <c r="L1043" s="473" t="s">
        <v>530</v>
      </c>
      <c r="M1043" s="473" t="s">
        <v>3364</v>
      </c>
      <c r="N1043" s="473" t="s">
        <v>3461</v>
      </c>
      <c r="O1043" s="474" t="s">
        <v>3470</v>
      </c>
    </row>
    <row r="1044" spans="1:15" s="475" customFormat="1" ht="12" hidden="1">
      <c r="A1044" s="465">
        <v>10131000026625</v>
      </c>
      <c r="B1044" s="476" t="s">
        <v>3467</v>
      </c>
      <c r="C1044" s="476" t="s">
        <v>3467</v>
      </c>
      <c r="D1044" s="467" t="s">
        <v>12</v>
      </c>
      <c r="E1044" s="472" t="s">
        <v>2541</v>
      </c>
      <c r="F1044" s="477">
        <v>802.32420000000002</v>
      </c>
      <c r="G1044" s="469" t="s">
        <v>2472</v>
      </c>
      <c r="H1044" s="470">
        <v>605.71</v>
      </c>
      <c r="I1044" s="471">
        <v>928.23734932214995</v>
      </c>
      <c r="J1044" s="485" t="s">
        <v>421</v>
      </c>
      <c r="K1044" s="472" t="s">
        <v>651</v>
      </c>
      <c r="L1044" s="473" t="s">
        <v>530</v>
      </c>
      <c r="M1044" s="473" t="s">
        <v>3364</v>
      </c>
      <c r="N1044" s="473" t="s">
        <v>3461</v>
      </c>
      <c r="O1044" s="474" t="s">
        <v>3470</v>
      </c>
    </row>
    <row r="1045" spans="1:15" s="475" customFormat="1" ht="12" hidden="1">
      <c r="A1045" s="465">
        <v>10131000026626</v>
      </c>
      <c r="B1045" s="476" t="s">
        <v>3467</v>
      </c>
      <c r="C1045" s="476" t="s">
        <v>3467</v>
      </c>
      <c r="D1045" s="467" t="s">
        <v>12</v>
      </c>
      <c r="E1045" s="472" t="s">
        <v>2541</v>
      </c>
      <c r="F1045" s="477">
        <v>802.32420000000002</v>
      </c>
      <c r="G1045" s="469" t="s">
        <v>2472</v>
      </c>
      <c r="H1045" s="470">
        <v>605.71</v>
      </c>
      <c r="I1045" s="471">
        <v>928.23734932214995</v>
      </c>
      <c r="J1045" s="485" t="s">
        <v>421</v>
      </c>
      <c r="K1045" s="472" t="s">
        <v>651</v>
      </c>
      <c r="L1045" s="473" t="s">
        <v>530</v>
      </c>
      <c r="M1045" s="473" t="s">
        <v>3364</v>
      </c>
      <c r="N1045" s="473" t="s">
        <v>3461</v>
      </c>
      <c r="O1045" s="474" t="s">
        <v>3470</v>
      </c>
    </row>
    <row r="1046" spans="1:15" s="475" customFormat="1" ht="12" hidden="1">
      <c r="A1046" s="465">
        <v>10131000026628</v>
      </c>
      <c r="B1046" s="476" t="s">
        <v>3467</v>
      </c>
      <c r="C1046" s="476" t="s">
        <v>3467</v>
      </c>
      <c r="D1046" s="467" t="s">
        <v>12</v>
      </c>
      <c r="E1046" s="472" t="s">
        <v>2491</v>
      </c>
      <c r="F1046" s="477">
        <v>805.99</v>
      </c>
      <c r="G1046" s="469" t="s">
        <v>2472</v>
      </c>
      <c r="H1046" s="470">
        <v>928.24</v>
      </c>
      <c r="I1046" s="471">
        <v>928.24</v>
      </c>
      <c r="J1046" s="485" t="s">
        <v>421</v>
      </c>
      <c r="K1046" s="472" t="s">
        <v>651</v>
      </c>
      <c r="L1046" s="473" t="s">
        <v>530</v>
      </c>
      <c r="M1046" s="473" t="s">
        <v>3364</v>
      </c>
      <c r="N1046" s="473" t="s">
        <v>3461</v>
      </c>
      <c r="O1046" s="474" t="s">
        <v>3470</v>
      </c>
    </row>
    <row r="1047" spans="1:15" s="475" customFormat="1" ht="12" hidden="1">
      <c r="A1047" s="465">
        <v>10131000058266</v>
      </c>
      <c r="B1047" s="489" t="s">
        <v>3467</v>
      </c>
      <c r="C1047" s="489" t="s">
        <v>3471</v>
      </c>
      <c r="D1047" s="467" t="s">
        <v>12</v>
      </c>
      <c r="E1047" s="478" t="s">
        <v>2514</v>
      </c>
      <c r="F1047" s="477" t="s">
        <v>2472</v>
      </c>
      <c r="G1047" s="469" t="s">
        <v>2472</v>
      </c>
      <c r="H1047" s="481">
        <v>284820</v>
      </c>
      <c r="I1047" s="482">
        <v>2907.57</v>
      </c>
      <c r="J1047" s="483" t="s">
        <v>2515</v>
      </c>
      <c r="K1047" s="483" t="s">
        <v>2515</v>
      </c>
      <c r="L1047" s="473" t="s">
        <v>530</v>
      </c>
      <c r="M1047" s="473" t="s">
        <v>3364</v>
      </c>
      <c r="N1047" s="473" t="s">
        <v>3461</v>
      </c>
      <c r="O1047" s="474" t="s">
        <v>3470</v>
      </c>
    </row>
    <row r="1048" spans="1:15" s="475" customFormat="1" ht="12" hidden="1">
      <c r="A1048" s="465">
        <v>10131000058267</v>
      </c>
      <c r="B1048" s="489" t="s">
        <v>3467</v>
      </c>
      <c r="C1048" s="489" t="s">
        <v>3472</v>
      </c>
      <c r="D1048" s="467" t="s">
        <v>12</v>
      </c>
      <c r="E1048" s="478" t="s">
        <v>2514</v>
      </c>
      <c r="F1048" s="477" t="s">
        <v>2472</v>
      </c>
      <c r="G1048" s="469" t="s">
        <v>2472</v>
      </c>
      <c r="H1048" s="481">
        <v>284820</v>
      </c>
      <c r="I1048" s="482">
        <v>2907.57</v>
      </c>
      <c r="J1048" s="483" t="s">
        <v>2515</v>
      </c>
      <c r="K1048" s="483" t="s">
        <v>2515</v>
      </c>
      <c r="L1048" s="473" t="s">
        <v>530</v>
      </c>
      <c r="M1048" s="473" t="s">
        <v>3364</v>
      </c>
      <c r="N1048" s="473" t="s">
        <v>3461</v>
      </c>
      <c r="O1048" s="474" t="s">
        <v>3470</v>
      </c>
    </row>
    <row r="1049" spans="1:15" s="475" customFormat="1" ht="12" hidden="1">
      <c r="A1049" s="465">
        <v>10131000058545</v>
      </c>
      <c r="B1049" s="476" t="s">
        <v>3467</v>
      </c>
      <c r="C1049" s="476" t="s">
        <v>3473</v>
      </c>
      <c r="D1049" s="467" t="s">
        <v>12</v>
      </c>
      <c r="E1049" s="472" t="s">
        <v>2491</v>
      </c>
      <c r="F1049" s="477" t="s">
        <v>2472</v>
      </c>
      <c r="G1049" s="469" t="s">
        <v>2472</v>
      </c>
      <c r="H1049" s="487">
        <v>4657.53</v>
      </c>
      <c r="I1049" s="471">
        <v>4657.53</v>
      </c>
      <c r="J1049" s="488" t="s">
        <v>2492</v>
      </c>
      <c r="K1049" s="472" t="s">
        <v>666</v>
      </c>
      <c r="L1049" s="473" t="s">
        <v>530</v>
      </c>
      <c r="M1049" s="473" t="s">
        <v>3364</v>
      </c>
      <c r="N1049" s="473" t="s">
        <v>3461</v>
      </c>
      <c r="O1049" s="474" t="s">
        <v>3470</v>
      </c>
    </row>
    <row r="1050" spans="1:15" s="475" customFormat="1" ht="12" hidden="1">
      <c r="A1050" s="465">
        <v>1000099006</v>
      </c>
      <c r="B1050" s="466" t="s">
        <v>3467</v>
      </c>
      <c r="C1050" s="466" t="s">
        <v>3467</v>
      </c>
      <c r="D1050" s="467" t="s">
        <v>12</v>
      </c>
      <c r="E1050" s="468" t="s">
        <v>2471</v>
      </c>
      <c r="F1050" s="477" t="s">
        <v>2472</v>
      </c>
      <c r="G1050" s="469" t="s">
        <v>2472</v>
      </c>
      <c r="H1050" s="470">
        <v>10409.589037309823</v>
      </c>
      <c r="I1050" s="471">
        <v>803.82926929033385</v>
      </c>
      <c r="J1050" s="472" t="s">
        <v>422</v>
      </c>
      <c r="K1050" s="472" t="s">
        <v>2473</v>
      </c>
      <c r="L1050" s="473" t="s">
        <v>530</v>
      </c>
      <c r="M1050" s="473" t="s">
        <v>3364</v>
      </c>
      <c r="N1050" s="473" t="s">
        <v>3461</v>
      </c>
      <c r="O1050" s="474" t="s">
        <v>3470</v>
      </c>
    </row>
    <row r="1051" spans="1:15" s="475" customFormat="1" ht="12" hidden="1">
      <c r="A1051" s="465">
        <v>10131000033107</v>
      </c>
      <c r="B1051" s="466" t="s">
        <v>3474</v>
      </c>
      <c r="C1051" s="466" t="s">
        <v>3475</v>
      </c>
      <c r="D1051" s="467" t="s">
        <v>12</v>
      </c>
      <c r="E1051" s="468" t="s">
        <v>2491</v>
      </c>
      <c r="F1051" s="477">
        <v>717</v>
      </c>
      <c r="G1051" s="469" t="s">
        <v>2472</v>
      </c>
      <c r="H1051" s="470">
        <v>875</v>
      </c>
      <c r="I1051" s="471">
        <v>875</v>
      </c>
      <c r="J1051" s="472" t="s">
        <v>423</v>
      </c>
      <c r="K1051" s="472" t="s">
        <v>2620</v>
      </c>
      <c r="L1051" s="473" t="s">
        <v>530</v>
      </c>
      <c r="M1051" s="473" t="s">
        <v>3364</v>
      </c>
      <c r="N1051" s="473" t="s">
        <v>3461</v>
      </c>
      <c r="O1051" s="474" t="s">
        <v>3476</v>
      </c>
    </row>
    <row r="1052" spans="1:15" s="475" customFormat="1" ht="12" hidden="1">
      <c r="A1052" s="465">
        <v>10131000033108</v>
      </c>
      <c r="B1052" s="466" t="s">
        <v>3474</v>
      </c>
      <c r="C1052" s="466" t="s">
        <v>3475</v>
      </c>
      <c r="D1052" s="467" t="s">
        <v>12</v>
      </c>
      <c r="E1052" s="468" t="s">
        <v>2619</v>
      </c>
      <c r="F1052" s="477">
        <v>751.36476331000006</v>
      </c>
      <c r="G1052" s="469" t="s">
        <v>2472</v>
      </c>
      <c r="H1052" s="470">
        <v>875</v>
      </c>
      <c r="I1052" s="471">
        <v>875</v>
      </c>
      <c r="J1052" s="472" t="s">
        <v>423</v>
      </c>
      <c r="K1052" s="472" t="s">
        <v>2620</v>
      </c>
      <c r="L1052" s="473" t="s">
        <v>530</v>
      </c>
      <c r="M1052" s="473" t="s">
        <v>3364</v>
      </c>
      <c r="N1052" s="473" t="s">
        <v>3461</v>
      </c>
      <c r="O1052" s="474" t="s">
        <v>3476</v>
      </c>
    </row>
    <row r="1053" spans="1:15" s="475" customFormat="1" ht="12">
      <c r="A1053" s="465">
        <v>10131000057234</v>
      </c>
      <c r="B1053" s="466" t="s">
        <v>3474</v>
      </c>
      <c r="C1053" s="466" t="s">
        <v>3474</v>
      </c>
      <c r="D1053" s="467" t="s">
        <v>12</v>
      </c>
      <c r="E1053" s="468" t="s">
        <v>2491</v>
      </c>
      <c r="F1053" s="511">
        <v>757</v>
      </c>
      <c r="G1053" s="469" t="s">
        <v>2472</v>
      </c>
      <c r="H1053" s="470">
        <v>875</v>
      </c>
      <c r="I1053" s="510">
        <v>875</v>
      </c>
      <c r="J1053" s="472" t="s">
        <v>423</v>
      </c>
      <c r="K1053" s="472" t="s">
        <v>534</v>
      </c>
      <c r="L1053" s="473" t="s">
        <v>530</v>
      </c>
      <c r="M1053" s="473" t="s">
        <v>3364</v>
      </c>
      <c r="N1053" s="473" t="s">
        <v>3461</v>
      </c>
      <c r="O1053" s="474" t="s">
        <v>3476</v>
      </c>
    </row>
    <row r="1054" spans="1:15" s="475" customFormat="1" ht="12" hidden="1">
      <c r="A1054" s="465">
        <v>10131000026620</v>
      </c>
      <c r="B1054" s="476" t="s">
        <v>3474</v>
      </c>
      <c r="C1054" s="476" t="s">
        <v>3474</v>
      </c>
      <c r="D1054" s="467" t="s">
        <v>12</v>
      </c>
      <c r="E1054" s="472" t="s">
        <v>2541</v>
      </c>
      <c r="F1054" s="477">
        <v>847.08626400000003</v>
      </c>
      <c r="G1054" s="469" t="s">
        <v>2472</v>
      </c>
      <c r="H1054" s="470">
        <v>639.51</v>
      </c>
      <c r="I1054" s="471">
        <v>980.03511129914989</v>
      </c>
      <c r="J1054" s="485" t="s">
        <v>421</v>
      </c>
      <c r="K1054" s="472" t="s">
        <v>651</v>
      </c>
      <c r="L1054" s="473" t="s">
        <v>530</v>
      </c>
      <c r="M1054" s="473" t="s">
        <v>3364</v>
      </c>
      <c r="N1054" s="473" t="s">
        <v>3461</v>
      </c>
      <c r="O1054" s="474" t="s">
        <v>3476</v>
      </c>
    </row>
    <row r="1055" spans="1:15" s="475" customFormat="1" ht="12" hidden="1">
      <c r="A1055" s="465">
        <v>10131000026621</v>
      </c>
      <c r="B1055" s="476" t="s">
        <v>3474</v>
      </c>
      <c r="C1055" s="476" t="s">
        <v>3474</v>
      </c>
      <c r="D1055" s="467" t="s">
        <v>12</v>
      </c>
      <c r="E1055" s="472" t="s">
        <v>2541</v>
      </c>
      <c r="F1055" s="477">
        <v>847.08626400000003</v>
      </c>
      <c r="G1055" s="469" t="s">
        <v>2472</v>
      </c>
      <c r="H1055" s="470">
        <v>639.51</v>
      </c>
      <c r="I1055" s="471">
        <v>980.03511129914989</v>
      </c>
      <c r="J1055" s="485" t="s">
        <v>421</v>
      </c>
      <c r="K1055" s="472" t="s">
        <v>651</v>
      </c>
      <c r="L1055" s="473" t="s">
        <v>530</v>
      </c>
      <c r="M1055" s="473" t="s">
        <v>3364</v>
      </c>
      <c r="N1055" s="473" t="s">
        <v>3461</v>
      </c>
      <c r="O1055" s="474" t="s">
        <v>3476</v>
      </c>
    </row>
    <row r="1056" spans="1:15" s="475" customFormat="1" ht="12" hidden="1">
      <c r="A1056" s="465">
        <v>10131000026623</v>
      </c>
      <c r="B1056" s="476" t="s">
        <v>3474</v>
      </c>
      <c r="C1056" s="476" t="s">
        <v>3474</v>
      </c>
      <c r="D1056" s="467" t="s">
        <v>12</v>
      </c>
      <c r="E1056" s="472" t="s">
        <v>2491</v>
      </c>
      <c r="F1056" s="477">
        <v>850.96</v>
      </c>
      <c r="G1056" s="469" t="s">
        <v>2472</v>
      </c>
      <c r="H1056" s="470">
        <v>980.03</v>
      </c>
      <c r="I1056" s="471">
        <v>980.03</v>
      </c>
      <c r="J1056" s="485" t="s">
        <v>421</v>
      </c>
      <c r="K1056" s="472" t="s">
        <v>651</v>
      </c>
      <c r="L1056" s="473" t="s">
        <v>530</v>
      </c>
      <c r="M1056" s="473" t="s">
        <v>3364</v>
      </c>
      <c r="N1056" s="473" t="s">
        <v>3461</v>
      </c>
      <c r="O1056" s="474" t="s">
        <v>3476</v>
      </c>
    </row>
    <row r="1057" spans="1:15" s="475" customFormat="1" ht="12" hidden="1">
      <c r="A1057" s="465">
        <v>10131000058268</v>
      </c>
      <c r="B1057" s="489" t="s">
        <v>3474</v>
      </c>
      <c r="C1057" s="489" t="s">
        <v>3477</v>
      </c>
      <c r="D1057" s="467" t="s">
        <v>12</v>
      </c>
      <c r="E1057" s="478" t="s">
        <v>2514</v>
      </c>
      <c r="F1057" s="477" t="s">
        <v>2472</v>
      </c>
      <c r="G1057" s="469" t="s">
        <v>2472</v>
      </c>
      <c r="H1057" s="481">
        <v>284820</v>
      </c>
      <c r="I1057" s="482">
        <v>2907.57</v>
      </c>
      <c r="J1057" s="483" t="s">
        <v>2515</v>
      </c>
      <c r="K1057" s="483" t="s">
        <v>2515</v>
      </c>
      <c r="L1057" s="473" t="s">
        <v>530</v>
      </c>
      <c r="M1057" s="473" t="s">
        <v>3364</v>
      </c>
      <c r="N1057" s="473" t="s">
        <v>3461</v>
      </c>
      <c r="O1057" s="474" t="s">
        <v>3476</v>
      </c>
    </row>
    <row r="1058" spans="1:15" s="475" customFormat="1" ht="12" hidden="1">
      <c r="A1058" s="465">
        <v>10131000058269</v>
      </c>
      <c r="B1058" s="489" t="s">
        <v>3474</v>
      </c>
      <c r="C1058" s="489" t="s">
        <v>3478</v>
      </c>
      <c r="D1058" s="467" t="s">
        <v>12</v>
      </c>
      <c r="E1058" s="478" t="s">
        <v>2514</v>
      </c>
      <c r="F1058" s="477" t="s">
        <v>2472</v>
      </c>
      <c r="G1058" s="469" t="s">
        <v>2472</v>
      </c>
      <c r="H1058" s="481">
        <v>284820</v>
      </c>
      <c r="I1058" s="482">
        <v>2907.57</v>
      </c>
      <c r="J1058" s="483" t="s">
        <v>2515</v>
      </c>
      <c r="K1058" s="483" t="s">
        <v>2515</v>
      </c>
      <c r="L1058" s="473" t="s">
        <v>530</v>
      </c>
      <c r="M1058" s="473" t="s">
        <v>3364</v>
      </c>
      <c r="N1058" s="473" t="s">
        <v>3461</v>
      </c>
      <c r="O1058" s="474" t="s">
        <v>3476</v>
      </c>
    </row>
    <row r="1059" spans="1:15" s="475" customFormat="1" ht="12" hidden="1">
      <c r="A1059" s="465">
        <v>1000099007</v>
      </c>
      <c r="B1059" s="466" t="s">
        <v>3474</v>
      </c>
      <c r="C1059" s="466" t="s">
        <v>3474</v>
      </c>
      <c r="D1059" s="467" t="s">
        <v>12</v>
      </c>
      <c r="E1059" s="468" t="s">
        <v>2471</v>
      </c>
      <c r="F1059" s="477" t="s">
        <v>2472</v>
      </c>
      <c r="G1059" s="469" t="s">
        <v>2472</v>
      </c>
      <c r="H1059" s="470">
        <v>12387.399407056932</v>
      </c>
      <c r="I1059" s="471">
        <v>956.55593876887508</v>
      </c>
      <c r="J1059" s="472" t="s">
        <v>422</v>
      </c>
      <c r="K1059" s="472" t="s">
        <v>2473</v>
      </c>
      <c r="L1059" s="473" t="s">
        <v>530</v>
      </c>
      <c r="M1059" s="473" t="s">
        <v>3364</v>
      </c>
      <c r="N1059" s="473" t="s">
        <v>3461</v>
      </c>
      <c r="O1059" s="474" t="s">
        <v>3476</v>
      </c>
    </row>
    <row r="1060" spans="1:15" s="475" customFormat="1" ht="12" hidden="1">
      <c r="A1060" s="465">
        <v>10131000017087</v>
      </c>
      <c r="B1060" s="466" t="s">
        <v>3479</v>
      </c>
      <c r="C1060" s="466" t="s">
        <v>3479</v>
      </c>
      <c r="D1060" s="467" t="s">
        <v>2552</v>
      </c>
      <c r="E1060" s="468" t="s">
        <v>2491</v>
      </c>
      <c r="F1060" s="477">
        <v>0</v>
      </c>
      <c r="G1060" s="469" t="s">
        <v>2472</v>
      </c>
      <c r="H1060" s="470">
        <v>0.45</v>
      </c>
      <c r="I1060" s="471">
        <v>0.45</v>
      </c>
      <c r="J1060" s="472" t="s">
        <v>423</v>
      </c>
      <c r="K1060" s="472" t="s">
        <v>534</v>
      </c>
      <c r="L1060" s="473" t="s">
        <v>530</v>
      </c>
      <c r="M1060" s="473" t="s">
        <v>3364</v>
      </c>
      <c r="N1060" s="473" t="s">
        <v>1718</v>
      </c>
      <c r="O1060" s="474" t="s">
        <v>3480</v>
      </c>
    </row>
    <row r="1061" spans="1:15" s="475" customFormat="1" ht="12" hidden="1">
      <c r="A1061" s="465">
        <v>10131000023738</v>
      </c>
      <c r="B1061" s="476" t="s">
        <v>3479</v>
      </c>
      <c r="C1061" s="476" t="s">
        <v>3479</v>
      </c>
      <c r="D1061" s="467" t="s">
        <v>2552</v>
      </c>
      <c r="E1061" s="472" t="s">
        <v>2491</v>
      </c>
      <c r="F1061" s="477">
        <v>0.45500000000000002</v>
      </c>
      <c r="G1061" s="469" t="s">
        <v>2472</v>
      </c>
      <c r="H1061" s="470">
        <v>0.53</v>
      </c>
      <c r="I1061" s="471">
        <v>0.53</v>
      </c>
      <c r="J1061" s="485" t="s">
        <v>421</v>
      </c>
      <c r="K1061" s="472" t="s">
        <v>651</v>
      </c>
      <c r="L1061" s="473" t="s">
        <v>530</v>
      </c>
      <c r="M1061" s="473" t="s">
        <v>3364</v>
      </c>
      <c r="N1061" s="473" t="s">
        <v>1718</v>
      </c>
      <c r="O1061" s="474" t="s">
        <v>3480</v>
      </c>
    </row>
    <row r="1062" spans="1:15" s="475" customFormat="1" ht="12" hidden="1">
      <c r="A1062" s="465">
        <v>10131000023736</v>
      </c>
      <c r="B1062" s="476" t="s">
        <v>3479</v>
      </c>
      <c r="C1062" s="476" t="s">
        <v>3479</v>
      </c>
      <c r="D1062" s="467" t="s">
        <v>2552</v>
      </c>
      <c r="E1062" s="472" t="s">
        <v>2541</v>
      </c>
      <c r="F1062" s="477">
        <v>0.45524699999999996</v>
      </c>
      <c r="G1062" s="469" t="s">
        <v>2472</v>
      </c>
      <c r="H1062" s="470">
        <v>0.34</v>
      </c>
      <c r="I1062" s="471">
        <v>0.52104257610000004</v>
      </c>
      <c r="J1062" s="485" t="s">
        <v>421</v>
      </c>
      <c r="K1062" s="472" t="s">
        <v>651</v>
      </c>
      <c r="L1062" s="473" t="s">
        <v>530</v>
      </c>
      <c r="M1062" s="473" t="s">
        <v>3364</v>
      </c>
      <c r="N1062" s="473" t="s">
        <v>1718</v>
      </c>
      <c r="O1062" s="474" t="s">
        <v>3480</v>
      </c>
    </row>
    <row r="1063" spans="1:15" s="475" customFormat="1" ht="12" hidden="1">
      <c r="A1063" s="465">
        <v>10131000023737</v>
      </c>
      <c r="B1063" s="476" t="s">
        <v>3479</v>
      </c>
      <c r="C1063" s="476" t="s">
        <v>3479</v>
      </c>
      <c r="D1063" s="467" t="s">
        <v>2552</v>
      </c>
      <c r="E1063" s="472" t="s">
        <v>2541</v>
      </c>
      <c r="F1063" s="477">
        <v>0.45524699999999996</v>
      </c>
      <c r="G1063" s="469" t="s">
        <v>2472</v>
      </c>
      <c r="H1063" s="470">
        <v>0.34</v>
      </c>
      <c r="I1063" s="471">
        <v>0.52104257610000004</v>
      </c>
      <c r="J1063" s="485" t="s">
        <v>421</v>
      </c>
      <c r="K1063" s="472" t="s">
        <v>651</v>
      </c>
      <c r="L1063" s="473" t="s">
        <v>530</v>
      </c>
      <c r="M1063" s="473" t="s">
        <v>3364</v>
      </c>
      <c r="N1063" s="473" t="s">
        <v>1718</v>
      </c>
      <c r="O1063" s="474" t="s">
        <v>3480</v>
      </c>
    </row>
    <row r="1064" spans="1:15" s="475" customFormat="1" ht="12" hidden="1">
      <c r="A1064" s="465">
        <v>10131000015926</v>
      </c>
      <c r="B1064" s="466" t="s">
        <v>3481</v>
      </c>
      <c r="C1064" s="466" t="s">
        <v>3482</v>
      </c>
      <c r="D1064" s="467" t="s">
        <v>12</v>
      </c>
      <c r="E1064" s="468" t="s">
        <v>2619</v>
      </c>
      <c r="F1064" s="477">
        <v>260.04962746000001</v>
      </c>
      <c r="G1064" s="469" t="s">
        <v>2472</v>
      </c>
      <c r="H1064" s="470">
        <v>278</v>
      </c>
      <c r="I1064" s="471">
        <v>278</v>
      </c>
      <c r="J1064" s="472" t="s">
        <v>423</v>
      </c>
      <c r="K1064" s="472" t="s">
        <v>2620</v>
      </c>
      <c r="L1064" s="473" t="s">
        <v>530</v>
      </c>
      <c r="M1064" s="473" t="s">
        <v>3364</v>
      </c>
      <c r="N1064" s="473" t="s">
        <v>3483</v>
      </c>
      <c r="O1064" s="474" t="s">
        <v>3484</v>
      </c>
    </row>
    <row r="1065" spans="1:15" s="475" customFormat="1" ht="12" hidden="1">
      <c r="A1065" s="465">
        <v>10131000015925</v>
      </c>
      <c r="B1065" s="466" t="s">
        <v>3481</v>
      </c>
      <c r="C1065" s="466" t="s">
        <v>3482</v>
      </c>
      <c r="D1065" s="467" t="s">
        <v>12</v>
      </c>
      <c r="E1065" s="468" t="s">
        <v>2491</v>
      </c>
      <c r="F1065" s="477">
        <v>262</v>
      </c>
      <c r="G1065" s="469" t="s">
        <v>2472</v>
      </c>
      <c r="H1065" s="470">
        <v>278</v>
      </c>
      <c r="I1065" s="471">
        <v>278</v>
      </c>
      <c r="J1065" s="472" t="s">
        <v>423</v>
      </c>
      <c r="K1065" s="472" t="s">
        <v>2620</v>
      </c>
      <c r="L1065" s="473" t="s">
        <v>530</v>
      </c>
      <c r="M1065" s="473" t="s">
        <v>3364</v>
      </c>
      <c r="N1065" s="473" t="s">
        <v>3483</v>
      </c>
      <c r="O1065" s="474" t="s">
        <v>3484</v>
      </c>
    </row>
    <row r="1066" spans="1:15" s="475" customFormat="1" ht="12">
      <c r="A1066" s="465">
        <v>10131000057226</v>
      </c>
      <c r="B1066" s="466" t="s">
        <v>3481</v>
      </c>
      <c r="C1066" s="466" t="s">
        <v>3481</v>
      </c>
      <c r="D1066" s="467" t="s">
        <v>12</v>
      </c>
      <c r="E1066" s="468" t="s">
        <v>2491</v>
      </c>
      <c r="F1066" s="511">
        <v>262</v>
      </c>
      <c r="G1066" s="469" t="s">
        <v>2472</v>
      </c>
      <c r="H1066" s="470">
        <v>278</v>
      </c>
      <c r="I1066" s="510">
        <v>278</v>
      </c>
      <c r="J1066" s="472" t="s">
        <v>423</v>
      </c>
      <c r="K1066" s="472" t="s">
        <v>534</v>
      </c>
      <c r="L1066" s="473" t="s">
        <v>530</v>
      </c>
      <c r="M1066" s="473" t="s">
        <v>3364</v>
      </c>
      <c r="N1066" s="473" t="s">
        <v>3483</v>
      </c>
      <c r="O1066" s="474" t="s">
        <v>3484</v>
      </c>
    </row>
    <row r="1067" spans="1:15" s="475" customFormat="1" ht="12" hidden="1">
      <c r="A1067" s="465">
        <v>10131000037138</v>
      </c>
      <c r="B1067" s="476" t="s">
        <v>3481</v>
      </c>
      <c r="C1067" s="476" t="s">
        <v>3481</v>
      </c>
      <c r="D1067" s="467" t="s">
        <v>12</v>
      </c>
      <c r="E1067" s="472" t="s">
        <v>2541</v>
      </c>
      <c r="F1067" s="477">
        <v>267.68523600000003</v>
      </c>
      <c r="G1067" s="469" t="s">
        <v>2472</v>
      </c>
      <c r="H1067" s="470">
        <v>202.09</v>
      </c>
      <c r="I1067" s="471">
        <v>309.69851236484999</v>
      </c>
      <c r="J1067" s="485" t="s">
        <v>421</v>
      </c>
      <c r="K1067" s="472" t="s">
        <v>651</v>
      </c>
      <c r="L1067" s="473" t="s">
        <v>530</v>
      </c>
      <c r="M1067" s="473" t="s">
        <v>3364</v>
      </c>
      <c r="N1067" s="473" t="s">
        <v>3483</v>
      </c>
      <c r="O1067" s="474" t="s">
        <v>3484</v>
      </c>
    </row>
    <row r="1068" spans="1:15" s="475" customFormat="1" ht="12" hidden="1">
      <c r="A1068" s="465">
        <v>10131000037139</v>
      </c>
      <c r="B1068" s="476" t="s">
        <v>3481</v>
      </c>
      <c r="C1068" s="476" t="s">
        <v>3481</v>
      </c>
      <c r="D1068" s="467" t="s">
        <v>12</v>
      </c>
      <c r="E1068" s="472" t="s">
        <v>2541</v>
      </c>
      <c r="F1068" s="477">
        <v>267.68523600000003</v>
      </c>
      <c r="G1068" s="469" t="s">
        <v>2472</v>
      </c>
      <c r="H1068" s="470">
        <v>202.09</v>
      </c>
      <c r="I1068" s="471">
        <v>309.69851236484999</v>
      </c>
      <c r="J1068" s="485" t="s">
        <v>421</v>
      </c>
      <c r="K1068" s="472" t="s">
        <v>651</v>
      </c>
      <c r="L1068" s="473" t="s">
        <v>530</v>
      </c>
      <c r="M1068" s="473" t="s">
        <v>3364</v>
      </c>
      <c r="N1068" s="473" t="s">
        <v>3483</v>
      </c>
      <c r="O1068" s="474" t="s">
        <v>3484</v>
      </c>
    </row>
    <row r="1069" spans="1:15" s="475" customFormat="1" ht="12" hidden="1">
      <c r="A1069" s="465">
        <v>10131000037140</v>
      </c>
      <c r="B1069" s="476" t="s">
        <v>3481</v>
      </c>
      <c r="C1069" s="476" t="s">
        <v>3481</v>
      </c>
      <c r="D1069" s="467" t="s">
        <v>12</v>
      </c>
      <c r="E1069" s="472" t="s">
        <v>2491</v>
      </c>
      <c r="F1069" s="477">
        <v>268.91000000000003</v>
      </c>
      <c r="G1069" s="469" t="s">
        <v>2472</v>
      </c>
      <c r="H1069" s="470">
        <v>309.7</v>
      </c>
      <c r="I1069" s="471">
        <v>309.7</v>
      </c>
      <c r="J1069" s="485" t="s">
        <v>421</v>
      </c>
      <c r="K1069" s="472" t="s">
        <v>651</v>
      </c>
      <c r="L1069" s="473" t="s">
        <v>530</v>
      </c>
      <c r="M1069" s="473" t="s">
        <v>3364</v>
      </c>
      <c r="N1069" s="473" t="s">
        <v>3483</v>
      </c>
      <c r="O1069" s="474" t="s">
        <v>3484</v>
      </c>
    </row>
    <row r="1070" spans="1:15" s="475" customFormat="1" ht="12" hidden="1">
      <c r="A1070" s="465">
        <v>10131000039721</v>
      </c>
      <c r="B1070" s="489" t="s">
        <v>3481</v>
      </c>
      <c r="C1070" s="489" t="s">
        <v>3485</v>
      </c>
      <c r="D1070" s="467" t="s">
        <v>12</v>
      </c>
      <c r="E1070" s="478" t="s">
        <v>2514</v>
      </c>
      <c r="F1070" s="477">
        <v>549.35550047999993</v>
      </c>
      <c r="G1070" s="469" t="s">
        <v>2472</v>
      </c>
      <c r="H1070" s="481">
        <v>63252</v>
      </c>
      <c r="I1070" s="482">
        <v>645.71</v>
      </c>
      <c r="J1070" s="483" t="s">
        <v>2515</v>
      </c>
      <c r="K1070" s="483" t="s">
        <v>2515</v>
      </c>
      <c r="L1070" s="473" t="s">
        <v>530</v>
      </c>
      <c r="M1070" s="473" t="s">
        <v>3364</v>
      </c>
      <c r="N1070" s="473" t="s">
        <v>3483</v>
      </c>
      <c r="O1070" s="474" t="s">
        <v>3484</v>
      </c>
    </row>
    <row r="1071" spans="1:15" s="475" customFormat="1" ht="12" hidden="1">
      <c r="A1071" s="465">
        <v>10131000052453</v>
      </c>
      <c r="B1071" s="489" t="s">
        <v>3481</v>
      </c>
      <c r="C1071" s="489" t="s">
        <v>3486</v>
      </c>
      <c r="D1071" s="467" t="s">
        <v>12</v>
      </c>
      <c r="E1071" s="478" t="s">
        <v>2514</v>
      </c>
      <c r="F1071" s="477">
        <v>549.35550047999993</v>
      </c>
      <c r="G1071" s="469" t="s">
        <v>2472</v>
      </c>
      <c r="H1071" s="481">
        <v>63252</v>
      </c>
      <c r="I1071" s="482">
        <v>645.71</v>
      </c>
      <c r="J1071" s="483" t="s">
        <v>2515</v>
      </c>
      <c r="K1071" s="483" t="s">
        <v>2515</v>
      </c>
      <c r="L1071" s="473" t="s">
        <v>530</v>
      </c>
      <c r="M1071" s="473" t="s">
        <v>3364</v>
      </c>
      <c r="N1071" s="473" t="s">
        <v>3483</v>
      </c>
      <c r="O1071" s="474" t="s">
        <v>3484</v>
      </c>
    </row>
    <row r="1072" spans="1:15" s="475" customFormat="1" ht="12" hidden="1">
      <c r="A1072" s="465">
        <v>10131000058568</v>
      </c>
      <c r="B1072" s="476" t="s">
        <v>3481</v>
      </c>
      <c r="C1072" s="476" t="s">
        <v>3481</v>
      </c>
      <c r="D1072" s="467" t="s">
        <v>12</v>
      </c>
      <c r="E1072" s="472" t="s">
        <v>2491</v>
      </c>
      <c r="F1072" s="477" t="s">
        <v>2472</v>
      </c>
      <c r="G1072" s="469" t="s">
        <v>2472</v>
      </c>
      <c r="H1072" s="487">
        <v>411.55</v>
      </c>
      <c r="I1072" s="471">
        <v>411.55</v>
      </c>
      <c r="J1072" s="488" t="s">
        <v>2492</v>
      </c>
      <c r="K1072" s="472" t="s">
        <v>2495</v>
      </c>
      <c r="L1072" s="473" t="s">
        <v>530</v>
      </c>
      <c r="M1072" s="473" t="s">
        <v>3364</v>
      </c>
      <c r="N1072" s="473" t="s">
        <v>3483</v>
      </c>
      <c r="O1072" s="474" t="s">
        <v>3484</v>
      </c>
    </row>
    <row r="1073" spans="1:15" s="475" customFormat="1" ht="12" hidden="1">
      <c r="A1073" s="465">
        <v>10131000058605</v>
      </c>
      <c r="B1073" s="476" t="s">
        <v>3481</v>
      </c>
      <c r="C1073" s="476" t="s">
        <v>3481</v>
      </c>
      <c r="D1073" s="467" t="s">
        <v>12</v>
      </c>
      <c r="E1073" s="472" t="s">
        <v>2491</v>
      </c>
      <c r="F1073" s="477" t="s">
        <v>2472</v>
      </c>
      <c r="G1073" s="469" t="s">
        <v>2472</v>
      </c>
      <c r="H1073" s="487">
        <v>411.55</v>
      </c>
      <c r="I1073" s="471">
        <v>411.55</v>
      </c>
      <c r="J1073" s="488" t="s">
        <v>2492</v>
      </c>
      <c r="K1073" s="472" t="s">
        <v>2495</v>
      </c>
      <c r="L1073" s="473" t="s">
        <v>530</v>
      </c>
      <c r="M1073" s="473" t="s">
        <v>3364</v>
      </c>
      <c r="N1073" s="473" t="s">
        <v>3483</v>
      </c>
      <c r="O1073" s="474" t="s">
        <v>3484</v>
      </c>
    </row>
    <row r="1074" spans="1:15" s="475" customFormat="1" ht="12" hidden="1">
      <c r="A1074" s="465">
        <v>1000099013</v>
      </c>
      <c r="B1074" s="466" t="s">
        <v>3481</v>
      </c>
      <c r="C1074" s="466" t="s">
        <v>3481</v>
      </c>
      <c r="D1074" s="467" t="s">
        <v>12</v>
      </c>
      <c r="E1074" s="468" t="s">
        <v>2471</v>
      </c>
      <c r="F1074" s="477" t="s">
        <v>2472</v>
      </c>
      <c r="G1074" s="469" t="s">
        <v>2472</v>
      </c>
      <c r="H1074" s="470">
        <v>5572.6889664340542</v>
      </c>
      <c r="I1074" s="471">
        <v>430.32347231150999</v>
      </c>
      <c r="J1074" s="472" t="s">
        <v>422</v>
      </c>
      <c r="K1074" s="472" t="s">
        <v>2473</v>
      </c>
      <c r="L1074" s="473" t="s">
        <v>530</v>
      </c>
      <c r="M1074" s="473" t="s">
        <v>3364</v>
      </c>
      <c r="N1074" s="473" t="s">
        <v>3483</v>
      </c>
      <c r="O1074" s="474" t="s">
        <v>3484</v>
      </c>
    </row>
    <row r="1075" spans="1:15" s="475" customFormat="1" ht="12" hidden="1">
      <c r="A1075" s="465">
        <v>10131000057114</v>
      </c>
      <c r="B1075" s="476" t="s">
        <v>3481</v>
      </c>
      <c r="C1075" s="476" t="s">
        <v>3481</v>
      </c>
      <c r="D1075" s="467" t="s">
        <v>12</v>
      </c>
      <c r="E1075" s="472" t="s">
        <v>2491</v>
      </c>
      <c r="F1075" s="477" t="s">
        <v>2472</v>
      </c>
      <c r="G1075" s="469" t="s">
        <v>2472</v>
      </c>
      <c r="H1075" s="487">
        <v>440.31</v>
      </c>
      <c r="I1075" s="471">
        <v>440.31</v>
      </c>
      <c r="J1075" s="488" t="s">
        <v>2492</v>
      </c>
      <c r="K1075" s="472" t="s">
        <v>2522</v>
      </c>
      <c r="L1075" s="473" t="s">
        <v>530</v>
      </c>
      <c r="M1075" s="473" t="s">
        <v>3364</v>
      </c>
      <c r="N1075" s="473" t="s">
        <v>3483</v>
      </c>
      <c r="O1075" s="474" t="s">
        <v>3484</v>
      </c>
    </row>
    <row r="1076" spans="1:15" s="475" customFormat="1" ht="12" hidden="1">
      <c r="A1076" s="465">
        <v>10131000057115</v>
      </c>
      <c r="B1076" s="476" t="s">
        <v>3487</v>
      </c>
      <c r="C1076" s="476" t="s">
        <v>3488</v>
      </c>
      <c r="D1076" s="467" t="s">
        <v>12</v>
      </c>
      <c r="E1076" s="472" t="s">
        <v>2491</v>
      </c>
      <c r="F1076" s="477">
        <v>260.14999999999998</v>
      </c>
      <c r="G1076" s="469" t="s">
        <v>2472</v>
      </c>
      <c r="H1076" s="487">
        <v>518.82000000000005</v>
      </c>
      <c r="I1076" s="471">
        <v>518.82000000000005</v>
      </c>
      <c r="J1076" s="488" t="s">
        <v>2492</v>
      </c>
      <c r="K1076" s="472" t="s">
        <v>2522</v>
      </c>
      <c r="L1076" s="473" t="s">
        <v>530</v>
      </c>
      <c r="M1076" s="473" t="s">
        <v>3364</v>
      </c>
      <c r="N1076" s="473" t="s">
        <v>3483</v>
      </c>
      <c r="O1076" s="474" t="s">
        <v>3489</v>
      </c>
    </row>
    <row r="1077" spans="1:15" s="475" customFormat="1" ht="12" hidden="1">
      <c r="A1077" s="465">
        <v>10131000015930</v>
      </c>
      <c r="B1077" s="466" t="s">
        <v>3487</v>
      </c>
      <c r="C1077" s="466" t="s">
        <v>3490</v>
      </c>
      <c r="D1077" s="467" t="s">
        <v>12</v>
      </c>
      <c r="E1077" s="468" t="s">
        <v>2491</v>
      </c>
      <c r="F1077" s="477">
        <v>262</v>
      </c>
      <c r="G1077" s="469" t="s">
        <v>2472</v>
      </c>
      <c r="H1077" s="470">
        <v>351</v>
      </c>
      <c r="I1077" s="471">
        <v>351</v>
      </c>
      <c r="J1077" s="472" t="s">
        <v>423</v>
      </c>
      <c r="K1077" s="472" t="s">
        <v>2620</v>
      </c>
      <c r="L1077" s="473" t="s">
        <v>530</v>
      </c>
      <c r="M1077" s="473" t="s">
        <v>3364</v>
      </c>
      <c r="N1077" s="473" t="s">
        <v>3483</v>
      </c>
      <c r="O1077" s="474" t="s">
        <v>3489</v>
      </c>
    </row>
    <row r="1078" spans="1:15" s="475" customFormat="1" ht="12" hidden="1">
      <c r="A1078" s="465">
        <v>10131000015931</v>
      </c>
      <c r="B1078" s="466" t="s">
        <v>3487</v>
      </c>
      <c r="C1078" s="466" t="s">
        <v>3490</v>
      </c>
      <c r="D1078" s="467" t="s">
        <v>12</v>
      </c>
      <c r="E1078" s="468" t="s">
        <v>2619</v>
      </c>
      <c r="F1078" s="477">
        <v>327.54342389999999</v>
      </c>
      <c r="G1078" s="469" t="s">
        <v>2472</v>
      </c>
      <c r="H1078" s="470">
        <v>351</v>
      </c>
      <c r="I1078" s="471">
        <v>351</v>
      </c>
      <c r="J1078" s="472" t="s">
        <v>423</v>
      </c>
      <c r="K1078" s="472" t="s">
        <v>2620</v>
      </c>
      <c r="L1078" s="473" t="s">
        <v>530</v>
      </c>
      <c r="M1078" s="473" t="s">
        <v>3364</v>
      </c>
      <c r="N1078" s="473" t="s">
        <v>3483</v>
      </c>
      <c r="O1078" s="474" t="s">
        <v>3489</v>
      </c>
    </row>
    <row r="1079" spans="1:15" s="475" customFormat="1" ht="12">
      <c r="A1079" s="465">
        <v>10131000057227</v>
      </c>
      <c r="B1079" s="466" t="s">
        <v>3487</v>
      </c>
      <c r="C1079" s="466" t="s">
        <v>3487</v>
      </c>
      <c r="D1079" s="467" t="s">
        <v>12</v>
      </c>
      <c r="E1079" s="468" t="s">
        <v>2491</v>
      </c>
      <c r="F1079" s="511">
        <v>330</v>
      </c>
      <c r="G1079" s="469" t="s">
        <v>2472</v>
      </c>
      <c r="H1079" s="470">
        <v>351</v>
      </c>
      <c r="I1079" s="510">
        <v>351</v>
      </c>
      <c r="J1079" s="472" t="s">
        <v>423</v>
      </c>
      <c r="K1079" s="472" t="s">
        <v>534</v>
      </c>
      <c r="L1079" s="473" t="s">
        <v>530</v>
      </c>
      <c r="M1079" s="473" t="s">
        <v>3364</v>
      </c>
      <c r="N1079" s="473" t="s">
        <v>3483</v>
      </c>
      <c r="O1079" s="474" t="s">
        <v>3489</v>
      </c>
    </row>
    <row r="1080" spans="1:15" s="475" customFormat="1" ht="12" hidden="1">
      <c r="A1080" s="465">
        <v>10131000037145</v>
      </c>
      <c r="B1080" s="476" t="s">
        <v>3487</v>
      </c>
      <c r="C1080" s="476" t="s">
        <v>3487</v>
      </c>
      <c r="D1080" s="467" t="s">
        <v>12</v>
      </c>
      <c r="E1080" s="472" t="s">
        <v>2541</v>
      </c>
      <c r="F1080" s="477">
        <v>337.16293200000001</v>
      </c>
      <c r="G1080" s="469" t="s">
        <v>2472</v>
      </c>
      <c r="H1080" s="470">
        <v>254.54</v>
      </c>
      <c r="I1080" s="471">
        <v>390.07699211909994</v>
      </c>
      <c r="J1080" s="485" t="s">
        <v>421</v>
      </c>
      <c r="K1080" s="472" t="s">
        <v>651</v>
      </c>
      <c r="L1080" s="473" t="s">
        <v>530</v>
      </c>
      <c r="M1080" s="473" t="s">
        <v>3364</v>
      </c>
      <c r="N1080" s="473" t="s">
        <v>3483</v>
      </c>
      <c r="O1080" s="474" t="s">
        <v>3489</v>
      </c>
    </row>
    <row r="1081" spans="1:15" s="475" customFormat="1" ht="12" hidden="1">
      <c r="A1081" s="465">
        <v>10131000037146</v>
      </c>
      <c r="B1081" s="476" t="s">
        <v>3487</v>
      </c>
      <c r="C1081" s="476" t="s">
        <v>3487</v>
      </c>
      <c r="D1081" s="467" t="s">
        <v>12</v>
      </c>
      <c r="E1081" s="472" t="s">
        <v>2541</v>
      </c>
      <c r="F1081" s="477">
        <v>337.16293200000001</v>
      </c>
      <c r="G1081" s="469" t="s">
        <v>2472</v>
      </c>
      <c r="H1081" s="470">
        <v>254.54</v>
      </c>
      <c r="I1081" s="471">
        <v>390.07699211909994</v>
      </c>
      <c r="J1081" s="485" t="s">
        <v>421</v>
      </c>
      <c r="K1081" s="472" t="s">
        <v>651</v>
      </c>
      <c r="L1081" s="473" t="s">
        <v>530</v>
      </c>
      <c r="M1081" s="473" t="s">
        <v>3364</v>
      </c>
      <c r="N1081" s="473" t="s">
        <v>3483</v>
      </c>
      <c r="O1081" s="474" t="s">
        <v>3489</v>
      </c>
    </row>
    <row r="1082" spans="1:15" s="475" customFormat="1" ht="12" hidden="1">
      <c r="A1082" s="465">
        <v>10131000037147</v>
      </c>
      <c r="B1082" s="476" t="s">
        <v>3487</v>
      </c>
      <c r="C1082" s="476" t="s">
        <v>3487</v>
      </c>
      <c r="D1082" s="467" t="s">
        <v>12</v>
      </c>
      <c r="E1082" s="472" t="s">
        <v>2491</v>
      </c>
      <c r="F1082" s="477">
        <v>338.7</v>
      </c>
      <c r="G1082" s="469" t="s">
        <v>2472</v>
      </c>
      <c r="H1082" s="470">
        <v>390.08</v>
      </c>
      <c r="I1082" s="471">
        <v>390.08</v>
      </c>
      <c r="J1082" s="485" t="s">
        <v>421</v>
      </c>
      <c r="K1082" s="472" t="s">
        <v>651</v>
      </c>
      <c r="L1082" s="473" t="s">
        <v>530</v>
      </c>
      <c r="M1082" s="473" t="s">
        <v>3364</v>
      </c>
      <c r="N1082" s="473" t="s">
        <v>3483</v>
      </c>
      <c r="O1082" s="474" t="s">
        <v>3489</v>
      </c>
    </row>
    <row r="1083" spans="1:15" s="475" customFormat="1" ht="12" hidden="1">
      <c r="A1083" s="465">
        <v>10131000058556</v>
      </c>
      <c r="B1083" s="476" t="s">
        <v>3487</v>
      </c>
      <c r="C1083" s="476" t="s">
        <v>3487</v>
      </c>
      <c r="D1083" s="467" t="s">
        <v>12</v>
      </c>
      <c r="E1083" s="472" t="s">
        <v>2491</v>
      </c>
      <c r="F1083" s="477" t="s">
        <v>2472</v>
      </c>
      <c r="G1083" s="469" t="s">
        <v>2472</v>
      </c>
      <c r="H1083" s="487">
        <v>302.27999999999997</v>
      </c>
      <c r="I1083" s="471">
        <v>302.27999999999997</v>
      </c>
      <c r="J1083" s="488" t="s">
        <v>2492</v>
      </c>
      <c r="K1083" s="472" t="s">
        <v>2495</v>
      </c>
      <c r="L1083" s="473" t="s">
        <v>530</v>
      </c>
      <c r="M1083" s="473" t="s">
        <v>3364</v>
      </c>
      <c r="N1083" s="473" t="s">
        <v>3483</v>
      </c>
      <c r="O1083" s="474" t="s">
        <v>3489</v>
      </c>
    </row>
    <row r="1084" spans="1:15" s="475" customFormat="1" ht="12" hidden="1">
      <c r="A1084" s="465">
        <v>10131000058569</v>
      </c>
      <c r="B1084" s="476" t="s">
        <v>3487</v>
      </c>
      <c r="C1084" s="476" t="s">
        <v>3487</v>
      </c>
      <c r="D1084" s="467" t="s">
        <v>12</v>
      </c>
      <c r="E1084" s="472" t="s">
        <v>2491</v>
      </c>
      <c r="F1084" s="477" t="s">
        <v>2472</v>
      </c>
      <c r="G1084" s="469" t="s">
        <v>2472</v>
      </c>
      <c r="H1084" s="487">
        <v>302.27999999999997</v>
      </c>
      <c r="I1084" s="471">
        <v>302.27999999999997</v>
      </c>
      <c r="J1084" s="488" t="s">
        <v>2492</v>
      </c>
      <c r="K1084" s="472" t="s">
        <v>2495</v>
      </c>
      <c r="L1084" s="473" t="s">
        <v>530</v>
      </c>
      <c r="M1084" s="473" t="s">
        <v>3364</v>
      </c>
      <c r="N1084" s="473" t="s">
        <v>3483</v>
      </c>
      <c r="O1084" s="474" t="s">
        <v>3489</v>
      </c>
    </row>
    <row r="1085" spans="1:15" s="475" customFormat="1" ht="12" hidden="1">
      <c r="A1085" s="465">
        <v>10131000058270</v>
      </c>
      <c r="B1085" s="489" t="s">
        <v>3487</v>
      </c>
      <c r="C1085" s="489" t="s">
        <v>3491</v>
      </c>
      <c r="D1085" s="467" t="s">
        <v>12</v>
      </c>
      <c r="E1085" s="478" t="s">
        <v>2514</v>
      </c>
      <c r="F1085" s="477" t="s">
        <v>2472</v>
      </c>
      <c r="G1085" s="469" t="s">
        <v>2472</v>
      </c>
      <c r="H1085" s="481">
        <v>73373</v>
      </c>
      <c r="I1085" s="482">
        <v>749.03</v>
      </c>
      <c r="J1085" s="483" t="s">
        <v>2515</v>
      </c>
      <c r="K1085" s="483" t="s">
        <v>2515</v>
      </c>
      <c r="L1085" s="473" t="s">
        <v>530</v>
      </c>
      <c r="M1085" s="473" t="s">
        <v>3364</v>
      </c>
      <c r="N1085" s="473" t="s">
        <v>3483</v>
      </c>
      <c r="O1085" s="474" t="s">
        <v>3489</v>
      </c>
    </row>
    <row r="1086" spans="1:15" s="475" customFormat="1" ht="12" hidden="1">
      <c r="A1086" s="465">
        <v>10131000058271</v>
      </c>
      <c r="B1086" s="489" t="s">
        <v>3487</v>
      </c>
      <c r="C1086" s="489" t="s">
        <v>3492</v>
      </c>
      <c r="D1086" s="467" t="s">
        <v>12</v>
      </c>
      <c r="E1086" s="478" t="s">
        <v>2514</v>
      </c>
      <c r="F1086" s="477" t="s">
        <v>2472</v>
      </c>
      <c r="G1086" s="469" t="s">
        <v>2472</v>
      </c>
      <c r="H1086" s="481">
        <v>73373</v>
      </c>
      <c r="I1086" s="482">
        <v>749.03</v>
      </c>
      <c r="J1086" s="483" t="s">
        <v>2515</v>
      </c>
      <c r="K1086" s="483" t="s">
        <v>2515</v>
      </c>
      <c r="L1086" s="473" t="s">
        <v>530</v>
      </c>
      <c r="M1086" s="473" t="s">
        <v>3364</v>
      </c>
      <c r="N1086" s="473" t="s">
        <v>3483</v>
      </c>
      <c r="O1086" s="474" t="s">
        <v>3489</v>
      </c>
    </row>
    <row r="1087" spans="1:15" s="475" customFormat="1" ht="12" hidden="1">
      <c r="A1087" s="465">
        <v>10131000058547</v>
      </c>
      <c r="B1087" s="476" t="s">
        <v>3487</v>
      </c>
      <c r="C1087" s="476" t="s">
        <v>3493</v>
      </c>
      <c r="D1087" s="467" t="s">
        <v>12</v>
      </c>
      <c r="E1087" s="472" t="s">
        <v>2491</v>
      </c>
      <c r="F1087" s="477" t="s">
        <v>2472</v>
      </c>
      <c r="G1087" s="469" t="s">
        <v>2472</v>
      </c>
      <c r="H1087" s="487">
        <v>565.24</v>
      </c>
      <c r="I1087" s="471">
        <v>565.24</v>
      </c>
      <c r="J1087" s="488" t="s">
        <v>2492</v>
      </c>
      <c r="K1087" s="472" t="s">
        <v>666</v>
      </c>
      <c r="L1087" s="473" t="s">
        <v>530</v>
      </c>
      <c r="M1087" s="473" t="s">
        <v>3364</v>
      </c>
      <c r="N1087" s="473" t="s">
        <v>3483</v>
      </c>
      <c r="O1087" s="474" t="s">
        <v>3489</v>
      </c>
    </row>
    <row r="1088" spans="1:15" s="475" customFormat="1" ht="12" hidden="1">
      <c r="A1088" s="465">
        <v>1000099014</v>
      </c>
      <c r="B1088" s="466" t="s">
        <v>3487</v>
      </c>
      <c r="C1088" s="466" t="s">
        <v>3487</v>
      </c>
      <c r="D1088" s="467" t="s">
        <v>12</v>
      </c>
      <c r="E1088" s="468" t="s">
        <v>2471</v>
      </c>
      <c r="F1088" s="477" t="s">
        <v>2472</v>
      </c>
      <c r="G1088" s="469" t="s">
        <v>2472</v>
      </c>
      <c r="H1088" s="470">
        <v>6348.3527217288301</v>
      </c>
      <c r="I1088" s="471">
        <v>490.22028739218769</v>
      </c>
      <c r="J1088" s="472" t="s">
        <v>422</v>
      </c>
      <c r="K1088" s="472" t="s">
        <v>2473</v>
      </c>
      <c r="L1088" s="473" t="s">
        <v>530</v>
      </c>
      <c r="M1088" s="473" t="s">
        <v>3364</v>
      </c>
      <c r="N1088" s="473" t="s">
        <v>3483</v>
      </c>
      <c r="O1088" s="474" t="s">
        <v>3489</v>
      </c>
    </row>
    <row r="1089" spans="1:15" s="475" customFormat="1" ht="12" hidden="1">
      <c r="A1089" s="465">
        <v>10131000057116</v>
      </c>
      <c r="B1089" s="476" t="s">
        <v>3494</v>
      </c>
      <c r="C1089" s="476" t="s">
        <v>3495</v>
      </c>
      <c r="D1089" s="467" t="s">
        <v>12</v>
      </c>
      <c r="E1089" s="472" t="s">
        <v>2491</v>
      </c>
      <c r="F1089" s="477">
        <v>647.77</v>
      </c>
      <c r="G1089" s="469">
        <v>972.4</v>
      </c>
      <c r="H1089" s="487">
        <v>1266.06</v>
      </c>
      <c r="I1089" s="471">
        <v>1266.06</v>
      </c>
      <c r="J1089" s="488" t="s">
        <v>2492</v>
      </c>
      <c r="K1089" s="472" t="s">
        <v>2522</v>
      </c>
      <c r="L1089" s="473" t="s">
        <v>530</v>
      </c>
      <c r="M1089" s="473" t="s">
        <v>3364</v>
      </c>
      <c r="N1089" s="473" t="s">
        <v>3483</v>
      </c>
      <c r="O1089" s="474" t="s">
        <v>3496</v>
      </c>
    </row>
    <row r="1090" spans="1:15" s="475" customFormat="1" ht="12">
      <c r="A1090" s="465">
        <v>10131000057228</v>
      </c>
      <c r="B1090" s="466" t="s">
        <v>3494</v>
      </c>
      <c r="C1090" s="466" t="s">
        <v>3494</v>
      </c>
      <c r="D1090" s="467" t="s">
        <v>12</v>
      </c>
      <c r="E1090" s="468" t="s">
        <v>2491</v>
      </c>
      <c r="F1090" s="511">
        <v>880</v>
      </c>
      <c r="G1090" s="469" t="s">
        <v>2472</v>
      </c>
      <c r="H1090" s="470">
        <v>935</v>
      </c>
      <c r="I1090" s="510">
        <v>935</v>
      </c>
      <c r="J1090" s="472" t="s">
        <v>423</v>
      </c>
      <c r="K1090" s="472" t="s">
        <v>534</v>
      </c>
      <c r="L1090" s="473" t="s">
        <v>530</v>
      </c>
      <c r="M1090" s="473" t="s">
        <v>3364</v>
      </c>
      <c r="N1090" s="473" t="s">
        <v>3483</v>
      </c>
      <c r="O1090" s="474" t="s">
        <v>3496</v>
      </c>
    </row>
    <row r="1091" spans="1:15" s="475" customFormat="1" ht="12" hidden="1">
      <c r="A1091" s="465">
        <v>10131000037152</v>
      </c>
      <c r="B1091" s="476" t="s">
        <v>3494</v>
      </c>
      <c r="C1091" s="476" t="s">
        <v>3494</v>
      </c>
      <c r="D1091" s="467" t="s">
        <v>12</v>
      </c>
      <c r="E1091" s="472" t="s">
        <v>2541</v>
      </c>
      <c r="F1091" s="477">
        <v>899.10115199999996</v>
      </c>
      <c r="G1091" s="469" t="s">
        <v>2472</v>
      </c>
      <c r="H1091" s="470">
        <v>678.77</v>
      </c>
      <c r="I1091" s="471">
        <v>1040.2002040570499</v>
      </c>
      <c r="J1091" s="485" t="s">
        <v>421</v>
      </c>
      <c r="K1091" s="472" t="s">
        <v>651</v>
      </c>
      <c r="L1091" s="473" t="s">
        <v>530</v>
      </c>
      <c r="M1091" s="473" t="s">
        <v>3364</v>
      </c>
      <c r="N1091" s="473" t="s">
        <v>3483</v>
      </c>
      <c r="O1091" s="474" t="s">
        <v>3496</v>
      </c>
    </row>
    <row r="1092" spans="1:15" s="475" customFormat="1" ht="12" hidden="1">
      <c r="A1092" s="465">
        <v>10131000037153</v>
      </c>
      <c r="B1092" s="476" t="s">
        <v>3494</v>
      </c>
      <c r="C1092" s="476" t="s">
        <v>3494</v>
      </c>
      <c r="D1092" s="467" t="s">
        <v>12</v>
      </c>
      <c r="E1092" s="472" t="s">
        <v>2541</v>
      </c>
      <c r="F1092" s="477">
        <v>899.10115199999996</v>
      </c>
      <c r="G1092" s="469" t="s">
        <v>2472</v>
      </c>
      <c r="H1092" s="470">
        <v>678.77</v>
      </c>
      <c r="I1092" s="471">
        <v>1040.2002040570499</v>
      </c>
      <c r="J1092" s="485" t="s">
        <v>421</v>
      </c>
      <c r="K1092" s="472" t="s">
        <v>651</v>
      </c>
      <c r="L1092" s="473" t="s">
        <v>530</v>
      </c>
      <c r="M1092" s="473" t="s">
        <v>3364</v>
      </c>
      <c r="N1092" s="473" t="s">
        <v>3483</v>
      </c>
      <c r="O1092" s="474" t="s">
        <v>3496</v>
      </c>
    </row>
    <row r="1093" spans="1:15" s="475" customFormat="1" ht="12" hidden="1">
      <c r="A1093" s="465">
        <v>10131000037154</v>
      </c>
      <c r="B1093" s="476" t="s">
        <v>3494</v>
      </c>
      <c r="C1093" s="476" t="s">
        <v>3494</v>
      </c>
      <c r="D1093" s="467" t="s">
        <v>12</v>
      </c>
      <c r="E1093" s="472" t="s">
        <v>2491</v>
      </c>
      <c r="F1093" s="477">
        <v>903.2</v>
      </c>
      <c r="G1093" s="469" t="s">
        <v>2472</v>
      </c>
      <c r="H1093" s="470">
        <v>1040.21</v>
      </c>
      <c r="I1093" s="471">
        <v>1040.21</v>
      </c>
      <c r="J1093" s="485" t="s">
        <v>421</v>
      </c>
      <c r="K1093" s="472" t="s">
        <v>651</v>
      </c>
      <c r="L1093" s="473" t="s">
        <v>530</v>
      </c>
      <c r="M1093" s="473" t="s">
        <v>3364</v>
      </c>
      <c r="N1093" s="473" t="s">
        <v>3483</v>
      </c>
      <c r="O1093" s="474" t="s">
        <v>3496</v>
      </c>
    </row>
    <row r="1094" spans="1:15" s="475" customFormat="1" ht="12" hidden="1">
      <c r="A1094" s="465">
        <v>10131000058557</v>
      </c>
      <c r="B1094" s="476" t="s">
        <v>3494</v>
      </c>
      <c r="C1094" s="476" t="s">
        <v>3494</v>
      </c>
      <c r="D1094" s="467" t="s">
        <v>12</v>
      </c>
      <c r="E1094" s="472" t="s">
        <v>2491</v>
      </c>
      <c r="F1094" s="477" t="s">
        <v>2472</v>
      </c>
      <c r="G1094" s="469" t="s">
        <v>2472</v>
      </c>
      <c r="H1094" s="487">
        <v>611.22</v>
      </c>
      <c r="I1094" s="471">
        <v>611.22</v>
      </c>
      <c r="J1094" s="488" t="s">
        <v>2492</v>
      </c>
      <c r="K1094" s="472" t="s">
        <v>2495</v>
      </c>
      <c r="L1094" s="473" t="s">
        <v>530</v>
      </c>
      <c r="M1094" s="473" t="s">
        <v>3364</v>
      </c>
      <c r="N1094" s="473" t="s">
        <v>3483</v>
      </c>
      <c r="O1094" s="474" t="s">
        <v>3496</v>
      </c>
    </row>
    <row r="1095" spans="1:15" s="475" customFormat="1" ht="12" hidden="1">
      <c r="A1095" s="465">
        <v>10131000058570</v>
      </c>
      <c r="B1095" s="476" t="s">
        <v>3494</v>
      </c>
      <c r="C1095" s="476" t="s">
        <v>3494</v>
      </c>
      <c r="D1095" s="467" t="s">
        <v>12</v>
      </c>
      <c r="E1095" s="472" t="s">
        <v>2491</v>
      </c>
      <c r="F1095" s="477" t="s">
        <v>2472</v>
      </c>
      <c r="G1095" s="469" t="s">
        <v>2472</v>
      </c>
      <c r="H1095" s="487">
        <v>611.22</v>
      </c>
      <c r="I1095" s="471">
        <v>611.22</v>
      </c>
      <c r="J1095" s="488" t="s">
        <v>2492</v>
      </c>
      <c r="K1095" s="472" t="s">
        <v>2495</v>
      </c>
      <c r="L1095" s="473" t="s">
        <v>530</v>
      </c>
      <c r="M1095" s="473" t="s">
        <v>3364</v>
      </c>
      <c r="N1095" s="473" t="s">
        <v>3483</v>
      </c>
      <c r="O1095" s="474" t="s">
        <v>3496</v>
      </c>
    </row>
    <row r="1096" spans="1:15" s="475" customFormat="1" ht="12" hidden="1">
      <c r="A1096" s="465">
        <v>10131000058272</v>
      </c>
      <c r="B1096" s="489" t="s">
        <v>3494</v>
      </c>
      <c r="C1096" s="489" t="s">
        <v>3497</v>
      </c>
      <c r="D1096" s="467" t="s">
        <v>12</v>
      </c>
      <c r="E1096" s="478" t="s">
        <v>2514</v>
      </c>
      <c r="F1096" s="477" t="s">
        <v>2472</v>
      </c>
      <c r="G1096" s="469" t="s">
        <v>2472</v>
      </c>
      <c r="H1096" s="481">
        <v>90036</v>
      </c>
      <c r="I1096" s="482">
        <v>919.13</v>
      </c>
      <c r="J1096" s="483" t="s">
        <v>2515</v>
      </c>
      <c r="K1096" s="483" t="s">
        <v>2515</v>
      </c>
      <c r="L1096" s="473" t="s">
        <v>530</v>
      </c>
      <c r="M1096" s="473" t="s">
        <v>3364</v>
      </c>
      <c r="N1096" s="473" t="s">
        <v>3483</v>
      </c>
      <c r="O1096" s="474" t="s">
        <v>3496</v>
      </c>
    </row>
    <row r="1097" spans="1:15" s="475" customFormat="1" ht="12" hidden="1">
      <c r="A1097" s="465">
        <v>10131000058273</v>
      </c>
      <c r="B1097" s="489" t="s">
        <v>3494</v>
      </c>
      <c r="C1097" s="489" t="s">
        <v>3498</v>
      </c>
      <c r="D1097" s="467" t="s">
        <v>12</v>
      </c>
      <c r="E1097" s="478" t="s">
        <v>2514</v>
      </c>
      <c r="F1097" s="477" t="s">
        <v>2472</v>
      </c>
      <c r="G1097" s="469" t="s">
        <v>2472</v>
      </c>
      <c r="H1097" s="481">
        <v>90036</v>
      </c>
      <c r="I1097" s="482">
        <v>919.13</v>
      </c>
      <c r="J1097" s="483" t="s">
        <v>2515</v>
      </c>
      <c r="K1097" s="483" t="s">
        <v>2515</v>
      </c>
      <c r="L1097" s="473" t="s">
        <v>530</v>
      </c>
      <c r="M1097" s="473" t="s">
        <v>3364</v>
      </c>
      <c r="N1097" s="473" t="s">
        <v>3483</v>
      </c>
      <c r="O1097" s="474" t="s">
        <v>3496</v>
      </c>
    </row>
    <row r="1098" spans="1:15" s="475" customFormat="1" ht="12" hidden="1">
      <c r="A1098" s="465">
        <v>10131000058548</v>
      </c>
      <c r="B1098" s="476" t="s">
        <v>3494</v>
      </c>
      <c r="C1098" s="476" t="s">
        <v>3499</v>
      </c>
      <c r="D1098" s="467" t="s">
        <v>12</v>
      </c>
      <c r="E1098" s="472" t="s">
        <v>2491</v>
      </c>
      <c r="F1098" s="477" t="s">
        <v>2472</v>
      </c>
      <c r="G1098" s="469" t="s">
        <v>2472</v>
      </c>
      <c r="H1098" s="487">
        <v>1316.54</v>
      </c>
      <c r="I1098" s="471">
        <v>1316.54</v>
      </c>
      <c r="J1098" s="488" t="s">
        <v>2492</v>
      </c>
      <c r="K1098" s="472" t="s">
        <v>666</v>
      </c>
      <c r="L1098" s="473" t="s">
        <v>530</v>
      </c>
      <c r="M1098" s="473" t="s">
        <v>3364</v>
      </c>
      <c r="N1098" s="473" t="s">
        <v>3483</v>
      </c>
      <c r="O1098" s="474" t="s">
        <v>3496</v>
      </c>
    </row>
    <row r="1099" spans="1:15" s="475" customFormat="1" ht="12" hidden="1">
      <c r="A1099" s="465">
        <v>1000099015</v>
      </c>
      <c r="B1099" s="466" t="s">
        <v>3494</v>
      </c>
      <c r="C1099" s="466" t="s">
        <v>3494</v>
      </c>
      <c r="D1099" s="467" t="s">
        <v>12</v>
      </c>
      <c r="E1099" s="468" t="s">
        <v>2471</v>
      </c>
      <c r="F1099" s="477" t="s">
        <v>2472</v>
      </c>
      <c r="G1099" s="469" t="s">
        <v>2472</v>
      </c>
      <c r="H1099" s="470">
        <v>15262</v>
      </c>
      <c r="I1099" s="471">
        <v>1178.5328185328185</v>
      </c>
      <c r="J1099" s="472" t="s">
        <v>422</v>
      </c>
      <c r="K1099" s="472" t="s">
        <v>2473</v>
      </c>
      <c r="L1099" s="473" t="s">
        <v>530</v>
      </c>
      <c r="M1099" s="473" t="s">
        <v>3364</v>
      </c>
      <c r="N1099" s="473" t="s">
        <v>3483</v>
      </c>
      <c r="O1099" s="474" t="s">
        <v>3496</v>
      </c>
    </row>
    <row r="1100" spans="1:15" s="475" customFormat="1" ht="12" hidden="1">
      <c r="A1100" s="465">
        <v>1000099012</v>
      </c>
      <c r="B1100" s="466" t="s">
        <v>3500</v>
      </c>
      <c r="C1100" s="466" t="s">
        <v>3501</v>
      </c>
      <c r="D1100" s="467" t="s">
        <v>12</v>
      </c>
      <c r="E1100" s="468" t="s">
        <v>2471</v>
      </c>
      <c r="F1100" s="477" t="s">
        <v>2472</v>
      </c>
      <c r="G1100" s="469" t="s">
        <v>2472</v>
      </c>
      <c r="H1100" s="470">
        <v>38788.962109122345</v>
      </c>
      <c r="I1100" s="471">
        <v>2995.2866493530769</v>
      </c>
      <c r="J1100" s="472" t="s">
        <v>422</v>
      </c>
      <c r="K1100" s="472" t="s">
        <v>2473</v>
      </c>
      <c r="L1100" s="473" t="s">
        <v>530</v>
      </c>
      <c r="M1100" s="473" t="s">
        <v>3364</v>
      </c>
      <c r="N1100" s="473" t="s">
        <v>3483</v>
      </c>
      <c r="O1100" s="474" t="s">
        <v>3496</v>
      </c>
    </row>
    <row r="1101" spans="1:15" s="475" customFormat="1" ht="12" hidden="1">
      <c r="A1101" s="465">
        <v>1000099184</v>
      </c>
      <c r="B1101" s="497" t="s">
        <v>3502</v>
      </c>
      <c r="C1101" s="497" t="s">
        <v>3502</v>
      </c>
      <c r="D1101" s="467" t="s">
        <v>2552</v>
      </c>
      <c r="E1101" s="472" t="s">
        <v>2471</v>
      </c>
      <c r="F1101" s="477" t="s">
        <v>2472</v>
      </c>
      <c r="G1101" s="469" t="s">
        <v>2472</v>
      </c>
      <c r="H1101" s="470" t="s">
        <v>425</v>
      </c>
      <c r="I1101" s="471" t="s">
        <v>425</v>
      </c>
      <c r="J1101" s="485" t="s">
        <v>422</v>
      </c>
      <c r="K1101" s="472" t="s">
        <v>2473</v>
      </c>
      <c r="L1101" s="473" t="s">
        <v>530</v>
      </c>
      <c r="M1101" s="473" t="s">
        <v>3364</v>
      </c>
      <c r="N1101" s="473" t="s">
        <v>1718</v>
      </c>
      <c r="O1101" s="498" t="s">
        <v>3502</v>
      </c>
    </row>
    <row r="1102" spans="1:15" s="475" customFormat="1" ht="12" hidden="1">
      <c r="A1102" s="465">
        <v>1000099185</v>
      </c>
      <c r="B1102" s="497" t="s">
        <v>3503</v>
      </c>
      <c r="C1102" s="497" t="s">
        <v>3503</v>
      </c>
      <c r="D1102" s="467" t="s">
        <v>2552</v>
      </c>
      <c r="E1102" s="472" t="s">
        <v>2471</v>
      </c>
      <c r="F1102" s="477" t="s">
        <v>2472</v>
      </c>
      <c r="G1102" s="469" t="s">
        <v>2472</v>
      </c>
      <c r="H1102" s="470" t="s">
        <v>425</v>
      </c>
      <c r="I1102" s="471" t="s">
        <v>425</v>
      </c>
      <c r="J1102" s="485" t="s">
        <v>422</v>
      </c>
      <c r="K1102" s="472" t="s">
        <v>2473</v>
      </c>
      <c r="L1102" s="473" t="s">
        <v>530</v>
      </c>
      <c r="M1102" s="473" t="s">
        <v>3364</v>
      </c>
      <c r="N1102" s="473" t="s">
        <v>1718</v>
      </c>
      <c r="O1102" s="498" t="s">
        <v>3503</v>
      </c>
    </row>
    <row r="1103" spans="1:15" s="475" customFormat="1" ht="12" hidden="1">
      <c r="A1103" s="465">
        <v>10131000029277</v>
      </c>
      <c r="B1103" s="476" t="s">
        <v>3504</v>
      </c>
      <c r="C1103" s="476" t="s">
        <v>3505</v>
      </c>
      <c r="D1103" s="467" t="s">
        <v>2552</v>
      </c>
      <c r="E1103" s="472" t="s">
        <v>2491</v>
      </c>
      <c r="F1103" s="477">
        <v>0.09</v>
      </c>
      <c r="G1103" s="469">
        <v>0.1</v>
      </c>
      <c r="H1103" s="487">
        <v>0.08</v>
      </c>
      <c r="I1103" s="471">
        <v>0.08</v>
      </c>
      <c r="J1103" s="488" t="s">
        <v>2492</v>
      </c>
      <c r="K1103" s="472" t="s">
        <v>2522</v>
      </c>
      <c r="L1103" s="473" t="s">
        <v>530</v>
      </c>
      <c r="M1103" s="473" t="s">
        <v>3364</v>
      </c>
      <c r="N1103" s="473" t="s">
        <v>1718</v>
      </c>
      <c r="O1103" s="474" t="s">
        <v>3506</v>
      </c>
    </row>
    <row r="1104" spans="1:15" s="475" customFormat="1" ht="12" hidden="1">
      <c r="A1104" s="465">
        <v>10131000008832</v>
      </c>
      <c r="B1104" s="489" t="s">
        <v>3504</v>
      </c>
      <c r="C1104" s="489" t="s">
        <v>3507</v>
      </c>
      <c r="D1104" s="467" t="s">
        <v>2552</v>
      </c>
      <c r="E1104" s="478" t="s">
        <v>2514</v>
      </c>
      <c r="F1104" s="477">
        <v>0.22502831999999998</v>
      </c>
      <c r="G1104" s="469" t="s">
        <v>2472</v>
      </c>
      <c r="H1104" s="481">
        <v>64</v>
      </c>
      <c r="I1104" s="482">
        <v>0.65</v>
      </c>
      <c r="J1104" s="483" t="s">
        <v>2515</v>
      </c>
      <c r="K1104" s="483" t="s">
        <v>2515</v>
      </c>
      <c r="L1104" s="473" t="s">
        <v>530</v>
      </c>
      <c r="M1104" s="473" t="s">
        <v>3364</v>
      </c>
      <c r="N1104" s="473" t="s">
        <v>1718</v>
      </c>
      <c r="O1104" s="474" t="s">
        <v>3402</v>
      </c>
    </row>
    <row r="1105" spans="1:15" s="475" customFormat="1" ht="12" hidden="1">
      <c r="A1105" s="465">
        <v>10131000052445</v>
      </c>
      <c r="B1105" s="489" t="s">
        <v>3504</v>
      </c>
      <c r="C1105" s="489" t="s">
        <v>3508</v>
      </c>
      <c r="D1105" s="467" t="s">
        <v>2552</v>
      </c>
      <c r="E1105" s="478" t="s">
        <v>2514</v>
      </c>
      <c r="F1105" s="477">
        <v>0.22502831999999998</v>
      </c>
      <c r="G1105" s="469" t="s">
        <v>2472</v>
      </c>
      <c r="H1105" s="481">
        <v>64</v>
      </c>
      <c r="I1105" s="482">
        <v>0.65</v>
      </c>
      <c r="J1105" s="483" t="s">
        <v>2515</v>
      </c>
      <c r="K1105" s="483" t="s">
        <v>2515</v>
      </c>
      <c r="L1105" s="473" t="s">
        <v>530</v>
      </c>
      <c r="M1105" s="473" t="s">
        <v>3364</v>
      </c>
      <c r="N1105" s="473" t="s">
        <v>1718</v>
      </c>
      <c r="O1105" s="474" t="s">
        <v>3506</v>
      </c>
    </row>
    <row r="1106" spans="1:15" s="475" customFormat="1" ht="12" hidden="1">
      <c r="A1106" s="465">
        <v>10131000016034</v>
      </c>
      <c r="B1106" s="466" t="s">
        <v>3504</v>
      </c>
      <c r="C1106" s="466" t="s">
        <v>3509</v>
      </c>
      <c r="D1106" s="467" t="s">
        <v>2552</v>
      </c>
      <c r="E1106" s="468" t="s">
        <v>2619</v>
      </c>
      <c r="F1106" s="477">
        <v>0.31761786559999999</v>
      </c>
      <c r="G1106" s="469" t="s">
        <v>2472</v>
      </c>
      <c r="H1106" s="470">
        <v>0.35</v>
      </c>
      <c r="I1106" s="471">
        <v>0.35</v>
      </c>
      <c r="J1106" s="472" t="s">
        <v>423</v>
      </c>
      <c r="K1106" s="472" t="s">
        <v>2620</v>
      </c>
      <c r="L1106" s="473" t="s">
        <v>530</v>
      </c>
      <c r="M1106" s="473" t="s">
        <v>3364</v>
      </c>
      <c r="N1106" s="473" t="s">
        <v>1718</v>
      </c>
      <c r="O1106" s="474" t="s">
        <v>3506</v>
      </c>
    </row>
    <row r="1107" spans="1:15" s="475" customFormat="1" ht="12" hidden="1">
      <c r="A1107" s="465">
        <v>10131000016033</v>
      </c>
      <c r="B1107" s="466" t="s">
        <v>3504</v>
      </c>
      <c r="C1107" s="466" t="s">
        <v>3509</v>
      </c>
      <c r="D1107" s="467" t="s">
        <v>2552</v>
      </c>
      <c r="E1107" s="468" t="s">
        <v>2491</v>
      </c>
      <c r="F1107" s="477">
        <v>0.32</v>
      </c>
      <c r="G1107" s="469" t="s">
        <v>2472</v>
      </c>
      <c r="H1107" s="470">
        <v>0.35</v>
      </c>
      <c r="I1107" s="471">
        <v>0.35</v>
      </c>
      <c r="J1107" s="472" t="s">
        <v>423</v>
      </c>
      <c r="K1107" s="472" t="s">
        <v>2620</v>
      </c>
      <c r="L1107" s="473" t="s">
        <v>530</v>
      </c>
      <c r="M1107" s="473" t="s">
        <v>3364</v>
      </c>
      <c r="N1107" s="473" t="s">
        <v>1718</v>
      </c>
      <c r="O1107" s="474" t="s">
        <v>3506</v>
      </c>
    </row>
    <row r="1108" spans="1:15" s="475" customFormat="1" ht="12">
      <c r="A1108" s="465">
        <v>10131000015839</v>
      </c>
      <c r="B1108" s="466" t="s">
        <v>3504</v>
      </c>
      <c r="C1108" s="466" t="s">
        <v>3504</v>
      </c>
      <c r="D1108" s="467" t="s">
        <v>2552</v>
      </c>
      <c r="E1108" s="468" t="s">
        <v>2491</v>
      </c>
      <c r="F1108" s="511">
        <v>0.32</v>
      </c>
      <c r="G1108" s="469" t="s">
        <v>2472</v>
      </c>
      <c r="H1108" s="470">
        <v>0.35</v>
      </c>
      <c r="I1108" s="510">
        <v>0.35</v>
      </c>
      <c r="J1108" s="472" t="s">
        <v>423</v>
      </c>
      <c r="K1108" s="472" t="s">
        <v>534</v>
      </c>
      <c r="L1108" s="473" t="s">
        <v>530</v>
      </c>
      <c r="M1108" s="473" t="s">
        <v>3364</v>
      </c>
      <c r="N1108" s="473" t="s">
        <v>1718</v>
      </c>
      <c r="O1108" s="474" t="s">
        <v>3506</v>
      </c>
    </row>
    <row r="1109" spans="1:15" s="475" customFormat="1" ht="12" hidden="1">
      <c r="A1109" s="465">
        <v>10131000034627</v>
      </c>
      <c r="B1109" s="476" t="s">
        <v>3504</v>
      </c>
      <c r="C1109" s="476" t="s">
        <v>3504</v>
      </c>
      <c r="D1109" s="467" t="s">
        <v>2552</v>
      </c>
      <c r="E1109" s="472" t="s">
        <v>2541</v>
      </c>
      <c r="F1109" s="477">
        <v>0.40466400000000002</v>
      </c>
      <c r="G1109" s="469" t="s">
        <v>2472</v>
      </c>
      <c r="H1109" s="470">
        <v>0.31</v>
      </c>
      <c r="I1109" s="471">
        <v>0.47506823114999996</v>
      </c>
      <c r="J1109" s="485" t="s">
        <v>421</v>
      </c>
      <c r="K1109" s="472" t="s">
        <v>651</v>
      </c>
      <c r="L1109" s="473" t="s">
        <v>530</v>
      </c>
      <c r="M1109" s="473" t="s">
        <v>3364</v>
      </c>
      <c r="N1109" s="473" t="s">
        <v>1718</v>
      </c>
      <c r="O1109" s="474" t="s">
        <v>3506</v>
      </c>
    </row>
    <row r="1110" spans="1:15" s="475" customFormat="1" ht="12" hidden="1">
      <c r="A1110" s="465">
        <v>10131000034629</v>
      </c>
      <c r="B1110" s="476" t="s">
        <v>3504</v>
      </c>
      <c r="C1110" s="476" t="s">
        <v>3504</v>
      </c>
      <c r="D1110" s="467" t="s">
        <v>2552</v>
      </c>
      <c r="E1110" s="472" t="s">
        <v>2541</v>
      </c>
      <c r="F1110" s="477">
        <v>0.40466400000000002</v>
      </c>
      <c r="G1110" s="469" t="s">
        <v>2472</v>
      </c>
      <c r="H1110" s="470">
        <v>0.31</v>
      </c>
      <c r="I1110" s="471">
        <v>0.47506823114999996</v>
      </c>
      <c r="J1110" s="485" t="s">
        <v>421</v>
      </c>
      <c r="K1110" s="472" t="s">
        <v>651</v>
      </c>
      <c r="L1110" s="473" t="s">
        <v>530</v>
      </c>
      <c r="M1110" s="473" t="s">
        <v>3364</v>
      </c>
      <c r="N1110" s="473" t="s">
        <v>1718</v>
      </c>
      <c r="O1110" s="474" t="s">
        <v>3506</v>
      </c>
    </row>
    <row r="1111" spans="1:15" s="475" customFormat="1" ht="12" hidden="1">
      <c r="A1111" s="465">
        <v>10131000034630</v>
      </c>
      <c r="B1111" s="476" t="s">
        <v>3504</v>
      </c>
      <c r="C1111" s="476" t="s">
        <v>3504</v>
      </c>
      <c r="D1111" s="467" t="s">
        <v>2552</v>
      </c>
      <c r="E1111" s="472" t="s">
        <v>2491</v>
      </c>
      <c r="F1111" s="477">
        <v>0.41</v>
      </c>
      <c r="G1111" s="469" t="s">
        <v>2472</v>
      </c>
      <c r="H1111" s="470">
        <v>0.47</v>
      </c>
      <c r="I1111" s="471">
        <v>0.47</v>
      </c>
      <c r="J1111" s="485" t="s">
        <v>421</v>
      </c>
      <c r="K1111" s="472" t="s">
        <v>651</v>
      </c>
      <c r="L1111" s="473" t="s">
        <v>530</v>
      </c>
      <c r="M1111" s="473" t="s">
        <v>3364</v>
      </c>
      <c r="N1111" s="473" t="s">
        <v>1718</v>
      </c>
      <c r="O1111" s="474" t="s">
        <v>3506</v>
      </c>
    </row>
    <row r="1112" spans="1:15" s="475" customFormat="1" ht="12" hidden="1">
      <c r="A1112" s="465">
        <v>1000099186</v>
      </c>
      <c r="B1112" s="476" t="s">
        <v>3504</v>
      </c>
      <c r="C1112" s="476" t="s">
        <v>3504</v>
      </c>
      <c r="D1112" s="467" t="s">
        <v>2552</v>
      </c>
      <c r="E1112" s="472" t="s">
        <v>2471</v>
      </c>
      <c r="F1112" s="477" t="s">
        <v>2472</v>
      </c>
      <c r="G1112" s="469" t="s">
        <v>2472</v>
      </c>
      <c r="H1112" s="470">
        <v>4.8099999999999996</v>
      </c>
      <c r="I1112" s="471">
        <v>0.37</v>
      </c>
      <c r="J1112" s="485" t="s">
        <v>422</v>
      </c>
      <c r="K1112" s="472" t="s">
        <v>2473</v>
      </c>
      <c r="L1112" s="473" t="s">
        <v>530</v>
      </c>
      <c r="M1112" s="473" t="s">
        <v>3364</v>
      </c>
      <c r="N1112" s="473" t="s">
        <v>1718</v>
      </c>
      <c r="O1112" s="474" t="s">
        <v>3506</v>
      </c>
    </row>
    <row r="1113" spans="1:15" s="475" customFormat="1" ht="12" hidden="1">
      <c r="A1113" s="465">
        <v>10131000015895</v>
      </c>
      <c r="B1113" s="466" t="s">
        <v>3510</v>
      </c>
      <c r="C1113" s="466" t="s">
        <v>3510</v>
      </c>
      <c r="D1113" s="467" t="s">
        <v>2552</v>
      </c>
      <c r="E1113" s="468" t="s">
        <v>2491</v>
      </c>
      <c r="F1113" s="477">
        <v>0.28699999999999998</v>
      </c>
      <c r="G1113" s="469" t="s">
        <v>2472</v>
      </c>
      <c r="H1113" s="470">
        <v>0.32</v>
      </c>
      <c r="I1113" s="471">
        <v>0.32</v>
      </c>
      <c r="J1113" s="472" t="s">
        <v>423</v>
      </c>
      <c r="K1113" s="472" t="s">
        <v>534</v>
      </c>
      <c r="L1113" s="473" t="s">
        <v>530</v>
      </c>
      <c r="M1113" s="473" t="s">
        <v>3364</v>
      </c>
      <c r="N1113" s="473" t="s">
        <v>1718</v>
      </c>
      <c r="O1113" s="474" t="s">
        <v>3511</v>
      </c>
    </row>
    <row r="1114" spans="1:15" s="475" customFormat="1" ht="12" hidden="1">
      <c r="A1114" s="465">
        <v>10131000057246</v>
      </c>
      <c r="B1114" s="466" t="s">
        <v>3510</v>
      </c>
      <c r="C1114" s="466" t="s">
        <v>3510</v>
      </c>
      <c r="D1114" s="467" t="s">
        <v>2552</v>
      </c>
      <c r="E1114" s="468" t="s">
        <v>2491</v>
      </c>
      <c r="F1114" s="477">
        <v>0.42</v>
      </c>
      <c r="G1114" s="469" t="s">
        <v>2472</v>
      </c>
      <c r="H1114" s="470">
        <v>0.42</v>
      </c>
      <c r="I1114" s="471">
        <v>0.42</v>
      </c>
      <c r="J1114" s="472" t="s">
        <v>423</v>
      </c>
      <c r="K1114" s="472" t="s">
        <v>534</v>
      </c>
      <c r="L1114" s="473" t="s">
        <v>530</v>
      </c>
      <c r="M1114" s="473" t="s">
        <v>3364</v>
      </c>
      <c r="N1114" s="473" t="s">
        <v>1718</v>
      </c>
      <c r="O1114" s="474" t="s">
        <v>3511</v>
      </c>
    </row>
    <row r="1115" spans="1:15" s="475" customFormat="1" ht="12" hidden="1">
      <c r="A1115" s="465">
        <v>10131000021638</v>
      </c>
      <c r="B1115" s="466" t="s">
        <v>3510</v>
      </c>
      <c r="C1115" s="476" t="s">
        <v>3512</v>
      </c>
      <c r="D1115" s="467" t="s">
        <v>2552</v>
      </c>
      <c r="E1115" s="472" t="s">
        <v>2491</v>
      </c>
      <c r="F1115" s="477">
        <v>5.25</v>
      </c>
      <c r="G1115" s="469" t="s">
        <v>2472</v>
      </c>
      <c r="H1115" s="487">
        <v>4.74</v>
      </c>
      <c r="I1115" s="471">
        <v>4.74</v>
      </c>
      <c r="J1115" s="488" t="s">
        <v>2492</v>
      </c>
      <c r="K1115" s="472" t="s">
        <v>656</v>
      </c>
      <c r="L1115" s="473" t="s">
        <v>530</v>
      </c>
      <c r="M1115" s="473" t="s">
        <v>3364</v>
      </c>
      <c r="N1115" s="473" t="s">
        <v>1718</v>
      </c>
      <c r="O1115" s="474" t="s">
        <v>3511</v>
      </c>
    </row>
    <row r="1116" spans="1:15" s="475" customFormat="1" ht="12" hidden="1">
      <c r="A1116" s="465">
        <v>1000099030</v>
      </c>
      <c r="B1116" s="473" t="s">
        <v>3513</v>
      </c>
      <c r="C1116" s="473" t="s">
        <v>3513</v>
      </c>
      <c r="D1116" s="467" t="s">
        <v>3514</v>
      </c>
      <c r="E1116" s="468" t="s">
        <v>2471</v>
      </c>
      <c r="F1116" s="477" t="s">
        <v>2472</v>
      </c>
      <c r="G1116" s="469" t="s">
        <v>2472</v>
      </c>
      <c r="H1116" s="470">
        <v>889.47301083240927</v>
      </c>
      <c r="I1116" s="471">
        <v>68.685174581653229</v>
      </c>
      <c r="J1116" s="472" t="s">
        <v>422</v>
      </c>
      <c r="K1116" s="472" t="s">
        <v>2473</v>
      </c>
      <c r="L1116" s="473" t="s">
        <v>530</v>
      </c>
      <c r="M1116" s="473" t="s">
        <v>3364</v>
      </c>
      <c r="N1116" s="473" t="s">
        <v>3514</v>
      </c>
      <c r="O1116" s="474" t="s">
        <v>3515</v>
      </c>
    </row>
    <row r="1117" spans="1:15" s="475" customFormat="1" ht="12" hidden="1">
      <c r="A1117" s="465">
        <v>10131000037585</v>
      </c>
      <c r="B1117" s="476" t="s">
        <v>3516</v>
      </c>
      <c r="C1117" s="484" t="s">
        <v>3516</v>
      </c>
      <c r="D1117" s="467" t="s">
        <v>3514</v>
      </c>
      <c r="E1117" s="467" t="s">
        <v>2541</v>
      </c>
      <c r="F1117" s="477">
        <v>58.660715999999994</v>
      </c>
      <c r="G1117" s="469" t="s">
        <v>2472</v>
      </c>
      <c r="H1117" s="470">
        <v>206.38</v>
      </c>
      <c r="I1117" s="477">
        <v>331.75</v>
      </c>
      <c r="J1117" s="485" t="s">
        <v>421</v>
      </c>
      <c r="K1117" s="472" t="s">
        <v>651</v>
      </c>
      <c r="L1117" s="473" t="s">
        <v>530</v>
      </c>
      <c r="M1117" s="473" t="s">
        <v>3364</v>
      </c>
      <c r="N1117" s="473" t="s">
        <v>3514</v>
      </c>
      <c r="O1117" s="474" t="s">
        <v>3517</v>
      </c>
    </row>
    <row r="1118" spans="1:15" s="475" customFormat="1" ht="12" hidden="1">
      <c r="A1118" s="465">
        <v>10131000037587</v>
      </c>
      <c r="B1118" s="476" t="s">
        <v>3516</v>
      </c>
      <c r="C1118" s="484" t="s">
        <v>3516</v>
      </c>
      <c r="D1118" s="467" t="s">
        <v>3514</v>
      </c>
      <c r="E1118" s="467" t="s">
        <v>2541</v>
      </c>
      <c r="F1118" s="477">
        <v>58.660715999999994</v>
      </c>
      <c r="G1118" s="469" t="s">
        <v>2472</v>
      </c>
      <c r="H1118" s="470">
        <v>206.38</v>
      </c>
      <c r="I1118" s="477">
        <v>331.75</v>
      </c>
      <c r="J1118" s="485" t="s">
        <v>421</v>
      </c>
      <c r="K1118" s="472" t="s">
        <v>651</v>
      </c>
      <c r="L1118" s="473" t="s">
        <v>530</v>
      </c>
      <c r="M1118" s="473" t="s">
        <v>3364</v>
      </c>
      <c r="N1118" s="473" t="s">
        <v>3514</v>
      </c>
      <c r="O1118" s="474" t="s">
        <v>3517</v>
      </c>
    </row>
    <row r="1119" spans="1:15" s="475" customFormat="1" ht="12" hidden="1">
      <c r="A1119" s="465">
        <v>10131000037588</v>
      </c>
      <c r="B1119" s="476" t="s">
        <v>3516</v>
      </c>
      <c r="C1119" s="484" t="s">
        <v>3516</v>
      </c>
      <c r="D1119" s="467" t="s">
        <v>3514</v>
      </c>
      <c r="E1119" s="467" t="s">
        <v>2491</v>
      </c>
      <c r="F1119" s="477">
        <v>58.93</v>
      </c>
      <c r="G1119" s="469" t="s">
        <v>2472</v>
      </c>
      <c r="H1119" s="470">
        <v>331.75</v>
      </c>
      <c r="I1119" s="477">
        <v>331.75</v>
      </c>
      <c r="J1119" s="485" t="s">
        <v>421</v>
      </c>
      <c r="K1119" s="472" t="s">
        <v>651</v>
      </c>
      <c r="L1119" s="473" t="s">
        <v>530</v>
      </c>
      <c r="M1119" s="473" t="s">
        <v>3364</v>
      </c>
      <c r="N1119" s="473" t="s">
        <v>3514</v>
      </c>
      <c r="O1119" s="474" t="s">
        <v>3517</v>
      </c>
    </row>
    <row r="1120" spans="1:15" s="475" customFormat="1" ht="12" hidden="1">
      <c r="A1120" s="465">
        <v>10131000037636</v>
      </c>
      <c r="B1120" s="489" t="s">
        <v>3516</v>
      </c>
      <c r="C1120" s="489" t="s">
        <v>3518</v>
      </c>
      <c r="D1120" s="467" t="s">
        <v>3514</v>
      </c>
      <c r="E1120" s="478" t="s">
        <v>2514</v>
      </c>
      <c r="F1120" s="477">
        <v>181.7615112</v>
      </c>
      <c r="G1120" s="469" t="s">
        <v>2472</v>
      </c>
      <c r="H1120" s="481">
        <v>33369</v>
      </c>
      <c r="I1120" s="482">
        <v>340.65</v>
      </c>
      <c r="J1120" s="483" t="s">
        <v>2515</v>
      </c>
      <c r="K1120" s="483" t="s">
        <v>2515</v>
      </c>
      <c r="L1120" s="473" t="s">
        <v>530</v>
      </c>
      <c r="M1120" s="473" t="s">
        <v>3364</v>
      </c>
      <c r="N1120" s="473" t="s">
        <v>3514</v>
      </c>
      <c r="O1120" s="474" t="s">
        <v>3517</v>
      </c>
    </row>
    <row r="1121" spans="1:15" s="475" customFormat="1" ht="12" hidden="1">
      <c r="A1121" s="465">
        <v>10131000052449</v>
      </c>
      <c r="B1121" s="489" t="s">
        <v>3516</v>
      </c>
      <c r="C1121" s="489" t="s">
        <v>3519</v>
      </c>
      <c r="D1121" s="467" t="s">
        <v>3514</v>
      </c>
      <c r="E1121" s="478" t="s">
        <v>2514</v>
      </c>
      <c r="F1121" s="477">
        <v>181.7615112</v>
      </c>
      <c r="G1121" s="469" t="s">
        <v>2472</v>
      </c>
      <c r="H1121" s="481">
        <v>33369</v>
      </c>
      <c r="I1121" s="482">
        <v>340.65</v>
      </c>
      <c r="J1121" s="483" t="s">
        <v>2515</v>
      </c>
      <c r="K1121" s="483" t="s">
        <v>2515</v>
      </c>
      <c r="L1121" s="473" t="s">
        <v>530</v>
      </c>
      <c r="M1121" s="473" t="s">
        <v>3364</v>
      </c>
      <c r="N1121" s="473" t="s">
        <v>3514</v>
      </c>
      <c r="O1121" s="474" t="s">
        <v>3517</v>
      </c>
    </row>
    <row r="1122" spans="1:15" s="475" customFormat="1" ht="12">
      <c r="A1122" s="465">
        <v>10131000057182</v>
      </c>
      <c r="B1122" s="466" t="s">
        <v>3516</v>
      </c>
      <c r="C1122" s="466" t="s">
        <v>3516</v>
      </c>
      <c r="D1122" s="467" t="s">
        <v>3514</v>
      </c>
      <c r="E1122" s="468" t="s">
        <v>2491</v>
      </c>
      <c r="F1122" s="511">
        <v>190</v>
      </c>
      <c r="G1122" s="469" t="s">
        <v>2472</v>
      </c>
      <c r="H1122" s="470">
        <v>198</v>
      </c>
      <c r="I1122" s="510">
        <v>198</v>
      </c>
      <c r="J1122" s="472" t="s">
        <v>423</v>
      </c>
      <c r="K1122" s="472" t="s">
        <v>534</v>
      </c>
      <c r="L1122" s="473" t="s">
        <v>530</v>
      </c>
      <c r="M1122" s="473" t="s">
        <v>3364</v>
      </c>
      <c r="N1122" s="473" t="s">
        <v>3514</v>
      </c>
      <c r="O1122" s="474" t="s">
        <v>3517</v>
      </c>
    </row>
    <row r="1123" spans="1:15" s="475" customFormat="1" ht="12" hidden="1">
      <c r="A1123" s="465">
        <v>10131000057319</v>
      </c>
      <c r="B1123" s="476" t="s">
        <v>3516</v>
      </c>
      <c r="C1123" s="476" t="s">
        <v>3520</v>
      </c>
      <c r="D1123" s="467" t="s">
        <v>3514</v>
      </c>
      <c r="E1123" s="472" t="s">
        <v>2491</v>
      </c>
      <c r="F1123" s="511">
        <v>212.86</v>
      </c>
      <c r="G1123" s="469">
        <v>231.29</v>
      </c>
      <c r="H1123" s="487">
        <v>220.65</v>
      </c>
      <c r="I1123" s="471">
        <v>220.65</v>
      </c>
      <c r="J1123" s="488" t="s">
        <v>2492</v>
      </c>
      <c r="K1123" s="472" t="s">
        <v>2522</v>
      </c>
      <c r="L1123" s="473" t="s">
        <v>530</v>
      </c>
      <c r="M1123" s="473" t="s">
        <v>3364</v>
      </c>
      <c r="N1123" s="473" t="s">
        <v>3514</v>
      </c>
      <c r="O1123" s="474" t="s">
        <v>3517</v>
      </c>
    </row>
    <row r="1124" spans="1:15" s="475" customFormat="1" ht="12" hidden="1">
      <c r="A1124" s="465">
        <v>1000058597</v>
      </c>
      <c r="B1124" s="476" t="s">
        <v>3516</v>
      </c>
      <c r="C1124" s="476" t="s">
        <v>3521</v>
      </c>
      <c r="D1124" s="467" t="s">
        <v>3514</v>
      </c>
      <c r="E1124" s="472" t="s">
        <v>2491</v>
      </c>
      <c r="F1124" s="511" t="s">
        <v>2472</v>
      </c>
      <c r="G1124" s="469" t="s">
        <v>2472</v>
      </c>
      <c r="H1124" s="487">
        <v>284.38</v>
      </c>
      <c r="I1124" s="471">
        <v>284.38</v>
      </c>
      <c r="J1124" s="488" t="s">
        <v>2492</v>
      </c>
      <c r="K1124" s="472" t="s">
        <v>658</v>
      </c>
      <c r="L1124" s="473" t="s">
        <v>530</v>
      </c>
      <c r="M1124" s="473" t="s">
        <v>3364</v>
      </c>
      <c r="N1124" s="473" t="s">
        <v>3514</v>
      </c>
      <c r="O1124" s="474" t="s">
        <v>3517</v>
      </c>
    </row>
    <row r="1125" spans="1:15" s="475" customFormat="1" ht="12" hidden="1">
      <c r="A1125" s="465">
        <v>10131000058571</v>
      </c>
      <c r="B1125" s="476" t="s">
        <v>3516</v>
      </c>
      <c r="C1125" s="476" t="s">
        <v>3516</v>
      </c>
      <c r="D1125" s="467" t="s">
        <v>3514</v>
      </c>
      <c r="E1125" s="472" t="s">
        <v>2491</v>
      </c>
      <c r="F1125" s="511" t="s">
        <v>2472</v>
      </c>
      <c r="G1125" s="469" t="s">
        <v>2472</v>
      </c>
      <c r="H1125" s="487">
        <v>520.66999999999996</v>
      </c>
      <c r="I1125" s="471">
        <v>520.66999999999996</v>
      </c>
      <c r="J1125" s="488" t="s">
        <v>2492</v>
      </c>
      <c r="K1125" s="472" t="s">
        <v>2495</v>
      </c>
      <c r="L1125" s="473" t="s">
        <v>530</v>
      </c>
      <c r="M1125" s="473" t="s">
        <v>3364</v>
      </c>
      <c r="N1125" s="473" t="s">
        <v>3514</v>
      </c>
      <c r="O1125" s="474" t="s">
        <v>3517</v>
      </c>
    </row>
    <row r="1126" spans="1:15" s="475" customFormat="1" ht="12" hidden="1">
      <c r="A1126" s="465">
        <v>10131000058577</v>
      </c>
      <c r="B1126" s="476" t="s">
        <v>3516</v>
      </c>
      <c r="C1126" s="476" t="s">
        <v>3522</v>
      </c>
      <c r="D1126" s="467" t="s">
        <v>3514</v>
      </c>
      <c r="E1126" s="472" t="s">
        <v>2491</v>
      </c>
      <c r="F1126" s="511" t="s">
        <v>2472</v>
      </c>
      <c r="G1126" s="469" t="s">
        <v>2472</v>
      </c>
      <c r="H1126" s="487">
        <v>253.81</v>
      </c>
      <c r="I1126" s="471">
        <v>253.81</v>
      </c>
      <c r="J1126" s="488" t="s">
        <v>2492</v>
      </c>
      <c r="K1126" s="472" t="s">
        <v>666</v>
      </c>
      <c r="L1126" s="473" t="s">
        <v>530</v>
      </c>
      <c r="M1126" s="473" t="s">
        <v>3364</v>
      </c>
      <c r="N1126" s="473" t="s">
        <v>3514</v>
      </c>
      <c r="O1126" s="474" t="s">
        <v>3517</v>
      </c>
    </row>
    <row r="1127" spans="1:15" s="475" customFormat="1" ht="12" hidden="1">
      <c r="A1127" s="465">
        <v>1000099026</v>
      </c>
      <c r="B1127" s="466" t="s">
        <v>3516</v>
      </c>
      <c r="C1127" s="466" t="s">
        <v>3516</v>
      </c>
      <c r="D1127" s="467" t="s">
        <v>3514</v>
      </c>
      <c r="E1127" s="468" t="s">
        <v>2471</v>
      </c>
      <c r="F1127" s="511" t="s">
        <v>2472</v>
      </c>
      <c r="G1127" s="469" t="s">
        <v>2472</v>
      </c>
      <c r="H1127" s="470">
        <v>2914.6</v>
      </c>
      <c r="I1127" s="471">
        <v>225.06563706563708</v>
      </c>
      <c r="J1127" s="472" t="s">
        <v>422</v>
      </c>
      <c r="K1127" s="472" t="s">
        <v>2473</v>
      </c>
      <c r="L1127" s="473" t="s">
        <v>530</v>
      </c>
      <c r="M1127" s="473" t="s">
        <v>3364</v>
      </c>
      <c r="N1127" s="473" t="s">
        <v>3514</v>
      </c>
      <c r="O1127" s="474" t="s">
        <v>3517</v>
      </c>
    </row>
    <row r="1128" spans="1:15" s="475" customFormat="1" ht="12">
      <c r="A1128" s="465">
        <v>10131000057183</v>
      </c>
      <c r="B1128" s="466" t="s">
        <v>3523</v>
      </c>
      <c r="C1128" s="466" t="s">
        <v>3523</v>
      </c>
      <c r="D1128" s="467" t="s">
        <v>3514</v>
      </c>
      <c r="E1128" s="468" t="s">
        <v>2491</v>
      </c>
      <c r="F1128" s="511">
        <v>220</v>
      </c>
      <c r="G1128" s="469" t="s">
        <v>2472</v>
      </c>
      <c r="H1128" s="470">
        <v>229</v>
      </c>
      <c r="I1128" s="510">
        <v>229</v>
      </c>
      <c r="J1128" s="472" t="s">
        <v>423</v>
      </c>
      <c r="K1128" s="472" t="s">
        <v>534</v>
      </c>
      <c r="L1128" s="473" t="s">
        <v>530</v>
      </c>
      <c r="M1128" s="473" t="s">
        <v>3364</v>
      </c>
      <c r="N1128" s="473" t="s">
        <v>3514</v>
      </c>
      <c r="O1128" s="474" t="s">
        <v>3524</v>
      </c>
    </row>
    <row r="1129" spans="1:15" s="475" customFormat="1" ht="12" hidden="1">
      <c r="A1129" s="465">
        <v>10131000057318</v>
      </c>
      <c r="B1129" s="476" t="s">
        <v>3523</v>
      </c>
      <c r="C1129" s="476" t="s">
        <v>3523</v>
      </c>
      <c r="D1129" s="467" t="s">
        <v>3514</v>
      </c>
      <c r="E1129" s="472" t="s">
        <v>2491</v>
      </c>
      <c r="F1129" s="511">
        <v>270.33</v>
      </c>
      <c r="G1129" s="469" t="s">
        <v>2472</v>
      </c>
      <c r="H1129" s="487">
        <v>277.54000000000002</v>
      </c>
      <c r="I1129" s="471">
        <v>277.54000000000002</v>
      </c>
      <c r="J1129" s="488" t="s">
        <v>2492</v>
      </c>
      <c r="K1129" s="472" t="s">
        <v>2522</v>
      </c>
      <c r="L1129" s="473" t="s">
        <v>530</v>
      </c>
      <c r="M1129" s="473" t="s">
        <v>3364</v>
      </c>
      <c r="N1129" s="473" t="s">
        <v>3514</v>
      </c>
      <c r="O1129" s="474" t="s">
        <v>3524</v>
      </c>
    </row>
    <row r="1130" spans="1:15" s="475" customFormat="1" ht="12" hidden="1">
      <c r="A1130" s="465">
        <v>1000058598</v>
      </c>
      <c r="B1130" s="476" t="s">
        <v>3523</v>
      </c>
      <c r="C1130" s="476" t="s">
        <v>3525</v>
      </c>
      <c r="D1130" s="467" t="s">
        <v>3514</v>
      </c>
      <c r="E1130" s="472" t="s">
        <v>2491</v>
      </c>
      <c r="F1130" s="511" t="s">
        <v>2472</v>
      </c>
      <c r="G1130" s="469" t="s">
        <v>2472</v>
      </c>
      <c r="H1130" s="487">
        <v>423.36</v>
      </c>
      <c r="I1130" s="471">
        <v>423.36</v>
      </c>
      <c r="J1130" s="488" t="s">
        <v>2492</v>
      </c>
      <c r="K1130" s="472" t="s">
        <v>658</v>
      </c>
      <c r="L1130" s="473" t="s">
        <v>530</v>
      </c>
      <c r="M1130" s="473" t="s">
        <v>3364</v>
      </c>
      <c r="N1130" s="473" t="s">
        <v>3514</v>
      </c>
      <c r="O1130" s="474" t="s">
        <v>3524</v>
      </c>
    </row>
    <row r="1131" spans="1:15" s="475" customFormat="1" ht="12" hidden="1">
      <c r="A1131" s="465">
        <v>10131000058572</v>
      </c>
      <c r="B1131" s="476" t="s">
        <v>3523</v>
      </c>
      <c r="C1131" s="476" t="s">
        <v>3523</v>
      </c>
      <c r="D1131" s="467" t="s">
        <v>3514</v>
      </c>
      <c r="E1131" s="472" t="s">
        <v>2491</v>
      </c>
      <c r="F1131" s="511" t="s">
        <v>2472</v>
      </c>
      <c r="G1131" s="469" t="s">
        <v>2472</v>
      </c>
      <c r="H1131" s="487">
        <v>426.19</v>
      </c>
      <c r="I1131" s="471">
        <v>426.19</v>
      </c>
      <c r="J1131" s="488" t="s">
        <v>2492</v>
      </c>
      <c r="K1131" s="472" t="s">
        <v>2495</v>
      </c>
      <c r="L1131" s="473" t="s">
        <v>530</v>
      </c>
      <c r="M1131" s="473" t="s">
        <v>3364</v>
      </c>
      <c r="N1131" s="473" t="s">
        <v>3514</v>
      </c>
      <c r="O1131" s="474" t="s">
        <v>3524</v>
      </c>
    </row>
    <row r="1132" spans="1:15" s="475" customFormat="1" ht="12" hidden="1">
      <c r="A1132" s="465">
        <v>10131000058274</v>
      </c>
      <c r="B1132" s="489" t="s">
        <v>3523</v>
      </c>
      <c r="C1132" s="489" t="s">
        <v>3526</v>
      </c>
      <c r="D1132" s="467" t="s">
        <v>3514</v>
      </c>
      <c r="E1132" s="478" t="s">
        <v>2514</v>
      </c>
      <c r="F1132" s="511" t="s">
        <v>2472</v>
      </c>
      <c r="G1132" s="469" t="s">
        <v>2472</v>
      </c>
      <c r="H1132" s="481">
        <v>56953</v>
      </c>
      <c r="I1132" s="482">
        <v>581.4</v>
      </c>
      <c r="J1132" s="483" t="s">
        <v>2515</v>
      </c>
      <c r="K1132" s="483" t="s">
        <v>2515</v>
      </c>
      <c r="L1132" s="473" t="s">
        <v>530</v>
      </c>
      <c r="M1132" s="473" t="s">
        <v>3364</v>
      </c>
      <c r="N1132" s="473" t="s">
        <v>3514</v>
      </c>
      <c r="O1132" s="474" t="s">
        <v>3524</v>
      </c>
    </row>
    <row r="1133" spans="1:15" s="475" customFormat="1" ht="12" hidden="1">
      <c r="A1133" s="465">
        <v>10131000058275</v>
      </c>
      <c r="B1133" s="489" t="s">
        <v>3523</v>
      </c>
      <c r="C1133" s="489" t="s">
        <v>3527</v>
      </c>
      <c r="D1133" s="467" t="s">
        <v>3514</v>
      </c>
      <c r="E1133" s="478" t="s">
        <v>2514</v>
      </c>
      <c r="F1133" s="511" t="s">
        <v>2472</v>
      </c>
      <c r="G1133" s="469" t="s">
        <v>2472</v>
      </c>
      <c r="H1133" s="481">
        <v>56953</v>
      </c>
      <c r="I1133" s="482">
        <v>581.4</v>
      </c>
      <c r="J1133" s="483" t="s">
        <v>2515</v>
      </c>
      <c r="K1133" s="483" t="s">
        <v>2515</v>
      </c>
      <c r="L1133" s="473" t="s">
        <v>530</v>
      </c>
      <c r="M1133" s="473" t="s">
        <v>3364</v>
      </c>
      <c r="N1133" s="473" t="s">
        <v>3514</v>
      </c>
      <c r="O1133" s="474" t="s">
        <v>3524</v>
      </c>
    </row>
    <row r="1134" spans="1:15" s="475" customFormat="1" ht="12" hidden="1">
      <c r="A1134" s="465">
        <v>10131000058578</v>
      </c>
      <c r="B1134" s="476" t="s">
        <v>3523</v>
      </c>
      <c r="C1134" s="476" t="s">
        <v>3528</v>
      </c>
      <c r="D1134" s="467" t="s">
        <v>3514</v>
      </c>
      <c r="E1134" s="472" t="s">
        <v>2491</v>
      </c>
      <c r="F1134" s="511" t="s">
        <v>2472</v>
      </c>
      <c r="G1134" s="469" t="s">
        <v>2472</v>
      </c>
      <c r="H1134" s="487">
        <v>330.33</v>
      </c>
      <c r="I1134" s="471">
        <v>330.33</v>
      </c>
      <c r="J1134" s="488" t="s">
        <v>2492</v>
      </c>
      <c r="K1134" s="472" t="s">
        <v>666</v>
      </c>
      <c r="L1134" s="473" t="s">
        <v>530</v>
      </c>
      <c r="M1134" s="473" t="s">
        <v>3364</v>
      </c>
      <c r="N1134" s="473" t="s">
        <v>3514</v>
      </c>
      <c r="O1134" s="474" t="s">
        <v>3524</v>
      </c>
    </row>
    <row r="1135" spans="1:15" s="475" customFormat="1" ht="12" hidden="1">
      <c r="A1135" s="465">
        <v>1000099027</v>
      </c>
      <c r="B1135" s="466" t="s">
        <v>3523</v>
      </c>
      <c r="C1135" s="466" t="s">
        <v>3523</v>
      </c>
      <c r="D1135" s="467" t="s">
        <v>3514</v>
      </c>
      <c r="E1135" s="468" t="s">
        <v>2471</v>
      </c>
      <c r="F1135" s="511" t="s">
        <v>2472</v>
      </c>
      <c r="G1135" s="469" t="s">
        <v>2472</v>
      </c>
      <c r="H1135" s="470">
        <v>3374.7999999999997</v>
      </c>
      <c r="I1135" s="471">
        <v>260.60231660231659</v>
      </c>
      <c r="J1135" s="472" t="s">
        <v>422</v>
      </c>
      <c r="K1135" s="472" t="s">
        <v>2473</v>
      </c>
      <c r="L1135" s="473" t="s">
        <v>530</v>
      </c>
      <c r="M1135" s="473" t="s">
        <v>3364</v>
      </c>
      <c r="N1135" s="473" t="s">
        <v>3514</v>
      </c>
      <c r="O1135" s="474" t="s">
        <v>3524</v>
      </c>
    </row>
    <row r="1136" spans="1:15" s="475" customFormat="1" ht="12" hidden="1">
      <c r="A1136" s="465">
        <v>10131000057317</v>
      </c>
      <c r="B1136" s="476" t="s">
        <v>3529</v>
      </c>
      <c r="C1136" s="476" t="s">
        <v>3529</v>
      </c>
      <c r="D1136" s="467" t="s">
        <v>3514</v>
      </c>
      <c r="E1136" s="472" t="s">
        <v>2491</v>
      </c>
      <c r="F1136" s="511">
        <v>302.26</v>
      </c>
      <c r="G1136" s="469" t="s">
        <v>2472</v>
      </c>
      <c r="H1136" s="487">
        <v>309.39</v>
      </c>
      <c r="I1136" s="471">
        <v>309.39</v>
      </c>
      <c r="J1136" s="488" t="s">
        <v>2492</v>
      </c>
      <c r="K1136" s="472" t="s">
        <v>2522</v>
      </c>
      <c r="L1136" s="473" t="s">
        <v>530</v>
      </c>
      <c r="M1136" s="473" t="s">
        <v>3364</v>
      </c>
      <c r="N1136" s="473" t="s">
        <v>3514</v>
      </c>
      <c r="O1136" s="474" t="s">
        <v>3530</v>
      </c>
    </row>
    <row r="1137" spans="1:15" s="475" customFormat="1" ht="12">
      <c r="A1137" s="465">
        <v>10131000057184</v>
      </c>
      <c r="B1137" s="466" t="s">
        <v>3529</v>
      </c>
      <c r="C1137" s="466" t="s">
        <v>3529</v>
      </c>
      <c r="D1137" s="467" t="s">
        <v>3514</v>
      </c>
      <c r="E1137" s="468" t="s">
        <v>2491</v>
      </c>
      <c r="F1137" s="511">
        <v>320</v>
      </c>
      <c r="G1137" s="469" t="s">
        <v>2472</v>
      </c>
      <c r="H1137" s="470">
        <v>333</v>
      </c>
      <c r="I1137" s="510">
        <v>333</v>
      </c>
      <c r="J1137" s="472" t="s">
        <v>423</v>
      </c>
      <c r="K1137" s="472" t="s">
        <v>534</v>
      </c>
      <c r="L1137" s="473" t="s">
        <v>530</v>
      </c>
      <c r="M1137" s="473" t="s">
        <v>3364</v>
      </c>
      <c r="N1137" s="473" t="s">
        <v>3514</v>
      </c>
      <c r="O1137" s="474" t="s">
        <v>3530</v>
      </c>
    </row>
    <row r="1138" spans="1:15" s="475" customFormat="1" ht="12" hidden="1">
      <c r="A1138" s="465">
        <v>1000058599</v>
      </c>
      <c r="B1138" s="476" t="s">
        <v>3529</v>
      </c>
      <c r="C1138" s="476" t="s">
        <v>3531</v>
      </c>
      <c r="D1138" s="467" t="s">
        <v>3514</v>
      </c>
      <c r="E1138" s="472" t="s">
        <v>2491</v>
      </c>
      <c r="F1138" s="511" t="s">
        <v>2472</v>
      </c>
      <c r="G1138" s="469" t="s">
        <v>2472</v>
      </c>
      <c r="H1138" s="487">
        <v>458.88</v>
      </c>
      <c r="I1138" s="471">
        <v>458.88</v>
      </c>
      <c r="J1138" s="488" t="s">
        <v>2492</v>
      </c>
      <c r="K1138" s="472" t="s">
        <v>658</v>
      </c>
      <c r="L1138" s="473" t="s">
        <v>530</v>
      </c>
      <c r="M1138" s="473" t="s">
        <v>3364</v>
      </c>
      <c r="N1138" s="473" t="s">
        <v>3514</v>
      </c>
      <c r="O1138" s="474" t="s">
        <v>3530</v>
      </c>
    </row>
    <row r="1139" spans="1:15" s="475" customFormat="1" ht="12" hidden="1">
      <c r="A1139" s="465">
        <v>10131000058573</v>
      </c>
      <c r="B1139" s="476" t="s">
        <v>3529</v>
      </c>
      <c r="C1139" s="476" t="s">
        <v>3529</v>
      </c>
      <c r="D1139" s="467" t="s">
        <v>3514</v>
      </c>
      <c r="E1139" s="472" t="s">
        <v>2491</v>
      </c>
      <c r="F1139" s="511" t="s">
        <v>2472</v>
      </c>
      <c r="G1139" s="469" t="s">
        <v>2472</v>
      </c>
      <c r="H1139" s="487">
        <v>366.98</v>
      </c>
      <c r="I1139" s="471">
        <v>366.98</v>
      </c>
      <c r="J1139" s="488" t="s">
        <v>2492</v>
      </c>
      <c r="K1139" s="472" t="s">
        <v>2495</v>
      </c>
      <c r="L1139" s="473" t="s">
        <v>530</v>
      </c>
      <c r="M1139" s="473" t="s">
        <v>3364</v>
      </c>
      <c r="N1139" s="473" t="s">
        <v>3514</v>
      </c>
      <c r="O1139" s="474" t="s">
        <v>3530</v>
      </c>
    </row>
    <row r="1140" spans="1:15" s="475" customFormat="1" ht="12" hidden="1">
      <c r="A1140" s="465">
        <v>10131000058276</v>
      </c>
      <c r="B1140" s="489" t="s">
        <v>3529</v>
      </c>
      <c r="C1140" s="489" t="s">
        <v>3532</v>
      </c>
      <c r="D1140" s="467" t="s">
        <v>3514</v>
      </c>
      <c r="E1140" s="478" t="s">
        <v>2514</v>
      </c>
      <c r="F1140" s="511" t="s">
        <v>2472</v>
      </c>
      <c r="G1140" s="469" t="s">
        <v>2472</v>
      </c>
      <c r="H1140" s="481">
        <v>75164</v>
      </c>
      <c r="I1140" s="482">
        <v>767.31</v>
      </c>
      <c r="J1140" s="483" t="s">
        <v>2515</v>
      </c>
      <c r="K1140" s="483" t="s">
        <v>2515</v>
      </c>
      <c r="L1140" s="473" t="s">
        <v>530</v>
      </c>
      <c r="M1140" s="473" t="s">
        <v>3364</v>
      </c>
      <c r="N1140" s="473" t="s">
        <v>3514</v>
      </c>
      <c r="O1140" s="474" t="s">
        <v>3530</v>
      </c>
    </row>
    <row r="1141" spans="1:15" s="475" customFormat="1" ht="12" hidden="1">
      <c r="A1141" s="465">
        <v>10131000058277</v>
      </c>
      <c r="B1141" s="489" t="s">
        <v>3529</v>
      </c>
      <c r="C1141" s="489" t="s">
        <v>3533</v>
      </c>
      <c r="D1141" s="467" t="s">
        <v>3514</v>
      </c>
      <c r="E1141" s="478" t="s">
        <v>2514</v>
      </c>
      <c r="F1141" s="511" t="s">
        <v>2472</v>
      </c>
      <c r="G1141" s="469" t="s">
        <v>2472</v>
      </c>
      <c r="H1141" s="481">
        <v>75164</v>
      </c>
      <c r="I1141" s="482">
        <v>767.31</v>
      </c>
      <c r="J1141" s="483" t="s">
        <v>2515</v>
      </c>
      <c r="K1141" s="483" t="s">
        <v>2515</v>
      </c>
      <c r="L1141" s="473" t="s">
        <v>530</v>
      </c>
      <c r="M1141" s="473" t="s">
        <v>3364</v>
      </c>
      <c r="N1141" s="473" t="s">
        <v>3514</v>
      </c>
      <c r="O1141" s="474" t="s">
        <v>3530</v>
      </c>
    </row>
    <row r="1142" spans="1:15" s="475" customFormat="1" ht="12" hidden="1">
      <c r="A1142" s="465">
        <v>10131000058579</v>
      </c>
      <c r="B1142" s="476" t="s">
        <v>3529</v>
      </c>
      <c r="C1142" s="476" t="s">
        <v>3534</v>
      </c>
      <c r="D1142" s="467" t="s">
        <v>3514</v>
      </c>
      <c r="E1142" s="472" t="s">
        <v>2491</v>
      </c>
      <c r="F1142" s="511" t="s">
        <v>2472</v>
      </c>
      <c r="G1142" s="469" t="s">
        <v>2472</v>
      </c>
      <c r="H1142" s="487">
        <v>368.63</v>
      </c>
      <c r="I1142" s="471">
        <v>368.63</v>
      </c>
      <c r="J1142" s="488" t="s">
        <v>2492</v>
      </c>
      <c r="K1142" s="472" t="s">
        <v>666</v>
      </c>
      <c r="L1142" s="473" t="s">
        <v>530</v>
      </c>
      <c r="M1142" s="473" t="s">
        <v>3364</v>
      </c>
      <c r="N1142" s="473" t="s">
        <v>3514</v>
      </c>
      <c r="O1142" s="474" t="s">
        <v>3530</v>
      </c>
    </row>
    <row r="1143" spans="1:15" s="475" customFormat="1" ht="12" hidden="1">
      <c r="A1143" s="465">
        <v>1000099028</v>
      </c>
      <c r="B1143" s="466" t="s">
        <v>3529</v>
      </c>
      <c r="C1143" s="466" t="s">
        <v>3529</v>
      </c>
      <c r="D1143" s="467" t="s">
        <v>3514</v>
      </c>
      <c r="E1143" s="468" t="s">
        <v>2471</v>
      </c>
      <c r="F1143" s="511" t="s">
        <v>2472</v>
      </c>
      <c r="G1143" s="469" t="s">
        <v>2472</v>
      </c>
      <c r="H1143" s="470">
        <v>4908.7999999999993</v>
      </c>
      <c r="I1143" s="471">
        <v>379.05791505791501</v>
      </c>
      <c r="J1143" s="472" t="s">
        <v>422</v>
      </c>
      <c r="K1143" s="472" t="s">
        <v>2473</v>
      </c>
      <c r="L1143" s="473" t="s">
        <v>530</v>
      </c>
      <c r="M1143" s="473" t="s">
        <v>3364</v>
      </c>
      <c r="N1143" s="473" t="s">
        <v>3514</v>
      </c>
      <c r="O1143" s="474" t="s">
        <v>3530</v>
      </c>
    </row>
    <row r="1144" spans="1:15" s="475" customFormat="1" ht="12" hidden="1">
      <c r="A1144" s="465">
        <v>10131000057316</v>
      </c>
      <c r="B1144" s="476" t="s">
        <v>3535</v>
      </c>
      <c r="C1144" s="476" t="s">
        <v>3535</v>
      </c>
      <c r="D1144" s="467" t="s">
        <v>3514</v>
      </c>
      <c r="E1144" s="472" t="s">
        <v>2491</v>
      </c>
      <c r="F1144" s="511">
        <v>419.34</v>
      </c>
      <c r="G1144" s="469" t="s">
        <v>2472</v>
      </c>
      <c r="H1144" s="487">
        <v>423.9</v>
      </c>
      <c r="I1144" s="471">
        <v>423.9</v>
      </c>
      <c r="J1144" s="488" t="s">
        <v>2492</v>
      </c>
      <c r="K1144" s="472" t="s">
        <v>2522</v>
      </c>
      <c r="L1144" s="473" t="s">
        <v>530</v>
      </c>
      <c r="M1144" s="473" t="s">
        <v>3364</v>
      </c>
      <c r="N1144" s="473" t="s">
        <v>3514</v>
      </c>
      <c r="O1144" s="474" t="s">
        <v>3536</v>
      </c>
    </row>
    <row r="1145" spans="1:15" s="475" customFormat="1" ht="12">
      <c r="A1145" s="465">
        <v>10131000057185</v>
      </c>
      <c r="B1145" s="466" t="s">
        <v>3535</v>
      </c>
      <c r="C1145" s="466" t="s">
        <v>3535</v>
      </c>
      <c r="D1145" s="467" t="s">
        <v>3514</v>
      </c>
      <c r="E1145" s="468" t="s">
        <v>2491</v>
      </c>
      <c r="F1145" s="511">
        <v>480</v>
      </c>
      <c r="G1145" s="469" t="s">
        <v>2472</v>
      </c>
      <c r="H1145" s="470">
        <v>500</v>
      </c>
      <c r="I1145" s="510">
        <v>500</v>
      </c>
      <c r="J1145" s="472" t="s">
        <v>423</v>
      </c>
      <c r="K1145" s="472" t="s">
        <v>534</v>
      </c>
      <c r="L1145" s="473" t="s">
        <v>530</v>
      </c>
      <c r="M1145" s="473" t="s">
        <v>3364</v>
      </c>
      <c r="N1145" s="473" t="s">
        <v>3514</v>
      </c>
      <c r="O1145" s="474" t="s">
        <v>3536</v>
      </c>
    </row>
    <row r="1146" spans="1:15" s="475" customFormat="1" ht="12" hidden="1">
      <c r="A1146" s="465">
        <v>10131000058278</v>
      </c>
      <c r="B1146" s="489" t="s">
        <v>3535</v>
      </c>
      <c r="C1146" s="489" t="s">
        <v>3537</v>
      </c>
      <c r="D1146" s="467" t="s">
        <v>3514</v>
      </c>
      <c r="E1146" s="478" t="s">
        <v>2514</v>
      </c>
      <c r="F1146" s="477" t="s">
        <v>2472</v>
      </c>
      <c r="G1146" s="469" t="s">
        <v>2472</v>
      </c>
      <c r="H1146" s="481">
        <v>120359</v>
      </c>
      <c r="I1146" s="482">
        <v>1228.68</v>
      </c>
      <c r="J1146" s="483" t="s">
        <v>2515</v>
      </c>
      <c r="K1146" s="483" t="s">
        <v>2515</v>
      </c>
      <c r="L1146" s="473" t="s">
        <v>530</v>
      </c>
      <c r="M1146" s="473" t="s">
        <v>3364</v>
      </c>
      <c r="N1146" s="473" t="s">
        <v>3514</v>
      </c>
      <c r="O1146" s="474" t="s">
        <v>3536</v>
      </c>
    </row>
    <row r="1147" spans="1:15" s="475" customFormat="1" ht="12" hidden="1">
      <c r="A1147" s="465">
        <v>10131000058279</v>
      </c>
      <c r="B1147" s="489" t="s">
        <v>3535</v>
      </c>
      <c r="C1147" s="489" t="s">
        <v>3538</v>
      </c>
      <c r="D1147" s="467" t="s">
        <v>3514</v>
      </c>
      <c r="E1147" s="478" t="s">
        <v>2514</v>
      </c>
      <c r="F1147" s="477" t="s">
        <v>2472</v>
      </c>
      <c r="G1147" s="469" t="s">
        <v>2472</v>
      </c>
      <c r="H1147" s="481">
        <v>120359</v>
      </c>
      <c r="I1147" s="482">
        <v>1228.68</v>
      </c>
      <c r="J1147" s="483" t="s">
        <v>2515</v>
      </c>
      <c r="K1147" s="483" t="s">
        <v>2515</v>
      </c>
      <c r="L1147" s="473" t="s">
        <v>530</v>
      </c>
      <c r="M1147" s="473" t="s">
        <v>3364</v>
      </c>
      <c r="N1147" s="473" t="s">
        <v>3514</v>
      </c>
      <c r="O1147" s="474" t="s">
        <v>3536</v>
      </c>
    </row>
    <row r="1148" spans="1:15" s="475" customFormat="1" ht="12" hidden="1">
      <c r="A1148" s="465">
        <v>10131000058580</v>
      </c>
      <c r="B1148" s="476" t="s">
        <v>3535</v>
      </c>
      <c r="C1148" s="476" t="s">
        <v>3539</v>
      </c>
      <c r="D1148" s="467" t="s">
        <v>3514</v>
      </c>
      <c r="E1148" s="472" t="s">
        <v>2491</v>
      </c>
      <c r="F1148" s="477" t="s">
        <v>2472</v>
      </c>
      <c r="G1148" s="469" t="s">
        <v>2472</v>
      </c>
      <c r="H1148" s="487">
        <v>493.81</v>
      </c>
      <c r="I1148" s="471">
        <v>493.81</v>
      </c>
      <c r="J1148" s="488" t="s">
        <v>2492</v>
      </c>
      <c r="K1148" s="472" t="s">
        <v>666</v>
      </c>
      <c r="L1148" s="473" t="s">
        <v>530</v>
      </c>
      <c r="M1148" s="473" t="s">
        <v>3364</v>
      </c>
      <c r="N1148" s="473" t="s">
        <v>3514</v>
      </c>
      <c r="O1148" s="474" t="s">
        <v>3536</v>
      </c>
    </row>
    <row r="1149" spans="1:15" s="475" customFormat="1" ht="12" hidden="1">
      <c r="A1149" s="465">
        <v>1000099029</v>
      </c>
      <c r="B1149" s="466" t="s">
        <v>3535</v>
      </c>
      <c r="C1149" s="466" t="s">
        <v>3535</v>
      </c>
      <c r="D1149" s="467" t="s">
        <v>3514</v>
      </c>
      <c r="E1149" s="468" t="s">
        <v>2471</v>
      </c>
      <c r="F1149" s="477" t="s">
        <v>2472</v>
      </c>
      <c r="G1149" s="469" t="s">
        <v>2472</v>
      </c>
      <c r="H1149" s="470">
        <v>7363.2</v>
      </c>
      <c r="I1149" s="471">
        <v>568.58687258687257</v>
      </c>
      <c r="J1149" s="472" t="s">
        <v>422</v>
      </c>
      <c r="K1149" s="472" t="s">
        <v>2473</v>
      </c>
      <c r="L1149" s="473" t="s">
        <v>530</v>
      </c>
      <c r="M1149" s="473" t="s">
        <v>3364</v>
      </c>
      <c r="N1149" s="473" t="s">
        <v>3514</v>
      </c>
      <c r="O1149" s="474" t="s">
        <v>3536</v>
      </c>
    </row>
    <row r="1150" spans="1:15" s="475" customFormat="1" ht="12" hidden="1">
      <c r="A1150" s="465">
        <v>10131000038658</v>
      </c>
      <c r="B1150" s="476" t="s">
        <v>3540</v>
      </c>
      <c r="C1150" s="476" t="s">
        <v>3540</v>
      </c>
      <c r="D1150" s="467" t="s">
        <v>12</v>
      </c>
      <c r="E1150" s="472" t="s">
        <v>2541</v>
      </c>
      <c r="F1150" s="477">
        <v>156.04466400000001</v>
      </c>
      <c r="G1150" s="469" t="s">
        <v>2472</v>
      </c>
      <c r="H1150" s="470">
        <v>117.81</v>
      </c>
      <c r="I1150" s="471">
        <v>180.54125261864999</v>
      </c>
      <c r="J1150" s="485" t="s">
        <v>421</v>
      </c>
      <c r="K1150" s="472" t="s">
        <v>651</v>
      </c>
      <c r="L1150" s="473" t="s">
        <v>530</v>
      </c>
      <c r="M1150" s="473" t="s">
        <v>3364</v>
      </c>
      <c r="N1150" s="473" t="s">
        <v>3541</v>
      </c>
      <c r="O1150" s="474" t="s">
        <v>3542</v>
      </c>
    </row>
    <row r="1151" spans="1:15" s="475" customFormat="1" ht="12" hidden="1">
      <c r="A1151" s="465">
        <v>10131000038659</v>
      </c>
      <c r="B1151" s="476" t="s">
        <v>3540</v>
      </c>
      <c r="C1151" s="476" t="s">
        <v>3540</v>
      </c>
      <c r="D1151" s="467" t="s">
        <v>12</v>
      </c>
      <c r="E1151" s="472" t="s">
        <v>2541</v>
      </c>
      <c r="F1151" s="477">
        <v>156.04466400000001</v>
      </c>
      <c r="G1151" s="469" t="s">
        <v>2472</v>
      </c>
      <c r="H1151" s="470">
        <v>117.81</v>
      </c>
      <c r="I1151" s="471">
        <v>180.54125261864999</v>
      </c>
      <c r="J1151" s="485" t="s">
        <v>421</v>
      </c>
      <c r="K1151" s="472" t="s">
        <v>651</v>
      </c>
      <c r="L1151" s="473" t="s">
        <v>530</v>
      </c>
      <c r="M1151" s="473" t="s">
        <v>3364</v>
      </c>
      <c r="N1151" s="473" t="s">
        <v>3541</v>
      </c>
      <c r="O1151" s="474" t="s">
        <v>3542</v>
      </c>
    </row>
    <row r="1152" spans="1:15" s="475" customFormat="1" ht="12" hidden="1">
      <c r="A1152" s="465">
        <v>10131000038660</v>
      </c>
      <c r="B1152" s="476" t="s">
        <v>3540</v>
      </c>
      <c r="C1152" s="476" t="s">
        <v>3540</v>
      </c>
      <c r="D1152" s="467" t="s">
        <v>12</v>
      </c>
      <c r="E1152" s="472" t="s">
        <v>2491</v>
      </c>
      <c r="F1152" s="477">
        <v>156.75</v>
      </c>
      <c r="G1152" s="469" t="s">
        <v>2472</v>
      </c>
      <c r="H1152" s="470">
        <v>180.53</v>
      </c>
      <c r="I1152" s="471">
        <v>180.53</v>
      </c>
      <c r="J1152" s="485" t="s">
        <v>421</v>
      </c>
      <c r="K1152" s="472" t="s">
        <v>651</v>
      </c>
      <c r="L1152" s="473" t="s">
        <v>530</v>
      </c>
      <c r="M1152" s="473" t="s">
        <v>3364</v>
      </c>
      <c r="N1152" s="473" t="s">
        <v>3541</v>
      </c>
      <c r="O1152" s="474" t="s">
        <v>3542</v>
      </c>
    </row>
    <row r="1153" spans="1:15" s="475" customFormat="1" ht="12">
      <c r="A1153" s="465">
        <v>10131000057229</v>
      </c>
      <c r="B1153" s="466" t="s">
        <v>3540</v>
      </c>
      <c r="C1153" s="466" t="s">
        <v>3540</v>
      </c>
      <c r="D1153" s="467" t="s">
        <v>12</v>
      </c>
      <c r="E1153" s="468" t="s">
        <v>2491</v>
      </c>
      <c r="F1153" s="511">
        <v>165</v>
      </c>
      <c r="G1153" s="469" t="s">
        <v>2472</v>
      </c>
      <c r="H1153" s="470">
        <v>172</v>
      </c>
      <c r="I1153" s="510">
        <v>172</v>
      </c>
      <c r="J1153" s="472" t="s">
        <v>423</v>
      </c>
      <c r="K1153" s="472" t="s">
        <v>534</v>
      </c>
      <c r="L1153" s="473" t="s">
        <v>530</v>
      </c>
      <c r="M1153" s="473" t="s">
        <v>3364</v>
      </c>
      <c r="N1153" s="473" t="s">
        <v>3541</v>
      </c>
      <c r="O1153" s="474" t="s">
        <v>3542</v>
      </c>
    </row>
    <row r="1154" spans="1:15" s="475" customFormat="1" ht="12" hidden="1">
      <c r="A1154" s="465">
        <v>10131000057117</v>
      </c>
      <c r="B1154" s="476" t="s">
        <v>3540</v>
      </c>
      <c r="C1154" s="476" t="s">
        <v>3540</v>
      </c>
      <c r="D1154" s="467" t="s">
        <v>12</v>
      </c>
      <c r="E1154" s="472" t="s">
        <v>2491</v>
      </c>
      <c r="F1154" s="477">
        <v>175.83</v>
      </c>
      <c r="G1154" s="469" t="s">
        <v>2472</v>
      </c>
      <c r="H1154" s="487">
        <v>240.73</v>
      </c>
      <c r="I1154" s="471">
        <v>240.73</v>
      </c>
      <c r="J1154" s="488" t="s">
        <v>2492</v>
      </c>
      <c r="K1154" s="472" t="s">
        <v>2522</v>
      </c>
      <c r="L1154" s="473" t="s">
        <v>530</v>
      </c>
      <c r="M1154" s="473" t="s">
        <v>3364</v>
      </c>
      <c r="N1154" s="473" t="s">
        <v>3541</v>
      </c>
      <c r="O1154" s="474" t="s">
        <v>3542</v>
      </c>
    </row>
    <row r="1155" spans="1:15" s="475" customFormat="1" ht="12" hidden="1">
      <c r="A1155" s="465">
        <v>10131000015964</v>
      </c>
      <c r="B1155" s="466" t="s">
        <v>3540</v>
      </c>
      <c r="C1155" s="466" t="s">
        <v>3543</v>
      </c>
      <c r="D1155" s="467" t="s">
        <v>12</v>
      </c>
      <c r="E1155" s="468" t="s">
        <v>2619</v>
      </c>
      <c r="F1155" s="477">
        <v>203.47394514999999</v>
      </c>
      <c r="G1155" s="469" t="s">
        <v>2472</v>
      </c>
      <c r="H1155" s="470">
        <v>172</v>
      </c>
      <c r="I1155" s="471">
        <v>172</v>
      </c>
      <c r="J1155" s="472" t="s">
        <v>423</v>
      </c>
      <c r="K1155" s="472" t="s">
        <v>2620</v>
      </c>
      <c r="L1155" s="473" t="s">
        <v>530</v>
      </c>
      <c r="M1155" s="473" t="s">
        <v>3364</v>
      </c>
      <c r="N1155" s="473" t="s">
        <v>3541</v>
      </c>
      <c r="O1155" s="474" t="s">
        <v>3542</v>
      </c>
    </row>
    <row r="1156" spans="1:15" s="475" customFormat="1" ht="12" hidden="1">
      <c r="A1156" s="465">
        <v>10131000039724</v>
      </c>
      <c r="B1156" s="489" t="s">
        <v>3540</v>
      </c>
      <c r="C1156" s="489" t="s">
        <v>3544</v>
      </c>
      <c r="D1156" s="467" t="s">
        <v>12</v>
      </c>
      <c r="E1156" s="478" t="s">
        <v>2514</v>
      </c>
      <c r="F1156" s="477">
        <v>432.20780279999997</v>
      </c>
      <c r="G1156" s="469" t="s">
        <v>2472</v>
      </c>
      <c r="H1156" s="481">
        <v>46556</v>
      </c>
      <c r="I1156" s="482">
        <v>475.26</v>
      </c>
      <c r="J1156" s="483" t="s">
        <v>2515</v>
      </c>
      <c r="K1156" s="483" t="s">
        <v>2515</v>
      </c>
      <c r="L1156" s="473" t="s">
        <v>530</v>
      </c>
      <c r="M1156" s="473" t="s">
        <v>3364</v>
      </c>
      <c r="N1156" s="473" t="s">
        <v>3541</v>
      </c>
      <c r="O1156" s="474" t="s">
        <v>3542</v>
      </c>
    </row>
    <row r="1157" spans="1:15" s="475" customFormat="1" ht="12" hidden="1">
      <c r="A1157" s="465">
        <v>10131000052454</v>
      </c>
      <c r="B1157" s="489" t="s">
        <v>3540</v>
      </c>
      <c r="C1157" s="489" t="s">
        <v>3545</v>
      </c>
      <c r="D1157" s="467" t="s">
        <v>12</v>
      </c>
      <c r="E1157" s="478" t="s">
        <v>2514</v>
      </c>
      <c r="F1157" s="477">
        <v>432.20780279999997</v>
      </c>
      <c r="G1157" s="469" t="s">
        <v>2472</v>
      </c>
      <c r="H1157" s="481">
        <v>46556</v>
      </c>
      <c r="I1157" s="482">
        <v>475.26</v>
      </c>
      <c r="J1157" s="483" t="s">
        <v>2515</v>
      </c>
      <c r="K1157" s="483" t="s">
        <v>2515</v>
      </c>
      <c r="L1157" s="473" t="s">
        <v>530</v>
      </c>
      <c r="M1157" s="473" t="s">
        <v>3364</v>
      </c>
      <c r="N1157" s="473" t="s">
        <v>3541</v>
      </c>
      <c r="O1157" s="474" t="s">
        <v>3542</v>
      </c>
    </row>
    <row r="1158" spans="1:15" s="475" customFormat="1" ht="12" hidden="1">
      <c r="A1158" s="465">
        <v>10131000025856</v>
      </c>
      <c r="B1158" s="476" t="s">
        <v>3540</v>
      </c>
      <c r="C1158" s="476" t="s">
        <v>3546</v>
      </c>
      <c r="D1158" s="467" t="s">
        <v>12</v>
      </c>
      <c r="E1158" s="472" t="s">
        <v>2491</v>
      </c>
      <c r="F1158" s="477">
        <v>506.81</v>
      </c>
      <c r="G1158" s="469" t="s">
        <v>2472</v>
      </c>
      <c r="H1158" s="487">
        <v>295.73</v>
      </c>
      <c r="I1158" s="471">
        <v>295.73</v>
      </c>
      <c r="J1158" s="488" t="s">
        <v>2492</v>
      </c>
      <c r="K1158" s="472" t="s">
        <v>666</v>
      </c>
      <c r="L1158" s="473" t="s">
        <v>530</v>
      </c>
      <c r="M1158" s="473" t="s">
        <v>3364</v>
      </c>
      <c r="N1158" s="473" t="s">
        <v>3541</v>
      </c>
      <c r="O1158" s="474" t="s">
        <v>3542</v>
      </c>
    </row>
    <row r="1159" spans="1:15" s="475" customFormat="1" ht="12" hidden="1">
      <c r="A1159" s="465">
        <v>1000058600</v>
      </c>
      <c r="B1159" s="476" t="s">
        <v>3540</v>
      </c>
      <c r="C1159" s="476" t="s">
        <v>3547</v>
      </c>
      <c r="D1159" s="467" t="s">
        <v>12</v>
      </c>
      <c r="E1159" s="472" t="s">
        <v>2491</v>
      </c>
      <c r="F1159" s="477" t="s">
        <v>2472</v>
      </c>
      <c r="G1159" s="469" t="s">
        <v>2472</v>
      </c>
      <c r="H1159" s="487">
        <v>271.55</v>
      </c>
      <c r="I1159" s="471">
        <v>271.55</v>
      </c>
      <c r="J1159" s="488" t="s">
        <v>2492</v>
      </c>
      <c r="K1159" s="472" t="s">
        <v>658</v>
      </c>
      <c r="L1159" s="473" t="s">
        <v>530</v>
      </c>
      <c r="M1159" s="473" t="s">
        <v>3364</v>
      </c>
      <c r="N1159" s="473" t="s">
        <v>3541</v>
      </c>
      <c r="O1159" s="474" t="s">
        <v>3542</v>
      </c>
    </row>
    <row r="1160" spans="1:15" s="475" customFormat="1" ht="12" hidden="1">
      <c r="A1160" s="465">
        <v>10131000058574</v>
      </c>
      <c r="B1160" s="476" t="s">
        <v>3540</v>
      </c>
      <c r="C1160" s="476" t="s">
        <v>3540</v>
      </c>
      <c r="D1160" s="467" t="s">
        <v>12</v>
      </c>
      <c r="E1160" s="472" t="s">
        <v>2491</v>
      </c>
      <c r="F1160" s="477" t="s">
        <v>2472</v>
      </c>
      <c r="G1160" s="469" t="s">
        <v>2472</v>
      </c>
      <c r="H1160" s="487">
        <v>175.97</v>
      </c>
      <c r="I1160" s="471">
        <v>175.97</v>
      </c>
      <c r="J1160" s="488" t="s">
        <v>2492</v>
      </c>
      <c r="K1160" s="472" t="s">
        <v>2495</v>
      </c>
      <c r="L1160" s="473" t="s">
        <v>530</v>
      </c>
      <c r="M1160" s="473" t="s">
        <v>3364</v>
      </c>
      <c r="N1160" s="473" t="s">
        <v>3541</v>
      </c>
      <c r="O1160" s="474" t="s">
        <v>3542</v>
      </c>
    </row>
    <row r="1161" spans="1:15" s="475" customFormat="1" ht="12" hidden="1">
      <c r="A1161" s="465">
        <v>1000099008</v>
      </c>
      <c r="B1161" s="466" t="s">
        <v>3540</v>
      </c>
      <c r="C1161" s="466" t="s">
        <v>3540</v>
      </c>
      <c r="D1161" s="467" t="s">
        <v>12</v>
      </c>
      <c r="E1161" s="468" t="s">
        <v>2471</v>
      </c>
      <c r="F1161" s="477" t="s">
        <v>2472</v>
      </c>
      <c r="G1161" s="469" t="s">
        <v>2472</v>
      </c>
      <c r="H1161" s="470">
        <v>1352</v>
      </c>
      <c r="I1161" s="471">
        <v>104.40154440154441</v>
      </c>
      <c r="J1161" s="472" t="s">
        <v>422</v>
      </c>
      <c r="K1161" s="472" t="s">
        <v>2473</v>
      </c>
      <c r="L1161" s="473" t="s">
        <v>530</v>
      </c>
      <c r="M1161" s="473" t="s">
        <v>3364</v>
      </c>
      <c r="N1161" s="473" t="s">
        <v>3541</v>
      </c>
      <c r="O1161" s="474" t="s">
        <v>3542</v>
      </c>
    </row>
    <row r="1162" spans="1:15" s="475" customFormat="1" ht="12" hidden="1">
      <c r="A1162" s="465">
        <v>10131000038664</v>
      </c>
      <c r="B1162" s="476" t="s">
        <v>3548</v>
      </c>
      <c r="C1162" s="476" t="s">
        <v>3548</v>
      </c>
      <c r="D1162" s="467" t="s">
        <v>12</v>
      </c>
      <c r="E1162" s="472" t="s">
        <v>2541</v>
      </c>
      <c r="F1162" s="477">
        <v>193.865184</v>
      </c>
      <c r="G1162" s="469" t="s">
        <v>2472</v>
      </c>
      <c r="H1162" s="470">
        <v>146.36000000000001</v>
      </c>
      <c r="I1162" s="471">
        <v>224.29350422940001</v>
      </c>
      <c r="J1162" s="485" t="s">
        <v>421</v>
      </c>
      <c r="K1162" s="472" t="s">
        <v>651</v>
      </c>
      <c r="L1162" s="473" t="s">
        <v>530</v>
      </c>
      <c r="M1162" s="473" t="s">
        <v>3364</v>
      </c>
      <c r="N1162" s="473" t="s">
        <v>3541</v>
      </c>
      <c r="O1162" s="474" t="s">
        <v>3549</v>
      </c>
    </row>
    <row r="1163" spans="1:15" s="475" customFormat="1" ht="12" hidden="1">
      <c r="A1163" s="465">
        <v>10131000038665</v>
      </c>
      <c r="B1163" s="476" t="s">
        <v>3548</v>
      </c>
      <c r="C1163" s="476" t="s">
        <v>3548</v>
      </c>
      <c r="D1163" s="467" t="s">
        <v>12</v>
      </c>
      <c r="E1163" s="472" t="s">
        <v>2541</v>
      </c>
      <c r="F1163" s="477">
        <v>193.865184</v>
      </c>
      <c r="G1163" s="469" t="s">
        <v>2472</v>
      </c>
      <c r="H1163" s="470">
        <v>146.36000000000001</v>
      </c>
      <c r="I1163" s="471">
        <v>224.29350422940001</v>
      </c>
      <c r="J1163" s="485" t="s">
        <v>421</v>
      </c>
      <c r="K1163" s="472" t="s">
        <v>651</v>
      </c>
      <c r="L1163" s="473" t="s">
        <v>530</v>
      </c>
      <c r="M1163" s="473" t="s">
        <v>3364</v>
      </c>
      <c r="N1163" s="473" t="s">
        <v>3541</v>
      </c>
      <c r="O1163" s="474" t="s">
        <v>3549</v>
      </c>
    </row>
    <row r="1164" spans="1:15" s="475" customFormat="1" ht="12" hidden="1">
      <c r="A1164" s="465">
        <v>10131000038666</v>
      </c>
      <c r="B1164" s="476" t="s">
        <v>3548</v>
      </c>
      <c r="C1164" s="476" t="s">
        <v>3548</v>
      </c>
      <c r="D1164" s="467" t="s">
        <v>12</v>
      </c>
      <c r="E1164" s="472" t="s">
        <v>2491</v>
      </c>
      <c r="F1164" s="477">
        <v>194.75</v>
      </c>
      <c r="G1164" s="469" t="s">
        <v>2472</v>
      </c>
      <c r="H1164" s="470">
        <v>224.29</v>
      </c>
      <c r="I1164" s="471">
        <v>224.29</v>
      </c>
      <c r="J1164" s="485" t="s">
        <v>421</v>
      </c>
      <c r="K1164" s="472" t="s">
        <v>651</v>
      </c>
      <c r="L1164" s="473" t="s">
        <v>530</v>
      </c>
      <c r="M1164" s="473" t="s">
        <v>3364</v>
      </c>
      <c r="N1164" s="473" t="s">
        <v>3541</v>
      </c>
      <c r="O1164" s="474" t="s">
        <v>3549</v>
      </c>
    </row>
    <row r="1165" spans="1:15" s="475" customFormat="1" ht="12" hidden="1">
      <c r="A1165" s="465">
        <v>10131000015968</v>
      </c>
      <c r="B1165" s="466" t="s">
        <v>3548</v>
      </c>
      <c r="C1165" s="466" t="s">
        <v>3550</v>
      </c>
      <c r="D1165" s="467" t="s">
        <v>12</v>
      </c>
      <c r="E1165" s="468" t="s">
        <v>2491</v>
      </c>
      <c r="F1165" s="477">
        <v>205</v>
      </c>
      <c r="G1165" s="469" t="s">
        <v>2472</v>
      </c>
      <c r="H1165" s="470">
        <v>214</v>
      </c>
      <c r="I1165" s="471">
        <v>214</v>
      </c>
      <c r="J1165" s="472" t="s">
        <v>423</v>
      </c>
      <c r="K1165" s="472" t="s">
        <v>2620</v>
      </c>
      <c r="L1165" s="473" t="s">
        <v>530</v>
      </c>
      <c r="M1165" s="473" t="s">
        <v>3364</v>
      </c>
      <c r="N1165" s="473" t="s">
        <v>3541</v>
      </c>
      <c r="O1165" s="474" t="s">
        <v>3549</v>
      </c>
    </row>
    <row r="1166" spans="1:15" s="475" customFormat="1" ht="12">
      <c r="A1166" s="465">
        <v>10131000057230</v>
      </c>
      <c r="B1166" s="466" t="s">
        <v>3548</v>
      </c>
      <c r="C1166" s="466" t="s">
        <v>3548</v>
      </c>
      <c r="D1166" s="467" t="s">
        <v>12</v>
      </c>
      <c r="E1166" s="468" t="s">
        <v>2491</v>
      </c>
      <c r="F1166" s="511">
        <v>205</v>
      </c>
      <c r="G1166" s="469" t="s">
        <v>2472</v>
      </c>
      <c r="H1166" s="470">
        <v>214</v>
      </c>
      <c r="I1166" s="510">
        <v>214</v>
      </c>
      <c r="J1166" s="472" t="s">
        <v>423</v>
      </c>
      <c r="K1166" s="472" t="s">
        <v>534</v>
      </c>
      <c r="L1166" s="473" t="s">
        <v>530</v>
      </c>
      <c r="M1166" s="473" t="s">
        <v>3364</v>
      </c>
      <c r="N1166" s="473" t="s">
        <v>3541</v>
      </c>
      <c r="O1166" s="474" t="s">
        <v>3549</v>
      </c>
    </row>
    <row r="1167" spans="1:15" s="475" customFormat="1" ht="12" hidden="1">
      <c r="A1167" s="465">
        <v>10131000057118</v>
      </c>
      <c r="B1167" s="476" t="s">
        <v>3548</v>
      </c>
      <c r="C1167" s="476" t="s">
        <v>3551</v>
      </c>
      <c r="D1167" s="467" t="s">
        <v>12</v>
      </c>
      <c r="E1167" s="472" t="s">
        <v>2491</v>
      </c>
      <c r="F1167" s="477">
        <v>218.46</v>
      </c>
      <c r="G1167" s="469">
        <v>332.47</v>
      </c>
      <c r="H1167" s="487">
        <v>355.55</v>
      </c>
      <c r="I1167" s="471">
        <v>355.55</v>
      </c>
      <c r="J1167" s="488" t="s">
        <v>2492</v>
      </c>
      <c r="K1167" s="472" t="s">
        <v>2522</v>
      </c>
      <c r="L1167" s="473" t="s">
        <v>530</v>
      </c>
      <c r="M1167" s="473" t="s">
        <v>3364</v>
      </c>
      <c r="N1167" s="473" t="s">
        <v>3541</v>
      </c>
      <c r="O1167" s="474" t="s">
        <v>3549</v>
      </c>
    </row>
    <row r="1168" spans="1:15" s="475" customFormat="1" ht="12" hidden="1">
      <c r="A1168" s="465">
        <v>10131000015969</v>
      </c>
      <c r="B1168" s="466" t="s">
        <v>3548</v>
      </c>
      <c r="C1168" s="466" t="s">
        <v>3550</v>
      </c>
      <c r="D1168" s="467" t="s">
        <v>12</v>
      </c>
      <c r="E1168" s="468" t="s">
        <v>2619</v>
      </c>
      <c r="F1168" s="477">
        <v>289.82630236</v>
      </c>
      <c r="G1168" s="469" t="s">
        <v>2472</v>
      </c>
      <c r="H1168" s="470">
        <v>214</v>
      </c>
      <c r="I1168" s="471">
        <v>214</v>
      </c>
      <c r="J1168" s="472" t="s">
        <v>423</v>
      </c>
      <c r="K1168" s="472" t="s">
        <v>2620</v>
      </c>
      <c r="L1168" s="473" t="s">
        <v>530</v>
      </c>
      <c r="M1168" s="473" t="s">
        <v>3364</v>
      </c>
      <c r="N1168" s="473" t="s">
        <v>3541</v>
      </c>
      <c r="O1168" s="474" t="s">
        <v>3549</v>
      </c>
    </row>
    <row r="1169" spans="1:15" s="475" customFormat="1" ht="12" hidden="1">
      <c r="A1169" s="465">
        <v>10131000052527</v>
      </c>
      <c r="B1169" s="476" t="s">
        <v>3548</v>
      </c>
      <c r="C1169" s="476" t="s">
        <v>3548</v>
      </c>
      <c r="D1169" s="467" t="s">
        <v>12</v>
      </c>
      <c r="E1169" s="472" t="s">
        <v>2491</v>
      </c>
      <c r="F1169" s="477">
        <v>612.71</v>
      </c>
      <c r="G1169" s="469" t="s">
        <v>2472</v>
      </c>
      <c r="H1169" s="487">
        <v>356.79</v>
      </c>
      <c r="I1169" s="471">
        <v>356.79</v>
      </c>
      <c r="J1169" s="488" t="s">
        <v>2492</v>
      </c>
      <c r="K1169" s="472" t="s">
        <v>666</v>
      </c>
      <c r="L1169" s="473" t="s">
        <v>530</v>
      </c>
      <c r="M1169" s="473" t="s">
        <v>3364</v>
      </c>
      <c r="N1169" s="473" t="s">
        <v>3541</v>
      </c>
      <c r="O1169" s="474" t="s">
        <v>3549</v>
      </c>
    </row>
    <row r="1170" spans="1:15" s="475" customFormat="1" ht="12" hidden="1">
      <c r="A1170" s="465">
        <v>1000058601</v>
      </c>
      <c r="B1170" s="476" t="s">
        <v>3548</v>
      </c>
      <c r="C1170" s="476" t="s">
        <v>3552</v>
      </c>
      <c r="D1170" s="467" t="s">
        <v>12</v>
      </c>
      <c r="E1170" s="472" t="s">
        <v>2491</v>
      </c>
      <c r="F1170" s="477" t="s">
        <v>2472</v>
      </c>
      <c r="G1170" s="469" t="s">
        <v>2472</v>
      </c>
      <c r="H1170" s="487">
        <v>952.44</v>
      </c>
      <c r="I1170" s="471">
        <v>952.44</v>
      </c>
      <c r="J1170" s="488" t="s">
        <v>2492</v>
      </c>
      <c r="K1170" s="472" t="s">
        <v>658</v>
      </c>
      <c r="L1170" s="473" t="s">
        <v>530</v>
      </c>
      <c r="M1170" s="473" t="s">
        <v>3364</v>
      </c>
      <c r="N1170" s="473" t="s">
        <v>3541</v>
      </c>
      <c r="O1170" s="474" t="s">
        <v>3549</v>
      </c>
    </row>
    <row r="1171" spans="1:15" s="475" customFormat="1" ht="12" hidden="1">
      <c r="A1171" s="465">
        <v>10131000058575</v>
      </c>
      <c r="B1171" s="476" t="s">
        <v>3548</v>
      </c>
      <c r="C1171" s="476" t="s">
        <v>3548</v>
      </c>
      <c r="D1171" s="467" t="s">
        <v>12</v>
      </c>
      <c r="E1171" s="472" t="s">
        <v>2491</v>
      </c>
      <c r="F1171" s="477" t="s">
        <v>2472</v>
      </c>
      <c r="G1171" s="469" t="s">
        <v>2472</v>
      </c>
      <c r="H1171" s="487">
        <v>424.76</v>
      </c>
      <c r="I1171" s="471">
        <v>424.76</v>
      </c>
      <c r="J1171" s="488" t="s">
        <v>2492</v>
      </c>
      <c r="K1171" s="472" t="s">
        <v>2495</v>
      </c>
      <c r="L1171" s="473" t="s">
        <v>530</v>
      </c>
      <c r="M1171" s="473" t="s">
        <v>3364</v>
      </c>
      <c r="N1171" s="473" t="s">
        <v>3541</v>
      </c>
      <c r="O1171" s="474" t="s">
        <v>3549</v>
      </c>
    </row>
    <row r="1172" spans="1:15" s="475" customFormat="1" ht="12" hidden="1">
      <c r="A1172" s="465">
        <v>10131000058606</v>
      </c>
      <c r="B1172" s="476" t="s">
        <v>3548</v>
      </c>
      <c r="C1172" s="476" t="s">
        <v>3548</v>
      </c>
      <c r="D1172" s="467" t="s">
        <v>12</v>
      </c>
      <c r="E1172" s="472" t="s">
        <v>2491</v>
      </c>
      <c r="F1172" s="477" t="s">
        <v>2472</v>
      </c>
      <c r="G1172" s="469" t="s">
        <v>2472</v>
      </c>
      <c r="H1172" s="487">
        <v>424.76</v>
      </c>
      <c r="I1172" s="471">
        <v>424.76</v>
      </c>
      <c r="J1172" s="488" t="s">
        <v>2492</v>
      </c>
      <c r="K1172" s="472" t="s">
        <v>2495</v>
      </c>
      <c r="L1172" s="473" t="s">
        <v>530</v>
      </c>
      <c r="M1172" s="473" t="s">
        <v>3364</v>
      </c>
      <c r="N1172" s="473" t="s">
        <v>3541</v>
      </c>
      <c r="O1172" s="474" t="s">
        <v>3549</v>
      </c>
    </row>
    <row r="1173" spans="1:15" s="475" customFormat="1" ht="12" hidden="1">
      <c r="A1173" s="465">
        <v>10131000058280</v>
      </c>
      <c r="B1173" s="489" t="s">
        <v>3548</v>
      </c>
      <c r="C1173" s="489" t="s">
        <v>3553</v>
      </c>
      <c r="D1173" s="467" t="s">
        <v>12</v>
      </c>
      <c r="E1173" s="478" t="s">
        <v>2514</v>
      </c>
      <c r="F1173" s="477" t="s">
        <v>2472</v>
      </c>
      <c r="G1173" s="469" t="s">
        <v>2472</v>
      </c>
      <c r="H1173" s="481">
        <v>58561</v>
      </c>
      <c r="I1173" s="482">
        <v>597.82000000000005</v>
      </c>
      <c r="J1173" s="483" t="s">
        <v>2515</v>
      </c>
      <c r="K1173" s="483" t="s">
        <v>2515</v>
      </c>
      <c r="L1173" s="473" t="s">
        <v>530</v>
      </c>
      <c r="M1173" s="473" t="s">
        <v>3364</v>
      </c>
      <c r="N1173" s="473" t="s">
        <v>3541</v>
      </c>
      <c r="O1173" s="474" t="s">
        <v>3549</v>
      </c>
    </row>
    <row r="1174" spans="1:15" s="475" customFormat="1" ht="12" hidden="1">
      <c r="A1174" s="465">
        <v>10131000058281</v>
      </c>
      <c r="B1174" s="489" t="s">
        <v>3548</v>
      </c>
      <c r="C1174" s="489" t="s">
        <v>3554</v>
      </c>
      <c r="D1174" s="467" t="s">
        <v>12</v>
      </c>
      <c r="E1174" s="478" t="s">
        <v>2514</v>
      </c>
      <c r="F1174" s="477" t="s">
        <v>2472</v>
      </c>
      <c r="G1174" s="469" t="s">
        <v>2472</v>
      </c>
      <c r="H1174" s="481">
        <v>58561</v>
      </c>
      <c r="I1174" s="482">
        <v>597.82000000000005</v>
      </c>
      <c r="J1174" s="483" t="s">
        <v>2515</v>
      </c>
      <c r="K1174" s="483" t="s">
        <v>2515</v>
      </c>
      <c r="L1174" s="473" t="s">
        <v>530</v>
      </c>
      <c r="M1174" s="473" t="s">
        <v>3364</v>
      </c>
      <c r="N1174" s="473" t="s">
        <v>3541</v>
      </c>
      <c r="O1174" s="474" t="s">
        <v>3549</v>
      </c>
    </row>
    <row r="1175" spans="1:15" s="475" customFormat="1" ht="12" hidden="1">
      <c r="A1175" s="465">
        <v>1000099009</v>
      </c>
      <c r="B1175" s="466" t="s">
        <v>3548</v>
      </c>
      <c r="C1175" s="466" t="s">
        <v>3548</v>
      </c>
      <c r="D1175" s="467" t="s">
        <v>12</v>
      </c>
      <c r="E1175" s="468" t="s">
        <v>2471</v>
      </c>
      <c r="F1175" s="477" t="s">
        <v>2472</v>
      </c>
      <c r="G1175" s="469" t="s">
        <v>2472</v>
      </c>
      <c r="H1175" s="470">
        <v>3562</v>
      </c>
      <c r="I1175" s="471">
        <v>275.05791505791507</v>
      </c>
      <c r="J1175" s="472" t="s">
        <v>422</v>
      </c>
      <c r="K1175" s="472" t="s">
        <v>2473</v>
      </c>
      <c r="L1175" s="473" t="s">
        <v>530</v>
      </c>
      <c r="M1175" s="473" t="s">
        <v>3364</v>
      </c>
      <c r="N1175" s="473" t="s">
        <v>3541</v>
      </c>
      <c r="O1175" s="474" t="s">
        <v>3549</v>
      </c>
    </row>
    <row r="1176" spans="1:15" s="475" customFormat="1" ht="12" hidden="1">
      <c r="A1176" s="465">
        <v>10131000038670</v>
      </c>
      <c r="B1176" s="476" t="s">
        <v>3555</v>
      </c>
      <c r="C1176" s="476" t="s">
        <v>3555</v>
      </c>
      <c r="D1176" s="467" t="s">
        <v>12</v>
      </c>
      <c r="E1176" s="472" t="s">
        <v>2541</v>
      </c>
      <c r="F1176" s="477">
        <v>276.13648799999999</v>
      </c>
      <c r="G1176" s="469" t="s">
        <v>2472</v>
      </c>
      <c r="H1176" s="470">
        <v>208.47</v>
      </c>
      <c r="I1176" s="471">
        <v>319.47572305755</v>
      </c>
      <c r="J1176" s="485" t="s">
        <v>421</v>
      </c>
      <c r="K1176" s="472" t="s">
        <v>651</v>
      </c>
      <c r="L1176" s="473" t="s">
        <v>530</v>
      </c>
      <c r="M1176" s="473" t="s">
        <v>3364</v>
      </c>
      <c r="N1176" s="473" t="s">
        <v>3541</v>
      </c>
      <c r="O1176" s="474" t="s">
        <v>3556</v>
      </c>
    </row>
    <row r="1177" spans="1:15" s="475" customFormat="1" ht="12" hidden="1">
      <c r="A1177" s="465">
        <v>10131000038671</v>
      </c>
      <c r="B1177" s="476" t="s">
        <v>3555</v>
      </c>
      <c r="C1177" s="476" t="s">
        <v>3555</v>
      </c>
      <c r="D1177" s="467" t="s">
        <v>12</v>
      </c>
      <c r="E1177" s="472" t="s">
        <v>2541</v>
      </c>
      <c r="F1177" s="477">
        <v>276.13648799999999</v>
      </c>
      <c r="G1177" s="469" t="s">
        <v>2472</v>
      </c>
      <c r="H1177" s="470">
        <v>208.47</v>
      </c>
      <c r="I1177" s="471">
        <v>319.47572305755</v>
      </c>
      <c r="J1177" s="485" t="s">
        <v>421</v>
      </c>
      <c r="K1177" s="472" t="s">
        <v>651</v>
      </c>
      <c r="L1177" s="473" t="s">
        <v>530</v>
      </c>
      <c r="M1177" s="473" t="s">
        <v>3364</v>
      </c>
      <c r="N1177" s="473" t="s">
        <v>3541</v>
      </c>
      <c r="O1177" s="474" t="s">
        <v>3556</v>
      </c>
    </row>
    <row r="1178" spans="1:15" s="475" customFormat="1" ht="12" hidden="1">
      <c r="A1178" s="465">
        <v>10131000038672</v>
      </c>
      <c r="B1178" s="476" t="s">
        <v>3555</v>
      </c>
      <c r="C1178" s="476" t="s">
        <v>3555</v>
      </c>
      <c r="D1178" s="467" t="s">
        <v>12</v>
      </c>
      <c r="E1178" s="472" t="s">
        <v>2491</v>
      </c>
      <c r="F1178" s="477">
        <v>277.39999999999998</v>
      </c>
      <c r="G1178" s="469" t="s">
        <v>2472</v>
      </c>
      <c r="H1178" s="470">
        <v>319.47000000000003</v>
      </c>
      <c r="I1178" s="471">
        <v>319.47000000000003</v>
      </c>
      <c r="J1178" s="485" t="s">
        <v>421</v>
      </c>
      <c r="K1178" s="472" t="s">
        <v>651</v>
      </c>
      <c r="L1178" s="473" t="s">
        <v>530</v>
      </c>
      <c r="M1178" s="473" t="s">
        <v>3364</v>
      </c>
      <c r="N1178" s="473" t="s">
        <v>3541</v>
      </c>
      <c r="O1178" s="474" t="s">
        <v>3556</v>
      </c>
    </row>
    <row r="1179" spans="1:15" s="475" customFormat="1" ht="12">
      <c r="A1179" s="465">
        <v>10131000057231</v>
      </c>
      <c r="B1179" s="466" t="s">
        <v>3555</v>
      </c>
      <c r="C1179" s="466" t="s">
        <v>3555</v>
      </c>
      <c r="D1179" s="467" t="s">
        <v>12</v>
      </c>
      <c r="E1179" s="468" t="s">
        <v>2491</v>
      </c>
      <c r="F1179" s="511">
        <v>292</v>
      </c>
      <c r="G1179" s="469" t="s">
        <v>2472</v>
      </c>
      <c r="H1179" s="470">
        <v>304</v>
      </c>
      <c r="I1179" s="510">
        <v>304</v>
      </c>
      <c r="J1179" s="472" t="s">
        <v>423</v>
      </c>
      <c r="K1179" s="472" t="s">
        <v>534</v>
      </c>
      <c r="L1179" s="473" t="s">
        <v>530</v>
      </c>
      <c r="M1179" s="473" t="s">
        <v>3364</v>
      </c>
      <c r="N1179" s="473" t="s">
        <v>3541</v>
      </c>
      <c r="O1179" s="474" t="s">
        <v>3556</v>
      </c>
    </row>
    <row r="1180" spans="1:15" s="475" customFormat="1" ht="12" hidden="1">
      <c r="A1180" s="465">
        <v>10131000057120</v>
      </c>
      <c r="B1180" s="476" t="s">
        <v>3555</v>
      </c>
      <c r="C1180" s="476" t="s">
        <v>3555</v>
      </c>
      <c r="D1180" s="467" t="s">
        <v>12</v>
      </c>
      <c r="E1180" s="472" t="s">
        <v>2491</v>
      </c>
      <c r="F1180" s="477">
        <v>311.17</v>
      </c>
      <c r="G1180" s="469" t="s">
        <v>2472</v>
      </c>
      <c r="H1180" s="487">
        <v>426.08</v>
      </c>
      <c r="I1180" s="471">
        <v>426.08</v>
      </c>
      <c r="J1180" s="488" t="s">
        <v>2492</v>
      </c>
      <c r="K1180" s="472" t="s">
        <v>2522</v>
      </c>
      <c r="L1180" s="473" t="s">
        <v>530</v>
      </c>
      <c r="M1180" s="473" t="s">
        <v>3364</v>
      </c>
      <c r="N1180" s="473" t="s">
        <v>3541</v>
      </c>
      <c r="O1180" s="474" t="s">
        <v>3556</v>
      </c>
    </row>
    <row r="1181" spans="1:15" s="475" customFormat="1" ht="12" hidden="1">
      <c r="A1181" s="465">
        <v>10131000058282</v>
      </c>
      <c r="B1181" s="489" t="s">
        <v>3555</v>
      </c>
      <c r="C1181" s="489" t="s">
        <v>3557</v>
      </c>
      <c r="D1181" s="467" t="s">
        <v>12</v>
      </c>
      <c r="E1181" s="478" t="s">
        <v>2514</v>
      </c>
      <c r="F1181" s="477" t="s">
        <v>2472</v>
      </c>
      <c r="G1181" s="469" t="s">
        <v>2472</v>
      </c>
      <c r="H1181" s="481">
        <v>67345</v>
      </c>
      <c r="I1181" s="482">
        <v>687.49</v>
      </c>
      <c r="J1181" s="483" t="s">
        <v>2515</v>
      </c>
      <c r="K1181" s="483" t="s">
        <v>2515</v>
      </c>
      <c r="L1181" s="473" t="s">
        <v>530</v>
      </c>
      <c r="M1181" s="473" t="s">
        <v>3364</v>
      </c>
      <c r="N1181" s="473" t="s">
        <v>3541</v>
      </c>
      <c r="O1181" s="474" t="s">
        <v>3556</v>
      </c>
    </row>
    <row r="1182" spans="1:15" s="475" customFormat="1" ht="12" hidden="1">
      <c r="A1182" s="465">
        <v>10131000058283</v>
      </c>
      <c r="B1182" s="489" t="s">
        <v>3555</v>
      </c>
      <c r="C1182" s="489" t="s">
        <v>3558</v>
      </c>
      <c r="D1182" s="467" t="s">
        <v>12</v>
      </c>
      <c r="E1182" s="478" t="s">
        <v>2514</v>
      </c>
      <c r="F1182" s="477" t="s">
        <v>2472</v>
      </c>
      <c r="G1182" s="469" t="s">
        <v>2472</v>
      </c>
      <c r="H1182" s="481">
        <v>67345</v>
      </c>
      <c r="I1182" s="482">
        <v>687.49</v>
      </c>
      <c r="J1182" s="483" t="s">
        <v>2515</v>
      </c>
      <c r="K1182" s="483" t="s">
        <v>2515</v>
      </c>
      <c r="L1182" s="473" t="s">
        <v>530</v>
      </c>
      <c r="M1182" s="473" t="s">
        <v>3364</v>
      </c>
      <c r="N1182" s="473" t="s">
        <v>3541</v>
      </c>
      <c r="O1182" s="474" t="s">
        <v>3556</v>
      </c>
    </row>
    <row r="1183" spans="1:15" s="475" customFormat="1" ht="12" hidden="1">
      <c r="A1183" s="465">
        <v>10131000058549</v>
      </c>
      <c r="B1183" s="476" t="s">
        <v>3555</v>
      </c>
      <c r="C1183" s="476" t="s">
        <v>3559</v>
      </c>
      <c r="D1183" s="467" t="s">
        <v>12</v>
      </c>
      <c r="E1183" s="472" t="s">
        <v>2491</v>
      </c>
      <c r="F1183" s="477" t="s">
        <v>2472</v>
      </c>
      <c r="G1183" s="469" t="s">
        <v>2472</v>
      </c>
      <c r="H1183" s="487">
        <v>509.29</v>
      </c>
      <c r="I1183" s="471">
        <v>509.29</v>
      </c>
      <c r="J1183" s="488" t="s">
        <v>2492</v>
      </c>
      <c r="K1183" s="472" t="s">
        <v>666</v>
      </c>
      <c r="L1183" s="473" t="s">
        <v>530</v>
      </c>
      <c r="M1183" s="473" t="s">
        <v>3364</v>
      </c>
      <c r="N1183" s="473" t="s">
        <v>3541</v>
      </c>
      <c r="O1183" s="474" t="s">
        <v>3556</v>
      </c>
    </row>
    <row r="1184" spans="1:15" s="475" customFormat="1" ht="12" hidden="1">
      <c r="A1184" s="465">
        <v>1000099010</v>
      </c>
      <c r="B1184" s="466" t="s">
        <v>3555</v>
      </c>
      <c r="C1184" s="466" t="s">
        <v>3555</v>
      </c>
      <c r="D1184" s="467" t="s">
        <v>12</v>
      </c>
      <c r="E1184" s="468" t="s">
        <v>2471</v>
      </c>
      <c r="F1184" s="477" t="s">
        <v>2472</v>
      </c>
      <c r="G1184" s="469" t="s">
        <v>2472</v>
      </c>
      <c r="H1184" s="470">
        <v>4589</v>
      </c>
      <c r="I1184" s="471">
        <v>354.36293436293437</v>
      </c>
      <c r="J1184" s="472" t="s">
        <v>422</v>
      </c>
      <c r="K1184" s="472" t="s">
        <v>2473</v>
      </c>
      <c r="L1184" s="473" t="s">
        <v>530</v>
      </c>
      <c r="M1184" s="473" t="s">
        <v>3364</v>
      </c>
      <c r="N1184" s="473" t="s">
        <v>3541</v>
      </c>
      <c r="O1184" s="474" t="s">
        <v>3556</v>
      </c>
    </row>
    <row r="1185" spans="1:15" s="475" customFormat="1" ht="12" hidden="1">
      <c r="A1185" s="465">
        <v>1000099011</v>
      </c>
      <c r="B1185" s="466" t="s">
        <v>3560</v>
      </c>
      <c r="C1185" s="466" t="s">
        <v>3561</v>
      </c>
      <c r="D1185" s="467" t="s">
        <v>12</v>
      </c>
      <c r="E1185" s="468" t="s">
        <v>2471</v>
      </c>
      <c r="F1185" s="477" t="s">
        <v>2472</v>
      </c>
      <c r="G1185" s="469" t="s">
        <v>2472</v>
      </c>
      <c r="H1185" s="470">
        <v>12389</v>
      </c>
      <c r="I1185" s="471">
        <v>956.67953667953668</v>
      </c>
      <c r="J1185" s="472" t="s">
        <v>422</v>
      </c>
      <c r="K1185" s="472" t="s">
        <v>2473</v>
      </c>
      <c r="L1185" s="473" t="s">
        <v>530</v>
      </c>
      <c r="M1185" s="473" t="s">
        <v>3364</v>
      </c>
      <c r="N1185" s="473" t="s">
        <v>3541</v>
      </c>
      <c r="O1185" s="474" t="s">
        <v>3556</v>
      </c>
    </row>
    <row r="1186" spans="1:15" s="475" customFormat="1" ht="12" hidden="1">
      <c r="A1186" s="465">
        <v>10131000056437</v>
      </c>
      <c r="B1186" s="476" t="s">
        <v>3562</v>
      </c>
      <c r="C1186" s="476" t="s">
        <v>3563</v>
      </c>
      <c r="D1186" s="467" t="s">
        <v>1045</v>
      </c>
      <c r="E1186" s="472" t="s">
        <v>2491</v>
      </c>
      <c r="F1186" s="477">
        <v>61.75</v>
      </c>
      <c r="G1186" s="469" t="s">
        <v>2472</v>
      </c>
      <c r="H1186" s="470">
        <v>1E-8</v>
      </c>
      <c r="I1186" s="471">
        <v>0</v>
      </c>
      <c r="J1186" s="472" t="s">
        <v>2492</v>
      </c>
      <c r="K1186" s="478" t="s">
        <v>2522</v>
      </c>
      <c r="L1186" s="479" t="s">
        <v>530</v>
      </c>
      <c r="M1186" s="479" t="s">
        <v>2555</v>
      </c>
      <c r="N1186" s="479" t="s">
        <v>3564</v>
      </c>
      <c r="O1186" s="480" t="s">
        <v>3565</v>
      </c>
    </row>
    <row r="1187" spans="1:15" s="475" customFormat="1" ht="12" hidden="1">
      <c r="A1187" s="465">
        <v>10131000056444</v>
      </c>
      <c r="B1187" s="476" t="s">
        <v>3562</v>
      </c>
      <c r="C1187" s="476" t="s">
        <v>3566</v>
      </c>
      <c r="D1187" s="467" t="s">
        <v>1045</v>
      </c>
      <c r="E1187" s="472" t="s">
        <v>2491</v>
      </c>
      <c r="F1187" s="477">
        <v>61.75</v>
      </c>
      <c r="G1187" s="469" t="s">
        <v>2472</v>
      </c>
      <c r="H1187" s="470">
        <v>1E-8</v>
      </c>
      <c r="I1187" s="471">
        <v>0</v>
      </c>
      <c r="J1187" s="472" t="s">
        <v>2492</v>
      </c>
      <c r="K1187" s="478" t="s">
        <v>2522</v>
      </c>
      <c r="L1187" s="479" t="s">
        <v>530</v>
      </c>
      <c r="M1187" s="479" t="s">
        <v>2555</v>
      </c>
      <c r="N1187" s="479" t="s">
        <v>3564</v>
      </c>
      <c r="O1187" s="480" t="s">
        <v>3567</v>
      </c>
    </row>
    <row r="1188" spans="1:15" s="475" customFormat="1" ht="12" hidden="1">
      <c r="A1188" s="465">
        <v>10131000058851</v>
      </c>
      <c r="B1188" s="494" t="s">
        <v>3562</v>
      </c>
      <c r="C1188" s="476" t="s">
        <v>3566</v>
      </c>
      <c r="D1188" s="467" t="s">
        <v>1045</v>
      </c>
      <c r="E1188" s="472" t="s">
        <v>2541</v>
      </c>
      <c r="F1188" s="477" t="s">
        <v>2472</v>
      </c>
      <c r="G1188" s="469" t="s">
        <v>2472</v>
      </c>
      <c r="H1188" s="470">
        <v>1E-8</v>
      </c>
      <c r="I1188" s="471">
        <v>1.5324781650000001E-8</v>
      </c>
      <c r="J1188" s="485" t="s">
        <v>421</v>
      </c>
      <c r="K1188" s="472" t="s">
        <v>651</v>
      </c>
      <c r="L1188" s="473" t="s">
        <v>204</v>
      </c>
      <c r="M1188" s="473" t="s">
        <v>204</v>
      </c>
      <c r="N1188" s="476" t="s">
        <v>3564</v>
      </c>
      <c r="O1188" s="486" t="s">
        <v>3567</v>
      </c>
    </row>
    <row r="1189" spans="1:15" s="475" customFormat="1" ht="12" hidden="1">
      <c r="A1189" s="465">
        <v>10131000058852</v>
      </c>
      <c r="B1189" s="494" t="s">
        <v>3562</v>
      </c>
      <c r="C1189" s="494" t="s">
        <v>3563</v>
      </c>
      <c r="D1189" s="467" t="s">
        <v>1045</v>
      </c>
      <c r="E1189" s="472" t="s">
        <v>2541</v>
      </c>
      <c r="F1189" s="477" t="s">
        <v>2472</v>
      </c>
      <c r="G1189" s="469" t="s">
        <v>2472</v>
      </c>
      <c r="H1189" s="470">
        <v>1E-8</v>
      </c>
      <c r="I1189" s="471">
        <v>1.5324781650000001E-8</v>
      </c>
      <c r="J1189" s="485" t="s">
        <v>421</v>
      </c>
      <c r="K1189" s="472" t="s">
        <v>651</v>
      </c>
      <c r="L1189" s="473" t="s">
        <v>204</v>
      </c>
      <c r="M1189" s="473" t="s">
        <v>204</v>
      </c>
      <c r="N1189" s="476" t="s">
        <v>3564</v>
      </c>
      <c r="O1189" s="486" t="s">
        <v>3565</v>
      </c>
    </row>
    <row r="1190" spans="1:15" s="475" customFormat="1" ht="12" hidden="1">
      <c r="A1190" s="465">
        <v>10131000058384</v>
      </c>
      <c r="B1190" s="494" t="s">
        <v>3562</v>
      </c>
      <c r="C1190" s="494" t="s">
        <v>3562</v>
      </c>
      <c r="D1190" s="467" t="s">
        <v>1045</v>
      </c>
      <c r="E1190" s="468" t="s">
        <v>2491</v>
      </c>
      <c r="F1190" s="477" t="s">
        <v>2472</v>
      </c>
      <c r="G1190" s="469" t="s">
        <v>2472</v>
      </c>
      <c r="H1190" s="470">
        <v>0</v>
      </c>
      <c r="I1190" s="471">
        <v>0</v>
      </c>
      <c r="J1190" s="472" t="s">
        <v>423</v>
      </c>
      <c r="K1190" s="472" t="s">
        <v>534</v>
      </c>
      <c r="L1190" s="473" t="s">
        <v>204</v>
      </c>
      <c r="M1190" s="473" t="s">
        <v>204</v>
      </c>
      <c r="N1190" s="476" t="s">
        <v>3564</v>
      </c>
      <c r="O1190" s="486" t="s">
        <v>3567</v>
      </c>
    </row>
    <row r="1191" spans="1:15" s="475" customFormat="1" ht="12" hidden="1">
      <c r="A1191" s="465">
        <v>1000099124</v>
      </c>
      <c r="B1191" s="466" t="s">
        <v>3568</v>
      </c>
      <c r="C1191" s="466" t="s">
        <v>3568</v>
      </c>
      <c r="D1191" s="467" t="s">
        <v>3569</v>
      </c>
      <c r="E1191" s="468" t="s">
        <v>2471</v>
      </c>
      <c r="F1191" s="477" t="s">
        <v>2472</v>
      </c>
      <c r="G1191" s="469" t="s">
        <v>2472</v>
      </c>
      <c r="H1191" s="470">
        <v>0.88</v>
      </c>
      <c r="I1191" s="471">
        <v>6.7953667953667959E-2</v>
      </c>
      <c r="J1191" s="472" t="s">
        <v>422</v>
      </c>
      <c r="K1191" s="472" t="s">
        <v>2473</v>
      </c>
      <c r="L1191" s="473" t="s">
        <v>2474</v>
      </c>
      <c r="M1191" s="473" t="s">
        <v>1835</v>
      </c>
      <c r="N1191" s="473" t="s">
        <v>204</v>
      </c>
      <c r="O1191" s="490" t="s">
        <v>3568</v>
      </c>
    </row>
    <row r="1192" spans="1:15" s="475" customFormat="1" ht="12" hidden="1">
      <c r="A1192" s="465">
        <v>1000099161</v>
      </c>
      <c r="B1192" s="466" t="s">
        <v>3568</v>
      </c>
      <c r="C1192" s="466" t="s">
        <v>3570</v>
      </c>
      <c r="D1192" s="467" t="s">
        <v>3569</v>
      </c>
      <c r="E1192" s="468" t="s">
        <v>2471</v>
      </c>
      <c r="F1192" s="477" t="s">
        <v>2472</v>
      </c>
      <c r="G1192" s="469" t="s">
        <v>2472</v>
      </c>
      <c r="H1192" s="470">
        <v>0.97</v>
      </c>
      <c r="I1192" s="471">
        <v>7.4903474903474904E-2</v>
      </c>
      <c r="J1192" s="472" t="s">
        <v>422</v>
      </c>
      <c r="K1192" s="472" t="s">
        <v>2473</v>
      </c>
      <c r="L1192" s="473" t="s">
        <v>2474</v>
      </c>
      <c r="M1192" s="473" t="s">
        <v>1835</v>
      </c>
      <c r="N1192" s="473" t="s">
        <v>204</v>
      </c>
      <c r="O1192" s="490" t="s">
        <v>3568</v>
      </c>
    </row>
    <row r="1193" spans="1:15" s="475" customFormat="1" ht="12" hidden="1">
      <c r="A1193" s="465">
        <v>1000099126</v>
      </c>
      <c r="B1193" s="466" t="s">
        <v>3571</v>
      </c>
      <c r="C1193" s="466" t="s">
        <v>3571</v>
      </c>
      <c r="D1193" s="467" t="s">
        <v>3569</v>
      </c>
      <c r="E1193" s="468" t="s">
        <v>2471</v>
      </c>
      <c r="F1193" s="477" t="s">
        <v>2472</v>
      </c>
      <c r="G1193" s="469" t="s">
        <v>2472</v>
      </c>
      <c r="H1193" s="470">
        <v>1.06</v>
      </c>
      <c r="I1193" s="471">
        <v>8.1853281853281862E-2</v>
      </c>
      <c r="J1193" s="472" t="s">
        <v>422</v>
      </c>
      <c r="K1193" s="472" t="s">
        <v>2473</v>
      </c>
      <c r="L1193" s="473" t="s">
        <v>2474</v>
      </c>
      <c r="M1193" s="473" t="s">
        <v>1835</v>
      </c>
      <c r="N1193" s="473" t="s">
        <v>204</v>
      </c>
      <c r="O1193" s="490" t="s">
        <v>3571</v>
      </c>
    </row>
    <row r="1194" spans="1:15" s="475" customFormat="1" ht="12" hidden="1">
      <c r="A1194" s="465">
        <v>1000099163</v>
      </c>
      <c r="B1194" s="466" t="s">
        <v>3571</v>
      </c>
      <c r="C1194" s="466" t="s">
        <v>3572</v>
      </c>
      <c r="D1194" s="467" t="s">
        <v>3569</v>
      </c>
      <c r="E1194" s="468" t="s">
        <v>2471</v>
      </c>
      <c r="F1194" s="477" t="s">
        <v>2472</v>
      </c>
      <c r="G1194" s="469" t="s">
        <v>2472</v>
      </c>
      <c r="H1194" s="470">
        <v>1.1499999999999999</v>
      </c>
      <c r="I1194" s="471">
        <v>8.8803088803088806E-2</v>
      </c>
      <c r="J1194" s="472" t="s">
        <v>422</v>
      </c>
      <c r="K1194" s="472" t="s">
        <v>2473</v>
      </c>
      <c r="L1194" s="473" t="s">
        <v>2474</v>
      </c>
      <c r="M1194" s="473" t="s">
        <v>1835</v>
      </c>
      <c r="N1194" s="473" t="s">
        <v>204</v>
      </c>
      <c r="O1194" s="490" t="s">
        <v>3571</v>
      </c>
    </row>
    <row r="1195" spans="1:15" s="475" customFormat="1" ht="12" hidden="1">
      <c r="A1195" s="465">
        <v>10131000033233</v>
      </c>
      <c r="B1195" s="466" t="s">
        <v>3573</v>
      </c>
      <c r="C1195" s="466" t="s">
        <v>3573</v>
      </c>
      <c r="D1195" s="467" t="s">
        <v>3025</v>
      </c>
      <c r="E1195" s="468" t="s">
        <v>2491</v>
      </c>
      <c r="F1195" s="477">
        <v>1.8</v>
      </c>
      <c r="G1195" s="469" t="s">
        <v>2472</v>
      </c>
      <c r="H1195" s="470">
        <v>2.2999999999999998</v>
      </c>
      <c r="I1195" s="471">
        <v>2.2999999999999998</v>
      </c>
      <c r="J1195" s="472" t="s">
        <v>423</v>
      </c>
      <c r="K1195" s="472" t="s">
        <v>534</v>
      </c>
      <c r="L1195" s="473" t="s">
        <v>2693</v>
      </c>
      <c r="M1195" s="473" t="s">
        <v>1478</v>
      </c>
      <c r="N1195" s="473" t="s">
        <v>3574</v>
      </c>
      <c r="O1195" s="474" t="s">
        <v>3574</v>
      </c>
    </row>
    <row r="1196" spans="1:15" s="475" customFormat="1" ht="12" hidden="1">
      <c r="A1196" s="465">
        <v>1000099083</v>
      </c>
      <c r="B1196" s="466" t="s">
        <v>3573</v>
      </c>
      <c r="C1196" s="466" t="s">
        <v>3573</v>
      </c>
      <c r="D1196" s="467" t="s">
        <v>3025</v>
      </c>
      <c r="E1196" s="468" t="s">
        <v>2471</v>
      </c>
      <c r="F1196" s="477" t="s">
        <v>2472</v>
      </c>
      <c r="G1196" s="469" t="s">
        <v>2472</v>
      </c>
      <c r="H1196" s="470">
        <v>28.81</v>
      </c>
      <c r="I1196" s="471">
        <v>2.2247104247104246</v>
      </c>
      <c r="J1196" s="472" t="s">
        <v>422</v>
      </c>
      <c r="K1196" s="472" t="s">
        <v>2473</v>
      </c>
      <c r="L1196" s="473" t="s">
        <v>2693</v>
      </c>
      <c r="M1196" s="473" t="s">
        <v>1478</v>
      </c>
      <c r="N1196" s="473" t="s">
        <v>3574</v>
      </c>
      <c r="O1196" s="474" t="s">
        <v>3574</v>
      </c>
    </row>
    <row r="1197" spans="1:15" s="475" customFormat="1" ht="12" hidden="1">
      <c r="A1197" s="465">
        <v>1000099091</v>
      </c>
      <c r="B1197" s="466" t="s">
        <v>3573</v>
      </c>
      <c r="C1197" s="466" t="s">
        <v>3575</v>
      </c>
      <c r="D1197" s="467" t="s">
        <v>3025</v>
      </c>
      <c r="E1197" s="468" t="s">
        <v>2471</v>
      </c>
      <c r="F1197" s="477" t="s">
        <v>2472</v>
      </c>
      <c r="G1197" s="469" t="s">
        <v>2472</v>
      </c>
      <c r="H1197" s="470">
        <v>35.51</v>
      </c>
      <c r="I1197" s="471">
        <v>2.7420849420849422</v>
      </c>
      <c r="J1197" s="472" t="s">
        <v>422</v>
      </c>
      <c r="K1197" s="472" t="s">
        <v>2473</v>
      </c>
      <c r="L1197" s="473" t="s">
        <v>2693</v>
      </c>
      <c r="M1197" s="473" t="s">
        <v>1478</v>
      </c>
      <c r="N1197" s="473" t="s">
        <v>3574</v>
      </c>
      <c r="O1197" s="474" t="s">
        <v>3574</v>
      </c>
    </row>
    <row r="1198" spans="1:15" s="475" customFormat="1" ht="12" hidden="1">
      <c r="A1198" s="465">
        <v>10131000033229</v>
      </c>
      <c r="B1198" s="466" t="s">
        <v>1485</v>
      </c>
      <c r="C1198" s="466" t="s">
        <v>1485</v>
      </c>
      <c r="D1198" s="467" t="s">
        <v>2552</v>
      </c>
      <c r="E1198" s="468" t="s">
        <v>2491</v>
      </c>
      <c r="F1198" s="477">
        <v>0.8</v>
      </c>
      <c r="G1198" s="469" t="s">
        <v>2472</v>
      </c>
      <c r="H1198" s="470">
        <v>1.1499999999999999</v>
      </c>
      <c r="I1198" s="471">
        <v>1.1499999999999999</v>
      </c>
      <c r="J1198" s="472" t="s">
        <v>423</v>
      </c>
      <c r="K1198" s="472" t="s">
        <v>534</v>
      </c>
      <c r="L1198" s="473" t="s">
        <v>2693</v>
      </c>
      <c r="M1198" s="473" t="s">
        <v>1478</v>
      </c>
      <c r="N1198" s="473" t="s">
        <v>3574</v>
      </c>
      <c r="O1198" s="474" t="s">
        <v>3576</v>
      </c>
    </row>
    <row r="1199" spans="1:15" s="475" customFormat="1" ht="12" hidden="1">
      <c r="A1199" s="465">
        <v>1000099084</v>
      </c>
      <c r="B1199" s="466" t="s">
        <v>1485</v>
      </c>
      <c r="C1199" s="466" t="s">
        <v>1485</v>
      </c>
      <c r="D1199" s="467" t="s">
        <v>2552</v>
      </c>
      <c r="E1199" s="468" t="s">
        <v>2471</v>
      </c>
      <c r="F1199" s="477" t="s">
        <v>2472</v>
      </c>
      <c r="G1199" s="469" t="s">
        <v>2472</v>
      </c>
      <c r="H1199" s="470">
        <v>12.35</v>
      </c>
      <c r="I1199" s="471">
        <v>0.95366795366795365</v>
      </c>
      <c r="J1199" s="472" t="s">
        <v>422</v>
      </c>
      <c r="K1199" s="472" t="s">
        <v>2473</v>
      </c>
      <c r="L1199" s="473" t="s">
        <v>2693</v>
      </c>
      <c r="M1199" s="473" t="s">
        <v>1478</v>
      </c>
      <c r="N1199" s="473" t="s">
        <v>3574</v>
      </c>
      <c r="O1199" s="474" t="s">
        <v>3576</v>
      </c>
    </row>
    <row r="1200" spans="1:15" s="475" customFormat="1" ht="12" hidden="1">
      <c r="A1200" s="465">
        <v>1000099092</v>
      </c>
      <c r="B1200" s="466" t="s">
        <v>1485</v>
      </c>
      <c r="C1200" s="466" t="s">
        <v>3577</v>
      </c>
      <c r="D1200" s="467" t="s">
        <v>2552</v>
      </c>
      <c r="E1200" s="468" t="s">
        <v>2471</v>
      </c>
      <c r="F1200" s="477" t="s">
        <v>2472</v>
      </c>
      <c r="G1200" s="469" t="s">
        <v>2472</v>
      </c>
      <c r="H1200" s="470">
        <v>15.22</v>
      </c>
      <c r="I1200" s="471">
        <v>1.1752895752895753</v>
      </c>
      <c r="J1200" s="472" t="s">
        <v>422</v>
      </c>
      <c r="K1200" s="472" t="s">
        <v>2473</v>
      </c>
      <c r="L1200" s="473" t="s">
        <v>2693</v>
      </c>
      <c r="M1200" s="473" t="s">
        <v>1478</v>
      </c>
      <c r="N1200" s="473" t="s">
        <v>3574</v>
      </c>
      <c r="O1200" s="474" t="s">
        <v>3576</v>
      </c>
    </row>
    <row r="1201" spans="1:15" s="475" customFormat="1" ht="12" hidden="1">
      <c r="A1201" s="465">
        <v>10131000058383</v>
      </c>
      <c r="B1201" s="494" t="s">
        <v>3578</v>
      </c>
      <c r="C1201" s="494" t="s">
        <v>3578</v>
      </c>
      <c r="D1201" s="467" t="s">
        <v>1045</v>
      </c>
      <c r="E1201" s="468" t="s">
        <v>2491</v>
      </c>
      <c r="F1201" s="477" t="s">
        <v>2472</v>
      </c>
      <c r="G1201" s="469" t="s">
        <v>2472</v>
      </c>
      <c r="H1201" s="470">
        <v>12.78</v>
      </c>
      <c r="I1201" s="471">
        <v>12.78</v>
      </c>
      <c r="J1201" s="472" t="s">
        <v>423</v>
      </c>
      <c r="K1201" s="472" t="s">
        <v>534</v>
      </c>
      <c r="L1201" s="473" t="s">
        <v>204</v>
      </c>
      <c r="M1201" s="473" t="s">
        <v>204</v>
      </c>
      <c r="N1201" s="473" t="s">
        <v>3579</v>
      </c>
      <c r="O1201" s="474" t="s">
        <v>3579</v>
      </c>
    </row>
    <row r="1202" spans="1:15" s="475" customFormat="1" ht="12" hidden="1">
      <c r="A1202" s="465">
        <v>1000099105</v>
      </c>
      <c r="B1202" s="466" t="s">
        <v>1677</v>
      </c>
      <c r="C1202" s="466" t="s">
        <v>1677</v>
      </c>
      <c r="D1202" s="467" t="s">
        <v>570</v>
      </c>
      <c r="E1202" s="468" t="s">
        <v>2471</v>
      </c>
      <c r="F1202" s="477" t="s">
        <v>2472</v>
      </c>
      <c r="G1202" s="469" t="s">
        <v>2472</v>
      </c>
      <c r="H1202" s="470">
        <v>895</v>
      </c>
      <c r="I1202" s="471">
        <v>69.111969111969117</v>
      </c>
      <c r="J1202" s="472" t="s">
        <v>422</v>
      </c>
      <c r="K1202" s="472" t="s">
        <v>2473</v>
      </c>
      <c r="L1202" s="473" t="s">
        <v>1608</v>
      </c>
      <c r="M1202" s="473" t="s">
        <v>2642</v>
      </c>
      <c r="N1202" s="473" t="s">
        <v>2643</v>
      </c>
      <c r="O1202" s="490" t="s">
        <v>3580</v>
      </c>
    </row>
    <row r="1203" spans="1:15" s="475" customFormat="1" ht="12" hidden="1">
      <c r="A1203" s="465">
        <v>1000099108</v>
      </c>
      <c r="B1203" s="466" t="s">
        <v>1677</v>
      </c>
      <c r="C1203" s="466" t="s">
        <v>3581</v>
      </c>
      <c r="D1203" s="467" t="s">
        <v>570</v>
      </c>
      <c r="E1203" s="468" t="s">
        <v>2471</v>
      </c>
      <c r="F1203" s="477" t="s">
        <v>2472</v>
      </c>
      <c r="G1203" s="469" t="s">
        <v>2472</v>
      </c>
      <c r="H1203" s="470">
        <v>939.75</v>
      </c>
      <c r="I1203" s="471">
        <v>72.567567567567565</v>
      </c>
      <c r="J1203" s="472" t="s">
        <v>422</v>
      </c>
      <c r="K1203" s="472" t="s">
        <v>2473</v>
      </c>
      <c r="L1203" s="473" t="s">
        <v>1608</v>
      </c>
      <c r="M1203" s="473" t="s">
        <v>2642</v>
      </c>
      <c r="N1203" s="473" t="s">
        <v>2643</v>
      </c>
      <c r="O1203" s="490" t="s">
        <v>3580</v>
      </c>
    </row>
    <row r="1204" spans="1:15" s="475" customFormat="1" ht="12" hidden="1">
      <c r="A1204" s="465">
        <v>1000099131</v>
      </c>
      <c r="B1204" s="473" t="s">
        <v>3582</v>
      </c>
      <c r="C1204" s="473" t="s">
        <v>3582</v>
      </c>
      <c r="D1204" s="467" t="s">
        <v>1045</v>
      </c>
      <c r="E1204" s="468" t="s">
        <v>2471</v>
      </c>
      <c r="F1204" s="477" t="s">
        <v>2472</v>
      </c>
      <c r="G1204" s="469" t="s">
        <v>2472</v>
      </c>
      <c r="H1204" s="470">
        <v>0</v>
      </c>
      <c r="I1204" s="471">
        <v>0</v>
      </c>
      <c r="J1204" s="472" t="s">
        <v>422</v>
      </c>
      <c r="K1204" s="472" t="s">
        <v>2473</v>
      </c>
      <c r="L1204" s="473" t="s">
        <v>2474</v>
      </c>
      <c r="M1204" s="473" t="s">
        <v>1835</v>
      </c>
      <c r="N1204" s="473" t="s">
        <v>204</v>
      </c>
      <c r="O1204" s="474" t="s">
        <v>3582</v>
      </c>
    </row>
    <row r="1205" spans="1:15" s="475" customFormat="1" ht="12" hidden="1">
      <c r="A1205" s="465">
        <v>1000099168</v>
      </c>
      <c r="B1205" s="473" t="s">
        <v>3582</v>
      </c>
      <c r="C1205" s="473" t="s">
        <v>3583</v>
      </c>
      <c r="D1205" s="467" t="s">
        <v>1045</v>
      </c>
      <c r="E1205" s="468" t="s">
        <v>2471</v>
      </c>
      <c r="F1205" s="477" t="s">
        <v>2472</v>
      </c>
      <c r="G1205" s="469" t="s">
        <v>2472</v>
      </c>
      <c r="H1205" s="470">
        <v>0</v>
      </c>
      <c r="I1205" s="471">
        <v>0</v>
      </c>
      <c r="J1205" s="472" t="s">
        <v>422</v>
      </c>
      <c r="K1205" s="472" t="s">
        <v>2473</v>
      </c>
      <c r="L1205" s="473" t="s">
        <v>2474</v>
      </c>
      <c r="M1205" s="473" t="s">
        <v>1835</v>
      </c>
      <c r="N1205" s="473" t="s">
        <v>204</v>
      </c>
      <c r="O1205" s="474" t="s">
        <v>3582</v>
      </c>
    </row>
    <row r="1206" spans="1:15" s="475" customFormat="1" ht="12" hidden="1">
      <c r="A1206" s="465">
        <v>1000099164</v>
      </c>
      <c r="B1206" s="466" t="s">
        <v>3245</v>
      </c>
      <c r="C1206" s="466" t="s">
        <v>3584</v>
      </c>
      <c r="D1206" s="467" t="s">
        <v>2685</v>
      </c>
      <c r="E1206" s="468" t="s">
        <v>2471</v>
      </c>
      <c r="F1206" s="477" t="s">
        <v>2472</v>
      </c>
      <c r="G1206" s="469" t="s">
        <v>2472</v>
      </c>
      <c r="H1206" s="470">
        <v>245.67</v>
      </c>
      <c r="I1206" s="471">
        <v>18.970656370656371</v>
      </c>
      <c r="J1206" s="472" t="s">
        <v>422</v>
      </c>
      <c r="K1206" s="472" t="s">
        <v>2473</v>
      </c>
      <c r="L1206" s="473" t="s">
        <v>2474</v>
      </c>
      <c r="M1206" s="473" t="s">
        <v>1835</v>
      </c>
      <c r="N1206" s="473" t="s">
        <v>204</v>
      </c>
      <c r="O1206" s="490" t="s">
        <v>3245</v>
      </c>
    </row>
    <row r="1207" spans="1:15" s="475" customFormat="1" ht="12" hidden="1">
      <c r="A1207" s="465">
        <v>1000099128</v>
      </c>
      <c r="B1207" s="466" t="s">
        <v>3585</v>
      </c>
      <c r="C1207" s="466" t="s">
        <v>3585</v>
      </c>
      <c r="D1207" s="467" t="s">
        <v>2685</v>
      </c>
      <c r="E1207" s="468" t="s">
        <v>2471</v>
      </c>
      <c r="F1207" s="477" t="s">
        <v>2472</v>
      </c>
      <c r="G1207" s="469" t="s">
        <v>2472</v>
      </c>
      <c r="H1207" s="470">
        <v>145</v>
      </c>
      <c r="I1207" s="471">
        <v>11.196911196911197</v>
      </c>
      <c r="J1207" s="472" t="s">
        <v>422</v>
      </c>
      <c r="K1207" s="472" t="s">
        <v>2473</v>
      </c>
      <c r="L1207" s="473" t="s">
        <v>2474</v>
      </c>
      <c r="M1207" s="473" t="s">
        <v>1835</v>
      </c>
      <c r="N1207" s="473" t="s">
        <v>204</v>
      </c>
      <c r="O1207" s="490" t="s">
        <v>3585</v>
      </c>
    </row>
    <row r="1208" spans="1:15" s="475" customFormat="1" ht="12" hidden="1">
      <c r="A1208" s="465">
        <v>1000099165</v>
      </c>
      <c r="B1208" s="466" t="s">
        <v>3585</v>
      </c>
      <c r="C1208" s="466" t="s">
        <v>3586</v>
      </c>
      <c r="D1208" s="467" t="s">
        <v>2685</v>
      </c>
      <c r="E1208" s="468" t="s">
        <v>2471</v>
      </c>
      <c r="F1208" s="477" t="s">
        <v>2472</v>
      </c>
      <c r="G1208" s="469" t="s">
        <v>2472</v>
      </c>
      <c r="H1208" s="470">
        <v>154.25</v>
      </c>
      <c r="I1208" s="471">
        <v>11.911196911196912</v>
      </c>
      <c r="J1208" s="472" t="s">
        <v>422</v>
      </c>
      <c r="K1208" s="472" t="s">
        <v>2473</v>
      </c>
      <c r="L1208" s="473" t="s">
        <v>2474</v>
      </c>
      <c r="M1208" s="473" t="s">
        <v>1835</v>
      </c>
      <c r="N1208" s="473" t="s">
        <v>204</v>
      </c>
      <c r="O1208" s="490" t="s">
        <v>3585</v>
      </c>
    </row>
    <row r="1209" spans="1:15" s="475" customFormat="1" ht="12" hidden="1">
      <c r="A1209" s="465">
        <v>10131000029909</v>
      </c>
      <c r="B1209" s="476" t="s">
        <v>3587</v>
      </c>
      <c r="C1209" s="476" t="s">
        <v>3588</v>
      </c>
      <c r="D1209" s="467" t="s">
        <v>1045</v>
      </c>
      <c r="E1209" s="472" t="s">
        <v>2541</v>
      </c>
      <c r="F1209" s="477">
        <v>0</v>
      </c>
      <c r="G1209" s="469" t="s">
        <v>2472</v>
      </c>
      <c r="H1209" s="470">
        <v>1E-8</v>
      </c>
      <c r="I1209" s="471">
        <v>1.5324781650000001E-8</v>
      </c>
      <c r="J1209" s="485" t="s">
        <v>421</v>
      </c>
      <c r="K1209" s="472" t="s">
        <v>651</v>
      </c>
      <c r="L1209" s="473" t="s">
        <v>2474</v>
      </c>
      <c r="M1209" s="473" t="s">
        <v>1835</v>
      </c>
      <c r="N1209" s="473" t="s">
        <v>1858</v>
      </c>
      <c r="O1209" s="474" t="s">
        <v>3587</v>
      </c>
    </row>
    <row r="1210" spans="1:15" s="475" customFormat="1" ht="12" hidden="1">
      <c r="A1210" s="465">
        <v>10131000029911</v>
      </c>
      <c r="B1210" s="476" t="s">
        <v>3587</v>
      </c>
      <c r="C1210" s="476" t="s">
        <v>3588</v>
      </c>
      <c r="D1210" s="467" t="s">
        <v>1045</v>
      </c>
      <c r="E1210" s="472" t="s">
        <v>2541</v>
      </c>
      <c r="F1210" s="477">
        <v>0</v>
      </c>
      <c r="G1210" s="469" t="s">
        <v>2472</v>
      </c>
      <c r="H1210" s="470">
        <v>1E-8</v>
      </c>
      <c r="I1210" s="471">
        <v>1.5324781650000001E-8</v>
      </c>
      <c r="J1210" s="485" t="s">
        <v>421</v>
      </c>
      <c r="K1210" s="472" t="s">
        <v>651</v>
      </c>
      <c r="L1210" s="473" t="s">
        <v>2474</v>
      </c>
      <c r="M1210" s="473" t="s">
        <v>1835</v>
      </c>
      <c r="N1210" s="473" t="s">
        <v>1858</v>
      </c>
      <c r="O1210" s="474" t="s">
        <v>3587</v>
      </c>
    </row>
    <row r="1211" spans="1:15" s="475" customFormat="1" ht="12" hidden="1">
      <c r="A1211" s="465">
        <v>10131000039691</v>
      </c>
      <c r="B1211" s="476" t="s">
        <v>3587</v>
      </c>
      <c r="C1211" s="476" t="s">
        <v>3588</v>
      </c>
      <c r="D1211" s="467" t="s">
        <v>1045</v>
      </c>
      <c r="E1211" s="472" t="s">
        <v>2491</v>
      </c>
      <c r="F1211" s="477">
        <v>0</v>
      </c>
      <c r="G1211" s="469" t="s">
        <v>2472</v>
      </c>
      <c r="H1211" s="470">
        <v>1E-8</v>
      </c>
      <c r="I1211" s="471">
        <v>1E-8</v>
      </c>
      <c r="J1211" s="485" t="s">
        <v>421</v>
      </c>
      <c r="K1211" s="472" t="s">
        <v>651</v>
      </c>
      <c r="L1211" s="473" t="s">
        <v>2474</v>
      </c>
      <c r="M1211" s="473" t="s">
        <v>1835</v>
      </c>
      <c r="N1211" s="473" t="s">
        <v>1858</v>
      </c>
      <c r="O1211" s="474" t="s">
        <v>3587</v>
      </c>
    </row>
    <row r="1212" spans="1:15" s="475" customFormat="1" ht="12" hidden="1">
      <c r="A1212" s="465">
        <v>10131000051836</v>
      </c>
      <c r="B1212" s="466" t="s">
        <v>3587</v>
      </c>
      <c r="C1212" s="476" t="s">
        <v>3589</v>
      </c>
      <c r="D1212" s="467" t="s">
        <v>1862</v>
      </c>
      <c r="E1212" s="472" t="s">
        <v>2491</v>
      </c>
      <c r="F1212" s="477">
        <v>10.025399999999999</v>
      </c>
      <c r="G1212" s="469" t="s">
        <v>2472</v>
      </c>
      <c r="H1212" s="487">
        <v>9.4700000000000006</v>
      </c>
      <c r="I1212" s="471">
        <v>9.4700000000000006</v>
      </c>
      <c r="J1212" s="488" t="s">
        <v>2492</v>
      </c>
      <c r="K1212" s="472" t="s">
        <v>672</v>
      </c>
      <c r="L1212" s="473" t="s">
        <v>2474</v>
      </c>
      <c r="M1212" s="473" t="s">
        <v>1835</v>
      </c>
      <c r="N1212" s="473" t="s">
        <v>1858</v>
      </c>
      <c r="O1212" s="474" t="s">
        <v>3587</v>
      </c>
    </row>
    <row r="1213" spans="1:15" s="475" customFormat="1" ht="12" hidden="1">
      <c r="A1213" s="465">
        <v>10131000051834</v>
      </c>
      <c r="B1213" s="466" t="s">
        <v>3587</v>
      </c>
      <c r="C1213" s="476" t="s">
        <v>3590</v>
      </c>
      <c r="D1213" s="467" t="s">
        <v>1862</v>
      </c>
      <c r="E1213" s="472" t="s">
        <v>2491</v>
      </c>
      <c r="F1213" s="477">
        <v>10.1724</v>
      </c>
      <c r="G1213" s="469" t="s">
        <v>2472</v>
      </c>
      <c r="H1213" s="487">
        <v>10.51</v>
      </c>
      <c r="I1213" s="471">
        <v>10.51</v>
      </c>
      <c r="J1213" s="488" t="s">
        <v>2492</v>
      </c>
      <c r="K1213" s="472" t="s">
        <v>668</v>
      </c>
      <c r="L1213" s="473" t="s">
        <v>2474</v>
      </c>
      <c r="M1213" s="473" t="s">
        <v>1835</v>
      </c>
      <c r="N1213" s="473" t="s">
        <v>1858</v>
      </c>
      <c r="O1213" s="474" t="s">
        <v>3587</v>
      </c>
    </row>
    <row r="1214" spans="1:15" s="475" customFormat="1" ht="12" hidden="1">
      <c r="A1214" s="465">
        <v>10131000051838</v>
      </c>
      <c r="B1214" s="466" t="s">
        <v>3587</v>
      </c>
      <c r="C1214" s="476" t="s">
        <v>3591</v>
      </c>
      <c r="D1214" s="467" t="s">
        <v>1862</v>
      </c>
      <c r="E1214" s="472" t="s">
        <v>2491</v>
      </c>
      <c r="F1214" s="477">
        <v>12.3774</v>
      </c>
      <c r="G1214" s="469" t="s">
        <v>2472</v>
      </c>
      <c r="H1214" s="487">
        <v>13.95</v>
      </c>
      <c r="I1214" s="471">
        <v>13.95</v>
      </c>
      <c r="J1214" s="488" t="s">
        <v>2492</v>
      </c>
      <c r="K1214" s="472" t="s">
        <v>674</v>
      </c>
      <c r="L1214" s="473" t="s">
        <v>2474</v>
      </c>
      <c r="M1214" s="473" t="s">
        <v>1835</v>
      </c>
      <c r="N1214" s="473" t="s">
        <v>1858</v>
      </c>
      <c r="O1214" s="474" t="s">
        <v>3587</v>
      </c>
    </row>
    <row r="1215" spans="1:15" s="475" customFormat="1" ht="12" hidden="1">
      <c r="A1215" s="465">
        <v>10131000051831</v>
      </c>
      <c r="B1215" s="466" t="s">
        <v>3587</v>
      </c>
      <c r="C1215" s="476" t="s">
        <v>3592</v>
      </c>
      <c r="D1215" s="467" t="s">
        <v>1862</v>
      </c>
      <c r="E1215" s="472" t="s">
        <v>2491</v>
      </c>
      <c r="F1215" s="477">
        <v>13.818</v>
      </c>
      <c r="G1215" s="469" t="s">
        <v>2472</v>
      </c>
      <c r="H1215" s="487">
        <v>34.270000000000003</v>
      </c>
      <c r="I1215" s="471">
        <v>34.270000000000003</v>
      </c>
      <c r="J1215" s="488" t="s">
        <v>2492</v>
      </c>
      <c r="K1215" s="472" t="s">
        <v>660</v>
      </c>
      <c r="L1215" s="473" t="s">
        <v>2474</v>
      </c>
      <c r="M1215" s="473" t="s">
        <v>1835</v>
      </c>
      <c r="N1215" s="473" t="s">
        <v>1858</v>
      </c>
      <c r="O1215" s="474" t="s">
        <v>3587</v>
      </c>
    </row>
    <row r="1216" spans="1:15" s="475" customFormat="1" ht="12" hidden="1">
      <c r="A1216" s="465">
        <v>10131000051830</v>
      </c>
      <c r="B1216" s="466" t="s">
        <v>3587</v>
      </c>
      <c r="C1216" s="476" t="s">
        <v>3593</v>
      </c>
      <c r="D1216" s="467" t="s">
        <v>1862</v>
      </c>
      <c r="E1216" s="472" t="s">
        <v>2491</v>
      </c>
      <c r="F1216" s="477">
        <v>21.060199999999998</v>
      </c>
      <c r="G1216" s="469" t="s">
        <v>2472</v>
      </c>
      <c r="H1216" s="487">
        <v>27.09</v>
      </c>
      <c r="I1216" s="471">
        <v>27.09</v>
      </c>
      <c r="J1216" s="488" t="s">
        <v>2492</v>
      </c>
      <c r="K1216" s="472" t="s">
        <v>658</v>
      </c>
      <c r="L1216" s="473" t="s">
        <v>2474</v>
      </c>
      <c r="M1216" s="473" t="s">
        <v>1835</v>
      </c>
      <c r="N1216" s="473" t="s">
        <v>1858</v>
      </c>
      <c r="O1216" s="474" t="s">
        <v>3587</v>
      </c>
    </row>
    <row r="1217" spans="1:15" s="475" customFormat="1" ht="12" hidden="1">
      <c r="A1217" s="465">
        <v>10131000051837</v>
      </c>
      <c r="B1217" s="466" t="s">
        <v>3587</v>
      </c>
      <c r="C1217" s="476" t="s">
        <v>3594</v>
      </c>
      <c r="D1217" s="467" t="s">
        <v>1862</v>
      </c>
      <c r="E1217" s="472" t="s">
        <v>2491</v>
      </c>
      <c r="F1217" s="477">
        <v>24.9998</v>
      </c>
      <c r="G1217" s="469" t="s">
        <v>2472</v>
      </c>
      <c r="H1217" s="487">
        <v>11.63</v>
      </c>
      <c r="I1217" s="471">
        <v>11.63</v>
      </c>
      <c r="J1217" s="488" t="s">
        <v>2492</v>
      </c>
      <c r="K1217" s="472" t="s">
        <v>676</v>
      </c>
      <c r="L1217" s="473" t="s">
        <v>2474</v>
      </c>
      <c r="M1217" s="473" t="s">
        <v>1835</v>
      </c>
      <c r="N1217" s="473" t="s">
        <v>1858</v>
      </c>
      <c r="O1217" s="474" t="s">
        <v>3587</v>
      </c>
    </row>
    <row r="1218" spans="1:15" s="475" customFormat="1" ht="12" hidden="1">
      <c r="A1218" s="465">
        <v>10131000051835</v>
      </c>
      <c r="B1218" s="466" t="s">
        <v>3587</v>
      </c>
      <c r="C1218" s="476" t="s">
        <v>3595</v>
      </c>
      <c r="D1218" s="467" t="s">
        <v>1862</v>
      </c>
      <c r="E1218" s="472" t="s">
        <v>2491</v>
      </c>
      <c r="F1218" s="477">
        <v>26.901</v>
      </c>
      <c r="G1218" s="469" t="s">
        <v>2472</v>
      </c>
      <c r="H1218" s="487">
        <v>27.24</v>
      </c>
      <c r="I1218" s="471">
        <v>27.24</v>
      </c>
      <c r="J1218" s="488" t="s">
        <v>2492</v>
      </c>
      <c r="K1218" s="472" t="s">
        <v>670</v>
      </c>
      <c r="L1218" s="473" t="s">
        <v>2474</v>
      </c>
      <c r="M1218" s="473" t="s">
        <v>1835</v>
      </c>
      <c r="N1218" s="473" t="s">
        <v>1858</v>
      </c>
      <c r="O1218" s="474" t="s">
        <v>3587</v>
      </c>
    </row>
    <row r="1219" spans="1:15" s="475" customFormat="1" ht="12" hidden="1">
      <c r="A1219" s="465">
        <v>10131000056416</v>
      </c>
      <c r="B1219" s="466" t="s">
        <v>3587</v>
      </c>
      <c r="C1219" s="466" t="s">
        <v>3587</v>
      </c>
      <c r="D1219" s="467" t="s">
        <v>1862</v>
      </c>
      <c r="E1219" s="468" t="s">
        <v>2491</v>
      </c>
      <c r="F1219" s="477">
        <v>37.5</v>
      </c>
      <c r="G1219" s="469" t="s">
        <v>2472</v>
      </c>
      <c r="H1219" s="470">
        <v>38.4</v>
      </c>
      <c r="I1219" s="471">
        <v>38.4</v>
      </c>
      <c r="J1219" s="472" t="s">
        <v>423</v>
      </c>
      <c r="K1219" s="472" t="s">
        <v>534</v>
      </c>
      <c r="L1219" s="473" t="s">
        <v>2474</v>
      </c>
      <c r="M1219" s="473" t="s">
        <v>1835</v>
      </c>
      <c r="N1219" s="473" t="s">
        <v>1858</v>
      </c>
      <c r="O1219" s="474" t="s">
        <v>3587</v>
      </c>
    </row>
    <row r="1220" spans="1:15" s="475" customFormat="1" ht="12" hidden="1">
      <c r="A1220" s="465">
        <v>10131000051832</v>
      </c>
      <c r="B1220" s="466" t="s">
        <v>3587</v>
      </c>
      <c r="C1220" s="476" t="s">
        <v>3596</v>
      </c>
      <c r="D1220" s="467" t="s">
        <v>1862</v>
      </c>
      <c r="E1220" s="472" t="s">
        <v>2491</v>
      </c>
      <c r="F1220" s="477">
        <v>43.365000000000002</v>
      </c>
      <c r="G1220" s="469" t="s">
        <v>2472</v>
      </c>
      <c r="H1220" s="487">
        <v>29.99</v>
      </c>
      <c r="I1220" s="471">
        <v>29.99</v>
      </c>
      <c r="J1220" s="488" t="s">
        <v>2492</v>
      </c>
      <c r="K1220" s="472" t="s">
        <v>664</v>
      </c>
      <c r="L1220" s="473" t="s">
        <v>2474</v>
      </c>
      <c r="M1220" s="473" t="s">
        <v>1835</v>
      </c>
      <c r="N1220" s="473" t="s">
        <v>1858</v>
      </c>
      <c r="O1220" s="474" t="s">
        <v>3587</v>
      </c>
    </row>
    <row r="1221" spans="1:15" s="475" customFormat="1" ht="12" hidden="1">
      <c r="A1221" s="465">
        <v>10131000052005</v>
      </c>
      <c r="B1221" s="466" t="s">
        <v>3587</v>
      </c>
      <c r="C1221" s="476" t="s">
        <v>3597</v>
      </c>
      <c r="D1221" s="467" t="s">
        <v>1862</v>
      </c>
      <c r="E1221" s="472" t="s">
        <v>2491</v>
      </c>
      <c r="F1221" s="477">
        <v>44.893799999999999</v>
      </c>
      <c r="G1221" s="469" t="s">
        <v>2472</v>
      </c>
      <c r="H1221" s="487">
        <v>46.56</v>
      </c>
      <c r="I1221" s="471">
        <v>46.56</v>
      </c>
      <c r="J1221" s="488" t="s">
        <v>2492</v>
      </c>
      <c r="K1221" s="472" t="s">
        <v>666</v>
      </c>
      <c r="L1221" s="473" t="s">
        <v>2474</v>
      </c>
      <c r="M1221" s="473" t="s">
        <v>1835</v>
      </c>
      <c r="N1221" s="473" t="s">
        <v>1858</v>
      </c>
      <c r="O1221" s="474" t="s">
        <v>3587</v>
      </c>
    </row>
    <row r="1222" spans="1:15" s="475" customFormat="1" ht="12" hidden="1">
      <c r="A1222" s="465">
        <v>10131000056544</v>
      </c>
      <c r="B1222" s="466" t="s">
        <v>3587</v>
      </c>
      <c r="C1222" s="476" t="s">
        <v>3598</v>
      </c>
      <c r="D1222" s="467" t="s">
        <v>1862</v>
      </c>
      <c r="E1222" s="472" t="s">
        <v>2491</v>
      </c>
      <c r="F1222" s="477">
        <v>51.822400000000002</v>
      </c>
      <c r="G1222" s="469" t="s">
        <v>2472</v>
      </c>
      <c r="H1222" s="487">
        <v>35.96</v>
      </c>
      <c r="I1222" s="471">
        <v>35.96</v>
      </c>
      <c r="J1222" s="488" t="s">
        <v>2492</v>
      </c>
      <c r="K1222" s="472" t="s">
        <v>662</v>
      </c>
      <c r="L1222" s="473" t="s">
        <v>2474</v>
      </c>
      <c r="M1222" s="473" t="s">
        <v>1835</v>
      </c>
      <c r="N1222" s="473" t="s">
        <v>1858</v>
      </c>
      <c r="O1222" s="474" t="s">
        <v>3587</v>
      </c>
    </row>
    <row r="1223" spans="1:15" s="475" customFormat="1" ht="12" hidden="1">
      <c r="A1223" s="465">
        <v>10131000039845</v>
      </c>
      <c r="B1223" s="489" t="s">
        <v>3587</v>
      </c>
      <c r="C1223" s="489" t="s">
        <v>3599</v>
      </c>
      <c r="D1223" s="467" t="s">
        <v>1862</v>
      </c>
      <c r="E1223" s="478" t="s">
        <v>2514</v>
      </c>
      <c r="F1223" s="477">
        <v>546.55798931999993</v>
      </c>
      <c r="G1223" s="469" t="s">
        <v>2472</v>
      </c>
      <c r="H1223" s="481">
        <v>60775</v>
      </c>
      <c r="I1223" s="482">
        <v>620.41999999999996</v>
      </c>
      <c r="J1223" s="483" t="s">
        <v>2515</v>
      </c>
      <c r="K1223" s="483" t="s">
        <v>2515</v>
      </c>
      <c r="L1223" s="473" t="s">
        <v>2474</v>
      </c>
      <c r="M1223" s="473" t="s">
        <v>1835</v>
      </c>
      <c r="N1223" s="473" t="s">
        <v>1858</v>
      </c>
      <c r="O1223" s="474" t="s">
        <v>3587</v>
      </c>
    </row>
    <row r="1224" spans="1:15" s="475" customFormat="1" ht="12" hidden="1">
      <c r="A1224" s="465">
        <v>10131000051764</v>
      </c>
      <c r="B1224" s="489" t="s">
        <v>3587</v>
      </c>
      <c r="C1224" s="489" t="s">
        <v>3600</v>
      </c>
      <c r="D1224" s="467" t="s">
        <v>1862</v>
      </c>
      <c r="E1224" s="478" t="s">
        <v>2514</v>
      </c>
      <c r="F1224" s="477">
        <v>546.55798931999993</v>
      </c>
      <c r="G1224" s="469" t="s">
        <v>2472</v>
      </c>
      <c r="H1224" s="481">
        <v>60775</v>
      </c>
      <c r="I1224" s="482">
        <v>620.41999999999996</v>
      </c>
      <c r="J1224" s="483" t="s">
        <v>2515</v>
      </c>
      <c r="K1224" s="483" t="s">
        <v>2515</v>
      </c>
      <c r="L1224" s="473" t="s">
        <v>2474</v>
      </c>
      <c r="M1224" s="473" t="s">
        <v>1835</v>
      </c>
      <c r="N1224" s="473" t="s">
        <v>1858</v>
      </c>
      <c r="O1224" s="474" t="s">
        <v>3587</v>
      </c>
    </row>
    <row r="1225" spans="1:15" s="475" customFormat="1" ht="12" hidden="1">
      <c r="A1225" s="465">
        <v>10131000057867</v>
      </c>
      <c r="B1225" s="466" t="s">
        <v>3587</v>
      </c>
      <c r="C1225" s="466" t="s">
        <v>3601</v>
      </c>
      <c r="D1225" s="467" t="s">
        <v>1862</v>
      </c>
      <c r="E1225" s="468" t="s">
        <v>2619</v>
      </c>
      <c r="F1225" s="477" t="s">
        <v>2472</v>
      </c>
      <c r="G1225" s="469" t="s">
        <v>2472</v>
      </c>
      <c r="H1225" s="470">
        <v>38.4</v>
      </c>
      <c r="I1225" s="471">
        <v>38.4</v>
      </c>
      <c r="J1225" s="472" t="s">
        <v>423</v>
      </c>
      <c r="K1225" s="472" t="s">
        <v>2620</v>
      </c>
      <c r="L1225" s="473" t="s">
        <v>2474</v>
      </c>
      <c r="M1225" s="473" t="s">
        <v>1835</v>
      </c>
      <c r="N1225" s="473" t="s">
        <v>1858</v>
      </c>
      <c r="O1225" s="474" t="s">
        <v>3587</v>
      </c>
    </row>
    <row r="1226" spans="1:15" s="475" customFormat="1" ht="12" hidden="1">
      <c r="A1226" s="465">
        <v>10131000051799</v>
      </c>
      <c r="B1226" s="476" t="s">
        <v>3602</v>
      </c>
      <c r="C1226" s="476" t="s">
        <v>3602</v>
      </c>
      <c r="D1226" s="467" t="s">
        <v>1862</v>
      </c>
      <c r="E1226" s="472" t="s">
        <v>2491</v>
      </c>
      <c r="F1226" s="477">
        <v>46.43</v>
      </c>
      <c r="G1226" s="469" t="s">
        <v>2472</v>
      </c>
      <c r="H1226" s="487">
        <v>78.739999999999995</v>
      </c>
      <c r="I1226" s="471">
        <v>78.739999999999995</v>
      </c>
      <c r="J1226" s="488" t="s">
        <v>2492</v>
      </c>
      <c r="K1226" s="472" t="s">
        <v>2522</v>
      </c>
      <c r="L1226" s="473" t="s">
        <v>2474</v>
      </c>
      <c r="M1226" s="473" t="s">
        <v>1835</v>
      </c>
      <c r="N1226" s="473" t="s">
        <v>1858</v>
      </c>
      <c r="O1226" s="474" t="s">
        <v>3587</v>
      </c>
    </row>
    <row r="1227" spans="1:15" s="475" customFormat="1" ht="12" hidden="1">
      <c r="A1227" s="465">
        <v>10131000051800</v>
      </c>
      <c r="B1227" s="476" t="s">
        <v>3603</v>
      </c>
      <c r="C1227" s="476" t="s">
        <v>3603</v>
      </c>
      <c r="D1227" s="467" t="s">
        <v>1862</v>
      </c>
      <c r="E1227" s="472" t="s">
        <v>2491</v>
      </c>
      <c r="F1227" s="477">
        <v>6.36</v>
      </c>
      <c r="G1227" s="469" t="s">
        <v>2472</v>
      </c>
      <c r="H1227" s="487">
        <v>13.12</v>
      </c>
      <c r="I1227" s="471">
        <v>13.12</v>
      </c>
      <c r="J1227" s="488" t="s">
        <v>2492</v>
      </c>
      <c r="K1227" s="472" t="s">
        <v>2522</v>
      </c>
      <c r="L1227" s="473" t="s">
        <v>2474</v>
      </c>
      <c r="M1227" s="473" t="s">
        <v>1835</v>
      </c>
      <c r="N1227" s="473" t="s">
        <v>1858</v>
      </c>
      <c r="O1227" s="474" t="s">
        <v>3587</v>
      </c>
    </row>
    <row r="1228" spans="1:15" s="475" customFormat="1" ht="12" hidden="1">
      <c r="A1228" s="465">
        <v>10131000057331</v>
      </c>
      <c r="B1228" s="466" t="s">
        <v>711</v>
      </c>
      <c r="C1228" s="476" t="s">
        <v>3604</v>
      </c>
      <c r="D1228" s="467" t="s">
        <v>571</v>
      </c>
      <c r="E1228" s="472" t="s">
        <v>2491</v>
      </c>
      <c r="F1228" s="477">
        <v>13.33</v>
      </c>
      <c r="G1228" s="469" t="s">
        <v>2472</v>
      </c>
      <c r="H1228" s="495">
        <v>72.510000000000005</v>
      </c>
      <c r="I1228" s="471">
        <v>72.510000000000005</v>
      </c>
      <c r="J1228" s="488" t="s">
        <v>2492</v>
      </c>
      <c r="K1228" s="472" t="s">
        <v>678</v>
      </c>
      <c r="L1228" s="473" t="s">
        <v>570</v>
      </c>
      <c r="M1228" s="473" t="s">
        <v>571</v>
      </c>
      <c r="N1228" s="473" t="s">
        <v>711</v>
      </c>
      <c r="O1228" s="474" t="s">
        <v>711</v>
      </c>
    </row>
    <row r="1229" spans="1:15" s="475" customFormat="1" ht="12" hidden="1">
      <c r="A1229" s="465">
        <v>10131000021818</v>
      </c>
      <c r="B1229" s="466" t="s">
        <v>711</v>
      </c>
      <c r="C1229" s="476" t="s">
        <v>3605</v>
      </c>
      <c r="D1229" s="467" t="s">
        <v>571</v>
      </c>
      <c r="E1229" s="472" t="s">
        <v>2491</v>
      </c>
      <c r="F1229" s="477">
        <v>13.41</v>
      </c>
      <c r="G1229" s="469" t="s">
        <v>2472</v>
      </c>
      <c r="H1229" s="487">
        <v>43.16</v>
      </c>
      <c r="I1229" s="471">
        <v>43.16</v>
      </c>
      <c r="J1229" s="488" t="s">
        <v>2492</v>
      </c>
      <c r="K1229" s="472" t="s">
        <v>660</v>
      </c>
      <c r="L1229" s="473" t="s">
        <v>570</v>
      </c>
      <c r="M1229" s="473" t="s">
        <v>571</v>
      </c>
      <c r="N1229" s="473" t="s">
        <v>711</v>
      </c>
      <c r="O1229" s="474" t="s">
        <v>711</v>
      </c>
    </row>
    <row r="1230" spans="1:15" s="475" customFormat="1" ht="12" hidden="1">
      <c r="A1230" s="465">
        <v>10131000016797</v>
      </c>
      <c r="B1230" s="476" t="s">
        <v>711</v>
      </c>
      <c r="C1230" s="476" t="s">
        <v>3606</v>
      </c>
      <c r="D1230" s="467" t="s">
        <v>571</v>
      </c>
      <c r="E1230" s="472" t="s">
        <v>2801</v>
      </c>
      <c r="F1230" s="477">
        <v>13.752089946100002</v>
      </c>
      <c r="G1230" s="469" t="s">
        <v>2472</v>
      </c>
      <c r="H1230" s="470">
        <v>2543.48</v>
      </c>
      <c r="I1230" s="471">
        <v>130.4260468975333</v>
      </c>
      <c r="J1230" s="485" t="s">
        <v>421</v>
      </c>
      <c r="K1230" s="472" t="s">
        <v>587</v>
      </c>
      <c r="L1230" s="473" t="s">
        <v>570</v>
      </c>
      <c r="M1230" s="473" t="s">
        <v>571</v>
      </c>
      <c r="N1230" s="473" t="s">
        <v>711</v>
      </c>
      <c r="O1230" s="474" t="s">
        <v>711</v>
      </c>
    </row>
    <row r="1231" spans="1:15" s="475" customFormat="1" ht="12" hidden="1">
      <c r="A1231" s="465">
        <v>10131000021822</v>
      </c>
      <c r="B1231" s="466" t="s">
        <v>711</v>
      </c>
      <c r="C1231" s="476" t="s">
        <v>3607</v>
      </c>
      <c r="D1231" s="467" t="s">
        <v>571</v>
      </c>
      <c r="E1231" s="472" t="s">
        <v>2491</v>
      </c>
      <c r="F1231" s="477">
        <v>14.08</v>
      </c>
      <c r="G1231" s="469" t="s">
        <v>2472</v>
      </c>
      <c r="H1231" s="487">
        <v>37.049999999999997</v>
      </c>
      <c r="I1231" s="471">
        <v>37.049999999999997</v>
      </c>
      <c r="J1231" s="488" t="s">
        <v>2492</v>
      </c>
      <c r="K1231" s="472" t="s">
        <v>668</v>
      </c>
      <c r="L1231" s="473" t="s">
        <v>570</v>
      </c>
      <c r="M1231" s="473" t="s">
        <v>571</v>
      </c>
      <c r="N1231" s="473" t="s">
        <v>711</v>
      </c>
      <c r="O1231" s="474" t="s">
        <v>711</v>
      </c>
    </row>
    <row r="1232" spans="1:15" s="475" customFormat="1" ht="12" hidden="1">
      <c r="A1232" s="465">
        <v>10131000021821</v>
      </c>
      <c r="B1232" s="466" t="s">
        <v>711</v>
      </c>
      <c r="C1232" s="476" t="s">
        <v>3608</v>
      </c>
      <c r="D1232" s="467" t="s">
        <v>571</v>
      </c>
      <c r="E1232" s="472" t="s">
        <v>2491</v>
      </c>
      <c r="F1232" s="477">
        <v>14.27</v>
      </c>
      <c r="G1232" s="469" t="s">
        <v>2472</v>
      </c>
      <c r="H1232" s="487">
        <v>124.09</v>
      </c>
      <c r="I1232" s="471">
        <v>124.09</v>
      </c>
      <c r="J1232" s="488" t="s">
        <v>2492</v>
      </c>
      <c r="K1232" s="472" t="s">
        <v>666</v>
      </c>
      <c r="L1232" s="473" t="s">
        <v>570</v>
      </c>
      <c r="M1232" s="473" t="s">
        <v>571</v>
      </c>
      <c r="N1232" s="473" t="s">
        <v>711</v>
      </c>
      <c r="O1232" s="474" t="s">
        <v>711</v>
      </c>
    </row>
    <row r="1233" spans="1:15" s="475" customFormat="1" ht="12" hidden="1">
      <c r="A1233" s="465">
        <v>10131000021826</v>
      </c>
      <c r="B1233" s="466" t="s">
        <v>711</v>
      </c>
      <c r="C1233" s="476" t="s">
        <v>3609</v>
      </c>
      <c r="D1233" s="467" t="s">
        <v>571</v>
      </c>
      <c r="E1233" s="472" t="s">
        <v>2491</v>
      </c>
      <c r="F1233" s="477">
        <v>14.33</v>
      </c>
      <c r="G1233" s="469" t="s">
        <v>2472</v>
      </c>
      <c r="H1233" s="487">
        <v>61.45</v>
      </c>
      <c r="I1233" s="471">
        <v>61.45</v>
      </c>
      <c r="J1233" s="488" t="s">
        <v>2492</v>
      </c>
      <c r="K1233" s="472" t="s">
        <v>674</v>
      </c>
      <c r="L1233" s="473" t="s">
        <v>570</v>
      </c>
      <c r="M1233" s="473" t="s">
        <v>571</v>
      </c>
      <c r="N1233" s="473" t="s">
        <v>711</v>
      </c>
      <c r="O1233" s="474" t="s">
        <v>711</v>
      </c>
    </row>
    <row r="1234" spans="1:15" s="475" customFormat="1" ht="12" hidden="1">
      <c r="A1234" s="465">
        <v>10131000021817</v>
      </c>
      <c r="B1234" s="466" t="s">
        <v>711</v>
      </c>
      <c r="C1234" s="476" t="s">
        <v>3610</v>
      </c>
      <c r="D1234" s="467" t="s">
        <v>571</v>
      </c>
      <c r="E1234" s="472" t="s">
        <v>2491</v>
      </c>
      <c r="F1234" s="477">
        <v>14.48</v>
      </c>
      <c r="G1234" s="469" t="s">
        <v>2472</v>
      </c>
      <c r="H1234" s="487">
        <v>42.49</v>
      </c>
      <c r="I1234" s="471">
        <v>42.49</v>
      </c>
      <c r="J1234" s="488" t="s">
        <v>2492</v>
      </c>
      <c r="K1234" s="472" t="s">
        <v>658</v>
      </c>
      <c r="L1234" s="473" t="s">
        <v>570</v>
      </c>
      <c r="M1234" s="473" t="s">
        <v>571</v>
      </c>
      <c r="N1234" s="473" t="s">
        <v>711</v>
      </c>
      <c r="O1234" s="474" t="s">
        <v>711</v>
      </c>
    </row>
    <row r="1235" spans="1:15" s="475" customFormat="1" ht="12" hidden="1">
      <c r="A1235" s="465">
        <v>10131000021824</v>
      </c>
      <c r="B1235" s="466" t="s">
        <v>711</v>
      </c>
      <c r="C1235" s="476" t="s">
        <v>3611</v>
      </c>
      <c r="D1235" s="467" t="s">
        <v>571</v>
      </c>
      <c r="E1235" s="472" t="s">
        <v>2491</v>
      </c>
      <c r="F1235" s="477">
        <v>14.61</v>
      </c>
      <c r="G1235" s="469" t="s">
        <v>2472</v>
      </c>
      <c r="H1235" s="487">
        <v>45.19</v>
      </c>
      <c r="I1235" s="471">
        <v>45.19</v>
      </c>
      <c r="J1235" s="488" t="s">
        <v>2492</v>
      </c>
      <c r="K1235" s="472" t="s">
        <v>672</v>
      </c>
      <c r="L1235" s="473" t="s">
        <v>570</v>
      </c>
      <c r="M1235" s="473" t="s">
        <v>571</v>
      </c>
      <c r="N1235" s="473" t="s">
        <v>711</v>
      </c>
      <c r="O1235" s="474" t="s">
        <v>711</v>
      </c>
    </row>
    <row r="1236" spans="1:15" s="475" customFormat="1" ht="12" hidden="1">
      <c r="A1236" s="465">
        <v>10131000021825</v>
      </c>
      <c r="B1236" s="466" t="s">
        <v>711</v>
      </c>
      <c r="C1236" s="476" t="s">
        <v>3612</v>
      </c>
      <c r="D1236" s="467" t="s">
        <v>571</v>
      </c>
      <c r="E1236" s="472" t="s">
        <v>2491</v>
      </c>
      <c r="F1236" s="477">
        <v>14.64</v>
      </c>
      <c r="G1236" s="469" t="s">
        <v>2472</v>
      </c>
      <c r="H1236" s="487">
        <v>57.65</v>
      </c>
      <c r="I1236" s="471">
        <v>57.65</v>
      </c>
      <c r="J1236" s="488" t="s">
        <v>2492</v>
      </c>
      <c r="K1236" s="472" t="s">
        <v>676</v>
      </c>
      <c r="L1236" s="473" t="s">
        <v>570</v>
      </c>
      <c r="M1236" s="473" t="s">
        <v>571</v>
      </c>
      <c r="N1236" s="473" t="s">
        <v>711</v>
      </c>
      <c r="O1236" s="474" t="s">
        <v>711</v>
      </c>
    </row>
    <row r="1237" spans="1:15" s="475" customFormat="1" ht="12" hidden="1">
      <c r="A1237" s="465">
        <v>10131000021816</v>
      </c>
      <c r="B1237" s="466" t="s">
        <v>711</v>
      </c>
      <c r="C1237" s="476" t="s">
        <v>3613</v>
      </c>
      <c r="D1237" s="467" t="s">
        <v>571</v>
      </c>
      <c r="E1237" s="472" t="s">
        <v>2491</v>
      </c>
      <c r="F1237" s="477">
        <v>14.72</v>
      </c>
      <c r="G1237" s="469" t="s">
        <v>2472</v>
      </c>
      <c r="H1237" s="487">
        <v>110.98</v>
      </c>
      <c r="I1237" s="471">
        <v>110.98</v>
      </c>
      <c r="J1237" s="488" t="s">
        <v>2492</v>
      </c>
      <c r="K1237" s="472" t="s">
        <v>656</v>
      </c>
      <c r="L1237" s="473" t="s">
        <v>570</v>
      </c>
      <c r="M1237" s="473" t="s">
        <v>571</v>
      </c>
      <c r="N1237" s="473" t="s">
        <v>711</v>
      </c>
      <c r="O1237" s="474" t="s">
        <v>711</v>
      </c>
    </row>
    <row r="1238" spans="1:15" s="475" customFormat="1" ht="12" hidden="1">
      <c r="A1238" s="465">
        <v>10131000016809</v>
      </c>
      <c r="B1238" s="476" t="s">
        <v>711</v>
      </c>
      <c r="C1238" s="476" t="s">
        <v>3614</v>
      </c>
      <c r="D1238" s="467" t="s">
        <v>571</v>
      </c>
      <c r="E1238" s="472" t="s">
        <v>2823</v>
      </c>
      <c r="F1238" s="477">
        <v>14.831745294400001</v>
      </c>
      <c r="G1238" s="469" t="s">
        <v>2472</v>
      </c>
      <c r="H1238" s="470">
        <v>21168.69</v>
      </c>
      <c r="I1238" s="471">
        <v>193.44299969442503</v>
      </c>
      <c r="J1238" s="485" t="s">
        <v>421</v>
      </c>
      <c r="K1238" s="472" t="s">
        <v>619</v>
      </c>
      <c r="L1238" s="473" t="s">
        <v>570</v>
      </c>
      <c r="M1238" s="473" t="s">
        <v>571</v>
      </c>
      <c r="N1238" s="473" t="s">
        <v>711</v>
      </c>
      <c r="O1238" s="474" t="s">
        <v>711</v>
      </c>
    </row>
    <row r="1239" spans="1:15" s="475" customFormat="1" ht="12" hidden="1">
      <c r="A1239" s="465">
        <v>10131000016833</v>
      </c>
      <c r="B1239" s="476" t="s">
        <v>711</v>
      </c>
      <c r="C1239" s="476" t="s">
        <v>3615</v>
      </c>
      <c r="D1239" s="467" t="s">
        <v>571</v>
      </c>
      <c r="E1239" s="472" t="s">
        <v>2715</v>
      </c>
      <c r="F1239" s="477">
        <v>14.875936000000003</v>
      </c>
      <c r="G1239" s="469" t="s">
        <v>2472</v>
      </c>
      <c r="H1239" s="470">
        <v>94.65</v>
      </c>
      <c r="I1239" s="471">
        <v>125.69702571962503</v>
      </c>
      <c r="J1239" s="485" t="s">
        <v>421</v>
      </c>
      <c r="K1239" s="472" t="s">
        <v>597</v>
      </c>
      <c r="L1239" s="473" t="s">
        <v>570</v>
      </c>
      <c r="M1239" s="473" t="s">
        <v>571</v>
      </c>
      <c r="N1239" s="473" t="s">
        <v>711</v>
      </c>
      <c r="O1239" s="474" t="s">
        <v>711</v>
      </c>
    </row>
    <row r="1240" spans="1:15" s="475" customFormat="1" ht="12" hidden="1">
      <c r="A1240" s="465">
        <v>10131000021823</v>
      </c>
      <c r="B1240" s="466" t="s">
        <v>711</v>
      </c>
      <c r="C1240" s="476" t="s">
        <v>3616</v>
      </c>
      <c r="D1240" s="467" t="s">
        <v>571</v>
      </c>
      <c r="E1240" s="472" t="s">
        <v>2491</v>
      </c>
      <c r="F1240" s="477">
        <v>16.05</v>
      </c>
      <c r="G1240" s="469" t="s">
        <v>2472</v>
      </c>
      <c r="H1240" s="487">
        <v>28.22</v>
      </c>
      <c r="I1240" s="471">
        <v>28.22</v>
      </c>
      <c r="J1240" s="488" t="s">
        <v>2492</v>
      </c>
      <c r="K1240" s="472" t="s">
        <v>670</v>
      </c>
      <c r="L1240" s="473" t="s">
        <v>570</v>
      </c>
      <c r="M1240" s="473" t="s">
        <v>571</v>
      </c>
      <c r="N1240" s="473" t="s">
        <v>711</v>
      </c>
      <c r="O1240" s="474" t="s">
        <v>711</v>
      </c>
    </row>
    <row r="1241" spans="1:15" s="475" customFormat="1" ht="12" hidden="1">
      <c r="A1241" s="465">
        <v>10131000021819</v>
      </c>
      <c r="B1241" s="466" t="s">
        <v>711</v>
      </c>
      <c r="C1241" s="476" t="s">
        <v>3617</v>
      </c>
      <c r="D1241" s="467" t="s">
        <v>571</v>
      </c>
      <c r="E1241" s="472" t="s">
        <v>2491</v>
      </c>
      <c r="F1241" s="477">
        <v>16.18</v>
      </c>
      <c r="G1241" s="469" t="s">
        <v>2472</v>
      </c>
      <c r="H1241" s="487">
        <v>43.25</v>
      </c>
      <c r="I1241" s="471">
        <v>43.25</v>
      </c>
      <c r="J1241" s="488" t="s">
        <v>2492</v>
      </c>
      <c r="K1241" s="472" t="s">
        <v>664</v>
      </c>
      <c r="L1241" s="473" t="s">
        <v>570</v>
      </c>
      <c r="M1241" s="473" t="s">
        <v>571</v>
      </c>
      <c r="N1241" s="473" t="s">
        <v>711</v>
      </c>
      <c r="O1241" s="474" t="s">
        <v>711</v>
      </c>
    </row>
    <row r="1242" spans="1:15" s="475" customFormat="1" ht="12" hidden="1">
      <c r="A1242" s="465">
        <v>10131000016814</v>
      </c>
      <c r="B1242" s="476" t="s">
        <v>711</v>
      </c>
      <c r="C1242" s="476" t="s">
        <v>3618</v>
      </c>
      <c r="D1242" s="467" t="s">
        <v>571</v>
      </c>
      <c r="E1242" s="472" t="s">
        <v>2718</v>
      </c>
      <c r="F1242" s="477">
        <v>16.3719492112</v>
      </c>
      <c r="G1242" s="469" t="s">
        <v>2472</v>
      </c>
      <c r="H1242" s="470">
        <v>3833.21</v>
      </c>
      <c r="I1242" s="471">
        <v>111.72235214465834</v>
      </c>
      <c r="J1242" s="485" t="s">
        <v>421</v>
      </c>
      <c r="K1242" s="472" t="s">
        <v>625</v>
      </c>
      <c r="L1242" s="473" t="s">
        <v>570</v>
      </c>
      <c r="M1242" s="473" t="s">
        <v>571</v>
      </c>
      <c r="N1242" s="473" t="s">
        <v>711</v>
      </c>
      <c r="O1242" s="474" t="s">
        <v>711</v>
      </c>
    </row>
    <row r="1243" spans="1:15" s="475" customFormat="1" ht="12" hidden="1">
      <c r="A1243" s="465">
        <v>10131000021820</v>
      </c>
      <c r="B1243" s="466" t="s">
        <v>711</v>
      </c>
      <c r="C1243" s="476" t="s">
        <v>3619</v>
      </c>
      <c r="D1243" s="467" t="s">
        <v>571</v>
      </c>
      <c r="E1243" s="472" t="s">
        <v>2491</v>
      </c>
      <c r="F1243" s="477">
        <v>17.16</v>
      </c>
      <c r="G1243" s="469" t="s">
        <v>2472</v>
      </c>
      <c r="H1243" s="487">
        <v>60.1</v>
      </c>
      <c r="I1243" s="471">
        <v>60.1</v>
      </c>
      <c r="J1243" s="488" t="s">
        <v>2492</v>
      </c>
      <c r="K1243" s="472" t="s">
        <v>662</v>
      </c>
      <c r="L1243" s="473" t="s">
        <v>570</v>
      </c>
      <c r="M1243" s="473" t="s">
        <v>571</v>
      </c>
      <c r="N1243" s="473" t="s">
        <v>711</v>
      </c>
      <c r="O1243" s="474" t="s">
        <v>711</v>
      </c>
    </row>
    <row r="1244" spans="1:15" s="475" customFormat="1" ht="12" hidden="1">
      <c r="A1244" s="465">
        <v>10131000016800</v>
      </c>
      <c r="B1244" s="476" t="s">
        <v>711</v>
      </c>
      <c r="C1244" s="476" t="s">
        <v>3620</v>
      </c>
      <c r="D1244" s="467" t="s">
        <v>571</v>
      </c>
      <c r="E1244" s="472" t="s">
        <v>2706</v>
      </c>
      <c r="F1244" s="477">
        <v>18.289065389600001</v>
      </c>
      <c r="G1244" s="469" t="s">
        <v>2472</v>
      </c>
      <c r="H1244" s="470">
        <v>32025.11</v>
      </c>
      <c r="I1244" s="471">
        <v>140.33614033974163</v>
      </c>
      <c r="J1244" s="485" t="s">
        <v>421</v>
      </c>
      <c r="K1244" s="472" t="s">
        <v>595</v>
      </c>
      <c r="L1244" s="473" t="s">
        <v>570</v>
      </c>
      <c r="M1244" s="473" t="s">
        <v>571</v>
      </c>
      <c r="N1244" s="473" t="s">
        <v>711</v>
      </c>
      <c r="O1244" s="474" t="s">
        <v>711</v>
      </c>
    </row>
    <row r="1245" spans="1:15" s="475" customFormat="1" ht="12" hidden="1">
      <c r="A1245" s="465">
        <v>10131000016811</v>
      </c>
      <c r="B1245" s="476" t="s">
        <v>711</v>
      </c>
      <c r="C1245" s="476" t="s">
        <v>3621</v>
      </c>
      <c r="D1245" s="467" t="s">
        <v>571</v>
      </c>
      <c r="E1245" s="472" t="s">
        <v>2519</v>
      </c>
      <c r="F1245" s="477">
        <v>19.762932853300001</v>
      </c>
      <c r="G1245" s="469" t="s">
        <v>2472</v>
      </c>
      <c r="H1245" s="470">
        <v>590.27</v>
      </c>
      <c r="I1245" s="471">
        <v>182.07878657649999</v>
      </c>
      <c r="J1245" s="485" t="s">
        <v>421</v>
      </c>
      <c r="K1245" s="472" t="s">
        <v>621</v>
      </c>
      <c r="L1245" s="473" t="s">
        <v>570</v>
      </c>
      <c r="M1245" s="473" t="s">
        <v>571</v>
      </c>
      <c r="N1245" s="473" t="s">
        <v>711</v>
      </c>
      <c r="O1245" s="474" t="s">
        <v>711</v>
      </c>
    </row>
    <row r="1246" spans="1:15" s="475" customFormat="1" ht="12" hidden="1">
      <c r="A1246" s="465">
        <v>10131000016813</v>
      </c>
      <c r="B1246" s="476" t="s">
        <v>711</v>
      </c>
      <c r="C1246" s="476" t="s">
        <v>3622</v>
      </c>
      <c r="D1246" s="467" t="s">
        <v>571</v>
      </c>
      <c r="E1246" s="472" t="s">
        <v>2829</v>
      </c>
      <c r="F1246" s="477">
        <v>23.331821657199999</v>
      </c>
      <c r="G1246" s="469" t="s">
        <v>2472</v>
      </c>
      <c r="H1246" s="470">
        <v>851.13</v>
      </c>
      <c r="I1246" s="471">
        <v>248.45378741137498</v>
      </c>
      <c r="J1246" s="485" t="s">
        <v>421</v>
      </c>
      <c r="K1246" s="472" t="s">
        <v>623</v>
      </c>
      <c r="L1246" s="473" t="s">
        <v>570</v>
      </c>
      <c r="M1246" s="473" t="s">
        <v>571</v>
      </c>
      <c r="N1246" s="473" t="s">
        <v>711</v>
      </c>
      <c r="O1246" s="474" t="s">
        <v>711</v>
      </c>
    </row>
    <row r="1247" spans="1:15" s="475" customFormat="1" ht="12" hidden="1">
      <c r="A1247" s="465">
        <v>10131000033828</v>
      </c>
      <c r="B1247" s="489" t="s">
        <v>711</v>
      </c>
      <c r="C1247" s="489" t="s">
        <v>3623</v>
      </c>
      <c r="D1247" s="467" t="s">
        <v>571</v>
      </c>
      <c r="E1247" s="478" t="s">
        <v>2514</v>
      </c>
      <c r="F1247" s="477">
        <v>25.735056959999998</v>
      </c>
      <c r="G1247" s="469" t="s">
        <v>2472</v>
      </c>
      <c r="H1247" s="481">
        <v>23733</v>
      </c>
      <c r="I1247" s="482">
        <v>242.28</v>
      </c>
      <c r="J1247" s="483" t="s">
        <v>2515</v>
      </c>
      <c r="K1247" s="483" t="s">
        <v>2515</v>
      </c>
      <c r="L1247" s="473" t="s">
        <v>570</v>
      </c>
      <c r="M1247" s="473" t="s">
        <v>571</v>
      </c>
      <c r="N1247" s="473" t="s">
        <v>711</v>
      </c>
      <c r="O1247" s="474" t="s">
        <v>711</v>
      </c>
    </row>
    <row r="1248" spans="1:15" s="475" customFormat="1" ht="12" hidden="1">
      <c r="A1248" s="465">
        <v>10131000052478</v>
      </c>
      <c r="B1248" s="489" t="s">
        <v>711</v>
      </c>
      <c r="C1248" s="489" t="s">
        <v>3624</v>
      </c>
      <c r="D1248" s="467" t="s">
        <v>571</v>
      </c>
      <c r="E1248" s="478" t="s">
        <v>2514</v>
      </c>
      <c r="F1248" s="477">
        <v>25.735056959999998</v>
      </c>
      <c r="G1248" s="469" t="s">
        <v>2472</v>
      </c>
      <c r="H1248" s="481">
        <v>23733</v>
      </c>
      <c r="I1248" s="482">
        <v>242.28</v>
      </c>
      <c r="J1248" s="483" t="s">
        <v>2515</v>
      </c>
      <c r="K1248" s="483" t="s">
        <v>2515</v>
      </c>
      <c r="L1248" s="473" t="s">
        <v>570</v>
      </c>
      <c r="M1248" s="473" t="s">
        <v>571</v>
      </c>
      <c r="N1248" s="473" t="s">
        <v>711</v>
      </c>
      <c r="O1248" s="474" t="s">
        <v>711</v>
      </c>
    </row>
    <row r="1249" spans="1:15" s="475" customFormat="1" ht="12" hidden="1">
      <c r="A1249" s="465">
        <v>10131000016817</v>
      </c>
      <c r="B1249" s="476" t="s">
        <v>711</v>
      </c>
      <c r="C1249" s="476" t="s">
        <v>3625</v>
      </c>
      <c r="D1249" s="467" t="s">
        <v>571</v>
      </c>
      <c r="E1249" s="472" t="s">
        <v>2715</v>
      </c>
      <c r="F1249" s="477">
        <v>27.111328</v>
      </c>
      <c r="G1249" s="469" t="s">
        <v>2472</v>
      </c>
      <c r="H1249" s="470">
        <v>196.22</v>
      </c>
      <c r="I1249" s="471">
        <v>260.58394492028339</v>
      </c>
      <c r="J1249" s="485" t="s">
        <v>421</v>
      </c>
      <c r="K1249" s="472" t="s">
        <v>629</v>
      </c>
      <c r="L1249" s="473" t="s">
        <v>570</v>
      </c>
      <c r="M1249" s="473" t="s">
        <v>571</v>
      </c>
      <c r="N1249" s="473" t="s">
        <v>711</v>
      </c>
      <c r="O1249" s="474" t="s">
        <v>711</v>
      </c>
    </row>
    <row r="1250" spans="1:15" s="475" customFormat="1" ht="12" hidden="1">
      <c r="A1250" s="465">
        <v>10131000016822</v>
      </c>
      <c r="B1250" s="476" t="s">
        <v>711</v>
      </c>
      <c r="C1250" s="476" t="s">
        <v>3626</v>
      </c>
      <c r="D1250" s="467" t="s">
        <v>571</v>
      </c>
      <c r="E1250" s="472" t="s">
        <v>2840</v>
      </c>
      <c r="F1250" s="477">
        <v>28.140326168600001</v>
      </c>
      <c r="G1250" s="469" t="s">
        <v>2472</v>
      </c>
      <c r="H1250" s="470">
        <v>962.26</v>
      </c>
      <c r="I1250" s="471">
        <v>466.25316931634995</v>
      </c>
      <c r="J1250" s="485" t="s">
        <v>421</v>
      </c>
      <c r="K1250" s="472" t="s">
        <v>643</v>
      </c>
      <c r="L1250" s="473" t="s">
        <v>570</v>
      </c>
      <c r="M1250" s="473" t="s">
        <v>571</v>
      </c>
      <c r="N1250" s="473" t="s">
        <v>711</v>
      </c>
      <c r="O1250" s="474" t="s">
        <v>711</v>
      </c>
    </row>
    <row r="1251" spans="1:15" s="475" customFormat="1" ht="12" hidden="1">
      <c r="A1251" s="465">
        <v>10131000016827</v>
      </c>
      <c r="B1251" s="476" t="s">
        <v>711</v>
      </c>
      <c r="C1251" s="476" t="s">
        <v>3627</v>
      </c>
      <c r="D1251" s="467" t="s">
        <v>571</v>
      </c>
      <c r="E1251" s="472" t="s">
        <v>2541</v>
      </c>
      <c r="F1251" s="477">
        <v>31.128</v>
      </c>
      <c r="G1251" s="469" t="s">
        <v>2472</v>
      </c>
      <c r="H1251" s="470">
        <v>110.41</v>
      </c>
      <c r="I1251" s="471">
        <v>169.20091419764998</v>
      </c>
      <c r="J1251" s="485" t="s">
        <v>421</v>
      </c>
      <c r="K1251" s="472" t="s">
        <v>651</v>
      </c>
      <c r="L1251" s="473" t="s">
        <v>570</v>
      </c>
      <c r="M1251" s="473" t="s">
        <v>571</v>
      </c>
      <c r="N1251" s="473" t="s">
        <v>711</v>
      </c>
      <c r="O1251" s="474" t="s">
        <v>711</v>
      </c>
    </row>
    <row r="1252" spans="1:15" s="475" customFormat="1" ht="12" hidden="1">
      <c r="A1252" s="465">
        <v>10131000016830</v>
      </c>
      <c r="B1252" s="476" t="s">
        <v>711</v>
      </c>
      <c r="C1252" s="476" t="s">
        <v>3627</v>
      </c>
      <c r="D1252" s="467" t="s">
        <v>571</v>
      </c>
      <c r="E1252" s="472" t="s">
        <v>2541</v>
      </c>
      <c r="F1252" s="477">
        <v>31.128</v>
      </c>
      <c r="G1252" s="469" t="s">
        <v>2472</v>
      </c>
      <c r="H1252" s="470">
        <v>110.41</v>
      </c>
      <c r="I1252" s="471">
        <v>169.20091419764998</v>
      </c>
      <c r="J1252" s="485" t="s">
        <v>421</v>
      </c>
      <c r="K1252" s="472" t="s">
        <v>651</v>
      </c>
      <c r="L1252" s="473" t="s">
        <v>570</v>
      </c>
      <c r="M1252" s="473" t="s">
        <v>571</v>
      </c>
      <c r="N1252" s="473" t="s">
        <v>711</v>
      </c>
      <c r="O1252" s="474" t="s">
        <v>711</v>
      </c>
    </row>
    <row r="1253" spans="1:15" s="475" customFormat="1" ht="12" hidden="1">
      <c r="A1253" s="465">
        <v>10131000039381</v>
      </c>
      <c r="B1253" s="476" t="s">
        <v>711</v>
      </c>
      <c r="C1253" s="476" t="s">
        <v>3627</v>
      </c>
      <c r="D1253" s="467" t="s">
        <v>571</v>
      </c>
      <c r="E1253" s="472" t="s">
        <v>2491</v>
      </c>
      <c r="F1253" s="477">
        <v>31.27</v>
      </c>
      <c r="G1253" s="469" t="s">
        <v>2472</v>
      </c>
      <c r="H1253" s="470">
        <v>169.2</v>
      </c>
      <c r="I1253" s="471">
        <v>169.2</v>
      </c>
      <c r="J1253" s="485" t="s">
        <v>421</v>
      </c>
      <c r="K1253" s="472" t="s">
        <v>651</v>
      </c>
      <c r="L1253" s="473" t="s">
        <v>570</v>
      </c>
      <c r="M1253" s="473" t="s">
        <v>571</v>
      </c>
      <c r="N1253" s="473" t="s">
        <v>711</v>
      </c>
      <c r="O1253" s="474" t="s">
        <v>711</v>
      </c>
    </row>
    <row r="1254" spans="1:15" s="475" customFormat="1" ht="12" hidden="1">
      <c r="A1254" s="465">
        <v>10131000016798</v>
      </c>
      <c r="B1254" s="476" t="s">
        <v>711</v>
      </c>
      <c r="C1254" s="476" t="s">
        <v>3628</v>
      </c>
      <c r="D1254" s="467" t="s">
        <v>571</v>
      </c>
      <c r="E1254" s="472" t="s">
        <v>2704</v>
      </c>
      <c r="F1254" s="477">
        <v>36.336197763600005</v>
      </c>
      <c r="G1254" s="469" t="s">
        <v>2472</v>
      </c>
      <c r="H1254" s="470">
        <v>1591.22</v>
      </c>
      <c r="I1254" s="471">
        <v>199.11684263806666</v>
      </c>
      <c r="J1254" s="485" t="s">
        <v>421</v>
      </c>
      <c r="K1254" s="472" t="s">
        <v>589</v>
      </c>
      <c r="L1254" s="473" t="s">
        <v>570</v>
      </c>
      <c r="M1254" s="473" t="s">
        <v>571</v>
      </c>
      <c r="N1254" s="473" t="s">
        <v>711</v>
      </c>
      <c r="O1254" s="474" t="s">
        <v>711</v>
      </c>
    </row>
    <row r="1255" spans="1:15" s="475" customFormat="1" ht="12" hidden="1">
      <c r="A1255" s="465">
        <v>10131000033951</v>
      </c>
      <c r="B1255" s="466" t="s">
        <v>711</v>
      </c>
      <c r="C1255" s="466" t="s">
        <v>3629</v>
      </c>
      <c r="D1255" s="467" t="s">
        <v>571</v>
      </c>
      <c r="E1255" s="468" t="s">
        <v>2619</v>
      </c>
      <c r="F1255" s="477">
        <v>37.717121540000001</v>
      </c>
      <c r="G1255" s="469" t="s">
        <v>2472</v>
      </c>
      <c r="H1255" s="470">
        <v>143.69999999999999</v>
      </c>
      <c r="I1255" s="471">
        <v>143.69999999999999</v>
      </c>
      <c r="J1255" s="472" t="s">
        <v>423</v>
      </c>
      <c r="K1255" s="472" t="s">
        <v>2620</v>
      </c>
      <c r="L1255" s="473" t="s">
        <v>570</v>
      </c>
      <c r="M1255" s="473" t="s">
        <v>571</v>
      </c>
      <c r="N1255" s="473" t="s">
        <v>711</v>
      </c>
      <c r="O1255" s="474" t="s">
        <v>711</v>
      </c>
    </row>
    <row r="1256" spans="1:15" s="475" customFormat="1" ht="12" hidden="1">
      <c r="A1256" s="465">
        <v>10131000033947</v>
      </c>
      <c r="B1256" s="466" t="s">
        <v>711</v>
      </c>
      <c r="C1256" s="466" t="s">
        <v>711</v>
      </c>
      <c r="D1256" s="467" t="s">
        <v>571</v>
      </c>
      <c r="E1256" s="468" t="s">
        <v>2491</v>
      </c>
      <c r="F1256" s="477">
        <v>38</v>
      </c>
      <c r="G1256" s="469" t="s">
        <v>2472</v>
      </c>
      <c r="H1256" s="470">
        <v>143.69999999999999</v>
      </c>
      <c r="I1256" s="471">
        <v>143.69999999999999</v>
      </c>
      <c r="J1256" s="472" t="s">
        <v>423</v>
      </c>
      <c r="K1256" s="472" t="s">
        <v>534</v>
      </c>
      <c r="L1256" s="473" t="s">
        <v>570</v>
      </c>
      <c r="M1256" s="473" t="s">
        <v>571</v>
      </c>
      <c r="N1256" s="473" t="s">
        <v>711</v>
      </c>
      <c r="O1256" s="474" t="s">
        <v>711</v>
      </c>
    </row>
    <row r="1257" spans="1:15" s="475" customFormat="1" ht="12" hidden="1">
      <c r="A1257" s="465">
        <v>10131000056983</v>
      </c>
      <c r="B1257" s="476" t="s">
        <v>711</v>
      </c>
      <c r="C1257" s="476" t="s">
        <v>3630</v>
      </c>
      <c r="D1257" s="467" t="s">
        <v>571</v>
      </c>
      <c r="E1257" s="472" t="s">
        <v>2715</v>
      </c>
      <c r="F1257" s="477">
        <v>41.033008000000002</v>
      </c>
      <c r="G1257" s="469" t="s">
        <v>2472</v>
      </c>
      <c r="H1257" s="470">
        <v>124.06680679999999</v>
      </c>
      <c r="I1257" s="471">
        <v>164.76311257571419</v>
      </c>
      <c r="J1257" s="485" t="s">
        <v>421</v>
      </c>
      <c r="K1257" s="472" t="s">
        <v>633</v>
      </c>
      <c r="L1257" s="473" t="s">
        <v>570</v>
      </c>
      <c r="M1257" s="473" t="s">
        <v>571</v>
      </c>
      <c r="N1257" s="473" t="s">
        <v>711</v>
      </c>
      <c r="O1257" s="474" t="s">
        <v>711</v>
      </c>
    </row>
    <row r="1258" spans="1:15" s="475" customFormat="1" ht="12" hidden="1">
      <c r="A1258" s="465">
        <v>10131000016835</v>
      </c>
      <c r="B1258" s="476" t="s">
        <v>711</v>
      </c>
      <c r="C1258" s="476" t="s">
        <v>3631</v>
      </c>
      <c r="D1258" s="467" t="s">
        <v>571</v>
      </c>
      <c r="E1258" s="472" t="s">
        <v>2715</v>
      </c>
      <c r="F1258" s="477">
        <v>47.019984000000001</v>
      </c>
      <c r="G1258" s="469" t="s">
        <v>2472</v>
      </c>
      <c r="H1258" s="470">
        <v>234.04</v>
      </c>
      <c r="I1258" s="471">
        <v>310.80963443656668</v>
      </c>
      <c r="J1258" s="485" t="s">
        <v>421</v>
      </c>
      <c r="K1258" s="472" t="s">
        <v>611</v>
      </c>
      <c r="L1258" s="473" t="s">
        <v>570</v>
      </c>
      <c r="M1258" s="473" t="s">
        <v>571</v>
      </c>
      <c r="N1258" s="473" t="s">
        <v>711</v>
      </c>
      <c r="O1258" s="474" t="s">
        <v>711</v>
      </c>
    </row>
    <row r="1259" spans="1:15" s="475" customFormat="1" ht="12" hidden="1">
      <c r="A1259" s="465">
        <v>10131000016836</v>
      </c>
      <c r="B1259" s="476" t="s">
        <v>711</v>
      </c>
      <c r="C1259" s="476" t="s">
        <v>3632</v>
      </c>
      <c r="D1259" s="467" t="s">
        <v>571</v>
      </c>
      <c r="E1259" s="472" t="s">
        <v>2715</v>
      </c>
      <c r="F1259" s="477">
        <v>48.510192000000004</v>
      </c>
      <c r="G1259" s="469" t="s">
        <v>2472</v>
      </c>
      <c r="H1259" s="470">
        <v>303.19</v>
      </c>
      <c r="I1259" s="471">
        <v>402.64216828244173</v>
      </c>
      <c r="J1259" s="485" t="s">
        <v>421</v>
      </c>
      <c r="K1259" s="472" t="s">
        <v>615</v>
      </c>
      <c r="L1259" s="473" t="s">
        <v>570</v>
      </c>
      <c r="M1259" s="473" t="s">
        <v>571</v>
      </c>
      <c r="N1259" s="473" t="s">
        <v>711</v>
      </c>
      <c r="O1259" s="474" t="s">
        <v>711</v>
      </c>
    </row>
    <row r="1260" spans="1:15" s="475" customFormat="1" ht="12" hidden="1">
      <c r="A1260" s="465">
        <v>10131000016825</v>
      </c>
      <c r="B1260" s="476" t="s">
        <v>711</v>
      </c>
      <c r="C1260" s="476" t="s">
        <v>3633</v>
      </c>
      <c r="D1260" s="467" t="s">
        <v>571</v>
      </c>
      <c r="E1260" s="472" t="s">
        <v>2856</v>
      </c>
      <c r="F1260" s="477">
        <v>48.574598366400004</v>
      </c>
      <c r="G1260" s="469" t="s">
        <v>2472</v>
      </c>
      <c r="H1260" s="470">
        <v>1652.91</v>
      </c>
      <c r="I1260" s="471">
        <v>195.86950441800002</v>
      </c>
      <c r="J1260" s="485" t="s">
        <v>421</v>
      </c>
      <c r="K1260" s="472" t="s">
        <v>649</v>
      </c>
      <c r="L1260" s="473" t="s">
        <v>570</v>
      </c>
      <c r="M1260" s="473" t="s">
        <v>571</v>
      </c>
      <c r="N1260" s="473" t="s">
        <v>711</v>
      </c>
      <c r="O1260" s="474" t="s">
        <v>711</v>
      </c>
    </row>
    <row r="1261" spans="1:15" s="475" customFormat="1" ht="12" hidden="1">
      <c r="A1261" s="465">
        <v>10131000016793</v>
      </c>
      <c r="B1261" s="476" t="s">
        <v>711</v>
      </c>
      <c r="C1261" s="476" t="s">
        <v>3634</v>
      </c>
      <c r="D1261" s="467" t="s">
        <v>571</v>
      </c>
      <c r="E1261" s="472" t="s">
        <v>2847</v>
      </c>
      <c r="F1261" s="477">
        <v>48.596443966399995</v>
      </c>
      <c r="G1261" s="469" t="s">
        <v>2472</v>
      </c>
      <c r="H1261" s="470">
        <v>324.52364870000002</v>
      </c>
      <c r="I1261" s="471">
        <v>219.96723005974491</v>
      </c>
      <c r="J1261" s="485" t="s">
        <v>421</v>
      </c>
      <c r="K1261" s="472" t="s">
        <v>581</v>
      </c>
      <c r="L1261" s="473" t="s">
        <v>570</v>
      </c>
      <c r="M1261" s="473" t="s">
        <v>571</v>
      </c>
      <c r="N1261" s="473" t="s">
        <v>711</v>
      </c>
      <c r="O1261" s="474" t="s">
        <v>711</v>
      </c>
    </row>
    <row r="1262" spans="1:15" s="475" customFormat="1" ht="12" hidden="1">
      <c r="A1262" s="465">
        <v>10131000016806</v>
      </c>
      <c r="B1262" s="476" t="s">
        <v>711</v>
      </c>
      <c r="C1262" s="476" t="s">
        <v>3635</v>
      </c>
      <c r="D1262" s="467" t="s">
        <v>571</v>
      </c>
      <c r="E1262" s="472" t="s">
        <v>2819</v>
      </c>
      <c r="F1262" s="477">
        <v>60.723881554000009</v>
      </c>
      <c r="G1262" s="469" t="s">
        <v>2472</v>
      </c>
      <c r="H1262" s="470">
        <v>621037.23</v>
      </c>
      <c r="I1262" s="471">
        <v>411.96504652050004</v>
      </c>
      <c r="J1262" s="485" t="s">
        <v>421</v>
      </c>
      <c r="K1262" s="472" t="s">
        <v>735</v>
      </c>
      <c r="L1262" s="473" t="s">
        <v>570</v>
      </c>
      <c r="M1262" s="473" t="s">
        <v>571</v>
      </c>
      <c r="N1262" s="473" t="s">
        <v>711</v>
      </c>
      <c r="O1262" s="474" t="s">
        <v>711</v>
      </c>
    </row>
    <row r="1263" spans="1:15" s="475" customFormat="1" ht="12" hidden="1">
      <c r="A1263" s="465">
        <v>10131000016823</v>
      </c>
      <c r="B1263" s="476" t="s">
        <v>711</v>
      </c>
      <c r="C1263" s="476" t="s">
        <v>3636</v>
      </c>
      <c r="D1263" s="467" t="s">
        <v>571</v>
      </c>
      <c r="E1263" s="472" t="s">
        <v>2712</v>
      </c>
      <c r="F1263" s="477">
        <v>61.805063840100004</v>
      </c>
      <c r="G1263" s="469" t="s">
        <v>2472</v>
      </c>
      <c r="H1263" s="470">
        <v>1046</v>
      </c>
      <c r="I1263" s="471">
        <v>284.78083246000006</v>
      </c>
      <c r="J1263" s="485" t="s">
        <v>421</v>
      </c>
      <c r="K1263" s="472" t="s">
        <v>2713</v>
      </c>
      <c r="L1263" s="473" t="s">
        <v>570</v>
      </c>
      <c r="M1263" s="473" t="s">
        <v>571</v>
      </c>
      <c r="N1263" s="473" t="s">
        <v>711</v>
      </c>
      <c r="O1263" s="474" t="s">
        <v>711</v>
      </c>
    </row>
    <row r="1264" spans="1:15" s="475" customFormat="1" ht="12" hidden="1">
      <c r="A1264" s="465">
        <v>10131000016808</v>
      </c>
      <c r="B1264" s="476" t="s">
        <v>711</v>
      </c>
      <c r="C1264" s="476" t="s">
        <v>3637</v>
      </c>
      <c r="D1264" s="467" t="s">
        <v>571</v>
      </c>
      <c r="E1264" s="472" t="s">
        <v>2821</v>
      </c>
      <c r="F1264" s="477">
        <v>71.817113655</v>
      </c>
      <c r="G1264" s="469" t="s">
        <v>2472</v>
      </c>
      <c r="H1264" s="470">
        <v>76141.16</v>
      </c>
      <c r="I1264" s="471">
        <v>458.57828307646668</v>
      </c>
      <c r="J1264" s="485" t="s">
        <v>421</v>
      </c>
      <c r="K1264" s="472" t="s">
        <v>617</v>
      </c>
      <c r="L1264" s="473" t="s">
        <v>570</v>
      </c>
      <c r="M1264" s="473" t="s">
        <v>571</v>
      </c>
      <c r="N1264" s="473" t="s">
        <v>711</v>
      </c>
      <c r="O1264" s="474" t="s">
        <v>711</v>
      </c>
    </row>
    <row r="1265" spans="1:15" s="475" customFormat="1" ht="12" hidden="1">
      <c r="A1265" s="465">
        <v>10131000016804</v>
      </c>
      <c r="B1265" s="476" t="s">
        <v>711</v>
      </c>
      <c r="C1265" s="476" t="s">
        <v>3638</v>
      </c>
      <c r="D1265" s="467" t="s">
        <v>571</v>
      </c>
      <c r="E1265" s="472" t="s">
        <v>2813</v>
      </c>
      <c r="F1265" s="477">
        <v>72.109980688000007</v>
      </c>
      <c r="G1265" s="469" t="s">
        <v>2472</v>
      </c>
      <c r="H1265" s="470">
        <v>76459.34</v>
      </c>
      <c r="I1265" s="471">
        <v>476.41521659863338</v>
      </c>
      <c r="J1265" s="485" t="s">
        <v>421</v>
      </c>
      <c r="K1265" s="472" t="s">
        <v>605</v>
      </c>
      <c r="L1265" s="473" t="s">
        <v>570</v>
      </c>
      <c r="M1265" s="473" t="s">
        <v>571</v>
      </c>
      <c r="N1265" s="473" t="s">
        <v>711</v>
      </c>
      <c r="O1265" s="474" t="s">
        <v>711</v>
      </c>
    </row>
    <row r="1266" spans="1:15" s="475" customFormat="1" ht="12" hidden="1">
      <c r="A1266" s="465">
        <v>10131000016791</v>
      </c>
      <c r="B1266" s="476" t="s">
        <v>711</v>
      </c>
      <c r="C1266" s="476" t="s">
        <v>3639</v>
      </c>
      <c r="D1266" s="467" t="s">
        <v>571</v>
      </c>
      <c r="E1266" s="472" t="s">
        <v>2792</v>
      </c>
      <c r="F1266" s="477">
        <v>72.5069290964</v>
      </c>
      <c r="G1266" s="469" t="s">
        <v>2472</v>
      </c>
      <c r="H1266" s="470">
        <v>93112.61</v>
      </c>
      <c r="I1266" s="471">
        <v>1152.5134349143</v>
      </c>
      <c r="J1266" s="485" t="s">
        <v>421</v>
      </c>
      <c r="K1266" s="472" t="s">
        <v>575</v>
      </c>
      <c r="L1266" s="473" t="s">
        <v>570</v>
      </c>
      <c r="M1266" s="473" t="s">
        <v>571</v>
      </c>
      <c r="N1266" s="473" t="s">
        <v>711</v>
      </c>
      <c r="O1266" s="474" t="s">
        <v>711</v>
      </c>
    </row>
    <row r="1267" spans="1:15" s="475" customFormat="1" ht="12" hidden="1">
      <c r="A1267" s="465">
        <v>10131000033840</v>
      </c>
      <c r="B1267" s="476" t="s">
        <v>711</v>
      </c>
      <c r="C1267" s="476" t="s">
        <v>3630</v>
      </c>
      <c r="D1267" s="467" t="s">
        <v>571</v>
      </c>
      <c r="E1267" s="472" t="s">
        <v>2715</v>
      </c>
      <c r="F1267" s="477">
        <v>84.379760000000005</v>
      </c>
      <c r="G1267" s="469" t="s">
        <v>2472</v>
      </c>
      <c r="H1267" s="470">
        <v>217.81</v>
      </c>
      <c r="I1267" s="471">
        <v>289.25588137339173</v>
      </c>
      <c r="J1267" s="485" t="s">
        <v>421</v>
      </c>
      <c r="K1267" s="472" t="s">
        <v>633</v>
      </c>
      <c r="L1267" s="473" t="s">
        <v>570</v>
      </c>
      <c r="M1267" s="473" t="s">
        <v>571</v>
      </c>
      <c r="N1267" s="473" t="s">
        <v>711</v>
      </c>
      <c r="O1267" s="474" t="s">
        <v>711</v>
      </c>
    </row>
    <row r="1268" spans="1:15" s="475" customFormat="1" ht="12" hidden="1">
      <c r="A1268" s="465">
        <v>10131000016792</v>
      </c>
      <c r="B1268" s="476" t="s">
        <v>711</v>
      </c>
      <c r="C1268" s="476" t="s">
        <v>3640</v>
      </c>
      <c r="D1268" s="467" t="s">
        <v>571</v>
      </c>
      <c r="E1268" s="472" t="s">
        <v>2491</v>
      </c>
      <c r="F1268" s="477">
        <v>100.36</v>
      </c>
      <c r="G1268" s="469" t="s">
        <v>2472</v>
      </c>
      <c r="H1268" s="470">
        <v>649.41</v>
      </c>
      <c r="I1268" s="471">
        <v>649.41</v>
      </c>
      <c r="J1268" s="485" t="s">
        <v>421</v>
      </c>
      <c r="K1268" s="472" t="s">
        <v>577</v>
      </c>
      <c r="L1268" s="473" t="s">
        <v>570</v>
      </c>
      <c r="M1268" s="473" t="s">
        <v>571</v>
      </c>
      <c r="N1268" s="473" t="s">
        <v>711</v>
      </c>
      <c r="O1268" s="474" t="s">
        <v>711</v>
      </c>
    </row>
    <row r="1269" spans="1:15" s="475" customFormat="1" ht="12" hidden="1">
      <c r="A1269" s="465">
        <v>10131000016803</v>
      </c>
      <c r="B1269" s="476" t="s">
        <v>711</v>
      </c>
      <c r="C1269" s="476" t="s">
        <v>3641</v>
      </c>
      <c r="D1269" s="467" t="s">
        <v>571</v>
      </c>
      <c r="E1269" s="472" t="s">
        <v>2811</v>
      </c>
      <c r="F1269" s="477">
        <v>107.24964772960001</v>
      </c>
      <c r="G1269" s="469" t="s">
        <v>2472</v>
      </c>
      <c r="H1269" s="470">
        <v>538.75</v>
      </c>
      <c r="I1269" s="471">
        <v>759.87306305000004</v>
      </c>
      <c r="J1269" s="485" t="s">
        <v>421</v>
      </c>
      <c r="K1269" s="472" t="s">
        <v>603</v>
      </c>
      <c r="L1269" s="473" t="s">
        <v>570</v>
      </c>
      <c r="M1269" s="473" t="s">
        <v>571</v>
      </c>
      <c r="N1269" s="473" t="s">
        <v>711</v>
      </c>
      <c r="O1269" s="474" t="s">
        <v>711</v>
      </c>
    </row>
    <row r="1270" spans="1:15" s="475" customFormat="1" ht="12" hidden="1">
      <c r="A1270" s="465">
        <v>10131000016818</v>
      </c>
      <c r="B1270" s="476" t="s">
        <v>711</v>
      </c>
      <c r="C1270" s="476" t="s">
        <v>3642</v>
      </c>
      <c r="D1270" s="467" t="s">
        <v>571</v>
      </c>
      <c r="E1270" s="472" t="s">
        <v>2833</v>
      </c>
      <c r="F1270" s="477">
        <v>109.169779924</v>
      </c>
      <c r="G1270" s="469" t="s">
        <v>2472</v>
      </c>
      <c r="H1270" s="470">
        <v>2960.63</v>
      </c>
      <c r="I1270" s="471">
        <v>286.18170740124168</v>
      </c>
      <c r="J1270" s="485" t="s">
        <v>421</v>
      </c>
      <c r="K1270" s="472" t="s">
        <v>631</v>
      </c>
      <c r="L1270" s="473" t="s">
        <v>570</v>
      </c>
      <c r="M1270" s="473" t="s">
        <v>571</v>
      </c>
      <c r="N1270" s="473" t="s">
        <v>711</v>
      </c>
      <c r="O1270" s="474" t="s">
        <v>711</v>
      </c>
    </row>
    <row r="1271" spans="1:15" s="475" customFormat="1" ht="12" hidden="1">
      <c r="A1271" s="465">
        <v>10131000016837</v>
      </c>
      <c r="B1271" s="476" t="s">
        <v>711</v>
      </c>
      <c r="C1271" s="476" t="s">
        <v>3643</v>
      </c>
      <c r="D1271" s="467" t="s">
        <v>571</v>
      </c>
      <c r="E1271" s="472" t="s">
        <v>2715</v>
      </c>
      <c r="F1271" s="477">
        <v>117.43884800000002</v>
      </c>
      <c r="G1271" s="469" t="s">
        <v>2472</v>
      </c>
      <c r="H1271" s="470">
        <v>840.91</v>
      </c>
      <c r="I1271" s="471">
        <v>1116.7447004531418</v>
      </c>
      <c r="J1271" s="485" t="s">
        <v>421</v>
      </c>
      <c r="K1271" s="472" t="s">
        <v>743</v>
      </c>
      <c r="L1271" s="473" t="s">
        <v>570</v>
      </c>
      <c r="M1271" s="473" t="s">
        <v>571</v>
      </c>
      <c r="N1271" s="473" t="s">
        <v>711</v>
      </c>
      <c r="O1271" s="474" t="s">
        <v>711</v>
      </c>
    </row>
    <row r="1272" spans="1:15" s="475" customFormat="1" ht="12" hidden="1">
      <c r="A1272" s="465">
        <v>10131000016794</v>
      </c>
      <c r="B1272" s="476" t="s">
        <v>711</v>
      </c>
      <c r="C1272" s="476" t="s">
        <v>3644</v>
      </c>
      <c r="D1272" s="467" t="s">
        <v>571</v>
      </c>
      <c r="E1272" s="472" t="s">
        <v>2795</v>
      </c>
      <c r="F1272" s="477">
        <v>122.39686849460001</v>
      </c>
      <c r="G1272" s="469" t="s">
        <v>2472</v>
      </c>
      <c r="H1272" s="470">
        <v>377399.39</v>
      </c>
      <c r="I1272" s="471">
        <v>764.16834885573326</v>
      </c>
      <c r="J1272" s="485" t="s">
        <v>421</v>
      </c>
      <c r="K1272" s="472" t="s">
        <v>583</v>
      </c>
      <c r="L1272" s="473" t="s">
        <v>570</v>
      </c>
      <c r="M1272" s="473" t="s">
        <v>571</v>
      </c>
      <c r="N1272" s="473" t="s">
        <v>711</v>
      </c>
      <c r="O1272" s="474" t="s">
        <v>711</v>
      </c>
    </row>
    <row r="1273" spans="1:15" s="475" customFormat="1" ht="12" hidden="1">
      <c r="A1273" s="465">
        <v>10131000016799</v>
      </c>
      <c r="B1273" s="476" t="s">
        <v>711</v>
      </c>
      <c r="C1273" s="476" t="s">
        <v>3645</v>
      </c>
      <c r="D1273" s="467" t="s">
        <v>571</v>
      </c>
      <c r="E1273" s="472" t="s">
        <v>2795</v>
      </c>
      <c r="F1273" s="477">
        <v>125.11773907850001</v>
      </c>
      <c r="G1273" s="469" t="s">
        <v>2472</v>
      </c>
      <c r="H1273" s="470">
        <v>486622.41</v>
      </c>
      <c r="I1273" s="471">
        <v>985.32603236559976</v>
      </c>
      <c r="J1273" s="485" t="s">
        <v>421</v>
      </c>
      <c r="K1273" s="472" t="s">
        <v>724</v>
      </c>
      <c r="L1273" s="473" t="s">
        <v>570</v>
      </c>
      <c r="M1273" s="473" t="s">
        <v>571</v>
      </c>
      <c r="N1273" s="473" t="s">
        <v>711</v>
      </c>
      <c r="O1273" s="474" t="s">
        <v>711</v>
      </c>
    </row>
    <row r="1274" spans="1:15" s="475" customFormat="1" ht="12" hidden="1">
      <c r="A1274" s="465">
        <v>10131000016831</v>
      </c>
      <c r="B1274" s="476" t="s">
        <v>711</v>
      </c>
      <c r="C1274" s="476" t="s">
        <v>3646</v>
      </c>
      <c r="D1274" s="467" t="s">
        <v>571</v>
      </c>
      <c r="E1274" s="472" t="s">
        <v>2715</v>
      </c>
      <c r="F1274" s="477">
        <v>126.41931200000001</v>
      </c>
      <c r="G1274" s="469" t="s">
        <v>2472</v>
      </c>
      <c r="H1274" s="470">
        <v>221.03</v>
      </c>
      <c r="I1274" s="471">
        <v>293.53210348450841</v>
      </c>
      <c r="J1274" s="485" t="s">
        <v>421</v>
      </c>
      <c r="K1274" s="472" t="s">
        <v>591</v>
      </c>
      <c r="L1274" s="473" t="s">
        <v>570</v>
      </c>
      <c r="M1274" s="473" t="s">
        <v>571</v>
      </c>
      <c r="N1274" s="473" t="s">
        <v>711</v>
      </c>
      <c r="O1274" s="474" t="s">
        <v>711</v>
      </c>
    </row>
    <row r="1275" spans="1:15" s="475" customFormat="1" ht="12" hidden="1">
      <c r="A1275" s="465">
        <v>10131000033833</v>
      </c>
      <c r="B1275" s="476" t="s">
        <v>711</v>
      </c>
      <c r="C1275" s="476" t="s">
        <v>3630</v>
      </c>
      <c r="D1275" s="467" t="s">
        <v>571</v>
      </c>
      <c r="E1275" s="472" t="s">
        <v>2715</v>
      </c>
      <c r="F1275" s="477">
        <v>128.66769600000003</v>
      </c>
      <c r="G1275" s="469" t="s">
        <v>2472</v>
      </c>
      <c r="H1275" s="470">
        <v>212.99</v>
      </c>
      <c r="I1275" s="471">
        <v>282.85482839960838</v>
      </c>
      <c r="J1275" s="485" t="s">
        <v>421</v>
      </c>
      <c r="K1275" s="472" t="s">
        <v>633</v>
      </c>
      <c r="L1275" s="473" t="s">
        <v>570</v>
      </c>
      <c r="M1275" s="473" t="s">
        <v>571</v>
      </c>
      <c r="N1275" s="473" t="s">
        <v>711</v>
      </c>
      <c r="O1275" s="474" t="s">
        <v>711</v>
      </c>
    </row>
    <row r="1276" spans="1:15" s="475" customFormat="1" ht="12" hidden="1">
      <c r="A1276" s="465">
        <v>10131000016838</v>
      </c>
      <c r="B1276" s="476" t="s">
        <v>711</v>
      </c>
      <c r="C1276" s="476" t="s">
        <v>3647</v>
      </c>
      <c r="D1276" s="467" t="s">
        <v>571</v>
      </c>
      <c r="E1276" s="472" t="s">
        <v>2874</v>
      </c>
      <c r="F1276" s="477">
        <v>131.29921914669998</v>
      </c>
      <c r="G1276" s="469" t="s">
        <v>2472</v>
      </c>
      <c r="H1276" s="470">
        <v>355.99</v>
      </c>
      <c r="I1276" s="471">
        <v>385.43216629962501</v>
      </c>
      <c r="J1276" s="485" t="s">
        <v>421</v>
      </c>
      <c r="K1276" s="472" t="s">
        <v>637</v>
      </c>
      <c r="L1276" s="473" t="s">
        <v>570</v>
      </c>
      <c r="M1276" s="473" t="s">
        <v>571</v>
      </c>
      <c r="N1276" s="473" t="s">
        <v>711</v>
      </c>
      <c r="O1276" s="474" t="s">
        <v>711</v>
      </c>
    </row>
    <row r="1277" spans="1:15" s="475" customFormat="1" ht="12" hidden="1">
      <c r="A1277" s="465">
        <v>10131000016834</v>
      </c>
      <c r="B1277" s="476" t="s">
        <v>711</v>
      </c>
      <c r="C1277" s="476" t="s">
        <v>3648</v>
      </c>
      <c r="D1277" s="467" t="s">
        <v>571</v>
      </c>
      <c r="E1277" s="472" t="s">
        <v>2715</v>
      </c>
      <c r="F1277" s="477">
        <v>143.96193600000001</v>
      </c>
      <c r="G1277" s="469" t="s">
        <v>2472</v>
      </c>
      <c r="H1277" s="470">
        <v>297.81</v>
      </c>
      <c r="I1277" s="471">
        <v>395.49742450672505</v>
      </c>
      <c r="J1277" s="485" t="s">
        <v>421</v>
      </c>
      <c r="K1277" s="472" t="s">
        <v>601</v>
      </c>
      <c r="L1277" s="473" t="s">
        <v>570</v>
      </c>
      <c r="M1277" s="473" t="s">
        <v>571</v>
      </c>
      <c r="N1277" s="473" t="s">
        <v>711</v>
      </c>
      <c r="O1277" s="474" t="s">
        <v>711</v>
      </c>
    </row>
    <row r="1278" spans="1:15" s="475" customFormat="1" ht="12" hidden="1">
      <c r="A1278" s="465">
        <v>10131000016820</v>
      </c>
      <c r="B1278" s="476" t="s">
        <v>711</v>
      </c>
      <c r="C1278" s="476" t="s">
        <v>3649</v>
      </c>
      <c r="D1278" s="467" t="s">
        <v>571</v>
      </c>
      <c r="E1278" s="472" t="s">
        <v>2838</v>
      </c>
      <c r="F1278" s="477">
        <v>156.28178505330001</v>
      </c>
      <c r="G1278" s="469" t="s">
        <v>2472</v>
      </c>
      <c r="H1278" s="470">
        <v>1083.05</v>
      </c>
      <c r="I1278" s="471">
        <v>624.22520248845831</v>
      </c>
      <c r="J1278" s="485" t="s">
        <v>421</v>
      </c>
      <c r="K1278" s="472" t="s">
        <v>641</v>
      </c>
      <c r="L1278" s="473" t="s">
        <v>570</v>
      </c>
      <c r="M1278" s="473" t="s">
        <v>571</v>
      </c>
      <c r="N1278" s="473" t="s">
        <v>711</v>
      </c>
      <c r="O1278" s="474" t="s">
        <v>711</v>
      </c>
    </row>
    <row r="1279" spans="1:15" s="475" customFormat="1" ht="12" hidden="1">
      <c r="A1279" s="465">
        <v>10131000016824</v>
      </c>
      <c r="B1279" s="476" t="s">
        <v>711</v>
      </c>
      <c r="C1279" s="476" t="s">
        <v>3650</v>
      </c>
      <c r="D1279" s="467" t="s">
        <v>571</v>
      </c>
      <c r="E1279" s="472" t="s">
        <v>2842</v>
      </c>
      <c r="F1279" s="477">
        <v>157.95771085440001</v>
      </c>
      <c r="G1279" s="469" t="s">
        <v>2472</v>
      </c>
      <c r="H1279" s="470">
        <v>2803020.827</v>
      </c>
      <c r="I1279" s="471">
        <v>1003.3459767260282</v>
      </c>
      <c r="J1279" s="485" t="s">
        <v>421</v>
      </c>
      <c r="K1279" s="472" t="s">
        <v>647</v>
      </c>
      <c r="L1279" s="473" t="s">
        <v>570</v>
      </c>
      <c r="M1279" s="473" t="s">
        <v>571</v>
      </c>
      <c r="N1279" s="473" t="s">
        <v>711</v>
      </c>
      <c r="O1279" s="474" t="s">
        <v>711</v>
      </c>
    </row>
    <row r="1280" spans="1:15" s="475" customFormat="1" ht="12" hidden="1">
      <c r="A1280" s="465">
        <v>10131000016832</v>
      </c>
      <c r="B1280" s="476" t="s">
        <v>711</v>
      </c>
      <c r="C1280" s="476" t="s">
        <v>3651</v>
      </c>
      <c r="D1280" s="467" t="s">
        <v>571</v>
      </c>
      <c r="E1280" s="472" t="s">
        <v>2715</v>
      </c>
      <c r="F1280" s="477">
        <v>178.69424000000001</v>
      </c>
      <c r="G1280" s="469" t="s">
        <v>2472</v>
      </c>
      <c r="H1280" s="470">
        <v>399.35</v>
      </c>
      <c r="I1280" s="471">
        <v>530.34450312870842</v>
      </c>
      <c r="J1280" s="485" t="s">
        <v>421</v>
      </c>
      <c r="K1280" s="472" t="s">
        <v>593</v>
      </c>
      <c r="L1280" s="473" t="s">
        <v>570</v>
      </c>
      <c r="M1280" s="473" t="s">
        <v>571</v>
      </c>
      <c r="N1280" s="473" t="s">
        <v>711</v>
      </c>
      <c r="O1280" s="474" t="s">
        <v>711</v>
      </c>
    </row>
    <row r="1281" spans="1:15" s="475" customFormat="1" ht="12" hidden="1">
      <c r="A1281" s="465">
        <v>10131000016802</v>
      </c>
      <c r="B1281" s="476" t="s">
        <v>711</v>
      </c>
      <c r="C1281" s="476" t="s">
        <v>3652</v>
      </c>
      <c r="D1281" s="467" t="s">
        <v>571</v>
      </c>
      <c r="E1281" s="472" t="s">
        <v>2808</v>
      </c>
      <c r="F1281" s="477">
        <v>181.24651961400002</v>
      </c>
      <c r="G1281" s="469" t="s">
        <v>2472</v>
      </c>
      <c r="H1281" s="470">
        <v>1781.12</v>
      </c>
      <c r="I1281" s="471">
        <v>497.7681236176</v>
      </c>
      <c r="J1281" s="485" t="s">
        <v>421</v>
      </c>
      <c r="K1281" s="472" t="s">
        <v>599</v>
      </c>
      <c r="L1281" s="473" t="s">
        <v>570</v>
      </c>
      <c r="M1281" s="473" t="s">
        <v>571</v>
      </c>
      <c r="N1281" s="473" t="s">
        <v>711</v>
      </c>
      <c r="O1281" s="474" t="s">
        <v>711</v>
      </c>
    </row>
    <row r="1282" spans="1:15" s="475" customFormat="1" ht="12" hidden="1">
      <c r="A1282" s="465">
        <v>10131000016807</v>
      </c>
      <c r="B1282" s="476" t="s">
        <v>711</v>
      </c>
      <c r="C1282" s="476" t="s">
        <v>3653</v>
      </c>
      <c r="D1282" s="467" t="s">
        <v>571</v>
      </c>
      <c r="E1282" s="472" t="s">
        <v>2852</v>
      </c>
      <c r="F1282" s="477">
        <v>196.22185882080001</v>
      </c>
      <c r="G1282" s="469" t="s">
        <v>2472</v>
      </c>
      <c r="H1282" s="470">
        <v>7773.51</v>
      </c>
      <c r="I1282" s="471">
        <v>890.04496074595011</v>
      </c>
      <c r="J1282" s="485" t="s">
        <v>421</v>
      </c>
      <c r="K1282" s="472" t="s">
        <v>613</v>
      </c>
      <c r="L1282" s="473" t="s">
        <v>570</v>
      </c>
      <c r="M1282" s="473" t="s">
        <v>571</v>
      </c>
      <c r="N1282" s="473" t="s">
        <v>711</v>
      </c>
      <c r="O1282" s="474" t="s">
        <v>711</v>
      </c>
    </row>
    <row r="1283" spans="1:15" s="475" customFormat="1" ht="12" hidden="1">
      <c r="A1283" s="465">
        <v>10131000016805</v>
      </c>
      <c r="B1283" s="476" t="s">
        <v>711</v>
      </c>
      <c r="C1283" s="476" t="s">
        <v>3654</v>
      </c>
      <c r="D1283" s="467" t="s">
        <v>571</v>
      </c>
      <c r="E1283" s="472" t="s">
        <v>2815</v>
      </c>
      <c r="F1283" s="477">
        <v>208.67321500850002</v>
      </c>
      <c r="G1283" s="469" t="s">
        <v>2472</v>
      </c>
      <c r="H1283" s="470">
        <v>77301.740000000005</v>
      </c>
      <c r="I1283" s="471">
        <v>821.77450623325012</v>
      </c>
      <c r="J1283" s="485" t="s">
        <v>421</v>
      </c>
      <c r="K1283" s="472" t="s">
        <v>607</v>
      </c>
      <c r="L1283" s="473" t="s">
        <v>570</v>
      </c>
      <c r="M1283" s="473" t="s">
        <v>571</v>
      </c>
      <c r="N1283" s="473" t="s">
        <v>711</v>
      </c>
      <c r="O1283" s="474" t="s">
        <v>711</v>
      </c>
    </row>
    <row r="1284" spans="1:15" s="475" customFormat="1" ht="12" hidden="1">
      <c r="A1284" s="465">
        <v>10131000016795</v>
      </c>
      <c r="B1284" s="476" t="s">
        <v>711</v>
      </c>
      <c r="C1284" s="476" t="s">
        <v>3655</v>
      </c>
      <c r="D1284" s="467" t="s">
        <v>571</v>
      </c>
      <c r="E1284" s="472" t="s">
        <v>2491</v>
      </c>
      <c r="F1284" s="477">
        <v>209.55</v>
      </c>
      <c r="G1284" s="469" t="s">
        <v>2472</v>
      </c>
      <c r="H1284" s="470">
        <v>885.53</v>
      </c>
      <c r="I1284" s="471">
        <v>885.53</v>
      </c>
      <c r="J1284" s="485" t="s">
        <v>421</v>
      </c>
      <c r="K1284" s="472" t="s">
        <v>585</v>
      </c>
      <c r="L1284" s="473" t="s">
        <v>570</v>
      </c>
      <c r="M1284" s="473" t="s">
        <v>571</v>
      </c>
      <c r="N1284" s="473" t="s">
        <v>711</v>
      </c>
      <c r="O1284" s="474" t="s">
        <v>711</v>
      </c>
    </row>
    <row r="1285" spans="1:15" s="475" customFormat="1" ht="12" hidden="1">
      <c r="A1285" s="465">
        <v>10131000033912</v>
      </c>
      <c r="B1285" s="476" t="s">
        <v>711</v>
      </c>
      <c r="C1285" s="476" t="s">
        <v>3656</v>
      </c>
      <c r="D1285" s="467" t="s">
        <v>571</v>
      </c>
      <c r="E1285" s="472" t="s">
        <v>2817</v>
      </c>
      <c r="F1285" s="477">
        <v>210.93722554619998</v>
      </c>
      <c r="G1285" s="469" t="s">
        <v>2472</v>
      </c>
      <c r="H1285" s="470">
        <v>279.41000000000003</v>
      </c>
      <c r="I1285" s="471">
        <v>977.86346684885007</v>
      </c>
      <c r="J1285" s="485" t="s">
        <v>421</v>
      </c>
      <c r="K1285" s="472" t="s">
        <v>609</v>
      </c>
      <c r="L1285" s="473" t="s">
        <v>570</v>
      </c>
      <c r="M1285" s="473" t="s">
        <v>571</v>
      </c>
      <c r="N1285" s="473" t="s">
        <v>711</v>
      </c>
      <c r="O1285" s="474" t="s">
        <v>711</v>
      </c>
    </row>
    <row r="1286" spans="1:15" s="475" customFormat="1" ht="12" hidden="1">
      <c r="A1286" s="465">
        <v>10131000016819</v>
      </c>
      <c r="B1286" s="476" t="s">
        <v>711</v>
      </c>
      <c r="C1286" s="476" t="s">
        <v>3657</v>
      </c>
      <c r="D1286" s="467" t="s">
        <v>571</v>
      </c>
      <c r="E1286" s="472" t="s">
        <v>2836</v>
      </c>
      <c r="F1286" s="477">
        <v>214.17009019830002</v>
      </c>
      <c r="G1286" s="469" t="s">
        <v>2472</v>
      </c>
      <c r="H1286" s="470">
        <v>1227362.31</v>
      </c>
      <c r="I1286" s="471">
        <v>695.17596678015002</v>
      </c>
      <c r="J1286" s="485" t="s">
        <v>421</v>
      </c>
      <c r="K1286" s="472" t="s">
        <v>639</v>
      </c>
      <c r="L1286" s="473" t="s">
        <v>570</v>
      </c>
      <c r="M1286" s="473" t="s">
        <v>571</v>
      </c>
      <c r="N1286" s="473" t="s">
        <v>711</v>
      </c>
      <c r="O1286" s="474" t="s">
        <v>711</v>
      </c>
    </row>
    <row r="1287" spans="1:15" s="475" customFormat="1" ht="12" hidden="1">
      <c r="A1287" s="465">
        <v>10131000016816</v>
      </c>
      <c r="B1287" s="476" t="s">
        <v>711</v>
      </c>
      <c r="C1287" s="476" t="s">
        <v>3658</v>
      </c>
      <c r="D1287" s="467" t="s">
        <v>571</v>
      </c>
      <c r="E1287" s="472" t="s">
        <v>2795</v>
      </c>
      <c r="F1287" s="477">
        <v>218.29989912780002</v>
      </c>
      <c r="G1287" s="469" t="s">
        <v>2472</v>
      </c>
      <c r="H1287" s="470">
        <v>556373.05000000005</v>
      </c>
      <c r="I1287" s="471">
        <v>1126.5589882546665</v>
      </c>
      <c r="J1287" s="485" t="s">
        <v>421</v>
      </c>
      <c r="K1287" s="472" t="s">
        <v>627</v>
      </c>
      <c r="L1287" s="473" t="s">
        <v>570</v>
      </c>
      <c r="M1287" s="473" t="s">
        <v>571</v>
      </c>
      <c r="N1287" s="473" t="s">
        <v>711</v>
      </c>
      <c r="O1287" s="474" t="s">
        <v>711</v>
      </c>
    </row>
    <row r="1288" spans="1:15" s="475" customFormat="1" ht="12" hidden="1">
      <c r="A1288" s="465">
        <v>10131000016839</v>
      </c>
      <c r="B1288" s="476" t="s">
        <v>711</v>
      </c>
      <c r="C1288" s="476" t="s">
        <v>3659</v>
      </c>
      <c r="D1288" s="467" t="s">
        <v>571</v>
      </c>
      <c r="E1288" s="472" t="s">
        <v>2491</v>
      </c>
      <c r="F1288" s="477">
        <v>236.31</v>
      </c>
      <c r="G1288" s="469" t="s">
        <v>2472</v>
      </c>
      <c r="H1288" s="470">
        <v>17108.939999999999</v>
      </c>
      <c r="I1288" s="471">
        <v>17108.939999999999</v>
      </c>
      <c r="J1288" s="485" t="s">
        <v>421</v>
      </c>
      <c r="K1288" s="472" t="s">
        <v>745</v>
      </c>
      <c r="L1288" s="473" t="s">
        <v>570</v>
      </c>
      <c r="M1288" s="473" t="s">
        <v>571</v>
      </c>
      <c r="N1288" s="473" t="s">
        <v>711</v>
      </c>
      <c r="O1288" s="474" t="s">
        <v>711</v>
      </c>
    </row>
    <row r="1289" spans="1:15" s="475" customFormat="1" ht="12" hidden="1">
      <c r="A1289" s="465">
        <v>10131000016796</v>
      </c>
      <c r="B1289" s="476" t="s">
        <v>711</v>
      </c>
      <c r="C1289" s="476" t="s">
        <v>3660</v>
      </c>
      <c r="D1289" s="467" t="s">
        <v>571</v>
      </c>
      <c r="E1289" s="472" t="s">
        <v>2795</v>
      </c>
      <c r="F1289" s="477">
        <v>287.96501112820005</v>
      </c>
      <c r="G1289" s="469" t="s">
        <v>2472</v>
      </c>
      <c r="H1289" s="470">
        <v>635751.23</v>
      </c>
      <c r="I1289" s="471">
        <v>1287.286043870133</v>
      </c>
      <c r="J1289" s="485" t="s">
        <v>421</v>
      </c>
      <c r="K1289" s="472" t="s">
        <v>719</v>
      </c>
      <c r="L1289" s="473" t="s">
        <v>570</v>
      </c>
      <c r="M1289" s="473" t="s">
        <v>571</v>
      </c>
      <c r="N1289" s="473" t="s">
        <v>711</v>
      </c>
      <c r="O1289" s="474" t="s">
        <v>711</v>
      </c>
    </row>
    <row r="1290" spans="1:15" s="475" customFormat="1" ht="12" hidden="1">
      <c r="A1290" s="465">
        <v>10131000016826</v>
      </c>
      <c r="B1290" s="476" t="s">
        <v>711</v>
      </c>
      <c r="C1290" s="476" t="s">
        <v>3661</v>
      </c>
      <c r="D1290" s="467" t="s">
        <v>571</v>
      </c>
      <c r="E1290" s="472" t="s">
        <v>2845</v>
      </c>
      <c r="F1290" s="477">
        <v>299.83862852999999</v>
      </c>
      <c r="G1290" s="469" t="s">
        <v>2472</v>
      </c>
      <c r="H1290" s="470">
        <v>6706335.8300000001</v>
      </c>
      <c r="I1290" s="471">
        <v>1131.744468831225</v>
      </c>
      <c r="J1290" s="485" t="s">
        <v>421</v>
      </c>
      <c r="K1290" s="472" t="s">
        <v>653</v>
      </c>
      <c r="L1290" s="473" t="s">
        <v>570</v>
      </c>
      <c r="M1290" s="473" t="s">
        <v>571</v>
      </c>
      <c r="N1290" s="473" t="s">
        <v>711</v>
      </c>
      <c r="O1290" s="474" t="s">
        <v>711</v>
      </c>
    </row>
    <row r="1291" spans="1:15" s="475" customFormat="1" ht="12" hidden="1">
      <c r="A1291" s="465">
        <v>10131000016394</v>
      </c>
      <c r="B1291" s="476" t="s">
        <v>711</v>
      </c>
      <c r="C1291" s="476" t="s">
        <v>3662</v>
      </c>
      <c r="D1291" s="467" t="s">
        <v>571</v>
      </c>
      <c r="E1291" s="472" t="s">
        <v>2715</v>
      </c>
      <c r="F1291" s="477" t="s">
        <v>2472</v>
      </c>
      <c r="G1291" s="469" t="s">
        <v>2472</v>
      </c>
      <c r="H1291" s="470">
        <v>66.44</v>
      </c>
      <c r="I1291" s="471">
        <v>88.23360157223334</v>
      </c>
      <c r="J1291" s="485" t="s">
        <v>421</v>
      </c>
      <c r="K1291" s="472" t="s">
        <v>2779</v>
      </c>
      <c r="L1291" s="473" t="s">
        <v>570</v>
      </c>
      <c r="M1291" s="473" t="s">
        <v>571</v>
      </c>
      <c r="N1291" s="473" t="s">
        <v>711</v>
      </c>
      <c r="O1291" s="474" t="s">
        <v>711</v>
      </c>
    </row>
    <row r="1292" spans="1:15" s="475" customFormat="1" ht="12" hidden="1">
      <c r="A1292" s="465">
        <v>10131000058861</v>
      </c>
      <c r="B1292" s="466" t="s">
        <v>711</v>
      </c>
      <c r="C1292" s="476" t="s">
        <v>3619</v>
      </c>
      <c r="D1292" s="467" t="s">
        <v>571</v>
      </c>
      <c r="E1292" s="472" t="s">
        <v>2491</v>
      </c>
      <c r="F1292" s="477" t="s">
        <v>2472</v>
      </c>
      <c r="G1292" s="469" t="s">
        <v>2472</v>
      </c>
      <c r="H1292" s="487">
        <v>95.61</v>
      </c>
      <c r="I1292" s="471">
        <v>95.61</v>
      </c>
      <c r="J1292" s="488" t="s">
        <v>2492</v>
      </c>
      <c r="K1292" s="472" t="s">
        <v>662</v>
      </c>
      <c r="L1292" s="473" t="s">
        <v>570</v>
      </c>
      <c r="M1292" s="473" t="s">
        <v>571</v>
      </c>
      <c r="N1292" s="473" t="s">
        <v>711</v>
      </c>
      <c r="O1292" s="474" t="s">
        <v>711</v>
      </c>
    </row>
    <row r="1293" spans="1:15" s="475" customFormat="1" ht="12" hidden="1">
      <c r="A1293" s="465">
        <v>10131000058862</v>
      </c>
      <c r="B1293" s="466" t="s">
        <v>711</v>
      </c>
      <c r="C1293" s="476" t="s">
        <v>3608</v>
      </c>
      <c r="D1293" s="467" t="s">
        <v>571</v>
      </c>
      <c r="E1293" s="472" t="s">
        <v>2491</v>
      </c>
      <c r="F1293" s="477" t="s">
        <v>2472</v>
      </c>
      <c r="G1293" s="469" t="s">
        <v>2472</v>
      </c>
      <c r="H1293" s="487">
        <v>306.39</v>
      </c>
      <c r="I1293" s="471">
        <v>306.39</v>
      </c>
      <c r="J1293" s="488" t="s">
        <v>2492</v>
      </c>
      <c r="K1293" s="472" t="s">
        <v>666</v>
      </c>
      <c r="L1293" s="473" t="s">
        <v>570</v>
      </c>
      <c r="M1293" s="473" t="s">
        <v>571</v>
      </c>
      <c r="N1293" s="473" t="s">
        <v>711</v>
      </c>
      <c r="O1293" s="474" t="s">
        <v>711</v>
      </c>
    </row>
    <row r="1294" spans="1:15" s="475" customFormat="1" ht="12" hidden="1">
      <c r="A1294" s="465">
        <v>1000099061</v>
      </c>
      <c r="B1294" s="466" t="s">
        <v>711</v>
      </c>
      <c r="C1294" s="466" t="s">
        <v>711</v>
      </c>
      <c r="D1294" s="467" t="s">
        <v>571</v>
      </c>
      <c r="E1294" s="468" t="s">
        <v>2471</v>
      </c>
      <c r="F1294" s="477" t="s">
        <v>2472</v>
      </c>
      <c r="G1294" s="469" t="s">
        <v>2472</v>
      </c>
      <c r="H1294" s="470">
        <v>444.5</v>
      </c>
      <c r="I1294" s="471">
        <v>34.324324324324323</v>
      </c>
      <c r="J1294" s="472" t="s">
        <v>422</v>
      </c>
      <c r="K1294" s="472" t="s">
        <v>2473</v>
      </c>
      <c r="L1294" s="473" t="s">
        <v>570</v>
      </c>
      <c r="M1294" s="473" t="s">
        <v>571</v>
      </c>
      <c r="N1294" s="473" t="s">
        <v>711</v>
      </c>
      <c r="O1294" s="474" t="s">
        <v>711</v>
      </c>
    </row>
    <row r="1295" spans="1:15" s="475" customFormat="1" ht="12" hidden="1">
      <c r="A1295" s="465">
        <v>1000099073</v>
      </c>
      <c r="B1295" s="466" t="s">
        <v>711</v>
      </c>
      <c r="C1295" s="466" t="s">
        <v>711</v>
      </c>
      <c r="D1295" s="467" t="s">
        <v>571</v>
      </c>
      <c r="E1295" s="468" t="s">
        <v>2471</v>
      </c>
      <c r="F1295" s="477" t="s">
        <v>2472</v>
      </c>
      <c r="G1295" s="469" t="s">
        <v>2472</v>
      </c>
      <c r="H1295" s="470">
        <v>524.97390841320555</v>
      </c>
      <c r="I1295" s="471">
        <v>40.538525746193478</v>
      </c>
      <c r="J1295" s="472" t="s">
        <v>422</v>
      </c>
      <c r="K1295" s="472" t="s">
        <v>2473</v>
      </c>
      <c r="L1295" s="473" t="s">
        <v>570</v>
      </c>
      <c r="M1295" s="473" t="s">
        <v>571</v>
      </c>
      <c r="N1295" s="473" t="s">
        <v>711</v>
      </c>
      <c r="O1295" s="474" t="s">
        <v>711</v>
      </c>
    </row>
    <row r="1296" spans="1:15" s="475" customFormat="1" ht="12" hidden="1">
      <c r="A1296" s="465">
        <v>10131000058315</v>
      </c>
      <c r="B1296" s="476" t="s">
        <v>711</v>
      </c>
      <c r="C1296" s="476" t="s">
        <v>3621</v>
      </c>
      <c r="D1296" s="467" t="s">
        <v>571</v>
      </c>
      <c r="E1296" s="472" t="s">
        <v>2519</v>
      </c>
      <c r="F1296" s="477" t="s">
        <v>2472</v>
      </c>
      <c r="G1296" s="469" t="s">
        <v>2472</v>
      </c>
      <c r="H1296" s="470">
        <v>263.22000000000003</v>
      </c>
      <c r="I1296" s="471">
        <v>81.194670579000018</v>
      </c>
      <c r="J1296" s="485" t="s">
        <v>421</v>
      </c>
      <c r="K1296" s="472" t="s">
        <v>621</v>
      </c>
      <c r="L1296" s="473" t="s">
        <v>570</v>
      </c>
      <c r="M1296" s="473" t="s">
        <v>571</v>
      </c>
      <c r="N1296" s="473" t="s">
        <v>711</v>
      </c>
      <c r="O1296" s="474" t="s">
        <v>711</v>
      </c>
    </row>
    <row r="1297" spans="1:15" s="475" customFormat="1" ht="12" hidden="1">
      <c r="A1297" s="465">
        <v>10131000058863</v>
      </c>
      <c r="B1297" s="466" t="s">
        <v>711</v>
      </c>
      <c r="C1297" s="476" t="s">
        <v>3609</v>
      </c>
      <c r="D1297" s="467" t="s">
        <v>571</v>
      </c>
      <c r="E1297" s="472" t="s">
        <v>2491</v>
      </c>
      <c r="F1297" s="477" t="s">
        <v>2472</v>
      </c>
      <c r="G1297" s="469" t="s">
        <v>2472</v>
      </c>
      <c r="H1297" s="487">
        <v>140.91</v>
      </c>
      <c r="I1297" s="471">
        <v>140.91</v>
      </c>
      <c r="J1297" s="488" t="s">
        <v>2492</v>
      </c>
      <c r="K1297" s="472" t="s">
        <v>674</v>
      </c>
      <c r="L1297" s="473" t="s">
        <v>570</v>
      </c>
      <c r="M1297" s="473" t="s">
        <v>571</v>
      </c>
      <c r="N1297" s="473" t="s">
        <v>711</v>
      </c>
      <c r="O1297" s="474" t="s">
        <v>711</v>
      </c>
    </row>
    <row r="1298" spans="1:15" s="475" customFormat="1" ht="12" hidden="1">
      <c r="A1298" s="465">
        <v>1000099064</v>
      </c>
      <c r="B1298" s="466" t="s">
        <v>3663</v>
      </c>
      <c r="C1298" s="466" t="s">
        <v>3663</v>
      </c>
      <c r="D1298" s="467" t="s">
        <v>571</v>
      </c>
      <c r="E1298" s="468" t="s">
        <v>2471</v>
      </c>
      <c r="F1298" s="477" t="s">
        <v>2472</v>
      </c>
      <c r="G1298" s="469" t="s">
        <v>2472</v>
      </c>
      <c r="H1298" s="470">
        <v>42.4</v>
      </c>
      <c r="I1298" s="471">
        <v>3.2741312741312742</v>
      </c>
      <c r="J1298" s="472" t="s">
        <v>422</v>
      </c>
      <c r="K1298" s="472" t="s">
        <v>2473</v>
      </c>
      <c r="L1298" s="473" t="s">
        <v>570</v>
      </c>
      <c r="M1298" s="473" t="s">
        <v>820</v>
      </c>
      <c r="N1298" s="466" t="s">
        <v>3663</v>
      </c>
      <c r="O1298" s="490" t="s">
        <v>3663</v>
      </c>
    </row>
    <row r="1299" spans="1:15" s="475" customFormat="1" ht="12" hidden="1">
      <c r="A1299" s="465">
        <v>1000099065</v>
      </c>
      <c r="B1299" s="466" t="s">
        <v>3663</v>
      </c>
      <c r="C1299" s="466" t="s">
        <v>3663</v>
      </c>
      <c r="D1299" s="467" t="s">
        <v>571</v>
      </c>
      <c r="E1299" s="468" t="s">
        <v>2471</v>
      </c>
      <c r="F1299" s="477" t="s">
        <v>2472</v>
      </c>
      <c r="G1299" s="469" t="s">
        <v>2472</v>
      </c>
      <c r="H1299" s="470">
        <v>73</v>
      </c>
      <c r="I1299" s="471">
        <v>5.6370656370656373</v>
      </c>
      <c r="J1299" s="472" t="s">
        <v>422</v>
      </c>
      <c r="K1299" s="472" t="s">
        <v>2473</v>
      </c>
      <c r="L1299" s="473" t="s">
        <v>570</v>
      </c>
      <c r="M1299" s="473" t="s">
        <v>820</v>
      </c>
      <c r="N1299" s="466" t="s">
        <v>3663</v>
      </c>
      <c r="O1299" s="490" t="s">
        <v>3663</v>
      </c>
    </row>
    <row r="1300" spans="1:15" s="475" customFormat="1" ht="12" hidden="1">
      <c r="A1300" s="465">
        <v>1000099066</v>
      </c>
      <c r="B1300" s="466" t="s">
        <v>3663</v>
      </c>
      <c r="C1300" s="466" t="s">
        <v>3663</v>
      </c>
      <c r="D1300" s="467" t="s">
        <v>571</v>
      </c>
      <c r="E1300" s="468" t="s">
        <v>2471</v>
      </c>
      <c r="F1300" s="477" t="s">
        <v>2472</v>
      </c>
      <c r="G1300" s="469" t="s">
        <v>2472</v>
      </c>
      <c r="H1300" s="470">
        <v>245</v>
      </c>
      <c r="I1300" s="471">
        <v>18.918918918918919</v>
      </c>
      <c r="J1300" s="472" t="s">
        <v>422</v>
      </c>
      <c r="K1300" s="472" t="s">
        <v>2473</v>
      </c>
      <c r="L1300" s="473" t="s">
        <v>570</v>
      </c>
      <c r="M1300" s="473" t="s">
        <v>820</v>
      </c>
      <c r="N1300" s="466" t="s">
        <v>3663</v>
      </c>
      <c r="O1300" s="490" t="s">
        <v>3663</v>
      </c>
    </row>
    <row r="1301" spans="1:15" s="475" customFormat="1" ht="12" hidden="1">
      <c r="A1301" s="465">
        <v>1000099074</v>
      </c>
      <c r="B1301" s="466" t="s">
        <v>3663</v>
      </c>
      <c r="C1301" s="466" t="s">
        <v>3664</v>
      </c>
      <c r="D1301" s="467" t="s">
        <v>571</v>
      </c>
      <c r="E1301" s="468" t="s">
        <v>2471</v>
      </c>
      <c r="F1301" s="477" t="s">
        <v>2472</v>
      </c>
      <c r="G1301" s="469" t="s">
        <v>2472</v>
      </c>
      <c r="H1301" s="470">
        <v>90</v>
      </c>
      <c r="I1301" s="471">
        <v>6.9498069498069501</v>
      </c>
      <c r="J1301" s="472" t="s">
        <v>422</v>
      </c>
      <c r="K1301" s="472" t="s">
        <v>2473</v>
      </c>
      <c r="L1301" s="473" t="s">
        <v>570</v>
      </c>
      <c r="M1301" s="473" t="s">
        <v>820</v>
      </c>
      <c r="N1301" s="466" t="s">
        <v>3663</v>
      </c>
      <c r="O1301" s="490" t="s">
        <v>3663</v>
      </c>
    </row>
    <row r="1302" spans="1:15" s="475" customFormat="1" ht="12" hidden="1">
      <c r="A1302" s="465">
        <v>10131000025778</v>
      </c>
      <c r="B1302" s="484" t="s">
        <v>3665</v>
      </c>
      <c r="C1302" s="484" t="s">
        <v>3666</v>
      </c>
      <c r="D1302" s="467" t="s">
        <v>571</v>
      </c>
      <c r="E1302" s="472" t="s">
        <v>2541</v>
      </c>
      <c r="F1302" s="477">
        <v>174.49111679999999</v>
      </c>
      <c r="G1302" s="469" t="s">
        <v>2472</v>
      </c>
      <c r="H1302" s="470">
        <v>267.39999999999998</v>
      </c>
      <c r="I1302" s="471">
        <v>409.78466132099993</v>
      </c>
      <c r="J1302" s="485" t="s">
        <v>421</v>
      </c>
      <c r="K1302" s="472" t="s">
        <v>651</v>
      </c>
      <c r="L1302" s="473" t="s">
        <v>570</v>
      </c>
      <c r="M1302" s="473" t="s">
        <v>820</v>
      </c>
      <c r="N1302" s="473" t="s">
        <v>3665</v>
      </c>
      <c r="O1302" s="474" t="s">
        <v>3665</v>
      </c>
    </row>
    <row r="1303" spans="1:15" s="475" customFormat="1" ht="12" hidden="1">
      <c r="A1303" s="465">
        <v>10131000016667</v>
      </c>
      <c r="B1303" s="476" t="s">
        <v>3667</v>
      </c>
      <c r="C1303" s="476" t="s">
        <v>3668</v>
      </c>
      <c r="D1303" s="467" t="s">
        <v>3292</v>
      </c>
      <c r="E1303" s="472" t="s">
        <v>2715</v>
      </c>
      <c r="F1303" s="477">
        <v>0</v>
      </c>
      <c r="G1303" s="469" t="s">
        <v>2472</v>
      </c>
      <c r="H1303" s="470">
        <v>1E-8</v>
      </c>
      <c r="I1303" s="471">
        <v>1.3280192891666669E-8</v>
      </c>
      <c r="J1303" s="485" t="s">
        <v>421</v>
      </c>
      <c r="K1303" s="472" t="s">
        <v>601</v>
      </c>
      <c r="L1303" s="473" t="s">
        <v>570</v>
      </c>
      <c r="M1303" s="473" t="s">
        <v>820</v>
      </c>
      <c r="N1303" s="473" t="s">
        <v>3667</v>
      </c>
      <c r="O1303" s="474" t="s">
        <v>3667</v>
      </c>
    </row>
    <row r="1304" spans="1:15" s="475" customFormat="1" ht="12" hidden="1">
      <c r="A1304" s="465">
        <v>10131000016751</v>
      </c>
      <c r="B1304" s="476" t="s">
        <v>3667</v>
      </c>
      <c r="C1304" s="476" t="s">
        <v>3669</v>
      </c>
      <c r="D1304" s="467" t="s">
        <v>3292</v>
      </c>
      <c r="E1304" s="472" t="s">
        <v>2874</v>
      </c>
      <c r="F1304" s="477">
        <v>0</v>
      </c>
      <c r="G1304" s="469" t="s">
        <v>2472</v>
      </c>
      <c r="H1304" s="470">
        <v>1E-8</v>
      </c>
      <c r="I1304" s="471">
        <v>1.0827050375000001E-8</v>
      </c>
      <c r="J1304" s="485" t="s">
        <v>421</v>
      </c>
      <c r="K1304" s="472" t="s">
        <v>637</v>
      </c>
      <c r="L1304" s="473" t="s">
        <v>570</v>
      </c>
      <c r="M1304" s="473" t="s">
        <v>820</v>
      </c>
      <c r="N1304" s="473" t="s">
        <v>3667</v>
      </c>
      <c r="O1304" s="474" t="s">
        <v>3667</v>
      </c>
    </row>
    <row r="1305" spans="1:15" s="475" customFormat="1" ht="12" hidden="1">
      <c r="A1305" s="465">
        <v>10131000016649</v>
      </c>
      <c r="B1305" s="476" t="s">
        <v>3667</v>
      </c>
      <c r="C1305" s="476" t="s">
        <v>3670</v>
      </c>
      <c r="D1305" s="467" t="s">
        <v>3292</v>
      </c>
      <c r="E1305" s="472" t="s">
        <v>2519</v>
      </c>
      <c r="F1305" s="477">
        <v>15.690804024896</v>
      </c>
      <c r="G1305" s="469" t="s">
        <v>2472</v>
      </c>
      <c r="H1305" s="470">
        <v>69.45</v>
      </c>
      <c r="I1305" s="471">
        <v>21.423029677500001</v>
      </c>
      <c r="J1305" s="485" t="s">
        <v>421</v>
      </c>
      <c r="K1305" s="472" t="s">
        <v>621</v>
      </c>
      <c r="L1305" s="473" t="s">
        <v>570</v>
      </c>
      <c r="M1305" s="473" t="s">
        <v>820</v>
      </c>
      <c r="N1305" s="473" t="s">
        <v>3667</v>
      </c>
      <c r="O1305" s="474" t="s">
        <v>3667</v>
      </c>
    </row>
    <row r="1306" spans="1:15" s="475" customFormat="1" ht="12" hidden="1">
      <c r="A1306" s="465">
        <v>10131000016643</v>
      </c>
      <c r="B1306" s="476" t="s">
        <v>3667</v>
      </c>
      <c r="C1306" s="476" t="s">
        <v>3671</v>
      </c>
      <c r="D1306" s="467" t="s">
        <v>3292</v>
      </c>
      <c r="E1306" s="472" t="s">
        <v>2801</v>
      </c>
      <c r="F1306" s="477">
        <v>23.29883872668</v>
      </c>
      <c r="G1306" s="469" t="s">
        <v>2472</v>
      </c>
      <c r="H1306" s="470">
        <v>640.74</v>
      </c>
      <c r="I1306" s="471">
        <v>32.856238417099995</v>
      </c>
      <c r="J1306" s="485" t="s">
        <v>421</v>
      </c>
      <c r="K1306" s="472" t="s">
        <v>587</v>
      </c>
      <c r="L1306" s="473" t="s">
        <v>570</v>
      </c>
      <c r="M1306" s="473" t="s">
        <v>820</v>
      </c>
      <c r="N1306" s="473" t="s">
        <v>3667</v>
      </c>
      <c r="O1306" s="474" t="s">
        <v>3667</v>
      </c>
    </row>
    <row r="1307" spans="1:15" s="475" customFormat="1" ht="12" hidden="1">
      <c r="A1307" s="465">
        <v>10131000016665</v>
      </c>
      <c r="B1307" s="476" t="s">
        <v>3667</v>
      </c>
      <c r="C1307" s="476" t="s">
        <v>3672</v>
      </c>
      <c r="D1307" s="467" t="s">
        <v>3292</v>
      </c>
      <c r="E1307" s="472" t="s">
        <v>2715</v>
      </c>
      <c r="F1307" s="477">
        <v>27.746104320000004</v>
      </c>
      <c r="G1307" s="469" t="s">
        <v>2472</v>
      </c>
      <c r="H1307" s="470">
        <v>18.96</v>
      </c>
      <c r="I1307" s="471">
        <v>25.179245722600005</v>
      </c>
      <c r="J1307" s="485" t="s">
        <v>421</v>
      </c>
      <c r="K1307" s="472" t="s">
        <v>597</v>
      </c>
      <c r="L1307" s="473" t="s">
        <v>570</v>
      </c>
      <c r="M1307" s="473" t="s">
        <v>820</v>
      </c>
      <c r="N1307" s="473" t="s">
        <v>3667</v>
      </c>
      <c r="O1307" s="474" t="s">
        <v>3667</v>
      </c>
    </row>
    <row r="1308" spans="1:15" s="475" customFormat="1" ht="12" hidden="1">
      <c r="A1308" s="465">
        <v>10131000016659</v>
      </c>
      <c r="B1308" s="476" t="s">
        <v>3667</v>
      </c>
      <c r="C1308" s="476" t="s">
        <v>3667</v>
      </c>
      <c r="D1308" s="467" t="s">
        <v>3292</v>
      </c>
      <c r="E1308" s="472" t="s">
        <v>2541</v>
      </c>
      <c r="F1308" s="477">
        <v>36.418514880000004</v>
      </c>
      <c r="G1308" s="469" t="s">
        <v>2472</v>
      </c>
      <c r="H1308" s="470">
        <v>19.71</v>
      </c>
      <c r="I1308" s="471">
        <v>30.205144632149999</v>
      </c>
      <c r="J1308" s="485" t="s">
        <v>421</v>
      </c>
      <c r="K1308" s="472" t="s">
        <v>651</v>
      </c>
      <c r="L1308" s="473" t="s">
        <v>570</v>
      </c>
      <c r="M1308" s="473" t="s">
        <v>820</v>
      </c>
      <c r="N1308" s="473" t="s">
        <v>3667</v>
      </c>
      <c r="O1308" s="474" t="s">
        <v>3667</v>
      </c>
    </row>
    <row r="1309" spans="1:15" s="475" customFormat="1" ht="12" hidden="1">
      <c r="A1309" s="465">
        <v>10131000016660</v>
      </c>
      <c r="B1309" s="476" t="s">
        <v>3667</v>
      </c>
      <c r="C1309" s="476" t="s">
        <v>3667</v>
      </c>
      <c r="D1309" s="467" t="s">
        <v>3292</v>
      </c>
      <c r="E1309" s="472" t="s">
        <v>2541</v>
      </c>
      <c r="F1309" s="477">
        <v>36.418514880000004</v>
      </c>
      <c r="G1309" s="469" t="s">
        <v>2472</v>
      </c>
      <c r="H1309" s="470">
        <v>19.71</v>
      </c>
      <c r="I1309" s="471">
        <v>30.205144632149999</v>
      </c>
      <c r="J1309" s="485" t="s">
        <v>421</v>
      </c>
      <c r="K1309" s="472" t="s">
        <v>651</v>
      </c>
      <c r="L1309" s="473" t="s">
        <v>570</v>
      </c>
      <c r="M1309" s="473" t="s">
        <v>820</v>
      </c>
      <c r="N1309" s="473" t="s">
        <v>3667</v>
      </c>
      <c r="O1309" s="474" t="s">
        <v>3667</v>
      </c>
    </row>
    <row r="1310" spans="1:15" s="475" customFormat="1" ht="12" hidden="1">
      <c r="A1310" s="465">
        <v>10131000039376</v>
      </c>
      <c r="B1310" s="476" t="s">
        <v>3667</v>
      </c>
      <c r="C1310" s="476" t="s">
        <v>3667</v>
      </c>
      <c r="D1310" s="467" t="s">
        <v>3292</v>
      </c>
      <c r="E1310" s="472" t="s">
        <v>2491</v>
      </c>
      <c r="F1310" s="477">
        <v>36.581600000000002</v>
      </c>
      <c r="G1310" s="469" t="s">
        <v>2472</v>
      </c>
      <c r="H1310" s="470">
        <v>30.21</v>
      </c>
      <c r="I1310" s="471">
        <v>30.21</v>
      </c>
      <c r="J1310" s="485" t="s">
        <v>421</v>
      </c>
      <c r="K1310" s="472" t="s">
        <v>651</v>
      </c>
      <c r="L1310" s="473" t="s">
        <v>570</v>
      </c>
      <c r="M1310" s="473" t="s">
        <v>820</v>
      </c>
      <c r="N1310" s="473" t="s">
        <v>3667</v>
      </c>
      <c r="O1310" s="474" t="s">
        <v>3667</v>
      </c>
    </row>
    <row r="1311" spans="1:15" s="475" customFormat="1" ht="12" hidden="1">
      <c r="A1311" s="465">
        <v>10131000016645</v>
      </c>
      <c r="B1311" s="476" t="s">
        <v>3667</v>
      </c>
      <c r="C1311" s="476" t="s">
        <v>3673</v>
      </c>
      <c r="D1311" s="467" t="s">
        <v>3292</v>
      </c>
      <c r="E1311" s="472" t="s">
        <v>2706</v>
      </c>
      <c r="F1311" s="477">
        <v>40.472634328896</v>
      </c>
      <c r="G1311" s="469" t="s">
        <v>2472</v>
      </c>
      <c r="H1311" s="470">
        <v>12907.37</v>
      </c>
      <c r="I1311" s="471">
        <v>56.560945075191654</v>
      </c>
      <c r="J1311" s="485" t="s">
        <v>421</v>
      </c>
      <c r="K1311" s="472" t="s">
        <v>595</v>
      </c>
      <c r="L1311" s="473" t="s">
        <v>570</v>
      </c>
      <c r="M1311" s="473" t="s">
        <v>820</v>
      </c>
      <c r="N1311" s="473" t="s">
        <v>3667</v>
      </c>
      <c r="O1311" s="474" t="s">
        <v>3667</v>
      </c>
    </row>
    <row r="1312" spans="1:15" s="475" customFormat="1" ht="12" hidden="1">
      <c r="A1312" s="465">
        <v>10131000016651</v>
      </c>
      <c r="B1312" s="476" t="s">
        <v>3667</v>
      </c>
      <c r="C1312" s="476" t="s">
        <v>3674</v>
      </c>
      <c r="D1312" s="467" t="s">
        <v>3292</v>
      </c>
      <c r="E1312" s="472" t="s">
        <v>2718</v>
      </c>
      <c r="F1312" s="477">
        <v>41.904306668928008</v>
      </c>
      <c r="G1312" s="469" t="s">
        <v>2472</v>
      </c>
      <c r="H1312" s="470">
        <v>3060.92</v>
      </c>
      <c r="I1312" s="471">
        <v>89.213265677233338</v>
      </c>
      <c r="J1312" s="485" t="s">
        <v>421</v>
      </c>
      <c r="K1312" s="472" t="s">
        <v>625</v>
      </c>
      <c r="L1312" s="473" t="s">
        <v>570</v>
      </c>
      <c r="M1312" s="473" t="s">
        <v>820</v>
      </c>
      <c r="N1312" s="473" t="s">
        <v>3667</v>
      </c>
      <c r="O1312" s="474" t="s">
        <v>3667</v>
      </c>
    </row>
    <row r="1313" spans="1:15" s="475" customFormat="1" ht="12" hidden="1">
      <c r="A1313" s="465">
        <v>10131000016664</v>
      </c>
      <c r="B1313" s="476" t="s">
        <v>3667</v>
      </c>
      <c r="C1313" s="476" t="s">
        <v>3675</v>
      </c>
      <c r="D1313" s="467" t="s">
        <v>3292</v>
      </c>
      <c r="E1313" s="472" t="s">
        <v>2715</v>
      </c>
      <c r="F1313" s="477">
        <v>47.784957440000007</v>
      </c>
      <c r="G1313" s="469" t="s">
        <v>2472</v>
      </c>
      <c r="H1313" s="470">
        <v>34.68</v>
      </c>
      <c r="I1313" s="471">
        <v>46.055708948300008</v>
      </c>
      <c r="J1313" s="485" t="s">
        <v>421</v>
      </c>
      <c r="K1313" s="472" t="s">
        <v>593</v>
      </c>
      <c r="L1313" s="473" t="s">
        <v>570</v>
      </c>
      <c r="M1313" s="473" t="s">
        <v>820</v>
      </c>
      <c r="N1313" s="473" t="s">
        <v>3667</v>
      </c>
      <c r="O1313" s="474" t="s">
        <v>3667</v>
      </c>
    </row>
    <row r="1314" spans="1:15" s="475" customFormat="1" ht="12" hidden="1">
      <c r="A1314" s="465">
        <v>10131000020854</v>
      </c>
      <c r="B1314" s="466" t="s">
        <v>3667</v>
      </c>
      <c r="C1314" s="466" t="s">
        <v>3667</v>
      </c>
      <c r="D1314" s="467" t="s">
        <v>3292</v>
      </c>
      <c r="E1314" s="468" t="s">
        <v>2491</v>
      </c>
      <c r="F1314" s="477">
        <v>61.6</v>
      </c>
      <c r="G1314" s="469" t="s">
        <v>2472</v>
      </c>
      <c r="H1314" s="470">
        <v>45</v>
      </c>
      <c r="I1314" s="471">
        <v>45</v>
      </c>
      <c r="J1314" s="472" t="s">
        <v>423</v>
      </c>
      <c r="K1314" s="472" t="s">
        <v>534</v>
      </c>
      <c r="L1314" s="473" t="s">
        <v>570</v>
      </c>
      <c r="M1314" s="473" t="s">
        <v>820</v>
      </c>
      <c r="N1314" s="473" t="s">
        <v>3667</v>
      </c>
      <c r="O1314" s="474" t="s">
        <v>3667</v>
      </c>
    </row>
    <row r="1315" spans="1:15" s="475" customFormat="1" ht="12" hidden="1">
      <c r="A1315" s="465">
        <v>10131000016687</v>
      </c>
      <c r="B1315" s="476" t="s">
        <v>3667</v>
      </c>
      <c r="C1315" s="476" t="s">
        <v>3667</v>
      </c>
      <c r="D1315" s="467" t="s">
        <v>3292</v>
      </c>
      <c r="E1315" s="472" t="s">
        <v>2541</v>
      </c>
      <c r="F1315" s="477">
        <v>104.10572832000001</v>
      </c>
      <c r="G1315" s="469" t="s">
        <v>2472</v>
      </c>
      <c r="H1315" s="470">
        <v>67.36</v>
      </c>
      <c r="I1315" s="471">
        <v>103.2277291944</v>
      </c>
      <c r="J1315" s="485" t="s">
        <v>421</v>
      </c>
      <c r="K1315" s="472" t="s">
        <v>651</v>
      </c>
      <c r="L1315" s="473" t="s">
        <v>570</v>
      </c>
      <c r="M1315" s="473" t="s">
        <v>820</v>
      </c>
      <c r="N1315" s="473" t="s">
        <v>3667</v>
      </c>
      <c r="O1315" s="474" t="s">
        <v>3667</v>
      </c>
    </row>
    <row r="1316" spans="1:15" s="475" customFormat="1" ht="12" hidden="1">
      <c r="A1316" s="465">
        <v>10131000016688</v>
      </c>
      <c r="B1316" s="476" t="s">
        <v>3667</v>
      </c>
      <c r="C1316" s="476" t="s">
        <v>3667</v>
      </c>
      <c r="D1316" s="467" t="s">
        <v>3292</v>
      </c>
      <c r="E1316" s="472" t="s">
        <v>2541</v>
      </c>
      <c r="F1316" s="477">
        <v>104.10572832000001</v>
      </c>
      <c r="G1316" s="469" t="s">
        <v>2472</v>
      </c>
      <c r="H1316" s="470">
        <v>67.36</v>
      </c>
      <c r="I1316" s="471">
        <v>103.2277291944</v>
      </c>
      <c r="J1316" s="485" t="s">
        <v>421</v>
      </c>
      <c r="K1316" s="472" t="s">
        <v>651</v>
      </c>
      <c r="L1316" s="473" t="s">
        <v>570</v>
      </c>
      <c r="M1316" s="473" t="s">
        <v>820</v>
      </c>
      <c r="N1316" s="473" t="s">
        <v>3667</v>
      </c>
      <c r="O1316" s="474" t="s">
        <v>3667</v>
      </c>
    </row>
    <row r="1317" spans="1:15" s="475" customFormat="1" ht="12" hidden="1">
      <c r="A1317" s="465">
        <v>10131000039377</v>
      </c>
      <c r="B1317" s="476" t="s">
        <v>3667</v>
      </c>
      <c r="C1317" s="476" t="s">
        <v>3667</v>
      </c>
      <c r="D1317" s="467" t="s">
        <v>3292</v>
      </c>
      <c r="E1317" s="472" t="s">
        <v>2491</v>
      </c>
      <c r="F1317" s="477">
        <v>104.57040000000001</v>
      </c>
      <c r="G1317" s="469" t="s">
        <v>2472</v>
      </c>
      <c r="H1317" s="470">
        <v>103.22</v>
      </c>
      <c r="I1317" s="471">
        <v>103.22</v>
      </c>
      <c r="J1317" s="485" t="s">
        <v>421</v>
      </c>
      <c r="K1317" s="472" t="s">
        <v>651</v>
      </c>
      <c r="L1317" s="473" t="s">
        <v>570</v>
      </c>
      <c r="M1317" s="473" t="s">
        <v>820</v>
      </c>
      <c r="N1317" s="473" t="s">
        <v>3667</v>
      </c>
      <c r="O1317" s="474" t="s">
        <v>3667</v>
      </c>
    </row>
    <row r="1318" spans="1:15" s="475" customFormat="1" ht="12" hidden="1">
      <c r="A1318" s="465">
        <v>10131000016741</v>
      </c>
      <c r="B1318" s="476" t="s">
        <v>3667</v>
      </c>
      <c r="C1318" s="476" t="s">
        <v>3667</v>
      </c>
      <c r="D1318" s="467" t="s">
        <v>3292</v>
      </c>
      <c r="E1318" s="472" t="s">
        <v>2541</v>
      </c>
      <c r="F1318" s="477">
        <v>186.42061151999999</v>
      </c>
      <c r="G1318" s="469" t="s">
        <v>2472</v>
      </c>
      <c r="H1318" s="470">
        <v>1E-8</v>
      </c>
      <c r="I1318" s="471">
        <v>1.5324781650000001E-8</v>
      </c>
      <c r="J1318" s="485" t="s">
        <v>421</v>
      </c>
      <c r="K1318" s="472" t="s">
        <v>651</v>
      </c>
      <c r="L1318" s="473" t="s">
        <v>570</v>
      </c>
      <c r="M1318" s="473" t="s">
        <v>820</v>
      </c>
      <c r="N1318" s="473" t="s">
        <v>3667</v>
      </c>
      <c r="O1318" s="474" t="s">
        <v>3667</v>
      </c>
    </row>
    <row r="1319" spans="1:15" s="475" customFormat="1" ht="12" hidden="1">
      <c r="A1319" s="465">
        <v>10131000016962</v>
      </c>
      <c r="B1319" s="476" t="s">
        <v>3667</v>
      </c>
      <c r="C1319" s="476" t="s">
        <v>3667</v>
      </c>
      <c r="D1319" s="467" t="s">
        <v>3292</v>
      </c>
      <c r="E1319" s="472" t="s">
        <v>2541</v>
      </c>
      <c r="F1319" s="477">
        <v>186.42061151999999</v>
      </c>
      <c r="G1319" s="469" t="s">
        <v>2472</v>
      </c>
      <c r="H1319" s="470">
        <v>1E-8</v>
      </c>
      <c r="I1319" s="471">
        <v>1.5324781650000001E-8</v>
      </c>
      <c r="J1319" s="485" t="s">
        <v>421</v>
      </c>
      <c r="K1319" s="472" t="s">
        <v>651</v>
      </c>
      <c r="L1319" s="473" t="s">
        <v>570</v>
      </c>
      <c r="M1319" s="473" t="s">
        <v>820</v>
      </c>
      <c r="N1319" s="473" t="s">
        <v>3291</v>
      </c>
      <c r="O1319" s="474" t="s">
        <v>3291</v>
      </c>
    </row>
    <row r="1320" spans="1:15" s="475" customFormat="1" ht="12" hidden="1">
      <c r="A1320" s="465">
        <v>10131000039378</v>
      </c>
      <c r="B1320" s="476" t="s">
        <v>3667</v>
      </c>
      <c r="C1320" s="476" t="s">
        <v>3667</v>
      </c>
      <c r="D1320" s="467" t="s">
        <v>3292</v>
      </c>
      <c r="E1320" s="472" t="s">
        <v>2491</v>
      </c>
      <c r="F1320" s="477">
        <v>187.27279999999999</v>
      </c>
      <c r="G1320" s="469" t="s">
        <v>2472</v>
      </c>
      <c r="H1320" s="470">
        <v>1E-8</v>
      </c>
      <c r="I1320" s="471">
        <v>1E-8</v>
      </c>
      <c r="J1320" s="485" t="s">
        <v>421</v>
      </c>
      <c r="K1320" s="472" t="s">
        <v>651</v>
      </c>
      <c r="L1320" s="473" t="s">
        <v>570</v>
      </c>
      <c r="M1320" s="473" t="s">
        <v>820</v>
      </c>
      <c r="N1320" s="473" t="s">
        <v>3667</v>
      </c>
      <c r="O1320" s="474" t="s">
        <v>3667</v>
      </c>
    </row>
    <row r="1321" spans="1:15" s="475" customFormat="1" ht="12" hidden="1">
      <c r="A1321" s="465">
        <v>10131000016672</v>
      </c>
      <c r="B1321" s="476" t="s">
        <v>3667</v>
      </c>
      <c r="C1321" s="476" t="s">
        <v>3669</v>
      </c>
      <c r="D1321" s="467" t="s">
        <v>3292</v>
      </c>
      <c r="E1321" s="472" t="s">
        <v>2874</v>
      </c>
      <c r="F1321" s="477">
        <v>225.16691338319202</v>
      </c>
      <c r="G1321" s="469" t="s">
        <v>2472</v>
      </c>
      <c r="H1321" s="470">
        <v>514.20000000000005</v>
      </c>
      <c r="I1321" s="471">
        <v>556.72693028250001</v>
      </c>
      <c r="J1321" s="485" t="s">
        <v>421</v>
      </c>
      <c r="K1321" s="472" t="s">
        <v>637</v>
      </c>
      <c r="L1321" s="473" t="s">
        <v>570</v>
      </c>
      <c r="M1321" s="473" t="s">
        <v>820</v>
      </c>
      <c r="N1321" s="473" t="s">
        <v>3667</v>
      </c>
      <c r="O1321" s="474" t="s">
        <v>3667</v>
      </c>
    </row>
    <row r="1322" spans="1:15" s="475" customFormat="1" ht="12" hidden="1">
      <c r="A1322" s="465">
        <v>10131000016677</v>
      </c>
      <c r="B1322" s="476" t="s">
        <v>3667</v>
      </c>
      <c r="C1322" s="476" t="s">
        <v>3676</v>
      </c>
      <c r="D1322" s="467" t="s">
        <v>3292</v>
      </c>
      <c r="E1322" s="472" t="s">
        <v>2715</v>
      </c>
      <c r="F1322" s="477" t="s">
        <v>2472</v>
      </c>
      <c r="G1322" s="469" t="s">
        <v>2472</v>
      </c>
      <c r="H1322" s="470">
        <v>1E-8</v>
      </c>
      <c r="I1322" s="471">
        <v>1.3280192891666669E-8</v>
      </c>
      <c r="J1322" s="485" t="s">
        <v>421</v>
      </c>
      <c r="K1322" s="472" t="s">
        <v>2779</v>
      </c>
      <c r="L1322" s="473" t="s">
        <v>570</v>
      </c>
      <c r="M1322" s="473" t="s">
        <v>820</v>
      </c>
      <c r="N1322" s="473" t="s">
        <v>3667</v>
      </c>
      <c r="O1322" s="474" t="s">
        <v>3667</v>
      </c>
    </row>
    <row r="1323" spans="1:15" s="475" customFormat="1" ht="12" hidden="1">
      <c r="A1323" s="465">
        <v>10131000058313</v>
      </c>
      <c r="B1323" s="476" t="s">
        <v>3667</v>
      </c>
      <c r="C1323" s="476" t="s">
        <v>3670</v>
      </c>
      <c r="D1323" s="467" t="s">
        <v>3292</v>
      </c>
      <c r="E1323" s="472" t="s">
        <v>2519</v>
      </c>
      <c r="F1323" s="477" t="s">
        <v>2472</v>
      </c>
      <c r="G1323" s="469" t="s">
        <v>2472</v>
      </c>
      <c r="H1323" s="470">
        <v>1E-8</v>
      </c>
      <c r="I1323" s="471">
        <v>3.0846695000000001E-9</v>
      </c>
      <c r="J1323" s="485" t="s">
        <v>421</v>
      </c>
      <c r="K1323" s="472" t="s">
        <v>621</v>
      </c>
      <c r="L1323" s="473" t="s">
        <v>570</v>
      </c>
      <c r="M1323" s="473" t="s">
        <v>820</v>
      </c>
      <c r="N1323" s="473" t="s">
        <v>3667</v>
      </c>
      <c r="O1323" s="474" t="s">
        <v>3667</v>
      </c>
    </row>
    <row r="1324" spans="1:15" s="475" customFormat="1" ht="12" hidden="1">
      <c r="A1324" s="465">
        <v>10131000016655</v>
      </c>
      <c r="B1324" s="476" t="s">
        <v>3667</v>
      </c>
      <c r="C1324" s="476" t="s">
        <v>3677</v>
      </c>
      <c r="D1324" s="467" t="s">
        <v>3292</v>
      </c>
      <c r="E1324" s="472" t="s">
        <v>2833</v>
      </c>
      <c r="F1324" s="477" t="s">
        <v>2472</v>
      </c>
      <c r="G1324" s="469" t="s">
        <v>2472</v>
      </c>
      <c r="H1324" s="470">
        <v>1E-8</v>
      </c>
      <c r="I1324" s="471">
        <v>9.6662435833333333E-10</v>
      </c>
      <c r="J1324" s="485" t="s">
        <v>421</v>
      </c>
      <c r="K1324" s="472" t="s">
        <v>631</v>
      </c>
      <c r="L1324" s="473" t="s">
        <v>570</v>
      </c>
      <c r="M1324" s="473" t="s">
        <v>820</v>
      </c>
      <c r="N1324" s="473" t="s">
        <v>3667</v>
      </c>
      <c r="O1324" s="474" t="s">
        <v>3667</v>
      </c>
    </row>
    <row r="1325" spans="1:15" s="475" customFormat="1" ht="12" hidden="1">
      <c r="A1325" s="465">
        <v>10131000057870</v>
      </c>
      <c r="B1325" s="466" t="s">
        <v>3678</v>
      </c>
      <c r="C1325" s="466" t="s">
        <v>3679</v>
      </c>
      <c r="D1325" s="467" t="s">
        <v>1984</v>
      </c>
      <c r="E1325" s="468" t="s">
        <v>2619</v>
      </c>
      <c r="F1325" s="477">
        <v>2.7295285325000003</v>
      </c>
      <c r="G1325" s="469" t="s">
        <v>2472</v>
      </c>
      <c r="H1325" s="470">
        <v>2.69</v>
      </c>
      <c r="I1325" s="471">
        <v>2.69</v>
      </c>
      <c r="J1325" s="472" t="s">
        <v>423</v>
      </c>
      <c r="K1325" s="472" t="s">
        <v>2620</v>
      </c>
      <c r="L1325" s="473" t="s">
        <v>2474</v>
      </c>
      <c r="M1325" s="473" t="s">
        <v>1835</v>
      </c>
      <c r="N1325" s="473" t="s">
        <v>1976</v>
      </c>
      <c r="O1325" s="474" t="s">
        <v>3678</v>
      </c>
    </row>
    <row r="1326" spans="1:15" s="475" customFormat="1" ht="12" hidden="1">
      <c r="A1326" s="465">
        <v>10131000056421</v>
      </c>
      <c r="B1326" s="466" t="s">
        <v>3678</v>
      </c>
      <c r="C1326" s="466" t="s">
        <v>3678</v>
      </c>
      <c r="D1326" s="467" t="s">
        <v>1984</v>
      </c>
      <c r="E1326" s="468" t="s">
        <v>2491</v>
      </c>
      <c r="F1326" s="477">
        <v>2.75</v>
      </c>
      <c r="G1326" s="469" t="s">
        <v>2472</v>
      </c>
      <c r="H1326" s="470">
        <v>2.69</v>
      </c>
      <c r="I1326" s="471">
        <v>2.69</v>
      </c>
      <c r="J1326" s="472" t="s">
        <v>423</v>
      </c>
      <c r="K1326" s="472" t="s">
        <v>534</v>
      </c>
      <c r="L1326" s="473" t="s">
        <v>2474</v>
      </c>
      <c r="M1326" s="473" t="s">
        <v>1835</v>
      </c>
      <c r="N1326" s="473" t="s">
        <v>1976</v>
      </c>
      <c r="O1326" s="474" t="s">
        <v>3678</v>
      </c>
    </row>
    <row r="1327" spans="1:15" s="475" customFormat="1" ht="12" hidden="1">
      <c r="A1327" s="465">
        <v>1000099139</v>
      </c>
      <c r="B1327" s="466" t="s">
        <v>3678</v>
      </c>
      <c r="C1327" s="466" t="s">
        <v>3678</v>
      </c>
      <c r="D1327" s="467" t="s">
        <v>1984</v>
      </c>
      <c r="E1327" s="468" t="s">
        <v>2471</v>
      </c>
      <c r="F1327" s="477" t="s">
        <v>2472</v>
      </c>
      <c r="G1327" s="469" t="s">
        <v>2472</v>
      </c>
      <c r="H1327" s="470">
        <v>700</v>
      </c>
      <c r="I1327" s="471">
        <v>54.054054054054056</v>
      </c>
      <c r="J1327" s="472" t="s">
        <v>422</v>
      </c>
      <c r="K1327" s="472" t="s">
        <v>2473</v>
      </c>
      <c r="L1327" s="473" t="s">
        <v>2474</v>
      </c>
      <c r="M1327" s="473" t="s">
        <v>1835</v>
      </c>
      <c r="N1327" s="473" t="s">
        <v>1976</v>
      </c>
      <c r="O1327" s="474" t="s">
        <v>3678</v>
      </c>
    </row>
    <row r="1328" spans="1:15" s="475" customFormat="1" ht="12" hidden="1">
      <c r="A1328" s="465">
        <v>1000099176</v>
      </c>
      <c r="B1328" s="466" t="s">
        <v>3678</v>
      </c>
      <c r="C1328" s="466" t="s">
        <v>3680</v>
      </c>
      <c r="D1328" s="467" t="s">
        <v>1984</v>
      </c>
      <c r="E1328" s="468" t="s">
        <v>2471</v>
      </c>
      <c r="F1328" s="477" t="s">
        <v>2472</v>
      </c>
      <c r="G1328" s="469" t="s">
        <v>2472</v>
      </c>
      <c r="H1328" s="470">
        <v>763</v>
      </c>
      <c r="I1328" s="471">
        <v>58.918918918918919</v>
      </c>
      <c r="J1328" s="472" t="s">
        <v>422</v>
      </c>
      <c r="K1328" s="472" t="s">
        <v>2473</v>
      </c>
      <c r="L1328" s="473" t="s">
        <v>2474</v>
      </c>
      <c r="M1328" s="473" t="s">
        <v>1835</v>
      </c>
      <c r="N1328" s="473" t="s">
        <v>1976</v>
      </c>
      <c r="O1328" s="474" t="s">
        <v>3678</v>
      </c>
    </row>
    <row r="1329" spans="1:15" s="475" customFormat="1" ht="12" hidden="1">
      <c r="A1329" s="465">
        <v>1000099067</v>
      </c>
      <c r="B1329" s="466" t="s">
        <v>777</v>
      </c>
      <c r="C1329" s="466" t="s">
        <v>777</v>
      </c>
      <c r="D1329" s="467" t="s">
        <v>571</v>
      </c>
      <c r="E1329" s="468" t="s">
        <v>2471</v>
      </c>
      <c r="F1329" s="477" t="s">
        <v>2472</v>
      </c>
      <c r="G1329" s="469" t="s">
        <v>2472</v>
      </c>
      <c r="H1329" s="470">
        <v>46.76</v>
      </c>
      <c r="I1329" s="471">
        <v>3.6108108108108108</v>
      </c>
      <c r="J1329" s="472" t="s">
        <v>422</v>
      </c>
      <c r="K1329" s="472" t="s">
        <v>2473</v>
      </c>
      <c r="L1329" s="473" t="s">
        <v>570</v>
      </c>
      <c r="M1329" s="473" t="s">
        <v>571</v>
      </c>
      <c r="N1329" s="473" t="s">
        <v>3296</v>
      </c>
      <c r="O1329" s="474" t="s">
        <v>3296</v>
      </c>
    </row>
    <row r="1330" spans="1:15" s="475" customFormat="1" ht="12" hidden="1">
      <c r="A1330" s="465">
        <v>1000099075</v>
      </c>
      <c r="B1330" s="466" t="s">
        <v>777</v>
      </c>
      <c r="C1330" s="466" t="s">
        <v>777</v>
      </c>
      <c r="D1330" s="467" t="s">
        <v>571</v>
      </c>
      <c r="E1330" s="468" t="s">
        <v>2471</v>
      </c>
      <c r="F1330" s="477" t="s">
        <v>2472</v>
      </c>
      <c r="G1330" s="469" t="s">
        <v>2472</v>
      </c>
      <c r="H1330" s="470">
        <v>55.635899999999999</v>
      </c>
      <c r="I1330" s="471">
        <v>4.2962084942084946</v>
      </c>
      <c r="J1330" s="472" t="s">
        <v>422</v>
      </c>
      <c r="K1330" s="472" t="s">
        <v>2473</v>
      </c>
      <c r="L1330" s="473" t="s">
        <v>570</v>
      </c>
      <c r="M1330" s="473" t="s">
        <v>571</v>
      </c>
      <c r="N1330" s="473" t="s">
        <v>3296</v>
      </c>
      <c r="O1330" s="474" t="s">
        <v>3296</v>
      </c>
    </row>
    <row r="1331" spans="1:15" s="475" customFormat="1" ht="12" hidden="1">
      <c r="A1331" s="465">
        <v>10131000025779</v>
      </c>
      <c r="B1331" s="476" t="s">
        <v>1905</v>
      </c>
      <c r="C1331" s="476" t="s">
        <v>3681</v>
      </c>
      <c r="D1331" s="467" t="s">
        <v>1045</v>
      </c>
      <c r="E1331" s="472" t="s">
        <v>2541</v>
      </c>
      <c r="F1331" s="477">
        <v>0</v>
      </c>
      <c r="G1331" s="469" t="s">
        <v>2472</v>
      </c>
      <c r="H1331" s="470">
        <v>1E-8</v>
      </c>
      <c r="I1331" s="471">
        <v>1.5324781650000001E-8</v>
      </c>
      <c r="J1331" s="485" t="s">
        <v>421</v>
      </c>
      <c r="K1331" s="472" t="s">
        <v>651</v>
      </c>
      <c r="L1331" s="473" t="s">
        <v>2474</v>
      </c>
      <c r="M1331" s="473" t="s">
        <v>1835</v>
      </c>
      <c r="N1331" s="473" t="s">
        <v>1858</v>
      </c>
      <c r="O1331" s="474" t="s">
        <v>1905</v>
      </c>
    </row>
    <row r="1332" spans="1:15" s="475" customFormat="1" ht="12" hidden="1">
      <c r="A1332" s="465">
        <v>10131000056537</v>
      </c>
      <c r="B1332" s="466" t="s">
        <v>1905</v>
      </c>
      <c r="C1332" s="476" t="s">
        <v>3682</v>
      </c>
      <c r="D1332" s="467" t="s">
        <v>1862</v>
      </c>
      <c r="E1332" s="472" t="s">
        <v>2491</v>
      </c>
      <c r="F1332" s="477">
        <v>10.86</v>
      </c>
      <c r="G1332" s="469" t="s">
        <v>2472</v>
      </c>
      <c r="H1332" s="487">
        <v>9.41</v>
      </c>
      <c r="I1332" s="471">
        <v>9.41</v>
      </c>
      <c r="J1332" s="488" t="s">
        <v>2492</v>
      </c>
      <c r="K1332" s="472" t="s">
        <v>668</v>
      </c>
      <c r="L1332" s="473" t="s">
        <v>2474</v>
      </c>
      <c r="M1332" s="473" t="s">
        <v>1835</v>
      </c>
      <c r="N1332" s="473" t="s">
        <v>1858</v>
      </c>
      <c r="O1332" s="474" t="s">
        <v>1905</v>
      </c>
    </row>
    <row r="1333" spans="1:15" s="475" customFormat="1" ht="12" hidden="1">
      <c r="A1333" s="465">
        <v>10131000056523</v>
      </c>
      <c r="B1333" s="466" t="s">
        <v>1905</v>
      </c>
      <c r="C1333" s="476" t="s">
        <v>3683</v>
      </c>
      <c r="D1333" s="467" t="s">
        <v>1862</v>
      </c>
      <c r="E1333" s="472" t="s">
        <v>2491</v>
      </c>
      <c r="F1333" s="477">
        <v>11.21</v>
      </c>
      <c r="G1333" s="469" t="s">
        <v>2472</v>
      </c>
      <c r="H1333" s="487">
        <v>16.36</v>
      </c>
      <c r="I1333" s="471">
        <v>16.36</v>
      </c>
      <c r="J1333" s="488" t="s">
        <v>2492</v>
      </c>
      <c r="K1333" s="472" t="s">
        <v>660</v>
      </c>
      <c r="L1333" s="473" t="s">
        <v>2474</v>
      </c>
      <c r="M1333" s="473" t="s">
        <v>1835</v>
      </c>
      <c r="N1333" s="473" t="s">
        <v>1858</v>
      </c>
      <c r="O1333" s="474" t="s">
        <v>1905</v>
      </c>
    </row>
    <row r="1334" spans="1:15" s="475" customFormat="1" ht="12" hidden="1">
      <c r="A1334" s="465">
        <v>10131000056542</v>
      </c>
      <c r="B1334" s="466" t="s">
        <v>1905</v>
      </c>
      <c r="C1334" s="476" t="s">
        <v>3684</v>
      </c>
      <c r="D1334" s="467" t="s">
        <v>1862</v>
      </c>
      <c r="E1334" s="472" t="s">
        <v>2491</v>
      </c>
      <c r="F1334" s="477">
        <v>11.49</v>
      </c>
      <c r="G1334" s="469" t="s">
        <v>2472</v>
      </c>
      <c r="H1334" s="487">
        <v>9.89</v>
      </c>
      <c r="I1334" s="471">
        <v>9.89</v>
      </c>
      <c r="J1334" s="488" t="s">
        <v>2492</v>
      </c>
      <c r="K1334" s="472" t="s">
        <v>670</v>
      </c>
      <c r="L1334" s="473" t="s">
        <v>2474</v>
      </c>
      <c r="M1334" s="473" t="s">
        <v>1835</v>
      </c>
      <c r="N1334" s="473" t="s">
        <v>1858</v>
      </c>
      <c r="O1334" s="474" t="s">
        <v>1905</v>
      </c>
    </row>
    <row r="1335" spans="1:15" s="475" customFormat="1" ht="12" hidden="1">
      <c r="A1335" s="465">
        <v>10131000056519</v>
      </c>
      <c r="B1335" s="466" t="s">
        <v>1905</v>
      </c>
      <c r="C1335" s="476" t="s">
        <v>3685</v>
      </c>
      <c r="D1335" s="467" t="s">
        <v>1862</v>
      </c>
      <c r="E1335" s="472" t="s">
        <v>2491</v>
      </c>
      <c r="F1335" s="477">
        <v>12.56</v>
      </c>
      <c r="G1335" s="469" t="s">
        <v>2472</v>
      </c>
      <c r="H1335" s="487">
        <v>16.559999999999999</v>
      </c>
      <c r="I1335" s="471">
        <v>16.559999999999999</v>
      </c>
      <c r="J1335" s="488" t="s">
        <v>2492</v>
      </c>
      <c r="K1335" s="472" t="s">
        <v>658</v>
      </c>
      <c r="L1335" s="473" t="s">
        <v>2474</v>
      </c>
      <c r="M1335" s="473" t="s">
        <v>1835</v>
      </c>
      <c r="N1335" s="473" t="s">
        <v>1858</v>
      </c>
      <c r="O1335" s="474" t="s">
        <v>1905</v>
      </c>
    </row>
    <row r="1336" spans="1:15" s="475" customFormat="1" ht="12" hidden="1">
      <c r="A1336" s="465">
        <v>10131000056527</v>
      </c>
      <c r="B1336" s="466" t="s">
        <v>1905</v>
      </c>
      <c r="C1336" s="476" t="s">
        <v>3686</v>
      </c>
      <c r="D1336" s="467" t="s">
        <v>1862</v>
      </c>
      <c r="E1336" s="472" t="s">
        <v>2491</v>
      </c>
      <c r="F1336" s="477">
        <v>12.73</v>
      </c>
      <c r="G1336" s="469" t="s">
        <v>2472</v>
      </c>
      <c r="H1336" s="487">
        <v>22.84</v>
      </c>
      <c r="I1336" s="471">
        <v>22.84</v>
      </c>
      <c r="J1336" s="488" t="s">
        <v>2492</v>
      </c>
      <c r="K1336" s="472" t="s">
        <v>664</v>
      </c>
      <c r="L1336" s="473" t="s">
        <v>2474</v>
      </c>
      <c r="M1336" s="473" t="s">
        <v>1835</v>
      </c>
      <c r="N1336" s="473" t="s">
        <v>1858</v>
      </c>
      <c r="O1336" s="474" t="s">
        <v>1905</v>
      </c>
    </row>
    <row r="1337" spans="1:15" s="475" customFormat="1" ht="12" hidden="1">
      <c r="A1337" s="465">
        <v>10131000056554</v>
      </c>
      <c r="B1337" s="466" t="s">
        <v>1905</v>
      </c>
      <c r="C1337" s="476" t="s">
        <v>3687</v>
      </c>
      <c r="D1337" s="467" t="s">
        <v>1862</v>
      </c>
      <c r="E1337" s="472" t="s">
        <v>2491</v>
      </c>
      <c r="F1337" s="477">
        <v>16.7</v>
      </c>
      <c r="G1337" s="469" t="s">
        <v>2472</v>
      </c>
      <c r="H1337" s="487">
        <v>21.03</v>
      </c>
      <c r="I1337" s="471">
        <v>21.03</v>
      </c>
      <c r="J1337" s="488" t="s">
        <v>2492</v>
      </c>
      <c r="K1337" s="472" t="s">
        <v>672</v>
      </c>
      <c r="L1337" s="473" t="s">
        <v>2474</v>
      </c>
      <c r="M1337" s="473" t="s">
        <v>1835</v>
      </c>
      <c r="N1337" s="473" t="s">
        <v>1858</v>
      </c>
      <c r="O1337" s="474" t="s">
        <v>1905</v>
      </c>
    </row>
    <row r="1338" spans="1:15" s="475" customFormat="1" ht="12" hidden="1">
      <c r="A1338" s="465">
        <v>10131000037816</v>
      </c>
      <c r="B1338" s="476" t="s">
        <v>1905</v>
      </c>
      <c r="C1338" s="476" t="s">
        <v>3688</v>
      </c>
      <c r="D1338" s="467" t="s">
        <v>1862</v>
      </c>
      <c r="E1338" s="472" t="s">
        <v>2715</v>
      </c>
      <c r="F1338" s="477">
        <v>18.280669120000002</v>
      </c>
      <c r="G1338" s="469" t="s">
        <v>2472</v>
      </c>
      <c r="H1338" s="470">
        <v>15.01</v>
      </c>
      <c r="I1338" s="471">
        <v>19.933569530391669</v>
      </c>
      <c r="J1338" s="485" t="s">
        <v>421</v>
      </c>
      <c r="K1338" s="472" t="s">
        <v>611</v>
      </c>
      <c r="L1338" s="473" t="s">
        <v>2474</v>
      </c>
      <c r="M1338" s="473" t="s">
        <v>1835</v>
      </c>
      <c r="N1338" s="473" t="s">
        <v>1858</v>
      </c>
      <c r="O1338" s="474" t="s">
        <v>1905</v>
      </c>
    </row>
    <row r="1339" spans="1:15" s="475" customFormat="1" ht="12" hidden="1">
      <c r="A1339" s="465">
        <v>10131000037789</v>
      </c>
      <c r="B1339" s="476" t="s">
        <v>1905</v>
      </c>
      <c r="C1339" s="476" t="s">
        <v>3689</v>
      </c>
      <c r="D1339" s="467" t="s">
        <v>1862</v>
      </c>
      <c r="E1339" s="472" t="s">
        <v>2718</v>
      </c>
      <c r="F1339" s="477">
        <v>18.839099448679999</v>
      </c>
      <c r="G1339" s="469" t="s">
        <v>2472</v>
      </c>
      <c r="H1339" s="470">
        <v>861.45</v>
      </c>
      <c r="I1339" s="471">
        <v>25.107734837125005</v>
      </c>
      <c r="J1339" s="485" t="s">
        <v>421</v>
      </c>
      <c r="K1339" s="472" t="s">
        <v>625</v>
      </c>
      <c r="L1339" s="473" t="s">
        <v>2474</v>
      </c>
      <c r="M1339" s="473" t="s">
        <v>1835</v>
      </c>
      <c r="N1339" s="473" t="s">
        <v>1858</v>
      </c>
      <c r="O1339" s="474" t="s">
        <v>1905</v>
      </c>
    </row>
    <row r="1340" spans="1:15" s="475" customFormat="1" ht="12" hidden="1">
      <c r="A1340" s="465">
        <v>10131000037788</v>
      </c>
      <c r="B1340" s="476" t="s">
        <v>1905</v>
      </c>
      <c r="C1340" s="476" t="s">
        <v>3690</v>
      </c>
      <c r="D1340" s="467" t="s">
        <v>1862</v>
      </c>
      <c r="E1340" s="472" t="s">
        <v>2829</v>
      </c>
      <c r="F1340" s="477">
        <v>21.715555592472001</v>
      </c>
      <c r="G1340" s="469" t="s">
        <v>2472</v>
      </c>
      <c r="H1340" s="470">
        <v>96.9</v>
      </c>
      <c r="I1340" s="471">
        <v>28.286127853749999</v>
      </c>
      <c r="J1340" s="485" t="s">
        <v>421</v>
      </c>
      <c r="K1340" s="472" t="s">
        <v>623</v>
      </c>
      <c r="L1340" s="473" t="s">
        <v>2474</v>
      </c>
      <c r="M1340" s="473" t="s">
        <v>1835</v>
      </c>
      <c r="N1340" s="473" t="s">
        <v>1858</v>
      </c>
      <c r="O1340" s="474" t="s">
        <v>1905</v>
      </c>
    </row>
    <row r="1341" spans="1:15" s="475" customFormat="1" ht="12" hidden="1">
      <c r="A1341" s="465">
        <v>10131000056533</v>
      </c>
      <c r="B1341" s="466" t="s">
        <v>1905</v>
      </c>
      <c r="C1341" s="476" t="s">
        <v>3691</v>
      </c>
      <c r="D1341" s="467" t="s">
        <v>1862</v>
      </c>
      <c r="E1341" s="472" t="s">
        <v>2491</v>
      </c>
      <c r="F1341" s="477">
        <v>21.97</v>
      </c>
      <c r="G1341" s="469" t="s">
        <v>2472</v>
      </c>
      <c r="H1341" s="487">
        <v>27.13</v>
      </c>
      <c r="I1341" s="471">
        <v>27.13</v>
      </c>
      <c r="J1341" s="488" t="s">
        <v>2492</v>
      </c>
      <c r="K1341" s="472" t="s">
        <v>662</v>
      </c>
      <c r="L1341" s="473" t="s">
        <v>2474</v>
      </c>
      <c r="M1341" s="473" t="s">
        <v>1835</v>
      </c>
      <c r="N1341" s="473" t="s">
        <v>1858</v>
      </c>
      <c r="O1341" s="474" t="s">
        <v>1905</v>
      </c>
    </row>
    <row r="1342" spans="1:15" s="475" customFormat="1" ht="12" hidden="1">
      <c r="A1342" s="465">
        <v>10131000037771</v>
      </c>
      <c r="B1342" s="476" t="s">
        <v>1905</v>
      </c>
      <c r="C1342" s="476" t="s">
        <v>3692</v>
      </c>
      <c r="D1342" s="467" t="s">
        <v>1862</v>
      </c>
      <c r="E1342" s="472" t="s">
        <v>2801</v>
      </c>
      <c r="F1342" s="477">
        <v>22.202837141758003</v>
      </c>
      <c r="G1342" s="469" t="s">
        <v>2472</v>
      </c>
      <c r="H1342" s="470">
        <v>563.14</v>
      </c>
      <c r="I1342" s="471">
        <v>28.87702047976666</v>
      </c>
      <c r="J1342" s="485" t="s">
        <v>421</v>
      </c>
      <c r="K1342" s="472" t="s">
        <v>587</v>
      </c>
      <c r="L1342" s="473" t="s">
        <v>2474</v>
      </c>
      <c r="M1342" s="473" t="s">
        <v>1835</v>
      </c>
      <c r="N1342" s="473" t="s">
        <v>1858</v>
      </c>
      <c r="O1342" s="474" t="s">
        <v>1905</v>
      </c>
    </row>
    <row r="1343" spans="1:15" s="475" customFormat="1" ht="12" hidden="1">
      <c r="A1343" s="465">
        <v>10131000037798</v>
      </c>
      <c r="B1343" s="476" t="s">
        <v>1905</v>
      </c>
      <c r="C1343" s="476" t="s">
        <v>3693</v>
      </c>
      <c r="D1343" s="467" t="s">
        <v>1862</v>
      </c>
      <c r="E1343" s="472" t="s">
        <v>2840</v>
      </c>
      <c r="F1343" s="477">
        <v>24.383528555848002</v>
      </c>
      <c r="G1343" s="469" t="s">
        <v>2472</v>
      </c>
      <c r="H1343" s="470">
        <v>158.69999999999999</v>
      </c>
      <c r="I1343" s="471">
        <v>76.896449993249988</v>
      </c>
      <c r="J1343" s="485" t="s">
        <v>421</v>
      </c>
      <c r="K1343" s="472" t="s">
        <v>643</v>
      </c>
      <c r="L1343" s="473" t="s">
        <v>2474</v>
      </c>
      <c r="M1343" s="473" t="s">
        <v>1835</v>
      </c>
      <c r="N1343" s="473" t="s">
        <v>1858</v>
      </c>
      <c r="O1343" s="474" t="s">
        <v>1905</v>
      </c>
    </row>
    <row r="1344" spans="1:15" s="475" customFormat="1" ht="12" hidden="1">
      <c r="A1344" s="465">
        <v>10131000037785</v>
      </c>
      <c r="B1344" s="476" t="s">
        <v>1905</v>
      </c>
      <c r="C1344" s="476" t="s">
        <v>3694</v>
      </c>
      <c r="D1344" s="467" t="s">
        <v>1862</v>
      </c>
      <c r="E1344" s="472" t="s">
        <v>2519</v>
      </c>
      <c r="F1344" s="477">
        <v>26.312726292762001</v>
      </c>
      <c r="G1344" s="469" t="s">
        <v>2472</v>
      </c>
      <c r="H1344" s="470">
        <v>114.13</v>
      </c>
      <c r="I1344" s="471">
        <v>35.205333003500002</v>
      </c>
      <c r="J1344" s="485" t="s">
        <v>421</v>
      </c>
      <c r="K1344" s="472" t="s">
        <v>621</v>
      </c>
      <c r="L1344" s="473" t="s">
        <v>2474</v>
      </c>
      <c r="M1344" s="473" t="s">
        <v>1835</v>
      </c>
      <c r="N1344" s="473" t="s">
        <v>1858</v>
      </c>
      <c r="O1344" s="474" t="s">
        <v>1905</v>
      </c>
    </row>
    <row r="1345" spans="1:15" s="475" customFormat="1" ht="12" hidden="1">
      <c r="A1345" s="465">
        <v>10131000037765</v>
      </c>
      <c r="B1345" s="476" t="s">
        <v>1905</v>
      </c>
      <c r="C1345" s="476" t="s">
        <v>3695</v>
      </c>
      <c r="D1345" s="467" t="s">
        <v>1862</v>
      </c>
      <c r="E1345" s="472" t="s">
        <v>2491</v>
      </c>
      <c r="F1345" s="477">
        <v>27.1264</v>
      </c>
      <c r="G1345" s="469" t="s">
        <v>2472</v>
      </c>
      <c r="H1345" s="470">
        <v>30.62</v>
      </c>
      <c r="I1345" s="471">
        <v>30.62</v>
      </c>
      <c r="J1345" s="485" t="s">
        <v>421</v>
      </c>
      <c r="K1345" s="472" t="s">
        <v>577</v>
      </c>
      <c r="L1345" s="473" t="s">
        <v>2474</v>
      </c>
      <c r="M1345" s="473" t="s">
        <v>1835</v>
      </c>
      <c r="N1345" s="473" t="s">
        <v>1858</v>
      </c>
      <c r="O1345" s="474" t="s">
        <v>1905</v>
      </c>
    </row>
    <row r="1346" spans="1:15" s="475" customFormat="1" ht="12" hidden="1">
      <c r="A1346" s="465">
        <v>10131000037801</v>
      </c>
      <c r="B1346" s="476" t="s">
        <v>1905</v>
      </c>
      <c r="C1346" s="476" t="s">
        <v>3696</v>
      </c>
      <c r="D1346" s="467" t="s">
        <v>1862</v>
      </c>
      <c r="E1346" s="472" t="s">
        <v>2856</v>
      </c>
      <c r="F1346" s="477">
        <v>29.406041382480002</v>
      </c>
      <c r="G1346" s="469" t="s">
        <v>2472</v>
      </c>
      <c r="H1346" s="470">
        <v>428.03</v>
      </c>
      <c r="I1346" s="471">
        <v>50.721469393999996</v>
      </c>
      <c r="J1346" s="485" t="s">
        <v>421</v>
      </c>
      <c r="K1346" s="472" t="s">
        <v>649</v>
      </c>
      <c r="L1346" s="473" t="s">
        <v>2474</v>
      </c>
      <c r="M1346" s="473" t="s">
        <v>1835</v>
      </c>
      <c r="N1346" s="473" t="s">
        <v>1858</v>
      </c>
      <c r="O1346" s="474" t="s">
        <v>1905</v>
      </c>
    </row>
    <row r="1347" spans="1:15" s="475" customFormat="1" ht="12" hidden="1">
      <c r="A1347" s="465">
        <v>10131000037778</v>
      </c>
      <c r="B1347" s="476" t="s">
        <v>1905</v>
      </c>
      <c r="C1347" s="476" t="s">
        <v>3697</v>
      </c>
      <c r="D1347" s="467" t="s">
        <v>1862</v>
      </c>
      <c r="E1347" s="472" t="s">
        <v>2813</v>
      </c>
      <c r="F1347" s="477">
        <v>30.145979066223997</v>
      </c>
      <c r="G1347" s="469" t="s">
        <v>2472</v>
      </c>
      <c r="H1347" s="470">
        <v>6518.01</v>
      </c>
      <c r="I1347" s="471">
        <v>40.613470452950004</v>
      </c>
      <c r="J1347" s="485" t="s">
        <v>421</v>
      </c>
      <c r="K1347" s="472" t="s">
        <v>605</v>
      </c>
      <c r="L1347" s="473" t="s">
        <v>2474</v>
      </c>
      <c r="M1347" s="473" t="s">
        <v>1835</v>
      </c>
      <c r="N1347" s="473" t="s">
        <v>1858</v>
      </c>
      <c r="O1347" s="474" t="s">
        <v>1905</v>
      </c>
    </row>
    <row r="1348" spans="1:15" s="475" customFormat="1" ht="12" hidden="1">
      <c r="A1348" s="465">
        <v>10131000037772</v>
      </c>
      <c r="B1348" s="476" t="s">
        <v>1905</v>
      </c>
      <c r="C1348" s="476" t="s">
        <v>3698</v>
      </c>
      <c r="D1348" s="467" t="s">
        <v>1862</v>
      </c>
      <c r="E1348" s="472" t="s">
        <v>2704</v>
      </c>
      <c r="F1348" s="477">
        <v>30.409791491576001</v>
      </c>
      <c r="G1348" s="469" t="s">
        <v>2472</v>
      </c>
      <c r="H1348" s="470">
        <v>195.97</v>
      </c>
      <c r="I1348" s="471">
        <v>24.52264781223333</v>
      </c>
      <c r="J1348" s="485" t="s">
        <v>421</v>
      </c>
      <c r="K1348" s="472" t="s">
        <v>589</v>
      </c>
      <c r="L1348" s="473" t="s">
        <v>2474</v>
      </c>
      <c r="M1348" s="473" t="s">
        <v>1835</v>
      </c>
      <c r="N1348" s="473" t="s">
        <v>1858</v>
      </c>
      <c r="O1348" s="474" t="s">
        <v>1905</v>
      </c>
    </row>
    <row r="1349" spans="1:15" s="475" customFormat="1" ht="12" hidden="1">
      <c r="A1349" s="465">
        <v>10131000037812</v>
      </c>
      <c r="B1349" s="476" t="s">
        <v>1905</v>
      </c>
      <c r="C1349" s="476" t="s">
        <v>3699</v>
      </c>
      <c r="D1349" s="467" t="s">
        <v>1862</v>
      </c>
      <c r="E1349" s="472" t="s">
        <v>2715</v>
      </c>
      <c r="F1349" s="477">
        <v>32.1545056</v>
      </c>
      <c r="G1349" s="469" t="s">
        <v>2472</v>
      </c>
      <c r="H1349" s="470">
        <v>36.770000000000003</v>
      </c>
      <c r="I1349" s="471">
        <v>48.831269262658346</v>
      </c>
      <c r="J1349" s="485" t="s">
        <v>421</v>
      </c>
      <c r="K1349" s="472" t="s">
        <v>597</v>
      </c>
      <c r="L1349" s="473" t="s">
        <v>2474</v>
      </c>
      <c r="M1349" s="473" t="s">
        <v>1835</v>
      </c>
      <c r="N1349" s="473" t="s">
        <v>1858</v>
      </c>
      <c r="O1349" s="474" t="s">
        <v>1905</v>
      </c>
    </row>
    <row r="1350" spans="1:15" s="475" customFormat="1" ht="12" hidden="1">
      <c r="A1350" s="465">
        <v>10131000037799</v>
      </c>
      <c r="B1350" s="476" t="s">
        <v>1905</v>
      </c>
      <c r="C1350" s="476" t="s">
        <v>3700</v>
      </c>
      <c r="D1350" s="467" t="s">
        <v>1862</v>
      </c>
      <c r="E1350" s="472" t="s">
        <v>2712</v>
      </c>
      <c r="F1350" s="477">
        <v>33.041981956032004</v>
      </c>
      <c r="G1350" s="469" t="s">
        <v>2472</v>
      </c>
      <c r="H1350" s="470">
        <v>137.91999999999999</v>
      </c>
      <c r="I1350" s="471">
        <v>37.549686819200005</v>
      </c>
      <c r="J1350" s="485" t="s">
        <v>421</v>
      </c>
      <c r="K1350" s="472" t="s">
        <v>2713</v>
      </c>
      <c r="L1350" s="473" t="s">
        <v>2474</v>
      </c>
      <c r="M1350" s="473" t="s">
        <v>1835</v>
      </c>
      <c r="N1350" s="473" t="s">
        <v>1858</v>
      </c>
      <c r="O1350" s="474" t="s">
        <v>1905</v>
      </c>
    </row>
    <row r="1351" spans="1:15" s="475" customFormat="1" ht="12" hidden="1">
      <c r="A1351" s="465">
        <v>10131000056413</v>
      </c>
      <c r="B1351" s="466" t="s">
        <v>1905</v>
      </c>
      <c r="C1351" s="466" t="s">
        <v>1905</v>
      </c>
      <c r="D1351" s="467" t="s">
        <v>1862</v>
      </c>
      <c r="E1351" s="468" t="s">
        <v>2491</v>
      </c>
      <c r="F1351" s="477">
        <v>33.5</v>
      </c>
      <c r="G1351" s="469" t="s">
        <v>2472</v>
      </c>
      <c r="H1351" s="470">
        <v>34.18</v>
      </c>
      <c r="I1351" s="471">
        <v>34.18</v>
      </c>
      <c r="J1351" s="472" t="s">
        <v>423</v>
      </c>
      <c r="K1351" s="472" t="s">
        <v>534</v>
      </c>
      <c r="L1351" s="473" t="s">
        <v>2474</v>
      </c>
      <c r="M1351" s="473" t="s">
        <v>1835</v>
      </c>
      <c r="N1351" s="473" t="s">
        <v>1858</v>
      </c>
      <c r="O1351" s="474" t="s">
        <v>1905</v>
      </c>
    </row>
    <row r="1352" spans="1:15" s="475" customFormat="1" ht="12" hidden="1">
      <c r="A1352" s="465">
        <v>10131000037818</v>
      </c>
      <c r="B1352" s="476" t="s">
        <v>1905</v>
      </c>
      <c r="C1352" s="476" t="s">
        <v>3701</v>
      </c>
      <c r="D1352" s="467" t="s">
        <v>1862</v>
      </c>
      <c r="E1352" s="472" t="s">
        <v>2715</v>
      </c>
      <c r="F1352" s="477">
        <v>34.024847360000003</v>
      </c>
      <c r="G1352" s="469" t="s">
        <v>2472</v>
      </c>
      <c r="H1352" s="470">
        <v>31.04</v>
      </c>
      <c r="I1352" s="471">
        <v>41.22171873573334</v>
      </c>
      <c r="J1352" s="485" t="s">
        <v>421</v>
      </c>
      <c r="K1352" s="472" t="s">
        <v>615</v>
      </c>
      <c r="L1352" s="473" t="s">
        <v>2474</v>
      </c>
      <c r="M1352" s="473" t="s">
        <v>1835</v>
      </c>
      <c r="N1352" s="473" t="s">
        <v>1858</v>
      </c>
      <c r="O1352" s="474" t="s">
        <v>1905</v>
      </c>
    </row>
    <row r="1353" spans="1:15" s="475" customFormat="1" ht="12" hidden="1">
      <c r="A1353" s="465">
        <v>10131000037763</v>
      </c>
      <c r="B1353" s="476" t="s">
        <v>1905</v>
      </c>
      <c r="C1353" s="476" t="s">
        <v>3702</v>
      </c>
      <c r="D1353" s="467" t="s">
        <v>1862</v>
      </c>
      <c r="E1353" s="472" t="s">
        <v>2792</v>
      </c>
      <c r="F1353" s="477">
        <v>34.174648398744004</v>
      </c>
      <c r="G1353" s="469" t="s">
        <v>2472</v>
      </c>
      <c r="H1353" s="470">
        <v>2230.75</v>
      </c>
      <c r="I1353" s="471">
        <v>27.611398122500002</v>
      </c>
      <c r="J1353" s="485" t="s">
        <v>421</v>
      </c>
      <c r="K1353" s="472" t="s">
        <v>575</v>
      </c>
      <c r="L1353" s="473" t="s">
        <v>2474</v>
      </c>
      <c r="M1353" s="473" t="s">
        <v>1835</v>
      </c>
      <c r="N1353" s="473" t="s">
        <v>1858</v>
      </c>
      <c r="O1353" s="474" t="s">
        <v>1905</v>
      </c>
    </row>
    <row r="1354" spans="1:15" s="475" customFormat="1" ht="12" hidden="1">
      <c r="A1354" s="465">
        <v>10131000056986</v>
      </c>
      <c r="B1354" s="476" t="s">
        <v>1905</v>
      </c>
      <c r="C1354" s="476" t="s">
        <v>3703</v>
      </c>
      <c r="D1354" s="467" t="s">
        <v>1862</v>
      </c>
      <c r="E1354" s="472" t="s">
        <v>2715</v>
      </c>
      <c r="F1354" s="477">
        <v>34.537269760000001</v>
      </c>
      <c r="G1354" s="469" t="s">
        <v>2472</v>
      </c>
      <c r="H1354" s="470">
        <v>29.18</v>
      </c>
      <c r="I1354" s="471">
        <v>38.751602857883341</v>
      </c>
      <c r="J1354" s="485" t="s">
        <v>421</v>
      </c>
      <c r="K1354" s="472" t="s">
        <v>633</v>
      </c>
      <c r="L1354" s="473" t="s">
        <v>2474</v>
      </c>
      <c r="M1354" s="473" t="s">
        <v>1835</v>
      </c>
      <c r="N1354" s="473" t="s">
        <v>1858</v>
      </c>
      <c r="O1354" s="474" t="s">
        <v>1905</v>
      </c>
    </row>
    <row r="1355" spans="1:15" s="475" customFormat="1" ht="12" hidden="1">
      <c r="A1355" s="465">
        <v>10131000037774</v>
      </c>
      <c r="B1355" s="476" t="s">
        <v>1905</v>
      </c>
      <c r="C1355" s="476" t="s">
        <v>3704</v>
      </c>
      <c r="D1355" s="467" t="s">
        <v>1862</v>
      </c>
      <c r="E1355" s="472" t="s">
        <v>2706</v>
      </c>
      <c r="F1355" s="477">
        <v>34.626120785760001</v>
      </c>
      <c r="G1355" s="469" t="s">
        <v>2472</v>
      </c>
      <c r="H1355" s="470">
        <v>9702.94</v>
      </c>
      <c r="I1355" s="471">
        <v>42.518921856883324</v>
      </c>
      <c r="J1355" s="485" t="s">
        <v>421</v>
      </c>
      <c r="K1355" s="472" t="s">
        <v>595</v>
      </c>
      <c r="L1355" s="473" t="s">
        <v>2474</v>
      </c>
      <c r="M1355" s="473" t="s">
        <v>1835</v>
      </c>
      <c r="N1355" s="473" t="s">
        <v>1858</v>
      </c>
      <c r="O1355" s="474" t="s">
        <v>1905</v>
      </c>
    </row>
    <row r="1356" spans="1:15" s="475" customFormat="1" ht="12" hidden="1">
      <c r="A1356" s="465">
        <v>10131000037767</v>
      </c>
      <c r="B1356" s="476" t="s">
        <v>1905</v>
      </c>
      <c r="C1356" s="476" t="s">
        <v>3705</v>
      </c>
      <c r="D1356" s="467" t="s">
        <v>1862</v>
      </c>
      <c r="E1356" s="472" t="s">
        <v>2795</v>
      </c>
      <c r="F1356" s="477">
        <v>34.953458604904007</v>
      </c>
      <c r="G1356" s="469" t="s">
        <v>2472</v>
      </c>
      <c r="H1356" s="470">
        <v>24675.73</v>
      </c>
      <c r="I1356" s="471">
        <v>49.964076123466654</v>
      </c>
      <c r="J1356" s="485" t="s">
        <v>421</v>
      </c>
      <c r="K1356" s="472" t="s">
        <v>583</v>
      </c>
      <c r="L1356" s="473" t="s">
        <v>2474</v>
      </c>
      <c r="M1356" s="473" t="s">
        <v>1835</v>
      </c>
      <c r="N1356" s="473" t="s">
        <v>1858</v>
      </c>
      <c r="O1356" s="474" t="s">
        <v>1905</v>
      </c>
    </row>
    <row r="1357" spans="1:15" s="475" customFormat="1" ht="12" hidden="1">
      <c r="A1357" s="465">
        <v>10131000037777</v>
      </c>
      <c r="B1357" s="476" t="s">
        <v>1905</v>
      </c>
      <c r="C1357" s="476" t="s">
        <v>3706</v>
      </c>
      <c r="D1357" s="467" t="s">
        <v>1862</v>
      </c>
      <c r="E1357" s="472" t="s">
        <v>2811</v>
      </c>
      <c r="F1357" s="477">
        <v>35.177715202839998</v>
      </c>
      <c r="G1357" s="469" t="s">
        <v>2472</v>
      </c>
      <c r="H1357" s="470">
        <v>50.46</v>
      </c>
      <c r="I1357" s="471">
        <v>71.170663130400001</v>
      </c>
      <c r="J1357" s="485" t="s">
        <v>421</v>
      </c>
      <c r="K1357" s="472" t="s">
        <v>603</v>
      </c>
      <c r="L1357" s="473" t="s">
        <v>2474</v>
      </c>
      <c r="M1357" s="473" t="s">
        <v>1835</v>
      </c>
      <c r="N1357" s="473" t="s">
        <v>1858</v>
      </c>
      <c r="O1357" s="474" t="s">
        <v>1905</v>
      </c>
    </row>
    <row r="1358" spans="1:15" s="475" customFormat="1" ht="12" hidden="1">
      <c r="A1358" s="465">
        <v>10131000037805</v>
      </c>
      <c r="B1358" s="476" t="s">
        <v>1905</v>
      </c>
      <c r="C1358" s="476" t="s">
        <v>3681</v>
      </c>
      <c r="D1358" s="467" t="s">
        <v>1862</v>
      </c>
      <c r="E1358" s="472" t="s">
        <v>2541</v>
      </c>
      <c r="F1358" s="477">
        <v>36.377737199999999</v>
      </c>
      <c r="G1358" s="469" t="s">
        <v>2472</v>
      </c>
      <c r="H1358" s="470">
        <v>22.92</v>
      </c>
      <c r="I1358" s="471">
        <v>35.124399541800003</v>
      </c>
      <c r="J1358" s="485" t="s">
        <v>421</v>
      </c>
      <c r="K1358" s="472" t="s">
        <v>651</v>
      </c>
      <c r="L1358" s="473" t="s">
        <v>2474</v>
      </c>
      <c r="M1358" s="473" t="s">
        <v>1835</v>
      </c>
      <c r="N1358" s="473" t="s">
        <v>1858</v>
      </c>
      <c r="O1358" s="474" t="s">
        <v>1905</v>
      </c>
    </row>
    <row r="1359" spans="1:15" s="475" customFormat="1" ht="12" hidden="1">
      <c r="A1359" s="465">
        <v>10131000037806</v>
      </c>
      <c r="B1359" s="476" t="s">
        <v>1905</v>
      </c>
      <c r="C1359" s="476" t="s">
        <v>3681</v>
      </c>
      <c r="D1359" s="467" t="s">
        <v>1862</v>
      </c>
      <c r="E1359" s="472" t="s">
        <v>2541</v>
      </c>
      <c r="F1359" s="477">
        <v>36.377737199999999</v>
      </c>
      <c r="G1359" s="469" t="s">
        <v>2472</v>
      </c>
      <c r="H1359" s="470">
        <v>22.92</v>
      </c>
      <c r="I1359" s="471">
        <v>35.124399541800003</v>
      </c>
      <c r="J1359" s="485" t="s">
        <v>421</v>
      </c>
      <c r="K1359" s="472" t="s">
        <v>651</v>
      </c>
      <c r="L1359" s="473" t="s">
        <v>2474</v>
      </c>
      <c r="M1359" s="473" t="s">
        <v>1835</v>
      </c>
      <c r="N1359" s="473" t="s">
        <v>1858</v>
      </c>
      <c r="O1359" s="474" t="s">
        <v>1905</v>
      </c>
    </row>
    <row r="1360" spans="1:15" s="475" customFormat="1" ht="12" hidden="1">
      <c r="A1360" s="465">
        <v>10131000039833</v>
      </c>
      <c r="B1360" s="476" t="s">
        <v>1905</v>
      </c>
      <c r="C1360" s="476" t="s">
        <v>3681</v>
      </c>
      <c r="D1360" s="467" t="s">
        <v>1862</v>
      </c>
      <c r="E1360" s="472" t="s">
        <v>2491</v>
      </c>
      <c r="F1360" s="477">
        <v>36.544199999999996</v>
      </c>
      <c r="G1360" s="469" t="s">
        <v>2472</v>
      </c>
      <c r="H1360" s="470">
        <v>35.130000000000003</v>
      </c>
      <c r="I1360" s="471">
        <v>35.130000000000003</v>
      </c>
      <c r="J1360" s="485" t="s">
        <v>421</v>
      </c>
      <c r="K1360" s="472" t="s">
        <v>651</v>
      </c>
      <c r="L1360" s="473" t="s">
        <v>2474</v>
      </c>
      <c r="M1360" s="473" t="s">
        <v>1835</v>
      </c>
      <c r="N1360" s="473" t="s">
        <v>1858</v>
      </c>
      <c r="O1360" s="474" t="s">
        <v>1905</v>
      </c>
    </row>
    <row r="1361" spans="1:15" s="475" customFormat="1" ht="12" hidden="1">
      <c r="A1361" s="465">
        <v>10131000037800</v>
      </c>
      <c r="B1361" s="476" t="s">
        <v>1905</v>
      </c>
      <c r="C1361" s="476" t="s">
        <v>3707</v>
      </c>
      <c r="D1361" s="467" t="s">
        <v>1862</v>
      </c>
      <c r="E1361" s="472" t="s">
        <v>2842</v>
      </c>
      <c r="F1361" s="477">
        <v>37.132046271516003</v>
      </c>
      <c r="G1361" s="469" t="s">
        <v>2472</v>
      </c>
      <c r="H1361" s="470">
        <v>172160.11470000001</v>
      </c>
      <c r="I1361" s="471">
        <v>61.62499999038949</v>
      </c>
      <c r="J1361" s="485" t="s">
        <v>421</v>
      </c>
      <c r="K1361" s="472" t="s">
        <v>647</v>
      </c>
      <c r="L1361" s="473" t="s">
        <v>2474</v>
      </c>
      <c r="M1361" s="473" t="s">
        <v>1835</v>
      </c>
      <c r="N1361" s="473" t="s">
        <v>1858</v>
      </c>
      <c r="O1361" s="474" t="s">
        <v>1905</v>
      </c>
    </row>
    <row r="1362" spans="1:15" s="475" customFormat="1" ht="12" hidden="1">
      <c r="A1362" s="465">
        <v>10131000037793</v>
      </c>
      <c r="B1362" s="476" t="s">
        <v>1905</v>
      </c>
      <c r="C1362" s="476" t="s">
        <v>3708</v>
      </c>
      <c r="D1362" s="467" t="s">
        <v>1862</v>
      </c>
      <c r="E1362" s="472" t="s">
        <v>2715</v>
      </c>
      <c r="F1362" s="477">
        <v>40.814444160000001</v>
      </c>
      <c r="G1362" s="469" t="s">
        <v>2472</v>
      </c>
      <c r="H1362" s="470">
        <v>17.36</v>
      </c>
      <c r="I1362" s="471">
        <v>23.054414859933338</v>
      </c>
      <c r="J1362" s="485" t="s">
        <v>421</v>
      </c>
      <c r="K1362" s="472" t="s">
        <v>629</v>
      </c>
      <c r="L1362" s="473" t="s">
        <v>2474</v>
      </c>
      <c r="M1362" s="473" t="s">
        <v>1835</v>
      </c>
      <c r="N1362" s="473" t="s">
        <v>1858</v>
      </c>
      <c r="O1362" s="474" t="s">
        <v>1905</v>
      </c>
    </row>
    <row r="1363" spans="1:15" s="475" customFormat="1" ht="12" hidden="1">
      <c r="A1363" s="465">
        <v>10131000037769</v>
      </c>
      <c r="B1363" s="476" t="s">
        <v>1905</v>
      </c>
      <c r="C1363" s="476" t="s">
        <v>3709</v>
      </c>
      <c r="D1363" s="467" t="s">
        <v>1862</v>
      </c>
      <c r="E1363" s="472" t="s">
        <v>2491</v>
      </c>
      <c r="F1363" s="477">
        <v>42.972999999999999</v>
      </c>
      <c r="G1363" s="469" t="s">
        <v>2472</v>
      </c>
      <c r="H1363" s="470">
        <v>45.35</v>
      </c>
      <c r="I1363" s="471">
        <v>45.35</v>
      </c>
      <c r="J1363" s="485" t="s">
        <v>421</v>
      </c>
      <c r="K1363" s="472" t="s">
        <v>585</v>
      </c>
      <c r="L1363" s="473" t="s">
        <v>2474</v>
      </c>
      <c r="M1363" s="473" t="s">
        <v>1835</v>
      </c>
      <c r="N1363" s="473" t="s">
        <v>1858</v>
      </c>
      <c r="O1363" s="474" t="s">
        <v>1905</v>
      </c>
    </row>
    <row r="1364" spans="1:15" s="475" customFormat="1" ht="12" hidden="1">
      <c r="A1364" s="465">
        <v>10131000057864</v>
      </c>
      <c r="B1364" s="466" t="s">
        <v>1905</v>
      </c>
      <c r="C1364" s="466" t="s">
        <v>3710</v>
      </c>
      <c r="D1364" s="467" t="s">
        <v>1862</v>
      </c>
      <c r="E1364" s="468" t="s">
        <v>2619</v>
      </c>
      <c r="F1364" s="477">
        <v>43.176178605000004</v>
      </c>
      <c r="G1364" s="469" t="s">
        <v>2472</v>
      </c>
      <c r="H1364" s="470">
        <v>34.18</v>
      </c>
      <c r="I1364" s="471">
        <v>34.18</v>
      </c>
      <c r="J1364" s="472" t="s">
        <v>423</v>
      </c>
      <c r="K1364" s="472" t="s">
        <v>2620</v>
      </c>
      <c r="L1364" s="473" t="s">
        <v>2474</v>
      </c>
      <c r="M1364" s="473" t="s">
        <v>1835</v>
      </c>
      <c r="N1364" s="473" t="s">
        <v>1858</v>
      </c>
      <c r="O1364" s="474" t="s">
        <v>1905</v>
      </c>
    </row>
    <row r="1365" spans="1:15" s="475" customFormat="1" ht="12" hidden="1">
      <c r="A1365" s="465">
        <v>10131000037773</v>
      </c>
      <c r="B1365" s="476" t="s">
        <v>1905</v>
      </c>
      <c r="C1365" s="476" t="s">
        <v>3711</v>
      </c>
      <c r="D1365" s="467" t="s">
        <v>1862</v>
      </c>
      <c r="E1365" s="472" t="s">
        <v>2795</v>
      </c>
      <c r="F1365" s="477">
        <v>44.421141642625997</v>
      </c>
      <c r="G1365" s="469" t="s">
        <v>2472</v>
      </c>
      <c r="H1365" s="470">
        <v>60129.58</v>
      </c>
      <c r="I1365" s="471">
        <v>121.75197703946665</v>
      </c>
      <c r="J1365" s="485" t="s">
        <v>421</v>
      </c>
      <c r="K1365" s="472" t="s">
        <v>724</v>
      </c>
      <c r="L1365" s="473" t="s">
        <v>2474</v>
      </c>
      <c r="M1365" s="473" t="s">
        <v>1835</v>
      </c>
      <c r="N1365" s="473" t="s">
        <v>1858</v>
      </c>
      <c r="O1365" s="474" t="s">
        <v>1905</v>
      </c>
    </row>
    <row r="1366" spans="1:15" s="475" customFormat="1" ht="12" hidden="1">
      <c r="A1366" s="465">
        <v>10131000037822</v>
      </c>
      <c r="B1366" s="476" t="s">
        <v>1905</v>
      </c>
      <c r="C1366" s="476" t="s">
        <v>3703</v>
      </c>
      <c r="D1366" s="467" t="s">
        <v>1862</v>
      </c>
      <c r="E1366" s="472" t="s">
        <v>2715</v>
      </c>
      <c r="F1366" s="477">
        <v>45.272519040000006</v>
      </c>
      <c r="G1366" s="469" t="s">
        <v>2472</v>
      </c>
      <c r="H1366" s="470">
        <v>130.9</v>
      </c>
      <c r="I1366" s="471">
        <v>173.8377249519167</v>
      </c>
      <c r="J1366" s="485" t="s">
        <v>421</v>
      </c>
      <c r="K1366" s="472" t="s">
        <v>633</v>
      </c>
      <c r="L1366" s="473" t="s">
        <v>2474</v>
      </c>
      <c r="M1366" s="473" t="s">
        <v>1835</v>
      </c>
      <c r="N1366" s="473" t="s">
        <v>1858</v>
      </c>
      <c r="O1366" s="474" t="s">
        <v>1905</v>
      </c>
    </row>
    <row r="1367" spans="1:15" s="475" customFormat="1" ht="12" hidden="1">
      <c r="A1367" s="465">
        <v>10131000037766</v>
      </c>
      <c r="B1367" s="476" t="s">
        <v>1905</v>
      </c>
      <c r="C1367" s="476" t="s">
        <v>3712</v>
      </c>
      <c r="D1367" s="467" t="s">
        <v>1862</v>
      </c>
      <c r="E1367" s="472" t="s">
        <v>2847</v>
      </c>
      <c r="F1367" s="477">
        <v>46.753374871616003</v>
      </c>
      <c r="G1367" s="469" t="s">
        <v>2472</v>
      </c>
      <c r="H1367" s="470">
        <v>75.81</v>
      </c>
      <c r="I1367" s="471">
        <v>51.385209606850019</v>
      </c>
      <c r="J1367" s="485" t="s">
        <v>421</v>
      </c>
      <c r="K1367" s="472" t="s">
        <v>581</v>
      </c>
      <c r="L1367" s="473" t="s">
        <v>2474</v>
      </c>
      <c r="M1367" s="473" t="s">
        <v>1835</v>
      </c>
      <c r="N1367" s="473" t="s">
        <v>1858</v>
      </c>
      <c r="O1367" s="474" t="s">
        <v>1905</v>
      </c>
    </row>
    <row r="1368" spans="1:15" s="475" customFormat="1" ht="12" hidden="1">
      <c r="A1368" s="465">
        <v>10131000037814</v>
      </c>
      <c r="B1368" s="476" t="s">
        <v>1905</v>
      </c>
      <c r="C1368" s="476" t="s">
        <v>3713</v>
      </c>
      <c r="D1368" s="467" t="s">
        <v>1862</v>
      </c>
      <c r="E1368" s="472" t="s">
        <v>2715</v>
      </c>
      <c r="F1368" s="477">
        <v>47.463124800000003</v>
      </c>
      <c r="G1368" s="469" t="s">
        <v>2472</v>
      </c>
      <c r="H1368" s="470">
        <v>35.5</v>
      </c>
      <c r="I1368" s="471">
        <v>47.144684765416677</v>
      </c>
      <c r="J1368" s="485" t="s">
        <v>421</v>
      </c>
      <c r="K1368" s="472" t="s">
        <v>601</v>
      </c>
      <c r="L1368" s="473" t="s">
        <v>2474</v>
      </c>
      <c r="M1368" s="473" t="s">
        <v>1835</v>
      </c>
      <c r="N1368" s="473" t="s">
        <v>1858</v>
      </c>
      <c r="O1368" s="474" t="s">
        <v>1905</v>
      </c>
    </row>
    <row r="1369" spans="1:15" s="475" customFormat="1" ht="12" hidden="1">
      <c r="A1369" s="465">
        <v>10131000037810</v>
      </c>
      <c r="B1369" s="476" t="s">
        <v>1905</v>
      </c>
      <c r="C1369" s="476" t="s">
        <v>3714</v>
      </c>
      <c r="D1369" s="467" t="s">
        <v>1862</v>
      </c>
      <c r="E1369" s="472" t="s">
        <v>2715</v>
      </c>
      <c r="F1369" s="477">
        <v>54.022131520000002</v>
      </c>
      <c r="G1369" s="469" t="s">
        <v>2472</v>
      </c>
      <c r="H1369" s="470">
        <v>50.73</v>
      </c>
      <c r="I1369" s="471">
        <v>67.370418539425003</v>
      </c>
      <c r="J1369" s="485" t="s">
        <v>421</v>
      </c>
      <c r="K1369" s="472" t="s">
        <v>593</v>
      </c>
      <c r="L1369" s="473" t="s">
        <v>2474</v>
      </c>
      <c r="M1369" s="473" t="s">
        <v>1835</v>
      </c>
      <c r="N1369" s="473" t="s">
        <v>1858</v>
      </c>
      <c r="O1369" s="474" t="s">
        <v>1905</v>
      </c>
    </row>
    <row r="1370" spans="1:15" s="475" customFormat="1" ht="12" hidden="1">
      <c r="A1370" s="465">
        <v>10131000037783</v>
      </c>
      <c r="B1370" s="476" t="s">
        <v>1905</v>
      </c>
      <c r="C1370" s="476" t="s">
        <v>3715</v>
      </c>
      <c r="D1370" s="467" t="s">
        <v>1862</v>
      </c>
      <c r="E1370" s="472" t="s">
        <v>2823</v>
      </c>
      <c r="F1370" s="477">
        <v>54.629993010852004</v>
      </c>
      <c r="G1370" s="469" t="s">
        <v>2472</v>
      </c>
      <c r="H1370" s="470">
        <v>3052.03</v>
      </c>
      <c r="I1370" s="471">
        <v>27.889956268308339</v>
      </c>
      <c r="J1370" s="485" t="s">
        <v>421</v>
      </c>
      <c r="K1370" s="472" t="s">
        <v>619</v>
      </c>
      <c r="L1370" s="473" t="s">
        <v>2474</v>
      </c>
      <c r="M1370" s="473" t="s">
        <v>1835</v>
      </c>
      <c r="N1370" s="473" t="s">
        <v>1858</v>
      </c>
      <c r="O1370" s="474" t="s">
        <v>1905</v>
      </c>
    </row>
    <row r="1371" spans="1:15" s="475" customFormat="1" ht="12" hidden="1">
      <c r="A1371" s="465">
        <v>10131000057337</v>
      </c>
      <c r="B1371" s="466" t="s">
        <v>1905</v>
      </c>
      <c r="C1371" s="476" t="s">
        <v>3716</v>
      </c>
      <c r="D1371" s="467" t="s">
        <v>1862</v>
      </c>
      <c r="E1371" s="472" t="s">
        <v>2491</v>
      </c>
      <c r="F1371" s="477">
        <v>55.91</v>
      </c>
      <c r="G1371" s="469" t="s">
        <v>2472</v>
      </c>
      <c r="H1371" s="487">
        <v>11.71</v>
      </c>
      <c r="I1371" s="471">
        <v>11.71</v>
      </c>
      <c r="J1371" s="488" t="s">
        <v>2492</v>
      </c>
      <c r="K1371" s="472" t="s">
        <v>678</v>
      </c>
      <c r="L1371" s="473" t="s">
        <v>2474</v>
      </c>
      <c r="M1371" s="473" t="s">
        <v>1835</v>
      </c>
      <c r="N1371" s="473" t="s">
        <v>1858</v>
      </c>
      <c r="O1371" s="474" t="s">
        <v>1905</v>
      </c>
    </row>
    <row r="1372" spans="1:15" s="475" customFormat="1" ht="12" hidden="1">
      <c r="A1372" s="465">
        <v>10131000037835</v>
      </c>
      <c r="B1372" s="476" t="s">
        <v>1905</v>
      </c>
      <c r="C1372" s="476" t="s">
        <v>3703</v>
      </c>
      <c r="D1372" s="467" t="s">
        <v>1862</v>
      </c>
      <c r="E1372" s="472" t="s">
        <v>2715</v>
      </c>
      <c r="F1372" s="477">
        <v>60.478653760000007</v>
      </c>
      <c r="G1372" s="469" t="s">
        <v>2472</v>
      </c>
      <c r="H1372" s="470">
        <v>49.41</v>
      </c>
      <c r="I1372" s="471">
        <v>65.617433077725011</v>
      </c>
      <c r="J1372" s="485" t="s">
        <v>421</v>
      </c>
      <c r="K1372" s="472" t="s">
        <v>633</v>
      </c>
      <c r="L1372" s="473" t="s">
        <v>2474</v>
      </c>
      <c r="M1372" s="473" t="s">
        <v>1835</v>
      </c>
      <c r="N1372" s="473" t="s">
        <v>1858</v>
      </c>
      <c r="O1372" s="474" t="s">
        <v>1905</v>
      </c>
    </row>
    <row r="1373" spans="1:15" s="475" customFormat="1" ht="12" hidden="1">
      <c r="A1373" s="465">
        <v>10131000037779</v>
      </c>
      <c r="B1373" s="476" t="s">
        <v>1905</v>
      </c>
      <c r="C1373" s="476" t="s">
        <v>3717</v>
      </c>
      <c r="D1373" s="467" t="s">
        <v>1862</v>
      </c>
      <c r="E1373" s="472" t="s">
        <v>2815</v>
      </c>
      <c r="F1373" s="477">
        <v>61.656745967585998</v>
      </c>
      <c r="G1373" s="469" t="s">
        <v>2472</v>
      </c>
      <c r="H1373" s="470">
        <v>4694.87</v>
      </c>
      <c r="I1373" s="471">
        <v>49.909930566625</v>
      </c>
      <c r="J1373" s="485" t="s">
        <v>421</v>
      </c>
      <c r="K1373" s="472" t="s">
        <v>607</v>
      </c>
      <c r="L1373" s="473" t="s">
        <v>2474</v>
      </c>
      <c r="M1373" s="473" t="s">
        <v>1835</v>
      </c>
      <c r="N1373" s="473" t="s">
        <v>1858</v>
      </c>
      <c r="O1373" s="474" t="s">
        <v>1905</v>
      </c>
    </row>
    <row r="1374" spans="1:15" s="475" customFormat="1" ht="12" hidden="1">
      <c r="A1374" s="465">
        <v>10131000037770</v>
      </c>
      <c r="B1374" s="476" t="s">
        <v>1905</v>
      </c>
      <c r="C1374" s="476" t="s">
        <v>3718</v>
      </c>
      <c r="D1374" s="467" t="s">
        <v>1862</v>
      </c>
      <c r="E1374" s="472" t="s">
        <v>2795</v>
      </c>
      <c r="F1374" s="477">
        <v>64.090806186736003</v>
      </c>
      <c r="G1374" s="469" t="s">
        <v>2472</v>
      </c>
      <c r="H1374" s="470">
        <v>36571.879999999997</v>
      </c>
      <c r="I1374" s="471">
        <v>74.051717874133317</v>
      </c>
      <c r="J1374" s="485" t="s">
        <v>421</v>
      </c>
      <c r="K1374" s="472" t="s">
        <v>719</v>
      </c>
      <c r="L1374" s="473" t="s">
        <v>2474</v>
      </c>
      <c r="M1374" s="473" t="s">
        <v>1835</v>
      </c>
      <c r="N1374" s="473" t="s">
        <v>1858</v>
      </c>
      <c r="O1374" s="474" t="s">
        <v>1905</v>
      </c>
    </row>
    <row r="1375" spans="1:15" s="475" customFormat="1" ht="12" hidden="1">
      <c r="A1375" s="465">
        <v>10131000037782</v>
      </c>
      <c r="B1375" s="476" t="s">
        <v>1905</v>
      </c>
      <c r="C1375" s="476" t="s">
        <v>3719</v>
      </c>
      <c r="D1375" s="467" t="s">
        <v>1862</v>
      </c>
      <c r="E1375" s="472" t="s">
        <v>2821</v>
      </c>
      <c r="F1375" s="477">
        <v>64.994873309100001</v>
      </c>
      <c r="G1375" s="469" t="s">
        <v>2472</v>
      </c>
      <c r="H1375" s="470">
        <v>22400.13</v>
      </c>
      <c r="I1375" s="471">
        <v>134.91012162265</v>
      </c>
      <c r="J1375" s="485" t="s">
        <v>421</v>
      </c>
      <c r="K1375" s="472" t="s">
        <v>617</v>
      </c>
      <c r="L1375" s="473" t="s">
        <v>2474</v>
      </c>
      <c r="M1375" s="473" t="s">
        <v>1835</v>
      </c>
      <c r="N1375" s="473" t="s">
        <v>1858</v>
      </c>
      <c r="O1375" s="474" t="s">
        <v>1905</v>
      </c>
    </row>
    <row r="1376" spans="1:15" s="475" customFormat="1" ht="12" hidden="1">
      <c r="A1376" s="465">
        <v>10131000037796</v>
      </c>
      <c r="B1376" s="476" t="s">
        <v>1905</v>
      </c>
      <c r="C1376" s="476" t="s">
        <v>3720</v>
      </c>
      <c r="D1376" s="467" t="s">
        <v>1862</v>
      </c>
      <c r="E1376" s="472" t="s">
        <v>2838</v>
      </c>
      <c r="F1376" s="477">
        <v>66.754693034525999</v>
      </c>
      <c r="G1376" s="469" t="s">
        <v>2472</v>
      </c>
      <c r="H1376" s="470">
        <v>77.78</v>
      </c>
      <c r="I1376" s="471">
        <v>44.829173398783333</v>
      </c>
      <c r="J1376" s="485" t="s">
        <v>421</v>
      </c>
      <c r="K1376" s="472" t="s">
        <v>641</v>
      </c>
      <c r="L1376" s="473" t="s">
        <v>2474</v>
      </c>
      <c r="M1376" s="473" t="s">
        <v>1835</v>
      </c>
      <c r="N1376" s="473" t="s">
        <v>1858</v>
      </c>
      <c r="O1376" s="474" t="s">
        <v>1905</v>
      </c>
    </row>
    <row r="1377" spans="1:15" s="475" customFormat="1" ht="12" hidden="1">
      <c r="A1377" s="465">
        <v>10131000037794</v>
      </c>
      <c r="B1377" s="476" t="s">
        <v>1905</v>
      </c>
      <c r="C1377" s="476" t="s">
        <v>3721</v>
      </c>
      <c r="D1377" s="467" t="s">
        <v>1862</v>
      </c>
      <c r="E1377" s="472" t="s">
        <v>2833</v>
      </c>
      <c r="F1377" s="477">
        <v>71.162152323080008</v>
      </c>
      <c r="G1377" s="469" t="s">
        <v>2472</v>
      </c>
      <c r="H1377" s="470">
        <v>686.21</v>
      </c>
      <c r="I1377" s="471">
        <v>66.330730093191676</v>
      </c>
      <c r="J1377" s="485" t="s">
        <v>421</v>
      </c>
      <c r="K1377" s="472" t="s">
        <v>631</v>
      </c>
      <c r="L1377" s="473" t="s">
        <v>2474</v>
      </c>
      <c r="M1377" s="473" t="s">
        <v>1835</v>
      </c>
      <c r="N1377" s="473" t="s">
        <v>1858</v>
      </c>
      <c r="O1377" s="474" t="s">
        <v>1905</v>
      </c>
    </row>
    <row r="1378" spans="1:15" s="475" customFormat="1" ht="12" hidden="1">
      <c r="A1378" s="465">
        <v>10131000037780</v>
      </c>
      <c r="B1378" s="476" t="s">
        <v>1905</v>
      </c>
      <c r="C1378" s="476" t="s">
        <v>3722</v>
      </c>
      <c r="D1378" s="467" t="s">
        <v>1862</v>
      </c>
      <c r="E1378" s="472" t="s">
        <v>2819</v>
      </c>
      <c r="F1378" s="477">
        <v>89.397255884440014</v>
      </c>
      <c r="G1378" s="469" t="s">
        <v>2472</v>
      </c>
      <c r="H1378" s="470">
        <v>110454.27</v>
      </c>
      <c r="I1378" s="471">
        <v>73.269840004500011</v>
      </c>
      <c r="J1378" s="485" t="s">
        <v>421</v>
      </c>
      <c r="K1378" s="472" t="s">
        <v>735</v>
      </c>
      <c r="L1378" s="473" t="s">
        <v>2474</v>
      </c>
      <c r="M1378" s="473" t="s">
        <v>1835</v>
      </c>
      <c r="N1378" s="473" t="s">
        <v>1858</v>
      </c>
      <c r="O1378" s="474" t="s">
        <v>1905</v>
      </c>
    </row>
    <row r="1379" spans="1:15" s="475" customFormat="1" ht="12" hidden="1">
      <c r="A1379" s="465">
        <v>10131000037808</v>
      </c>
      <c r="B1379" s="476" t="s">
        <v>1905</v>
      </c>
      <c r="C1379" s="476" t="s">
        <v>3723</v>
      </c>
      <c r="D1379" s="467" t="s">
        <v>1862</v>
      </c>
      <c r="E1379" s="472" t="s">
        <v>2715</v>
      </c>
      <c r="F1379" s="477">
        <v>98.897523200000023</v>
      </c>
      <c r="G1379" s="469" t="s">
        <v>2472</v>
      </c>
      <c r="H1379" s="470">
        <v>75.58</v>
      </c>
      <c r="I1379" s="471">
        <v>100.37169787521668</v>
      </c>
      <c r="J1379" s="485" t="s">
        <v>421</v>
      </c>
      <c r="K1379" s="472" t="s">
        <v>591</v>
      </c>
      <c r="L1379" s="473" t="s">
        <v>2474</v>
      </c>
      <c r="M1379" s="473" t="s">
        <v>1835</v>
      </c>
      <c r="N1379" s="473" t="s">
        <v>1858</v>
      </c>
      <c r="O1379" s="474" t="s">
        <v>1905</v>
      </c>
    </row>
    <row r="1380" spans="1:15" s="475" customFormat="1" ht="12" hidden="1">
      <c r="A1380" s="465">
        <v>10131000037776</v>
      </c>
      <c r="B1380" s="476" t="s">
        <v>1905</v>
      </c>
      <c r="C1380" s="476" t="s">
        <v>3724</v>
      </c>
      <c r="D1380" s="467" t="s">
        <v>1862</v>
      </c>
      <c r="E1380" s="472" t="s">
        <v>2808</v>
      </c>
      <c r="F1380" s="477">
        <v>106.69565803894201</v>
      </c>
      <c r="G1380" s="469" t="s">
        <v>2472</v>
      </c>
      <c r="H1380" s="470">
        <v>265.70999999999998</v>
      </c>
      <c r="I1380" s="471">
        <v>74.257752496424999</v>
      </c>
      <c r="J1380" s="485" t="s">
        <v>421</v>
      </c>
      <c r="K1380" s="472" t="s">
        <v>599</v>
      </c>
      <c r="L1380" s="473" t="s">
        <v>2474</v>
      </c>
      <c r="M1380" s="473" t="s">
        <v>1835</v>
      </c>
      <c r="N1380" s="473" t="s">
        <v>1858</v>
      </c>
      <c r="O1380" s="474" t="s">
        <v>1905</v>
      </c>
    </row>
    <row r="1381" spans="1:15" s="475" customFormat="1" ht="12" hidden="1">
      <c r="A1381" s="465">
        <v>10131000037802</v>
      </c>
      <c r="B1381" s="476" t="s">
        <v>1905</v>
      </c>
      <c r="C1381" s="476" t="s">
        <v>3725</v>
      </c>
      <c r="D1381" s="467" t="s">
        <v>1862</v>
      </c>
      <c r="E1381" s="472" t="s">
        <v>2845</v>
      </c>
      <c r="F1381" s="477">
        <v>111.43215271439999</v>
      </c>
      <c r="G1381" s="469" t="s">
        <v>2472</v>
      </c>
      <c r="H1381" s="470">
        <v>503538.08</v>
      </c>
      <c r="I1381" s="471">
        <v>84.975827535600018</v>
      </c>
      <c r="J1381" s="485" t="s">
        <v>421</v>
      </c>
      <c r="K1381" s="472" t="s">
        <v>653</v>
      </c>
      <c r="L1381" s="473" t="s">
        <v>2474</v>
      </c>
      <c r="M1381" s="473" t="s">
        <v>1835</v>
      </c>
      <c r="N1381" s="473" t="s">
        <v>1858</v>
      </c>
      <c r="O1381" s="474" t="s">
        <v>1905</v>
      </c>
    </row>
    <row r="1382" spans="1:15" s="475" customFormat="1" ht="12" hidden="1">
      <c r="A1382" s="465">
        <v>10131000037828</v>
      </c>
      <c r="B1382" s="476" t="s">
        <v>1905</v>
      </c>
      <c r="C1382" s="476" t="s">
        <v>3726</v>
      </c>
      <c r="D1382" s="467" t="s">
        <v>1862</v>
      </c>
      <c r="E1382" s="472" t="s">
        <v>2491</v>
      </c>
      <c r="F1382" s="477">
        <v>120.6086</v>
      </c>
      <c r="G1382" s="469" t="s">
        <v>2472</v>
      </c>
      <c r="H1382" s="470">
        <v>174.96</v>
      </c>
      <c r="I1382" s="471">
        <v>174.96</v>
      </c>
      <c r="J1382" s="485" t="s">
        <v>421</v>
      </c>
      <c r="K1382" s="472" t="s">
        <v>745</v>
      </c>
      <c r="L1382" s="473" t="s">
        <v>2474</v>
      </c>
      <c r="M1382" s="473" t="s">
        <v>1835</v>
      </c>
      <c r="N1382" s="473" t="s">
        <v>1858</v>
      </c>
      <c r="O1382" s="474" t="s">
        <v>1905</v>
      </c>
    </row>
    <row r="1383" spans="1:15" s="475" customFormat="1" ht="12" hidden="1">
      <c r="A1383" s="465">
        <v>10131000037825</v>
      </c>
      <c r="B1383" s="476" t="s">
        <v>1905</v>
      </c>
      <c r="C1383" s="476" t="s">
        <v>3727</v>
      </c>
      <c r="D1383" s="467" t="s">
        <v>1862</v>
      </c>
      <c r="E1383" s="472" t="s">
        <v>2874</v>
      </c>
      <c r="F1383" s="477">
        <v>142.73352019208798</v>
      </c>
      <c r="G1383" s="469" t="s">
        <v>2472</v>
      </c>
      <c r="H1383" s="470">
        <v>140.9</v>
      </c>
      <c r="I1383" s="471">
        <v>152.55313978375</v>
      </c>
      <c r="J1383" s="485" t="s">
        <v>421</v>
      </c>
      <c r="K1383" s="472" t="s">
        <v>637</v>
      </c>
      <c r="L1383" s="473" t="s">
        <v>2474</v>
      </c>
      <c r="M1383" s="473" t="s">
        <v>1835</v>
      </c>
      <c r="N1383" s="473" t="s">
        <v>1858</v>
      </c>
      <c r="O1383" s="474" t="s">
        <v>1905</v>
      </c>
    </row>
    <row r="1384" spans="1:15" s="475" customFormat="1" ht="12" hidden="1">
      <c r="A1384" s="465">
        <v>10131000037820</v>
      </c>
      <c r="B1384" s="476" t="s">
        <v>1905</v>
      </c>
      <c r="C1384" s="476" t="s">
        <v>3728</v>
      </c>
      <c r="D1384" s="467" t="s">
        <v>1862</v>
      </c>
      <c r="E1384" s="472" t="s">
        <v>2715</v>
      </c>
      <c r="F1384" s="477">
        <v>148.96119168000001</v>
      </c>
      <c r="G1384" s="469" t="s">
        <v>2472</v>
      </c>
      <c r="H1384" s="470">
        <v>169.58</v>
      </c>
      <c r="I1384" s="471">
        <v>225.20551105688338</v>
      </c>
      <c r="J1384" s="485" t="s">
        <v>421</v>
      </c>
      <c r="K1384" s="472" t="s">
        <v>743</v>
      </c>
      <c r="L1384" s="473" t="s">
        <v>2474</v>
      </c>
      <c r="M1384" s="473" t="s">
        <v>1835</v>
      </c>
      <c r="N1384" s="473" t="s">
        <v>1858</v>
      </c>
      <c r="O1384" s="474" t="s">
        <v>1905</v>
      </c>
    </row>
    <row r="1385" spans="1:15" s="475" customFormat="1" ht="12" hidden="1">
      <c r="A1385" s="465">
        <v>10131000037781</v>
      </c>
      <c r="B1385" s="476" t="s">
        <v>1905</v>
      </c>
      <c r="C1385" s="476" t="s">
        <v>3729</v>
      </c>
      <c r="D1385" s="467" t="s">
        <v>1862</v>
      </c>
      <c r="E1385" s="472" t="s">
        <v>2852</v>
      </c>
      <c r="F1385" s="477">
        <v>154.87419439314201</v>
      </c>
      <c r="G1385" s="469" t="s">
        <v>2472</v>
      </c>
      <c r="H1385" s="470">
        <v>474.04</v>
      </c>
      <c r="I1385" s="471">
        <v>54.276242417133339</v>
      </c>
      <c r="J1385" s="485" t="s">
        <v>421</v>
      </c>
      <c r="K1385" s="472" t="s">
        <v>613</v>
      </c>
      <c r="L1385" s="473" t="s">
        <v>2474</v>
      </c>
      <c r="M1385" s="473" t="s">
        <v>1835</v>
      </c>
      <c r="N1385" s="473" t="s">
        <v>1858</v>
      </c>
      <c r="O1385" s="474" t="s">
        <v>1905</v>
      </c>
    </row>
    <row r="1386" spans="1:15" s="475" customFormat="1" ht="12" hidden="1">
      <c r="A1386" s="465">
        <v>10131000037795</v>
      </c>
      <c r="B1386" s="476" t="s">
        <v>1905</v>
      </c>
      <c r="C1386" s="476" t="s">
        <v>3730</v>
      </c>
      <c r="D1386" s="467" t="s">
        <v>1862</v>
      </c>
      <c r="E1386" s="472" t="s">
        <v>2836</v>
      </c>
      <c r="F1386" s="477">
        <v>192.58831429615401</v>
      </c>
      <c r="G1386" s="469" t="s">
        <v>2472</v>
      </c>
      <c r="H1386" s="470">
        <v>246825.66</v>
      </c>
      <c r="I1386" s="471">
        <v>139.80164244790001</v>
      </c>
      <c r="J1386" s="485" t="s">
        <v>421</v>
      </c>
      <c r="K1386" s="472" t="s">
        <v>639</v>
      </c>
      <c r="L1386" s="473" t="s">
        <v>2474</v>
      </c>
      <c r="M1386" s="473" t="s">
        <v>1835</v>
      </c>
      <c r="N1386" s="473" t="s">
        <v>1858</v>
      </c>
      <c r="O1386" s="474" t="s">
        <v>1905</v>
      </c>
    </row>
    <row r="1387" spans="1:15" s="475" customFormat="1" ht="12" hidden="1">
      <c r="A1387" s="465">
        <v>10131000037827</v>
      </c>
      <c r="B1387" s="476" t="s">
        <v>1905</v>
      </c>
      <c r="C1387" s="476" t="s">
        <v>3731</v>
      </c>
      <c r="D1387" s="467" t="s">
        <v>1862</v>
      </c>
      <c r="E1387" s="472" t="s">
        <v>2817</v>
      </c>
      <c r="F1387" s="477">
        <v>210.92315837543998</v>
      </c>
      <c r="G1387" s="469" t="s">
        <v>2472</v>
      </c>
      <c r="H1387" s="470">
        <v>55.12</v>
      </c>
      <c r="I1387" s="471">
        <v>192.90588845319999</v>
      </c>
      <c r="J1387" s="485" t="s">
        <v>421</v>
      </c>
      <c r="K1387" s="472" t="s">
        <v>609</v>
      </c>
      <c r="L1387" s="473" t="s">
        <v>2474</v>
      </c>
      <c r="M1387" s="473" t="s">
        <v>1835</v>
      </c>
      <c r="N1387" s="473" t="s">
        <v>1858</v>
      </c>
      <c r="O1387" s="474" t="s">
        <v>1905</v>
      </c>
    </row>
    <row r="1388" spans="1:15" s="475" customFormat="1" ht="12" hidden="1">
      <c r="A1388" s="465">
        <v>10131000037791</v>
      </c>
      <c r="B1388" s="476" t="s">
        <v>1905</v>
      </c>
      <c r="C1388" s="476" t="s">
        <v>3732</v>
      </c>
      <c r="D1388" s="467" t="s">
        <v>1862</v>
      </c>
      <c r="E1388" s="472" t="s">
        <v>2795</v>
      </c>
      <c r="F1388" s="477">
        <v>211.23616133915399</v>
      </c>
      <c r="G1388" s="469" t="s">
        <v>2472</v>
      </c>
      <c r="H1388" s="470">
        <v>110437.11</v>
      </c>
      <c r="I1388" s="471">
        <v>223.61600531759996</v>
      </c>
      <c r="J1388" s="485" t="s">
        <v>421</v>
      </c>
      <c r="K1388" s="472" t="s">
        <v>627</v>
      </c>
      <c r="L1388" s="473" t="s">
        <v>2474</v>
      </c>
      <c r="M1388" s="473" t="s">
        <v>1835</v>
      </c>
      <c r="N1388" s="473" t="s">
        <v>1858</v>
      </c>
      <c r="O1388" s="474" t="s">
        <v>1905</v>
      </c>
    </row>
    <row r="1389" spans="1:15" s="475" customFormat="1" ht="12" hidden="1">
      <c r="A1389" s="465">
        <v>10131000056514</v>
      </c>
      <c r="B1389" s="466" t="s">
        <v>1905</v>
      </c>
      <c r="C1389" s="476" t="s">
        <v>3733</v>
      </c>
      <c r="D1389" s="467" t="s">
        <v>1862</v>
      </c>
      <c r="E1389" s="472" t="s">
        <v>2491</v>
      </c>
      <c r="F1389" s="477" t="s">
        <v>2472</v>
      </c>
      <c r="G1389" s="469" t="s">
        <v>2472</v>
      </c>
      <c r="H1389" s="487">
        <v>41.75</v>
      </c>
      <c r="I1389" s="471">
        <v>41.75</v>
      </c>
      <c r="J1389" s="488" t="s">
        <v>2492</v>
      </c>
      <c r="K1389" s="472" t="s">
        <v>656</v>
      </c>
      <c r="L1389" s="473" t="s">
        <v>2474</v>
      </c>
      <c r="M1389" s="473" t="s">
        <v>1835</v>
      </c>
      <c r="N1389" s="473" t="s">
        <v>1858</v>
      </c>
      <c r="O1389" s="474" t="s">
        <v>1905</v>
      </c>
    </row>
    <row r="1390" spans="1:15" s="475" customFormat="1" ht="12" hidden="1">
      <c r="A1390" s="465">
        <v>10131000037831</v>
      </c>
      <c r="B1390" s="476" t="s">
        <v>1905</v>
      </c>
      <c r="C1390" s="476" t="s">
        <v>3734</v>
      </c>
      <c r="D1390" s="467" t="s">
        <v>1862</v>
      </c>
      <c r="E1390" s="472" t="s">
        <v>2715</v>
      </c>
      <c r="F1390" s="477" t="s">
        <v>2472</v>
      </c>
      <c r="G1390" s="469" t="s">
        <v>2472</v>
      </c>
      <c r="H1390" s="470">
        <v>24.12</v>
      </c>
      <c r="I1390" s="471">
        <v>32.03182525470001</v>
      </c>
      <c r="J1390" s="485" t="s">
        <v>421</v>
      </c>
      <c r="K1390" s="472" t="s">
        <v>2779</v>
      </c>
      <c r="L1390" s="473" t="s">
        <v>2474</v>
      </c>
      <c r="M1390" s="473" t="s">
        <v>1835</v>
      </c>
      <c r="N1390" s="473" t="s">
        <v>1858</v>
      </c>
      <c r="O1390" s="474" t="s">
        <v>1905</v>
      </c>
    </row>
    <row r="1391" spans="1:15" s="475" customFormat="1" ht="12" hidden="1">
      <c r="A1391" s="465">
        <v>10131000056439</v>
      </c>
      <c r="B1391" s="466" t="s">
        <v>1905</v>
      </c>
      <c r="C1391" s="476" t="s">
        <v>3735</v>
      </c>
      <c r="D1391" s="467" t="s">
        <v>1862</v>
      </c>
      <c r="E1391" s="472" t="s">
        <v>2491</v>
      </c>
      <c r="F1391" s="477" t="s">
        <v>2472</v>
      </c>
      <c r="G1391" s="469" t="s">
        <v>2472</v>
      </c>
      <c r="H1391" s="487">
        <v>16.64</v>
      </c>
      <c r="I1391" s="471">
        <v>16.64</v>
      </c>
      <c r="J1391" s="488" t="s">
        <v>2492</v>
      </c>
      <c r="K1391" s="472" t="s">
        <v>666</v>
      </c>
      <c r="L1391" s="473" t="s">
        <v>2474</v>
      </c>
      <c r="M1391" s="473" t="s">
        <v>1835</v>
      </c>
      <c r="N1391" s="473" t="s">
        <v>1858</v>
      </c>
      <c r="O1391" s="474" t="s">
        <v>1905</v>
      </c>
    </row>
    <row r="1392" spans="1:15" s="475" customFormat="1" ht="12" hidden="1">
      <c r="A1392" s="465">
        <v>1000099144</v>
      </c>
      <c r="B1392" s="466" t="s">
        <v>1905</v>
      </c>
      <c r="C1392" s="466" t="s">
        <v>1905</v>
      </c>
      <c r="D1392" s="467" t="s">
        <v>1862</v>
      </c>
      <c r="E1392" s="468" t="s">
        <v>2471</v>
      </c>
      <c r="F1392" s="477" t="s">
        <v>2472</v>
      </c>
      <c r="G1392" s="469" t="s">
        <v>2472</v>
      </c>
      <c r="H1392" s="470">
        <v>707.31675000000007</v>
      </c>
      <c r="I1392" s="471">
        <v>54.619054054054061</v>
      </c>
      <c r="J1392" s="472" t="s">
        <v>422</v>
      </c>
      <c r="K1392" s="472" t="s">
        <v>2473</v>
      </c>
      <c r="L1392" s="473" t="s">
        <v>2474</v>
      </c>
      <c r="M1392" s="473" t="s">
        <v>1835</v>
      </c>
      <c r="N1392" s="473" t="s">
        <v>1858</v>
      </c>
      <c r="O1392" s="474" t="s">
        <v>1905</v>
      </c>
    </row>
    <row r="1393" spans="1:15" s="475" customFormat="1" ht="12" hidden="1">
      <c r="A1393" s="465">
        <v>1000099181</v>
      </c>
      <c r="B1393" s="466" t="s">
        <v>1905</v>
      </c>
      <c r="C1393" s="466" t="s">
        <v>3736</v>
      </c>
      <c r="D1393" s="467" t="s">
        <v>1862</v>
      </c>
      <c r="E1393" s="468" t="s">
        <v>2471</v>
      </c>
      <c r="F1393" s="477" t="s">
        <v>2472</v>
      </c>
      <c r="G1393" s="469" t="s">
        <v>2472</v>
      </c>
      <c r="H1393" s="470">
        <v>742.68258750000007</v>
      </c>
      <c r="I1393" s="471">
        <v>57.350006756756763</v>
      </c>
      <c r="J1393" s="472" t="s">
        <v>422</v>
      </c>
      <c r="K1393" s="472" t="s">
        <v>2473</v>
      </c>
      <c r="L1393" s="473" t="s">
        <v>2474</v>
      </c>
      <c r="M1393" s="473" t="s">
        <v>1835</v>
      </c>
      <c r="N1393" s="473" t="s">
        <v>1858</v>
      </c>
      <c r="O1393" s="474" t="s">
        <v>1905</v>
      </c>
    </row>
    <row r="1394" spans="1:15" s="475" customFormat="1" ht="12" hidden="1">
      <c r="A1394" s="465">
        <v>10131000058319</v>
      </c>
      <c r="B1394" s="476" t="s">
        <v>1905</v>
      </c>
      <c r="C1394" s="476" t="s">
        <v>3694</v>
      </c>
      <c r="D1394" s="467" t="s">
        <v>1862</v>
      </c>
      <c r="E1394" s="472" t="s">
        <v>2519</v>
      </c>
      <c r="F1394" s="477" t="s">
        <v>2472</v>
      </c>
      <c r="G1394" s="469" t="s">
        <v>2472</v>
      </c>
      <c r="H1394" s="470">
        <v>43.99</v>
      </c>
      <c r="I1394" s="471">
        <v>13.569461130500001</v>
      </c>
      <c r="J1394" s="485" t="s">
        <v>421</v>
      </c>
      <c r="K1394" s="472" t="s">
        <v>621</v>
      </c>
      <c r="L1394" s="473" t="s">
        <v>2474</v>
      </c>
      <c r="M1394" s="473" t="s">
        <v>1835</v>
      </c>
      <c r="N1394" s="473" t="s">
        <v>1858</v>
      </c>
      <c r="O1394" s="474" t="s">
        <v>1905</v>
      </c>
    </row>
    <row r="1395" spans="1:15" s="475" customFormat="1" ht="12" hidden="1">
      <c r="A1395" s="465">
        <v>10131000056557</v>
      </c>
      <c r="B1395" s="466" t="s">
        <v>1905</v>
      </c>
      <c r="C1395" s="476" t="s">
        <v>3737</v>
      </c>
      <c r="D1395" s="467" t="s">
        <v>1862</v>
      </c>
      <c r="E1395" s="472" t="s">
        <v>2491</v>
      </c>
      <c r="F1395" s="477" t="s">
        <v>2472</v>
      </c>
      <c r="G1395" s="469" t="s">
        <v>2472</v>
      </c>
      <c r="H1395" s="487">
        <v>20.59</v>
      </c>
      <c r="I1395" s="471">
        <v>20.59</v>
      </c>
      <c r="J1395" s="488" t="s">
        <v>2492</v>
      </c>
      <c r="K1395" s="472" t="s">
        <v>674</v>
      </c>
      <c r="L1395" s="473" t="s">
        <v>2474</v>
      </c>
      <c r="M1395" s="473" t="s">
        <v>1835</v>
      </c>
      <c r="N1395" s="473" t="s">
        <v>1858</v>
      </c>
      <c r="O1395" s="474" t="s">
        <v>1905</v>
      </c>
    </row>
    <row r="1396" spans="1:15" s="475" customFormat="1" ht="12" hidden="1">
      <c r="A1396" s="465">
        <v>10131000056556</v>
      </c>
      <c r="B1396" s="466" t="s">
        <v>1905</v>
      </c>
      <c r="C1396" s="476" t="s">
        <v>3738</v>
      </c>
      <c r="D1396" s="467" t="s">
        <v>1862</v>
      </c>
      <c r="E1396" s="472" t="s">
        <v>2491</v>
      </c>
      <c r="F1396" s="477" t="s">
        <v>2472</v>
      </c>
      <c r="G1396" s="469" t="s">
        <v>2472</v>
      </c>
      <c r="H1396" s="487">
        <v>14.43</v>
      </c>
      <c r="I1396" s="471">
        <v>14.43</v>
      </c>
      <c r="J1396" s="488" t="s">
        <v>2492</v>
      </c>
      <c r="K1396" s="472" t="s">
        <v>676</v>
      </c>
      <c r="L1396" s="473" t="s">
        <v>2474</v>
      </c>
      <c r="M1396" s="473" t="s">
        <v>1835</v>
      </c>
      <c r="N1396" s="473" t="s">
        <v>1858</v>
      </c>
      <c r="O1396" s="474" t="s">
        <v>1905</v>
      </c>
    </row>
    <row r="1397" spans="1:15" s="475" customFormat="1" ht="12" hidden="1">
      <c r="A1397" s="465">
        <v>10131000056559</v>
      </c>
      <c r="B1397" s="476" t="s">
        <v>3739</v>
      </c>
      <c r="C1397" s="476" t="s">
        <v>3739</v>
      </c>
      <c r="D1397" s="467" t="s">
        <v>1862</v>
      </c>
      <c r="E1397" s="472" t="s">
        <v>2491</v>
      </c>
      <c r="F1397" s="477">
        <v>4.49</v>
      </c>
      <c r="G1397" s="469" t="s">
        <v>2472</v>
      </c>
      <c r="H1397" s="487">
        <v>6.22</v>
      </c>
      <c r="I1397" s="471">
        <v>6.22</v>
      </c>
      <c r="J1397" s="488" t="s">
        <v>2492</v>
      </c>
      <c r="K1397" s="472" t="s">
        <v>2522</v>
      </c>
      <c r="L1397" s="473" t="s">
        <v>2474</v>
      </c>
      <c r="M1397" s="473" t="s">
        <v>1835</v>
      </c>
      <c r="N1397" s="473" t="s">
        <v>1858</v>
      </c>
      <c r="O1397" s="474" t="s">
        <v>3587</v>
      </c>
    </row>
    <row r="1398" spans="1:15" s="475" customFormat="1" ht="12" hidden="1">
      <c r="A1398" s="465">
        <v>10131000056561</v>
      </c>
      <c r="B1398" s="476" t="s">
        <v>3740</v>
      </c>
      <c r="C1398" s="476" t="s">
        <v>3740</v>
      </c>
      <c r="D1398" s="467" t="s">
        <v>1862</v>
      </c>
      <c r="E1398" s="472" t="s">
        <v>2491</v>
      </c>
      <c r="F1398" s="477">
        <v>0.33</v>
      </c>
      <c r="G1398" s="469" t="s">
        <v>2472</v>
      </c>
      <c r="H1398" s="487">
        <v>1.91</v>
      </c>
      <c r="I1398" s="471">
        <v>1.91</v>
      </c>
      <c r="J1398" s="488" t="s">
        <v>2492</v>
      </c>
      <c r="K1398" s="472" t="s">
        <v>2522</v>
      </c>
      <c r="L1398" s="473" t="s">
        <v>2474</v>
      </c>
      <c r="M1398" s="473" t="s">
        <v>1835</v>
      </c>
      <c r="N1398" s="473" t="s">
        <v>1858</v>
      </c>
      <c r="O1398" s="474" t="s">
        <v>3587</v>
      </c>
    </row>
    <row r="1399" spans="1:15" s="475" customFormat="1" ht="12" hidden="1">
      <c r="A1399" s="465">
        <v>10131000030301</v>
      </c>
      <c r="B1399" s="476" t="s">
        <v>3741</v>
      </c>
      <c r="C1399" s="476" t="s">
        <v>3742</v>
      </c>
      <c r="D1399" s="467" t="s">
        <v>571</v>
      </c>
      <c r="E1399" s="472" t="s">
        <v>2541</v>
      </c>
      <c r="F1399" s="477">
        <v>0</v>
      </c>
      <c r="G1399" s="469" t="s">
        <v>2472</v>
      </c>
      <c r="H1399" s="470">
        <v>1E-8</v>
      </c>
      <c r="I1399" s="471">
        <v>1.5324781650000001E-8</v>
      </c>
      <c r="J1399" s="485" t="s">
        <v>421</v>
      </c>
      <c r="K1399" s="472" t="s">
        <v>651</v>
      </c>
      <c r="L1399" s="473" t="s">
        <v>2693</v>
      </c>
      <c r="M1399" s="473" t="s">
        <v>1595</v>
      </c>
      <c r="N1399" s="473" t="s">
        <v>1595</v>
      </c>
      <c r="O1399" s="474" t="s">
        <v>3741</v>
      </c>
    </row>
    <row r="1400" spans="1:15" s="475" customFormat="1" ht="12" hidden="1">
      <c r="A1400" s="465">
        <v>10131000039661</v>
      </c>
      <c r="B1400" s="466" t="s">
        <v>3741</v>
      </c>
      <c r="C1400" s="466" t="s">
        <v>3743</v>
      </c>
      <c r="D1400" s="467" t="s">
        <v>571</v>
      </c>
      <c r="E1400" s="468" t="s">
        <v>2491</v>
      </c>
      <c r="F1400" s="477">
        <v>4.3899999999999997</v>
      </c>
      <c r="G1400" s="469" t="s">
        <v>2472</v>
      </c>
      <c r="H1400" s="470">
        <v>4.3899999999999997</v>
      </c>
      <c r="I1400" s="471">
        <v>4.3899999999999997</v>
      </c>
      <c r="J1400" s="472" t="s">
        <v>423</v>
      </c>
      <c r="K1400" s="472" t="s">
        <v>534</v>
      </c>
      <c r="L1400" s="473" t="s">
        <v>2693</v>
      </c>
      <c r="M1400" s="473" t="s">
        <v>1595</v>
      </c>
      <c r="N1400" s="473" t="s">
        <v>1595</v>
      </c>
      <c r="O1400" s="474" t="s">
        <v>3741</v>
      </c>
    </row>
    <row r="1401" spans="1:15" s="475" customFormat="1" ht="12" hidden="1">
      <c r="A1401" s="465">
        <v>10131000030242</v>
      </c>
      <c r="B1401" s="476" t="s">
        <v>3741</v>
      </c>
      <c r="C1401" s="476" t="s">
        <v>3742</v>
      </c>
      <c r="D1401" s="467" t="s">
        <v>571</v>
      </c>
      <c r="E1401" s="472" t="s">
        <v>2541</v>
      </c>
      <c r="F1401" s="477">
        <v>6.7703399999999991</v>
      </c>
      <c r="G1401" s="469" t="s">
        <v>2472</v>
      </c>
      <c r="H1401" s="470">
        <v>3.77</v>
      </c>
      <c r="I1401" s="471">
        <v>5.7774426820499993</v>
      </c>
      <c r="J1401" s="485" t="s">
        <v>421</v>
      </c>
      <c r="K1401" s="472" t="s">
        <v>651</v>
      </c>
      <c r="L1401" s="473" t="s">
        <v>2693</v>
      </c>
      <c r="M1401" s="473" t="s">
        <v>1595</v>
      </c>
      <c r="N1401" s="473" t="s">
        <v>1595</v>
      </c>
      <c r="O1401" s="474" t="s">
        <v>3741</v>
      </c>
    </row>
    <row r="1402" spans="1:15" s="475" customFormat="1" ht="12" hidden="1">
      <c r="A1402" s="465">
        <v>10131000030244</v>
      </c>
      <c r="B1402" s="476" t="s">
        <v>3741</v>
      </c>
      <c r="C1402" s="476" t="s">
        <v>3742</v>
      </c>
      <c r="D1402" s="467" t="s">
        <v>571</v>
      </c>
      <c r="E1402" s="472" t="s">
        <v>2541</v>
      </c>
      <c r="F1402" s="477">
        <v>6.7703399999999991</v>
      </c>
      <c r="G1402" s="469" t="s">
        <v>2472</v>
      </c>
      <c r="H1402" s="470">
        <v>3.77</v>
      </c>
      <c r="I1402" s="471">
        <v>5.7774426820499993</v>
      </c>
      <c r="J1402" s="485" t="s">
        <v>421</v>
      </c>
      <c r="K1402" s="472" t="s">
        <v>651</v>
      </c>
      <c r="L1402" s="473" t="s">
        <v>2693</v>
      </c>
      <c r="M1402" s="473" t="s">
        <v>1595</v>
      </c>
      <c r="N1402" s="473" t="s">
        <v>1595</v>
      </c>
      <c r="O1402" s="474" t="s">
        <v>3741</v>
      </c>
    </row>
    <row r="1403" spans="1:15" s="475" customFormat="1" ht="12" hidden="1">
      <c r="A1403" s="465">
        <v>10131000029588</v>
      </c>
      <c r="B1403" s="466" t="s">
        <v>3741</v>
      </c>
      <c r="C1403" s="476" t="s">
        <v>3744</v>
      </c>
      <c r="D1403" s="467" t="s">
        <v>571</v>
      </c>
      <c r="E1403" s="472" t="s">
        <v>2491</v>
      </c>
      <c r="F1403" s="477">
        <v>6.8</v>
      </c>
      <c r="G1403" s="469" t="s">
        <v>2472</v>
      </c>
      <c r="H1403" s="487">
        <v>13.11</v>
      </c>
      <c r="I1403" s="471">
        <v>13.11</v>
      </c>
      <c r="J1403" s="488" t="s">
        <v>2492</v>
      </c>
      <c r="K1403" s="472" t="s">
        <v>2522</v>
      </c>
      <c r="L1403" s="473" t="s">
        <v>2693</v>
      </c>
      <c r="M1403" s="473" t="s">
        <v>1595</v>
      </c>
      <c r="N1403" s="473" t="s">
        <v>1595</v>
      </c>
      <c r="O1403" s="474" t="s">
        <v>3741</v>
      </c>
    </row>
    <row r="1404" spans="1:15" s="475" customFormat="1" ht="12" hidden="1">
      <c r="A1404" s="465">
        <v>10131000039696</v>
      </c>
      <c r="B1404" s="476" t="s">
        <v>3741</v>
      </c>
      <c r="C1404" s="476" t="s">
        <v>3742</v>
      </c>
      <c r="D1404" s="467" t="s">
        <v>571</v>
      </c>
      <c r="E1404" s="472" t="s">
        <v>2491</v>
      </c>
      <c r="F1404" s="477">
        <v>6.8</v>
      </c>
      <c r="G1404" s="469" t="s">
        <v>2472</v>
      </c>
      <c r="H1404" s="470">
        <v>5.78</v>
      </c>
      <c r="I1404" s="471">
        <v>5.78</v>
      </c>
      <c r="J1404" s="485" t="s">
        <v>421</v>
      </c>
      <c r="K1404" s="472" t="s">
        <v>651</v>
      </c>
      <c r="L1404" s="473" t="s">
        <v>2693</v>
      </c>
      <c r="M1404" s="473" t="s">
        <v>1595</v>
      </c>
      <c r="N1404" s="473" t="s">
        <v>1595</v>
      </c>
      <c r="O1404" s="474" t="s">
        <v>3741</v>
      </c>
    </row>
    <row r="1405" spans="1:15" s="475" customFormat="1" ht="12" hidden="1">
      <c r="A1405" s="465">
        <v>10131000030263</v>
      </c>
      <c r="B1405" s="466" t="s">
        <v>3741</v>
      </c>
      <c r="C1405" s="466" t="s">
        <v>3741</v>
      </c>
      <c r="D1405" s="467" t="s">
        <v>571</v>
      </c>
      <c r="E1405" s="468" t="s">
        <v>2491</v>
      </c>
      <c r="F1405" s="477">
        <v>7.5</v>
      </c>
      <c r="G1405" s="469" t="s">
        <v>2472</v>
      </c>
      <c r="H1405" s="470">
        <v>7.8</v>
      </c>
      <c r="I1405" s="471">
        <v>7.8</v>
      </c>
      <c r="J1405" s="472" t="s">
        <v>423</v>
      </c>
      <c r="K1405" s="472" t="s">
        <v>534</v>
      </c>
      <c r="L1405" s="473" t="s">
        <v>2693</v>
      </c>
      <c r="M1405" s="473" t="s">
        <v>1595</v>
      </c>
      <c r="N1405" s="473" t="s">
        <v>1595</v>
      </c>
      <c r="O1405" s="474" t="s">
        <v>3741</v>
      </c>
    </row>
    <row r="1406" spans="1:15" s="475" customFormat="1" ht="12" hidden="1">
      <c r="A1406" s="465">
        <v>10131000030229</v>
      </c>
      <c r="B1406" s="489" t="s">
        <v>3741</v>
      </c>
      <c r="C1406" s="489" t="s">
        <v>3745</v>
      </c>
      <c r="D1406" s="467" t="s">
        <v>571</v>
      </c>
      <c r="E1406" s="478" t="s">
        <v>2514</v>
      </c>
      <c r="F1406" s="477">
        <v>16.918038239999998</v>
      </c>
      <c r="G1406" s="469" t="s">
        <v>2472</v>
      </c>
      <c r="H1406" s="481">
        <v>642</v>
      </c>
      <c r="I1406" s="482">
        <v>6.55</v>
      </c>
      <c r="J1406" s="483" t="s">
        <v>2515</v>
      </c>
      <c r="K1406" s="483" t="s">
        <v>2515</v>
      </c>
      <c r="L1406" s="473" t="s">
        <v>2693</v>
      </c>
      <c r="M1406" s="473" t="s">
        <v>1595</v>
      </c>
      <c r="N1406" s="473" t="s">
        <v>1595</v>
      </c>
      <c r="O1406" s="474" t="s">
        <v>3741</v>
      </c>
    </row>
    <row r="1407" spans="1:15" s="475" customFormat="1" ht="12" hidden="1">
      <c r="A1407" s="465">
        <v>10131000052492</v>
      </c>
      <c r="B1407" s="489" t="s">
        <v>3741</v>
      </c>
      <c r="C1407" s="489" t="s">
        <v>3746</v>
      </c>
      <c r="D1407" s="467" t="s">
        <v>571</v>
      </c>
      <c r="E1407" s="478" t="s">
        <v>2514</v>
      </c>
      <c r="F1407" s="477">
        <v>16.918038239999998</v>
      </c>
      <c r="G1407" s="469" t="s">
        <v>2472</v>
      </c>
      <c r="H1407" s="481">
        <v>642</v>
      </c>
      <c r="I1407" s="482">
        <v>6.55</v>
      </c>
      <c r="J1407" s="483" t="s">
        <v>2515</v>
      </c>
      <c r="K1407" s="483" t="s">
        <v>2515</v>
      </c>
      <c r="L1407" s="473" t="s">
        <v>2693</v>
      </c>
      <c r="M1407" s="473" t="s">
        <v>1595</v>
      </c>
      <c r="N1407" s="473" t="s">
        <v>1595</v>
      </c>
      <c r="O1407" s="474" t="s">
        <v>3741</v>
      </c>
    </row>
    <row r="1408" spans="1:15" s="475" customFormat="1" ht="12" hidden="1">
      <c r="A1408" s="465">
        <v>1000099086</v>
      </c>
      <c r="B1408" s="466" t="s">
        <v>3741</v>
      </c>
      <c r="C1408" s="466" t="s">
        <v>3747</v>
      </c>
      <c r="D1408" s="467" t="s">
        <v>982</v>
      </c>
      <c r="E1408" s="468" t="s">
        <v>2471</v>
      </c>
      <c r="F1408" s="477" t="s">
        <v>2472</v>
      </c>
      <c r="G1408" s="469" t="s">
        <v>2472</v>
      </c>
      <c r="H1408" s="470">
        <v>56.265751999999999</v>
      </c>
      <c r="I1408" s="471">
        <v>4.3448457142857144</v>
      </c>
      <c r="J1408" s="472" t="s">
        <v>422</v>
      </c>
      <c r="K1408" s="472" t="s">
        <v>2473</v>
      </c>
      <c r="L1408" s="473" t="s">
        <v>2693</v>
      </c>
      <c r="M1408" s="473" t="s">
        <v>1595</v>
      </c>
      <c r="N1408" s="473" t="s">
        <v>1595</v>
      </c>
      <c r="O1408" s="474" t="s">
        <v>3741</v>
      </c>
    </row>
    <row r="1409" spans="1:15" s="475" customFormat="1" ht="12" hidden="1">
      <c r="A1409" s="465">
        <v>1000099095</v>
      </c>
      <c r="B1409" s="466" t="s">
        <v>3741</v>
      </c>
      <c r="C1409" s="466" t="s">
        <v>1595</v>
      </c>
      <c r="D1409" s="467" t="s">
        <v>982</v>
      </c>
      <c r="E1409" s="468" t="s">
        <v>2471</v>
      </c>
      <c r="F1409" s="477" t="s">
        <v>2472</v>
      </c>
      <c r="G1409" s="469" t="s">
        <v>2472</v>
      </c>
      <c r="H1409" s="470">
        <v>96.126000000000005</v>
      </c>
      <c r="I1409" s="471">
        <v>7.4228571428571435</v>
      </c>
      <c r="J1409" s="472" t="s">
        <v>422</v>
      </c>
      <c r="K1409" s="472" t="s">
        <v>2473</v>
      </c>
      <c r="L1409" s="473" t="s">
        <v>2693</v>
      </c>
      <c r="M1409" s="473" t="s">
        <v>1595</v>
      </c>
      <c r="N1409" s="473" t="s">
        <v>1595</v>
      </c>
      <c r="O1409" s="474" t="s">
        <v>3741</v>
      </c>
    </row>
    <row r="1410" spans="1:15" s="475" customFormat="1" ht="12" hidden="1">
      <c r="A1410" s="465">
        <v>1000099097</v>
      </c>
      <c r="B1410" s="466" t="s">
        <v>3741</v>
      </c>
      <c r="C1410" s="466" t="s">
        <v>3748</v>
      </c>
      <c r="D1410" s="467" t="s">
        <v>982</v>
      </c>
      <c r="E1410" s="468" t="s">
        <v>2471</v>
      </c>
      <c r="F1410" s="477" t="s">
        <v>2472</v>
      </c>
      <c r="G1410" s="469" t="s">
        <v>2472</v>
      </c>
      <c r="H1410" s="470">
        <v>118.475295</v>
      </c>
      <c r="I1410" s="471">
        <v>9.1486714285714292</v>
      </c>
      <c r="J1410" s="472" t="s">
        <v>422</v>
      </c>
      <c r="K1410" s="472" t="s">
        <v>2473</v>
      </c>
      <c r="L1410" s="473" t="s">
        <v>2693</v>
      </c>
      <c r="M1410" s="473" t="s">
        <v>1595</v>
      </c>
      <c r="N1410" s="473" t="s">
        <v>1595</v>
      </c>
      <c r="O1410" s="474" t="s">
        <v>3741</v>
      </c>
    </row>
    <row r="1411" spans="1:15" s="475" customFormat="1" ht="12" hidden="1">
      <c r="A1411" s="465">
        <v>1000099102</v>
      </c>
      <c r="B1411" s="466" t="s">
        <v>3741</v>
      </c>
      <c r="C1411" s="466" t="s">
        <v>3749</v>
      </c>
      <c r="D1411" s="467" t="s">
        <v>982</v>
      </c>
      <c r="E1411" s="468" t="s">
        <v>2471</v>
      </c>
      <c r="F1411" s="477" t="s">
        <v>2472</v>
      </c>
      <c r="G1411" s="469" t="s">
        <v>2472</v>
      </c>
      <c r="H1411" s="470">
        <v>69.347539339999997</v>
      </c>
      <c r="I1411" s="471">
        <v>5.3550223428571426</v>
      </c>
      <c r="J1411" s="472" t="s">
        <v>422</v>
      </c>
      <c r="K1411" s="472" t="s">
        <v>2473</v>
      </c>
      <c r="L1411" s="473" t="s">
        <v>2693</v>
      </c>
      <c r="M1411" s="473" t="s">
        <v>1595</v>
      </c>
      <c r="N1411" s="473" t="s">
        <v>1595</v>
      </c>
      <c r="O1411" s="474" t="s">
        <v>3741</v>
      </c>
    </row>
    <row r="1412" spans="1:15" s="475" customFormat="1" ht="12" hidden="1">
      <c r="A1412" s="465">
        <v>10131000021802</v>
      </c>
      <c r="B1412" s="466" t="s">
        <v>993</v>
      </c>
      <c r="C1412" s="476" t="s">
        <v>3750</v>
      </c>
      <c r="D1412" s="467" t="s">
        <v>990</v>
      </c>
      <c r="E1412" s="472" t="s">
        <v>2491</v>
      </c>
      <c r="F1412" s="477">
        <v>38.68</v>
      </c>
      <c r="G1412" s="469" t="s">
        <v>2472</v>
      </c>
      <c r="H1412" s="487">
        <v>29.72</v>
      </c>
      <c r="I1412" s="471">
        <v>29.72</v>
      </c>
      <c r="J1412" s="488" t="s">
        <v>2492</v>
      </c>
      <c r="K1412" s="472" t="s">
        <v>662</v>
      </c>
      <c r="L1412" s="473" t="s">
        <v>570</v>
      </c>
      <c r="M1412" s="473" t="s">
        <v>2735</v>
      </c>
      <c r="N1412" s="473" t="s">
        <v>993</v>
      </c>
      <c r="O1412" s="474" t="s">
        <v>993</v>
      </c>
    </row>
    <row r="1413" spans="1:15" s="475" customFormat="1" ht="12" hidden="1">
      <c r="A1413" s="465">
        <v>10131000016944</v>
      </c>
      <c r="B1413" s="466" t="s">
        <v>993</v>
      </c>
      <c r="C1413" s="466" t="s">
        <v>993</v>
      </c>
      <c r="D1413" s="467" t="s">
        <v>990</v>
      </c>
      <c r="E1413" s="468" t="s">
        <v>2491</v>
      </c>
      <c r="F1413" s="477">
        <v>45</v>
      </c>
      <c r="G1413" s="469" t="s">
        <v>2472</v>
      </c>
      <c r="H1413" s="470">
        <v>95.1</v>
      </c>
      <c r="I1413" s="471">
        <v>95.1</v>
      </c>
      <c r="J1413" s="472" t="s">
        <v>423</v>
      </c>
      <c r="K1413" s="472" t="s">
        <v>534</v>
      </c>
      <c r="L1413" s="473" t="s">
        <v>570</v>
      </c>
      <c r="M1413" s="473" t="s">
        <v>2735</v>
      </c>
      <c r="N1413" s="473" t="s">
        <v>993</v>
      </c>
      <c r="O1413" s="474" t="s">
        <v>993</v>
      </c>
    </row>
    <row r="1414" spans="1:15" s="475" customFormat="1" ht="12" hidden="1">
      <c r="A1414" s="465">
        <v>10131000029595</v>
      </c>
      <c r="B1414" s="466" t="s">
        <v>993</v>
      </c>
      <c r="C1414" s="476" t="s">
        <v>3751</v>
      </c>
      <c r="D1414" s="467" t="s">
        <v>990</v>
      </c>
      <c r="E1414" s="472" t="s">
        <v>2491</v>
      </c>
      <c r="F1414" s="477">
        <v>53.96</v>
      </c>
      <c r="G1414" s="469" t="s">
        <v>2472</v>
      </c>
      <c r="H1414" s="487">
        <v>80.739999999999995</v>
      </c>
      <c r="I1414" s="471">
        <v>80.739999999999995</v>
      </c>
      <c r="J1414" s="488" t="s">
        <v>2492</v>
      </c>
      <c r="K1414" s="472" t="s">
        <v>2522</v>
      </c>
      <c r="L1414" s="473" t="s">
        <v>570</v>
      </c>
      <c r="M1414" s="473" t="s">
        <v>2735</v>
      </c>
      <c r="N1414" s="473" t="s">
        <v>993</v>
      </c>
      <c r="O1414" s="474" t="s">
        <v>993</v>
      </c>
    </row>
    <row r="1415" spans="1:15" s="475" customFormat="1" ht="12" hidden="1">
      <c r="A1415" s="465">
        <v>10131000037542</v>
      </c>
      <c r="B1415" s="476" t="s">
        <v>993</v>
      </c>
      <c r="C1415" s="476" t="s">
        <v>3752</v>
      </c>
      <c r="D1415" s="467" t="s">
        <v>990</v>
      </c>
      <c r="E1415" s="472" t="s">
        <v>2541</v>
      </c>
      <c r="F1415" s="477">
        <v>93.41512800000001</v>
      </c>
      <c r="G1415" s="469" t="s">
        <v>2472</v>
      </c>
      <c r="H1415" s="470">
        <v>94.97</v>
      </c>
      <c r="I1415" s="471">
        <v>145.53945133004999</v>
      </c>
      <c r="J1415" s="485" t="s">
        <v>421</v>
      </c>
      <c r="K1415" s="472" t="s">
        <v>651</v>
      </c>
      <c r="L1415" s="473" t="s">
        <v>570</v>
      </c>
      <c r="M1415" s="473" t="s">
        <v>2735</v>
      </c>
      <c r="N1415" s="473" t="s">
        <v>993</v>
      </c>
      <c r="O1415" s="474" t="s">
        <v>993</v>
      </c>
    </row>
    <row r="1416" spans="1:15" s="475" customFormat="1" ht="12" hidden="1">
      <c r="A1416" s="465">
        <v>10131000037544</v>
      </c>
      <c r="B1416" s="476" t="s">
        <v>993</v>
      </c>
      <c r="C1416" s="476" t="s">
        <v>3752</v>
      </c>
      <c r="D1416" s="467" t="s">
        <v>990</v>
      </c>
      <c r="E1416" s="472" t="s">
        <v>2541</v>
      </c>
      <c r="F1416" s="477">
        <v>93.41512800000001</v>
      </c>
      <c r="G1416" s="469" t="s">
        <v>2472</v>
      </c>
      <c r="H1416" s="470">
        <v>94.97</v>
      </c>
      <c r="I1416" s="471">
        <v>145.53945133004999</v>
      </c>
      <c r="J1416" s="485" t="s">
        <v>421</v>
      </c>
      <c r="K1416" s="472" t="s">
        <v>651</v>
      </c>
      <c r="L1416" s="473" t="s">
        <v>570</v>
      </c>
      <c r="M1416" s="473" t="s">
        <v>2735</v>
      </c>
      <c r="N1416" s="473" t="s">
        <v>993</v>
      </c>
      <c r="O1416" s="474" t="s">
        <v>993</v>
      </c>
    </row>
    <row r="1417" spans="1:15" s="475" customFormat="1" ht="12" hidden="1">
      <c r="A1417" s="465">
        <v>10131000037543</v>
      </c>
      <c r="B1417" s="476" t="s">
        <v>993</v>
      </c>
      <c r="C1417" s="476" t="s">
        <v>3752</v>
      </c>
      <c r="D1417" s="467" t="s">
        <v>990</v>
      </c>
      <c r="E1417" s="472" t="s">
        <v>2491</v>
      </c>
      <c r="F1417" s="477">
        <v>93.84</v>
      </c>
      <c r="G1417" s="469" t="s">
        <v>2472</v>
      </c>
      <c r="H1417" s="470">
        <v>145.54</v>
      </c>
      <c r="I1417" s="471">
        <v>145.54</v>
      </c>
      <c r="J1417" s="485" t="s">
        <v>421</v>
      </c>
      <c r="K1417" s="472" t="s">
        <v>651</v>
      </c>
      <c r="L1417" s="473" t="s">
        <v>570</v>
      </c>
      <c r="M1417" s="473" t="s">
        <v>2735</v>
      </c>
      <c r="N1417" s="473" t="s">
        <v>993</v>
      </c>
      <c r="O1417" s="474" t="s">
        <v>993</v>
      </c>
    </row>
    <row r="1418" spans="1:15" s="475" customFormat="1" ht="12" hidden="1">
      <c r="A1418" s="465">
        <v>10131000058288</v>
      </c>
      <c r="B1418" s="489" t="s">
        <v>993</v>
      </c>
      <c r="C1418" s="489" t="s">
        <v>3753</v>
      </c>
      <c r="D1418" s="467" t="s">
        <v>990</v>
      </c>
      <c r="E1418" s="478" t="s">
        <v>2514</v>
      </c>
      <c r="F1418" s="477" t="s">
        <v>2472</v>
      </c>
      <c r="G1418" s="469" t="s">
        <v>2472</v>
      </c>
      <c r="H1418" s="481">
        <v>7547</v>
      </c>
      <c r="I1418" s="482">
        <v>77.040000000000006</v>
      </c>
      <c r="J1418" s="483" t="s">
        <v>2515</v>
      </c>
      <c r="K1418" s="483" t="s">
        <v>2515</v>
      </c>
      <c r="L1418" s="473" t="s">
        <v>570</v>
      </c>
      <c r="M1418" s="473" t="s">
        <v>2735</v>
      </c>
      <c r="N1418" s="473" t="s">
        <v>993</v>
      </c>
      <c r="O1418" s="474" t="s">
        <v>993</v>
      </c>
    </row>
    <row r="1419" spans="1:15" s="475" customFormat="1" ht="12" hidden="1">
      <c r="A1419" s="465">
        <v>10131000058289</v>
      </c>
      <c r="B1419" s="489" t="s">
        <v>993</v>
      </c>
      <c r="C1419" s="489" t="s">
        <v>3754</v>
      </c>
      <c r="D1419" s="467" t="s">
        <v>990</v>
      </c>
      <c r="E1419" s="478" t="s">
        <v>2514</v>
      </c>
      <c r="F1419" s="477" t="s">
        <v>2472</v>
      </c>
      <c r="G1419" s="469" t="s">
        <v>2472</v>
      </c>
      <c r="H1419" s="481">
        <v>7547</v>
      </c>
      <c r="I1419" s="482">
        <v>77.040000000000006</v>
      </c>
      <c r="J1419" s="483" t="s">
        <v>2515</v>
      </c>
      <c r="K1419" s="483" t="s">
        <v>2515</v>
      </c>
      <c r="L1419" s="473" t="s">
        <v>570</v>
      </c>
      <c r="M1419" s="473" t="s">
        <v>2735</v>
      </c>
      <c r="N1419" s="473" t="s">
        <v>993</v>
      </c>
      <c r="O1419" s="474" t="s">
        <v>993</v>
      </c>
    </row>
    <row r="1420" spans="1:15" s="475" customFormat="1" ht="12" hidden="1">
      <c r="A1420" s="465">
        <v>1000099120</v>
      </c>
      <c r="B1420" s="466" t="s">
        <v>3755</v>
      </c>
      <c r="C1420" s="466" t="s">
        <v>3755</v>
      </c>
      <c r="D1420" s="467" t="s">
        <v>1045</v>
      </c>
      <c r="E1420" s="468" t="s">
        <v>2471</v>
      </c>
      <c r="F1420" s="477" t="s">
        <v>2472</v>
      </c>
      <c r="G1420" s="469" t="s">
        <v>2472</v>
      </c>
      <c r="H1420" s="470">
        <v>0</v>
      </c>
      <c r="I1420" s="471">
        <v>0</v>
      </c>
      <c r="J1420" s="472" t="s">
        <v>422</v>
      </c>
      <c r="K1420" s="472" t="s">
        <v>2473</v>
      </c>
      <c r="L1420" s="473" t="s">
        <v>2474</v>
      </c>
      <c r="M1420" s="473" t="s">
        <v>1835</v>
      </c>
      <c r="N1420" s="473" t="s">
        <v>204</v>
      </c>
      <c r="O1420" s="490" t="s">
        <v>3755</v>
      </c>
    </row>
    <row r="1421" spans="1:15" s="475" customFormat="1" ht="12" hidden="1">
      <c r="A1421" s="465">
        <v>1000099157</v>
      </c>
      <c r="B1421" s="466" t="s">
        <v>3755</v>
      </c>
      <c r="C1421" s="466" t="s">
        <v>3756</v>
      </c>
      <c r="D1421" s="467" t="s">
        <v>1045</v>
      </c>
      <c r="E1421" s="468" t="s">
        <v>2471</v>
      </c>
      <c r="F1421" s="477" t="s">
        <v>2472</v>
      </c>
      <c r="G1421" s="469" t="s">
        <v>2472</v>
      </c>
      <c r="H1421" s="470">
        <v>0</v>
      </c>
      <c r="I1421" s="471">
        <v>0</v>
      </c>
      <c r="J1421" s="472" t="s">
        <v>422</v>
      </c>
      <c r="K1421" s="472" t="s">
        <v>2473</v>
      </c>
      <c r="L1421" s="473" t="s">
        <v>2474</v>
      </c>
      <c r="M1421" s="473" t="s">
        <v>1835</v>
      </c>
      <c r="N1421" s="473" t="s">
        <v>204</v>
      </c>
      <c r="O1421" s="490" t="s">
        <v>3755</v>
      </c>
    </row>
    <row r="1422" spans="1:15" s="475" customFormat="1" ht="12" hidden="1">
      <c r="A1422" s="465">
        <v>10131000038024</v>
      </c>
      <c r="B1422" s="476" t="s">
        <v>2089</v>
      </c>
      <c r="C1422" s="476" t="s">
        <v>3757</v>
      </c>
      <c r="D1422" s="467" t="s">
        <v>1045</v>
      </c>
      <c r="E1422" s="472" t="s">
        <v>2792</v>
      </c>
      <c r="F1422" s="477">
        <v>0</v>
      </c>
      <c r="G1422" s="469" t="s">
        <v>2472</v>
      </c>
      <c r="H1422" s="470">
        <v>0</v>
      </c>
      <c r="I1422" s="471">
        <v>0</v>
      </c>
      <c r="J1422" s="485" t="s">
        <v>421</v>
      </c>
      <c r="K1422" s="472" t="s">
        <v>575</v>
      </c>
      <c r="L1422" s="473" t="s">
        <v>2474</v>
      </c>
      <c r="M1422" s="473" t="s">
        <v>1835</v>
      </c>
      <c r="N1422" s="473" t="s">
        <v>3758</v>
      </c>
      <c r="O1422" s="474" t="s">
        <v>2089</v>
      </c>
    </row>
    <row r="1423" spans="1:15" s="475" customFormat="1" ht="12" hidden="1">
      <c r="A1423" s="465">
        <v>10131000038026</v>
      </c>
      <c r="B1423" s="476" t="s">
        <v>2089</v>
      </c>
      <c r="C1423" s="476" t="s">
        <v>3759</v>
      </c>
      <c r="D1423" s="467" t="s">
        <v>1045</v>
      </c>
      <c r="E1423" s="472" t="s">
        <v>2491</v>
      </c>
      <c r="F1423" s="477">
        <v>0</v>
      </c>
      <c r="G1423" s="469" t="s">
        <v>2472</v>
      </c>
      <c r="H1423" s="470">
        <v>1E-8</v>
      </c>
      <c r="I1423" s="471">
        <v>1E-8</v>
      </c>
      <c r="J1423" s="485" t="s">
        <v>421</v>
      </c>
      <c r="K1423" s="472" t="s">
        <v>577</v>
      </c>
      <c r="L1423" s="473" t="s">
        <v>2474</v>
      </c>
      <c r="M1423" s="473" t="s">
        <v>1835</v>
      </c>
      <c r="N1423" s="473" t="s">
        <v>3758</v>
      </c>
      <c r="O1423" s="474" t="s">
        <v>2089</v>
      </c>
    </row>
    <row r="1424" spans="1:15" s="475" customFormat="1" ht="12" hidden="1">
      <c r="A1424" s="465">
        <v>10131000038027</v>
      </c>
      <c r="B1424" s="476" t="s">
        <v>2089</v>
      </c>
      <c r="C1424" s="476" t="s">
        <v>3760</v>
      </c>
      <c r="D1424" s="467" t="s">
        <v>1045</v>
      </c>
      <c r="E1424" s="472" t="s">
        <v>2847</v>
      </c>
      <c r="F1424" s="477">
        <v>0</v>
      </c>
      <c r="G1424" s="469" t="s">
        <v>2472</v>
      </c>
      <c r="H1424" s="470">
        <v>1E-8</v>
      </c>
      <c r="I1424" s="471">
        <v>6.7781571833333356E-9</v>
      </c>
      <c r="J1424" s="485" t="s">
        <v>421</v>
      </c>
      <c r="K1424" s="472" t="s">
        <v>581</v>
      </c>
      <c r="L1424" s="473" t="s">
        <v>2474</v>
      </c>
      <c r="M1424" s="473" t="s">
        <v>1835</v>
      </c>
      <c r="N1424" s="473" t="s">
        <v>3758</v>
      </c>
      <c r="O1424" s="474" t="s">
        <v>2089</v>
      </c>
    </row>
    <row r="1425" spans="1:15" s="475" customFormat="1" ht="12" hidden="1">
      <c r="A1425" s="465">
        <v>10131000038028</v>
      </c>
      <c r="B1425" s="476" t="s">
        <v>2089</v>
      </c>
      <c r="C1425" s="476" t="s">
        <v>3761</v>
      </c>
      <c r="D1425" s="467" t="s">
        <v>1045</v>
      </c>
      <c r="E1425" s="472" t="s">
        <v>2795</v>
      </c>
      <c r="F1425" s="477">
        <v>0</v>
      </c>
      <c r="G1425" s="469" t="s">
        <v>2472</v>
      </c>
      <c r="H1425" s="470">
        <v>1E-8</v>
      </c>
      <c r="I1425" s="471">
        <v>2.0248266666666662E-11</v>
      </c>
      <c r="J1425" s="485" t="s">
        <v>421</v>
      </c>
      <c r="K1425" s="472" t="s">
        <v>583</v>
      </c>
      <c r="L1425" s="473" t="s">
        <v>2474</v>
      </c>
      <c r="M1425" s="473" t="s">
        <v>1835</v>
      </c>
      <c r="N1425" s="473" t="s">
        <v>3758</v>
      </c>
      <c r="O1425" s="474" t="s">
        <v>2089</v>
      </c>
    </row>
    <row r="1426" spans="1:15" s="475" customFormat="1" ht="12" hidden="1">
      <c r="A1426" s="465">
        <v>10131000038030</v>
      </c>
      <c r="B1426" s="476" t="s">
        <v>2089</v>
      </c>
      <c r="C1426" s="476" t="s">
        <v>3762</v>
      </c>
      <c r="D1426" s="467" t="s">
        <v>1045</v>
      </c>
      <c r="E1426" s="472" t="s">
        <v>2491</v>
      </c>
      <c r="F1426" s="477">
        <v>0</v>
      </c>
      <c r="G1426" s="469" t="s">
        <v>2472</v>
      </c>
      <c r="H1426" s="470">
        <v>1E-8</v>
      </c>
      <c r="I1426" s="471">
        <v>1E-8</v>
      </c>
      <c r="J1426" s="485" t="s">
        <v>421</v>
      </c>
      <c r="K1426" s="472" t="s">
        <v>585</v>
      </c>
      <c r="L1426" s="473" t="s">
        <v>2474</v>
      </c>
      <c r="M1426" s="473" t="s">
        <v>1835</v>
      </c>
      <c r="N1426" s="473" t="s">
        <v>3758</v>
      </c>
      <c r="O1426" s="474" t="s">
        <v>2089</v>
      </c>
    </row>
    <row r="1427" spans="1:15" s="475" customFormat="1" ht="12" hidden="1">
      <c r="A1427" s="465">
        <v>10131000038031</v>
      </c>
      <c r="B1427" s="476" t="s">
        <v>2089</v>
      </c>
      <c r="C1427" s="476" t="s">
        <v>3763</v>
      </c>
      <c r="D1427" s="467" t="s">
        <v>1045</v>
      </c>
      <c r="E1427" s="472" t="s">
        <v>2795</v>
      </c>
      <c r="F1427" s="477">
        <v>0</v>
      </c>
      <c r="G1427" s="469" t="s">
        <v>2472</v>
      </c>
      <c r="H1427" s="470">
        <v>1E-8</v>
      </c>
      <c r="I1427" s="471">
        <v>2.0248266666666662E-11</v>
      </c>
      <c r="J1427" s="485" t="s">
        <v>421</v>
      </c>
      <c r="K1427" s="472" t="s">
        <v>719</v>
      </c>
      <c r="L1427" s="473" t="s">
        <v>2474</v>
      </c>
      <c r="M1427" s="473" t="s">
        <v>1835</v>
      </c>
      <c r="N1427" s="473" t="s">
        <v>3758</v>
      </c>
      <c r="O1427" s="474" t="s">
        <v>2089</v>
      </c>
    </row>
    <row r="1428" spans="1:15" s="475" customFormat="1" ht="12" hidden="1">
      <c r="A1428" s="465">
        <v>10131000038032</v>
      </c>
      <c r="B1428" s="476" t="s">
        <v>2089</v>
      </c>
      <c r="C1428" s="476" t="s">
        <v>3764</v>
      </c>
      <c r="D1428" s="467" t="s">
        <v>1045</v>
      </c>
      <c r="E1428" s="472" t="s">
        <v>2801</v>
      </c>
      <c r="F1428" s="477">
        <v>0</v>
      </c>
      <c r="G1428" s="469" t="s">
        <v>2472</v>
      </c>
      <c r="H1428" s="470">
        <v>1E-8</v>
      </c>
      <c r="I1428" s="471">
        <v>5.1278581666666659E-10</v>
      </c>
      <c r="J1428" s="485" t="s">
        <v>421</v>
      </c>
      <c r="K1428" s="472" t="s">
        <v>587</v>
      </c>
      <c r="L1428" s="473" t="s">
        <v>2474</v>
      </c>
      <c r="M1428" s="473" t="s">
        <v>1835</v>
      </c>
      <c r="N1428" s="473" t="s">
        <v>3758</v>
      </c>
      <c r="O1428" s="474" t="s">
        <v>2089</v>
      </c>
    </row>
    <row r="1429" spans="1:15" s="475" customFormat="1" ht="12" hidden="1">
      <c r="A1429" s="465">
        <v>10131000038033</v>
      </c>
      <c r="B1429" s="476" t="s">
        <v>2089</v>
      </c>
      <c r="C1429" s="476" t="s">
        <v>3765</v>
      </c>
      <c r="D1429" s="467" t="s">
        <v>1045</v>
      </c>
      <c r="E1429" s="472" t="s">
        <v>2704</v>
      </c>
      <c r="F1429" s="477">
        <v>0</v>
      </c>
      <c r="G1429" s="469" t="s">
        <v>2472</v>
      </c>
      <c r="H1429" s="470">
        <v>1E-8</v>
      </c>
      <c r="I1429" s="471">
        <v>1.2513470333333332E-9</v>
      </c>
      <c r="J1429" s="485" t="s">
        <v>421</v>
      </c>
      <c r="K1429" s="472" t="s">
        <v>589</v>
      </c>
      <c r="L1429" s="473" t="s">
        <v>2474</v>
      </c>
      <c r="M1429" s="473" t="s">
        <v>1835</v>
      </c>
      <c r="N1429" s="473" t="s">
        <v>3758</v>
      </c>
      <c r="O1429" s="474" t="s">
        <v>2089</v>
      </c>
    </row>
    <row r="1430" spans="1:15" s="475" customFormat="1" ht="12" hidden="1">
      <c r="A1430" s="465">
        <v>10131000038071</v>
      </c>
      <c r="B1430" s="476" t="s">
        <v>2089</v>
      </c>
      <c r="C1430" s="476" t="s">
        <v>3766</v>
      </c>
      <c r="D1430" s="467" t="s">
        <v>1045</v>
      </c>
      <c r="E1430" s="472" t="s">
        <v>2715</v>
      </c>
      <c r="F1430" s="477">
        <v>0</v>
      </c>
      <c r="G1430" s="469" t="s">
        <v>2472</v>
      </c>
      <c r="H1430" s="470">
        <v>1E-8</v>
      </c>
      <c r="I1430" s="471">
        <v>1.3280192891666669E-8</v>
      </c>
      <c r="J1430" s="485" t="s">
        <v>421</v>
      </c>
      <c r="K1430" s="472" t="s">
        <v>591</v>
      </c>
      <c r="L1430" s="473" t="s">
        <v>2474</v>
      </c>
      <c r="M1430" s="473" t="s">
        <v>1835</v>
      </c>
      <c r="N1430" s="473" t="s">
        <v>3758</v>
      </c>
      <c r="O1430" s="474" t="s">
        <v>2089</v>
      </c>
    </row>
    <row r="1431" spans="1:15" s="475" customFormat="1" ht="12" hidden="1">
      <c r="A1431" s="465">
        <v>10131000038034</v>
      </c>
      <c r="B1431" s="476" t="s">
        <v>2089</v>
      </c>
      <c r="C1431" s="476" t="s">
        <v>3767</v>
      </c>
      <c r="D1431" s="467" t="s">
        <v>1045</v>
      </c>
      <c r="E1431" s="472" t="s">
        <v>2795</v>
      </c>
      <c r="F1431" s="477">
        <v>0</v>
      </c>
      <c r="G1431" s="469" t="s">
        <v>2472</v>
      </c>
      <c r="H1431" s="470">
        <v>1E-8</v>
      </c>
      <c r="I1431" s="471">
        <v>2.0248266666666662E-11</v>
      </c>
      <c r="J1431" s="485" t="s">
        <v>421</v>
      </c>
      <c r="K1431" s="472" t="s">
        <v>724</v>
      </c>
      <c r="L1431" s="473" t="s">
        <v>2474</v>
      </c>
      <c r="M1431" s="473" t="s">
        <v>1835</v>
      </c>
      <c r="N1431" s="473" t="s">
        <v>3758</v>
      </c>
      <c r="O1431" s="474" t="s">
        <v>2089</v>
      </c>
    </row>
    <row r="1432" spans="1:15" s="475" customFormat="1" ht="12" hidden="1">
      <c r="A1432" s="465">
        <v>10131000038073</v>
      </c>
      <c r="B1432" s="476" t="s">
        <v>2089</v>
      </c>
      <c r="C1432" s="476" t="s">
        <v>3768</v>
      </c>
      <c r="D1432" s="467" t="s">
        <v>1045</v>
      </c>
      <c r="E1432" s="472" t="s">
        <v>2715</v>
      </c>
      <c r="F1432" s="477">
        <v>0</v>
      </c>
      <c r="G1432" s="469" t="s">
        <v>2472</v>
      </c>
      <c r="H1432" s="470">
        <v>1E-8</v>
      </c>
      <c r="I1432" s="471">
        <v>1.3280192891666669E-8</v>
      </c>
      <c r="J1432" s="485" t="s">
        <v>421</v>
      </c>
      <c r="K1432" s="472" t="s">
        <v>593</v>
      </c>
      <c r="L1432" s="473" t="s">
        <v>2474</v>
      </c>
      <c r="M1432" s="473" t="s">
        <v>1835</v>
      </c>
      <c r="N1432" s="473" t="s">
        <v>3758</v>
      </c>
      <c r="O1432" s="474" t="s">
        <v>2089</v>
      </c>
    </row>
    <row r="1433" spans="1:15" s="475" customFormat="1" ht="12" hidden="1">
      <c r="A1433" s="465">
        <v>10131000038035</v>
      </c>
      <c r="B1433" s="476" t="s">
        <v>2089</v>
      </c>
      <c r="C1433" s="476" t="s">
        <v>3769</v>
      </c>
      <c r="D1433" s="467" t="s">
        <v>1045</v>
      </c>
      <c r="E1433" s="472" t="s">
        <v>2706</v>
      </c>
      <c r="F1433" s="477">
        <v>0</v>
      </c>
      <c r="G1433" s="469" t="s">
        <v>2472</v>
      </c>
      <c r="H1433" s="470">
        <v>1E-8</v>
      </c>
      <c r="I1433" s="471">
        <v>4.3820658333333323E-11</v>
      </c>
      <c r="J1433" s="485" t="s">
        <v>421</v>
      </c>
      <c r="K1433" s="472" t="s">
        <v>595</v>
      </c>
      <c r="L1433" s="473" t="s">
        <v>2474</v>
      </c>
      <c r="M1433" s="473" t="s">
        <v>1835</v>
      </c>
      <c r="N1433" s="473" t="s">
        <v>3758</v>
      </c>
      <c r="O1433" s="474" t="s">
        <v>2089</v>
      </c>
    </row>
    <row r="1434" spans="1:15" s="475" customFormat="1" ht="12" hidden="1">
      <c r="A1434" s="465">
        <v>10131000038075</v>
      </c>
      <c r="B1434" s="476" t="s">
        <v>2089</v>
      </c>
      <c r="C1434" s="476" t="s">
        <v>3770</v>
      </c>
      <c r="D1434" s="467" t="s">
        <v>1045</v>
      </c>
      <c r="E1434" s="472" t="s">
        <v>2715</v>
      </c>
      <c r="F1434" s="477">
        <v>0</v>
      </c>
      <c r="G1434" s="469" t="s">
        <v>2472</v>
      </c>
      <c r="H1434" s="470">
        <v>1E-8</v>
      </c>
      <c r="I1434" s="471">
        <v>1.3280192891666669E-8</v>
      </c>
      <c r="J1434" s="485" t="s">
        <v>421</v>
      </c>
      <c r="K1434" s="472" t="s">
        <v>597</v>
      </c>
      <c r="L1434" s="473" t="s">
        <v>2474</v>
      </c>
      <c r="M1434" s="473" t="s">
        <v>1835</v>
      </c>
      <c r="N1434" s="473" t="s">
        <v>3758</v>
      </c>
      <c r="O1434" s="474" t="s">
        <v>2089</v>
      </c>
    </row>
    <row r="1435" spans="1:15" s="475" customFormat="1" ht="12" hidden="1">
      <c r="A1435" s="465">
        <v>10131000038037</v>
      </c>
      <c r="B1435" s="476" t="s">
        <v>2089</v>
      </c>
      <c r="C1435" s="476" t="s">
        <v>3771</v>
      </c>
      <c r="D1435" s="467" t="s">
        <v>1045</v>
      </c>
      <c r="E1435" s="472" t="s">
        <v>2808</v>
      </c>
      <c r="F1435" s="477">
        <v>0</v>
      </c>
      <c r="G1435" s="469" t="s">
        <v>2472</v>
      </c>
      <c r="H1435" s="470">
        <v>1E-8</v>
      </c>
      <c r="I1435" s="471">
        <v>2.7946916750000001E-9</v>
      </c>
      <c r="J1435" s="485" t="s">
        <v>421</v>
      </c>
      <c r="K1435" s="472" t="s">
        <v>599</v>
      </c>
      <c r="L1435" s="473" t="s">
        <v>2474</v>
      </c>
      <c r="M1435" s="473" t="s">
        <v>1835</v>
      </c>
      <c r="N1435" s="473" t="s">
        <v>3758</v>
      </c>
      <c r="O1435" s="474" t="s">
        <v>2089</v>
      </c>
    </row>
    <row r="1436" spans="1:15" s="475" customFormat="1" ht="12" hidden="1">
      <c r="A1436" s="465">
        <v>10131000038077</v>
      </c>
      <c r="B1436" s="476" t="s">
        <v>2089</v>
      </c>
      <c r="C1436" s="476" t="s">
        <v>3772</v>
      </c>
      <c r="D1436" s="467" t="s">
        <v>1045</v>
      </c>
      <c r="E1436" s="472" t="s">
        <v>2715</v>
      </c>
      <c r="F1436" s="477">
        <v>0</v>
      </c>
      <c r="G1436" s="469" t="s">
        <v>2472</v>
      </c>
      <c r="H1436" s="470">
        <v>1E-8</v>
      </c>
      <c r="I1436" s="471">
        <v>1.3280192891666669E-8</v>
      </c>
      <c r="J1436" s="485" t="s">
        <v>421</v>
      </c>
      <c r="K1436" s="472" t="s">
        <v>601</v>
      </c>
      <c r="L1436" s="473" t="s">
        <v>2474</v>
      </c>
      <c r="M1436" s="473" t="s">
        <v>1835</v>
      </c>
      <c r="N1436" s="473" t="s">
        <v>3758</v>
      </c>
      <c r="O1436" s="474" t="s">
        <v>2089</v>
      </c>
    </row>
    <row r="1437" spans="1:15" s="475" customFormat="1" ht="12" hidden="1">
      <c r="A1437" s="465">
        <v>10131000038038</v>
      </c>
      <c r="B1437" s="476" t="s">
        <v>2089</v>
      </c>
      <c r="C1437" s="476" t="s">
        <v>3773</v>
      </c>
      <c r="D1437" s="467" t="s">
        <v>1045</v>
      </c>
      <c r="E1437" s="472" t="s">
        <v>2811</v>
      </c>
      <c r="F1437" s="477">
        <v>0</v>
      </c>
      <c r="G1437" s="469" t="s">
        <v>2472</v>
      </c>
      <c r="H1437" s="470">
        <v>1E-8</v>
      </c>
      <c r="I1437" s="471">
        <v>1.4104372400000001E-8</v>
      </c>
      <c r="J1437" s="485" t="s">
        <v>421</v>
      </c>
      <c r="K1437" s="472" t="s">
        <v>603</v>
      </c>
      <c r="L1437" s="473" t="s">
        <v>2474</v>
      </c>
      <c r="M1437" s="473" t="s">
        <v>1835</v>
      </c>
      <c r="N1437" s="473" t="s">
        <v>3758</v>
      </c>
      <c r="O1437" s="474" t="s">
        <v>2089</v>
      </c>
    </row>
    <row r="1438" spans="1:15" s="475" customFormat="1" ht="12" hidden="1">
      <c r="A1438" s="465">
        <v>10131000038039</v>
      </c>
      <c r="B1438" s="476" t="s">
        <v>2089</v>
      </c>
      <c r="C1438" s="476" t="s">
        <v>3774</v>
      </c>
      <c r="D1438" s="467" t="s">
        <v>1045</v>
      </c>
      <c r="E1438" s="472" t="s">
        <v>2813</v>
      </c>
      <c r="F1438" s="477">
        <v>0</v>
      </c>
      <c r="G1438" s="469" t="s">
        <v>2472</v>
      </c>
      <c r="H1438" s="470">
        <v>1E-8</v>
      </c>
      <c r="I1438" s="471">
        <v>6.2309616666666681E-11</v>
      </c>
      <c r="J1438" s="485" t="s">
        <v>421</v>
      </c>
      <c r="K1438" s="472" t="s">
        <v>605</v>
      </c>
      <c r="L1438" s="473" t="s">
        <v>2474</v>
      </c>
      <c r="M1438" s="473" t="s">
        <v>1835</v>
      </c>
      <c r="N1438" s="473" t="s">
        <v>3758</v>
      </c>
      <c r="O1438" s="474" t="s">
        <v>2089</v>
      </c>
    </row>
    <row r="1439" spans="1:15" s="475" customFormat="1" ht="12" hidden="1">
      <c r="A1439" s="465">
        <v>10131000038040</v>
      </c>
      <c r="B1439" s="476" t="s">
        <v>2089</v>
      </c>
      <c r="C1439" s="476" t="s">
        <v>3775</v>
      </c>
      <c r="D1439" s="467" t="s">
        <v>1045</v>
      </c>
      <c r="E1439" s="472" t="s">
        <v>2815</v>
      </c>
      <c r="F1439" s="477">
        <v>0</v>
      </c>
      <c r="G1439" s="469" t="s">
        <v>2472</v>
      </c>
      <c r="H1439" s="470">
        <v>1E-8</v>
      </c>
      <c r="I1439" s="471">
        <v>1.0630737500000001E-10</v>
      </c>
      <c r="J1439" s="485" t="s">
        <v>421</v>
      </c>
      <c r="K1439" s="472" t="s">
        <v>607</v>
      </c>
      <c r="L1439" s="473" t="s">
        <v>2474</v>
      </c>
      <c r="M1439" s="473" t="s">
        <v>1835</v>
      </c>
      <c r="N1439" s="473" t="s">
        <v>3758</v>
      </c>
      <c r="O1439" s="474" t="s">
        <v>2089</v>
      </c>
    </row>
    <row r="1440" spans="1:15" s="475" customFormat="1" ht="12" hidden="1">
      <c r="A1440" s="465">
        <v>10131000038088</v>
      </c>
      <c r="B1440" s="476" t="s">
        <v>2089</v>
      </c>
      <c r="C1440" s="476" t="s">
        <v>3776</v>
      </c>
      <c r="D1440" s="467" t="s">
        <v>1045</v>
      </c>
      <c r="E1440" s="472" t="s">
        <v>2817</v>
      </c>
      <c r="F1440" s="477">
        <v>0</v>
      </c>
      <c r="G1440" s="469" t="s">
        <v>2472</v>
      </c>
      <c r="H1440" s="470">
        <v>1E-8</v>
      </c>
      <c r="I1440" s="471">
        <v>3.4997439850000001E-8</v>
      </c>
      <c r="J1440" s="485" t="s">
        <v>421</v>
      </c>
      <c r="K1440" s="472" t="s">
        <v>609</v>
      </c>
      <c r="L1440" s="473" t="s">
        <v>2474</v>
      </c>
      <c r="M1440" s="473" t="s">
        <v>1835</v>
      </c>
      <c r="N1440" s="473" t="s">
        <v>3758</v>
      </c>
      <c r="O1440" s="474" t="s">
        <v>2089</v>
      </c>
    </row>
    <row r="1441" spans="1:15" s="475" customFormat="1" ht="12" hidden="1">
      <c r="A1441" s="465">
        <v>10131000038041</v>
      </c>
      <c r="B1441" s="476" t="s">
        <v>2089</v>
      </c>
      <c r="C1441" s="476" t="s">
        <v>3777</v>
      </c>
      <c r="D1441" s="467" t="s">
        <v>1045</v>
      </c>
      <c r="E1441" s="472" t="s">
        <v>2819</v>
      </c>
      <c r="F1441" s="477">
        <v>0</v>
      </c>
      <c r="G1441" s="469" t="s">
        <v>2472</v>
      </c>
      <c r="H1441" s="470">
        <v>1E-8</v>
      </c>
      <c r="I1441" s="471">
        <v>6.6335000000000008E-12</v>
      </c>
      <c r="J1441" s="485" t="s">
        <v>421</v>
      </c>
      <c r="K1441" s="472" t="s">
        <v>735</v>
      </c>
      <c r="L1441" s="473" t="s">
        <v>2474</v>
      </c>
      <c r="M1441" s="473" t="s">
        <v>1835</v>
      </c>
      <c r="N1441" s="473" t="s">
        <v>3758</v>
      </c>
      <c r="O1441" s="474" t="s">
        <v>2089</v>
      </c>
    </row>
    <row r="1442" spans="1:15" s="475" customFormat="1" ht="12" hidden="1">
      <c r="A1442" s="465">
        <v>10131000038079</v>
      </c>
      <c r="B1442" s="476" t="s">
        <v>2089</v>
      </c>
      <c r="C1442" s="476" t="s">
        <v>3778</v>
      </c>
      <c r="D1442" s="467" t="s">
        <v>1045</v>
      </c>
      <c r="E1442" s="472" t="s">
        <v>2715</v>
      </c>
      <c r="F1442" s="477">
        <v>0</v>
      </c>
      <c r="G1442" s="469" t="s">
        <v>2472</v>
      </c>
      <c r="H1442" s="470">
        <v>1E-8</v>
      </c>
      <c r="I1442" s="471">
        <v>1.3280192891666669E-8</v>
      </c>
      <c r="J1442" s="485" t="s">
        <v>421</v>
      </c>
      <c r="K1442" s="472" t="s">
        <v>611</v>
      </c>
      <c r="L1442" s="473" t="s">
        <v>2474</v>
      </c>
      <c r="M1442" s="473" t="s">
        <v>1835</v>
      </c>
      <c r="N1442" s="473" t="s">
        <v>3758</v>
      </c>
      <c r="O1442" s="474" t="s">
        <v>2089</v>
      </c>
    </row>
    <row r="1443" spans="1:15" s="475" customFormat="1" ht="12" hidden="1">
      <c r="A1443" s="465">
        <v>10131000038042</v>
      </c>
      <c r="B1443" s="476" t="s">
        <v>2089</v>
      </c>
      <c r="C1443" s="476" t="s">
        <v>3779</v>
      </c>
      <c r="D1443" s="467" t="s">
        <v>1045</v>
      </c>
      <c r="E1443" s="472" t="s">
        <v>2852</v>
      </c>
      <c r="F1443" s="477">
        <v>0</v>
      </c>
      <c r="G1443" s="469" t="s">
        <v>2472</v>
      </c>
      <c r="H1443" s="470">
        <v>1E-8</v>
      </c>
      <c r="I1443" s="471">
        <v>1.1449717833333334E-9</v>
      </c>
      <c r="J1443" s="485" t="s">
        <v>421</v>
      </c>
      <c r="K1443" s="472" t="s">
        <v>613</v>
      </c>
      <c r="L1443" s="473" t="s">
        <v>2474</v>
      </c>
      <c r="M1443" s="473" t="s">
        <v>1835</v>
      </c>
      <c r="N1443" s="473" t="s">
        <v>3758</v>
      </c>
      <c r="O1443" s="474" t="s">
        <v>2089</v>
      </c>
    </row>
    <row r="1444" spans="1:15" s="475" customFormat="1" ht="12" hidden="1">
      <c r="A1444" s="465">
        <v>10131000038081</v>
      </c>
      <c r="B1444" s="476" t="s">
        <v>2089</v>
      </c>
      <c r="C1444" s="476" t="s">
        <v>3780</v>
      </c>
      <c r="D1444" s="467" t="s">
        <v>1045</v>
      </c>
      <c r="E1444" s="472" t="s">
        <v>2715</v>
      </c>
      <c r="F1444" s="477">
        <v>0</v>
      </c>
      <c r="G1444" s="469" t="s">
        <v>2472</v>
      </c>
      <c r="H1444" s="470">
        <v>1E-8</v>
      </c>
      <c r="I1444" s="471">
        <v>1.3280192891666669E-8</v>
      </c>
      <c r="J1444" s="485" t="s">
        <v>421</v>
      </c>
      <c r="K1444" s="472" t="s">
        <v>615</v>
      </c>
      <c r="L1444" s="473" t="s">
        <v>2474</v>
      </c>
      <c r="M1444" s="473" t="s">
        <v>1835</v>
      </c>
      <c r="N1444" s="473" t="s">
        <v>3758</v>
      </c>
      <c r="O1444" s="474" t="s">
        <v>2089</v>
      </c>
    </row>
    <row r="1445" spans="1:15" s="475" customFormat="1" ht="12" hidden="1">
      <c r="A1445" s="465">
        <v>10131000038043</v>
      </c>
      <c r="B1445" s="476" t="s">
        <v>2089</v>
      </c>
      <c r="C1445" s="476" t="s">
        <v>3781</v>
      </c>
      <c r="D1445" s="467" t="s">
        <v>1045</v>
      </c>
      <c r="E1445" s="472" t="s">
        <v>2821</v>
      </c>
      <c r="F1445" s="477">
        <v>0</v>
      </c>
      <c r="G1445" s="469" t="s">
        <v>2472</v>
      </c>
      <c r="H1445" s="470">
        <v>1E-8</v>
      </c>
      <c r="I1445" s="471">
        <v>6.022738333333333E-11</v>
      </c>
      <c r="J1445" s="485" t="s">
        <v>421</v>
      </c>
      <c r="K1445" s="472" t="s">
        <v>617</v>
      </c>
      <c r="L1445" s="473" t="s">
        <v>2474</v>
      </c>
      <c r="M1445" s="473" t="s">
        <v>1835</v>
      </c>
      <c r="N1445" s="473" t="s">
        <v>3758</v>
      </c>
      <c r="O1445" s="474" t="s">
        <v>2089</v>
      </c>
    </row>
    <row r="1446" spans="1:15" s="475" customFormat="1" ht="12" hidden="1">
      <c r="A1446" s="465">
        <v>10131000038044</v>
      </c>
      <c r="B1446" s="476" t="s">
        <v>2089</v>
      </c>
      <c r="C1446" s="476" t="s">
        <v>3782</v>
      </c>
      <c r="D1446" s="467" t="s">
        <v>1045</v>
      </c>
      <c r="E1446" s="472" t="s">
        <v>2823</v>
      </c>
      <c r="F1446" s="477">
        <v>0</v>
      </c>
      <c r="G1446" s="469" t="s">
        <v>2472</v>
      </c>
      <c r="H1446" s="470">
        <v>1E-8</v>
      </c>
      <c r="I1446" s="471">
        <v>9.1381658333333352E-11</v>
      </c>
      <c r="J1446" s="485" t="s">
        <v>421</v>
      </c>
      <c r="K1446" s="472" t="s">
        <v>619</v>
      </c>
      <c r="L1446" s="473" t="s">
        <v>2474</v>
      </c>
      <c r="M1446" s="473" t="s">
        <v>1835</v>
      </c>
      <c r="N1446" s="473" t="s">
        <v>3758</v>
      </c>
      <c r="O1446" s="474" t="s">
        <v>2089</v>
      </c>
    </row>
    <row r="1447" spans="1:15" s="475" customFormat="1" ht="12" hidden="1">
      <c r="A1447" s="465">
        <v>10131000038046</v>
      </c>
      <c r="B1447" s="476" t="s">
        <v>2089</v>
      </c>
      <c r="C1447" s="476" t="s">
        <v>3783</v>
      </c>
      <c r="D1447" s="467" t="s">
        <v>1045</v>
      </c>
      <c r="E1447" s="472" t="s">
        <v>2519</v>
      </c>
      <c r="F1447" s="477">
        <v>0</v>
      </c>
      <c r="G1447" s="469" t="s">
        <v>2472</v>
      </c>
      <c r="H1447" s="470">
        <v>1E-8</v>
      </c>
      <c r="I1447" s="471">
        <v>3.0846695000000001E-9</v>
      </c>
      <c r="J1447" s="485" t="s">
        <v>421</v>
      </c>
      <c r="K1447" s="472" t="s">
        <v>621</v>
      </c>
      <c r="L1447" s="473" t="s">
        <v>2474</v>
      </c>
      <c r="M1447" s="473" t="s">
        <v>1835</v>
      </c>
      <c r="N1447" s="473" t="s">
        <v>3758</v>
      </c>
      <c r="O1447" s="474" t="s">
        <v>2089</v>
      </c>
    </row>
    <row r="1448" spans="1:15" s="475" customFormat="1" ht="12" hidden="1">
      <c r="A1448" s="465">
        <v>10131000054437</v>
      </c>
      <c r="B1448" s="476" t="s">
        <v>2089</v>
      </c>
      <c r="C1448" s="476" t="s">
        <v>3783</v>
      </c>
      <c r="D1448" s="467" t="s">
        <v>1045</v>
      </c>
      <c r="E1448" s="472" t="s">
        <v>2519</v>
      </c>
      <c r="F1448" s="477">
        <v>0</v>
      </c>
      <c r="G1448" s="469" t="s">
        <v>2472</v>
      </c>
      <c r="H1448" s="470">
        <v>1E-8</v>
      </c>
      <c r="I1448" s="471">
        <v>3.0846695000000001E-9</v>
      </c>
      <c r="J1448" s="485" t="s">
        <v>421</v>
      </c>
      <c r="K1448" s="472" t="s">
        <v>621</v>
      </c>
      <c r="L1448" s="473" t="s">
        <v>2474</v>
      </c>
      <c r="M1448" s="473" t="s">
        <v>1835</v>
      </c>
      <c r="N1448" s="473" t="s">
        <v>3758</v>
      </c>
      <c r="O1448" s="474" t="s">
        <v>2089</v>
      </c>
    </row>
    <row r="1449" spans="1:15" s="475" customFormat="1" ht="12" hidden="1">
      <c r="A1449" s="465">
        <v>10131000054444</v>
      </c>
      <c r="B1449" s="476" t="s">
        <v>2089</v>
      </c>
      <c r="C1449" s="476" t="s">
        <v>3783</v>
      </c>
      <c r="D1449" s="467" t="s">
        <v>1045</v>
      </c>
      <c r="E1449" s="472" t="s">
        <v>2519</v>
      </c>
      <c r="F1449" s="477">
        <v>0</v>
      </c>
      <c r="G1449" s="469" t="s">
        <v>2472</v>
      </c>
      <c r="H1449" s="470">
        <v>1E-8</v>
      </c>
      <c r="I1449" s="471">
        <v>3.0846695000000001E-9</v>
      </c>
      <c r="J1449" s="485" t="s">
        <v>421</v>
      </c>
      <c r="K1449" s="472" t="s">
        <v>621</v>
      </c>
      <c r="L1449" s="473" t="s">
        <v>2474</v>
      </c>
      <c r="M1449" s="473" t="s">
        <v>1835</v>
      </c>
      <c r="N1449" s="473" t="s">
        <v>3758</v>
      </c>
      <c r="O1449" s="474" t="s">
        <v>2089</v>
      </c>
    </row>
    <row r="1450" spans="1:15" s="475" customFormat="1" ht="12" hidden="1">
      <c r="A1450" s="465">
        <v>10131000038083</v>
      </c>
      <c r="B1450" s="476" t="s">
        <v>2089</v>
      </c>
      <c r="C1450" s="476" t="s">
        <v>3784</v>
      </c>
      <c r="D1450" s="467" t="s">
        <v>1045</v>
      </c>
      <c r="E1450" s="472" t="s">
        <v>2715</v>
      </c>
      <c r="F1450" s="477">
        <v>0</v>
      </c>
      <c r="G1450" s="469" t="s">
        <v>2472</v>
      </c>
      <c r="H1450" s="470">
        <v>1E-8</v>
      </c>
      <c r="I1450" s="471">
        <v>1.3280192891666669E-8</v>
      </c>
      <c r="J1450" s="485" t="s">
        <v>421</v>
      </c>
      <c r="K1450" s="472" t="s">
        <v>743</v>
      </c>
      <c r="L1450" s="473" t="s">
        <v>2474</v>
      </c>
      <c r="M1450" s="473" t="s">
        <v>1835</v>
      </c>
      <c r="N1450" s="473" t="s">
        <v>3758</v>
      </c>
      <c r="O1450" s="474" t="s">
        <v>2089</v>
      </c>
    </row>
    <row r="1451" spans="1:15" s="475" customFormat="1" ht="12" hidden="1">
      <c r="A1451" s="465">
        <v>10131000038089</v>
      </c>
      <c r="B1451" s="476" t="s">
        <v>2089</v>
      </c>
      <c r="C1451" s="476" t="s">
        <v>3785</v>
      </c>
      <c r="D1451" s="467" t="s">
        <v>1045</v>
      </c>
      <c r="E1451" s="472" t="s">
        <v>2491</v>
      </c>
      <c r="F1451" s="477">
        <v>0</v>
      </c>
      <c r="G1451" s="469" t="s">
        <v>2472</v>
      </c>
      <c r="H1451" s="470">
        <v>1E-8</v>
      </c>
      <c r="I1451" s="471">
        <v>1E-8</v>
      </c>
      <c r="J1451" s="485" t="s">
        <v>421</v>
      </c>
      <c r="K1451" s="472" t="s">
        <v>745</v>
      </c>
      <c r="L1451" s="473" t="s">
        <v>2474</v>
      </c>
      <c r="M1451" s="473" t="s">
        <v>1835</v>
      </c>
      <c r="N1451" s="473" t="s">
        <v>3758</v>
      </c>
      <c r="O1451" s="474" t="s">
        <v>2089</v>
      </c>
    </row>
    <row r="1452" spans="1:15" s="475" customFormat="1" ht="12" hidden="1">
      <c r="A1452" s="465">
        <v>10131000038049</v>
      </c>
      <c r="B1452" s="476" t="s">
        <v>2089</v>
      </c>
      <c r="C1452" s="476" t="s">
        <v>3786</v>
      </c>
      <c r="D1452" s="467" t="s">
        <v>1045</v>
      </c>
      <c r="E1452" s="472" t="s">
        <v>2829</v>
      </c>
      <c r="F1452" s="477">
        <v>0</v>
      </c>
      <c r="G1452" s="469" t="s">
        <v>2472</v>
      </c>
      <c r="H1452" s="470">
        <v>1E-8</v>
      </c>
      <c r="I1452" s="471">
        <v>2.9191050416666665E-9</v>
      </c>
      <c r="J1452" s="485" t="s">
        <v>421</v>
      </c>
      <c r="K1452" s="472" t="s">
        <v>623</v>
      </c>
      <c r="L1452" s="473" t="s">
        <v>2474</v>
      </c>
      <c r="M1452" s="473" t="s">
        <v>1835</v>
      </c>
      <c r="N1452" s="473" t="s">
        <v>3758</v>
      </c>
      <c r="O1452" s="474" t="s">
        <v>2089</v>
      </c>
    </row>
    <row r="1453" spans="1:15" s="475" customFormat="1" ht="12" hidden="1">
      <c r="A1453" s="465">
        <v>10131000038051</v>
      </c>
      <c r="B1453" s="476" t="s">
        <v>2089</v>
      </c>
      <c r="C1453" s="476" t="s">
        <v>3787</v>
      </c>
      <c r="D1453" s="467" t="s">
        <v>1045</v>
      </c>
      <c r="E1453" s="472" t="s">
        <v>2718</v>
      </c>
      <c r="F1453" s="477">
        <v>0</v>
      </c>
      <c r="G1453" s="469" t="s">
        <v>2472</v>
      </c>
      <c r="H1453" s="470">
        <v>1E-8</v>
      </c>
      <c r="I1453" s="471">
        <v>2.9145899166666672E-10</v>
      </c>
      <c r="J1453" s="485" t="s">
        <v>421</v>
      </c>
      <c r="K1453" s="472" t="s">
        <v>625</v>
      </c>
      <c r="L1453" s="473" t="s">
        <v>2474</v>
      </c>
      <c r="M1453" s="473" t="s">
        <v>1835</v>
      </c>
      <c r="N1453" s="473" t="s">
        <v>3758</v>
      </c>
      <c r="O1453" s="474" t="s">
        <v>2089</v>
      </c>
    </row>
    <row r="1454" spans="1:15" s="475" customFormat="1" ht="12" hidden="1">
      <c r="A1454" s="465">
        <v>10131000038053</v>
      </c>
      <c r="B1454" s="476" t="s">
        <v>2089</v>
      </c>
      <c r="C1454" s="476" t="s">
        <v>3788</v>
      </c>
      <c r="D1454" s="467" t="s">
        <v>1045</v>
      </c>
      <c r="E1454" s="472" t="s">
        <v>2795</v>
      </c>
      <c r="F1454" s="477">
        <v>0</v>
      </c>
      <c r="G1454" s="469" t="s">
        <v>2472</v>
      </c>
      <c r="H1454" s="470">
        <v>1E-8</v>
      </c>
      <c r="I1454" s="471">
        <v>2.0248266666666662E-11</v>
      </c>
      <c r="J1454" s="485" t="s">
        <v>421</v>
      </c>
      <c r="K1454" s="472" t="s">
        <v>627</v>
      </c>
      <c r="L1454" s="473" t="s">
        <v>2474</v>
      </c>
      <c r="M1454" s="473" t="s">
        <v>1835</v>
      </c>
      <c r="N1454" s="473" t="s">
        <v>3758</v>
      </c>
      <c r="O1454" s="474" t="s">
        <v>2089</v>
      </c>
    </row>
    <row r="1455" spans="1:15" s="475" customFormat="1" ht="12" hidden="1">
      <c r="A1455" s="465">
        <v>10131000038055</v>
      </c>
      <c r="B1455" s="476" t="s">
        <v>2089</v>
      </c>
      <c r="C1455" s="476" t="s">
        <v>3789</v>
      </c>
      <c r="D1455" s="467" t="s">
        <v>1045</v>
      </c>
      <c r="E1455" s="472" t="s">
        <v>2715</v>
      </c>
      <c r="F1455" s="477">
        <v>0</v>
      </c>
      <c r="G1455" s="469" t="s">
        <v>2472</v>
      </c>
      <c r="H1455" s="470">
        <v>1E-8</v>
      </c>
      <c r="I1455" s="471">
        <v>1.3280192891666669E-8</v>
      </c>
      <c r="J1455" s="485" t="s">
        <v>421</v>
      </c>
      <c r="K1455" s="472" t="s">
        <v>629</v>
      </c>
      <c r="L1455" s="473" t="s">
        <v>2474</v>
      </c>
      <c r="M1455" s="473" t="s">
        <v>1835</v>
      </c>
      <c r="N1455" s="473" t="s">
        <v>3758</v>
      </c>
      <c r="O1455" s="474" t="s">
        <v>2089</v>
      </c>
    </row>
    <row r="1456" spans="1:15" s="475" customFormat="1" ht="12" hidden="1">
      <c r="A1456" s="465">
        <v>10131000038056</v>
      </c>
      <c r="B1456" s="476" t="s">
        <v>2089</v>
      </c>
      <c r="C1456" s="476" t="s">
        <v>3790</v>
      </c>
      <c r="D1456" s="467" t="s">
        <v>1045</v>
      </c>
      <c r="E1456" s="472" t="s">
        <v>2833</v>
      </c>
      <c r="F1456" s="477">
        <v>0</v>
      </c>
      <c r="G1456" s="469" t="s">
        <v>2472</v>
      </c>
      <c r="H1456" s="470">
        <v>1E-8</v>
      </c>
      <c r="I1456" s="471">
        <v>9.6662435833333333E-10</v>
      </c>
      <c r="J1456" s="485" t="s">
        <v>421</v>
      </c>
      <c r="K1456" s="472" t="s">
        <v>631</v>
      </c>
      <c r="L1456" s="473" t="s">
        <v>2474</v>
      </c>
      <c r="M1456" s="473" t="s">
        <v>1835</v>
      </c>
      <c r="N1456" s="473" t="s">
        <v>3758</v>
      </c>
      <c r="O1456" s="474" t="s">
        <v>2089</v>
      </c>
    </row>
    <row r="1457" spans="1:15" s="475" customFormat="1" ht="12" hidden="1">
      <c r="A1457" s="465">
        <v>10131000038085</v>
      </c>
      <c r="B1457" s="476" t="s">
        <v>2089</v>
      </c>
      <c r="C1457" s="476" t="s">
        <v>3791</v>
      </c>
      <c r="D1457" s="467" t="s">
        <v>1045</v>
      </c>
      <c r="E1457" s="472" t="s">
        <v>2715</v>
      </c>
      <c r="F1457" s="477">
        <v>0</v>
      </c>
      <c r="G1457" s="469" t="s">
        <v>2472</v>
      </c>
      <c r="H1457" s="470">
        <v>1E-8</v>
      </c>
      <c r="I1457" s="471">
        <v>1.3280192891666669E-8</v>
      </c>
      <c r="J1457" s="485" t="s">
        <v>421</v>
      </c>
      <c r="K1457" s="472" t="s">
        <v>633</v>
      </c>
      <c r="L1457" s="473" t="s">
        <v>2474</v>
      </c>
      <c r="M1457" s="473" t="s">
        <v>1835</v>
      </c>
      <c r="N1457" s="473" t="s">
        <v>3758</v>
      </c>
      <c r="O1457" s="474" t="s">
        <v>2089</v>
      </c>
    </row>
    <row r="1458" spans="1:15" s="475" customFormat="1" ht="12" hidden="1">
      <c r="A1458" s="465">
        <v>10131000038096</v>
      </c>
      <c r="B1458" s="476" t="s">
        <v>2089</v>
      </c>
      <c r="C1458" s="476" t="s">
        <v>3791</v>
      </c>
      <c r="D1458" s="467" t="s">
        <v>1045</v>
      </c>
      <c r="E1458" s="472" t="s">
        <v>2715</v>
      </c>
      <c r="F1458" s="477">
        <v>0</v>
      </c>
      <c r="G1458" s="469" t="s">
        <v>2472</v>
      </c>
      <c r="H1458" s="470">
        <v>1E-8</v>
      </c>
      <c r="I1458" s="471">
        <v>1.3280192891666669E-8</v>
      </c>
      <c r="J1458" s="485" t="s">
        <v>421</v>
      </c>
      <c r="K1458" s="472" t="s">
        <v>633</v>
      </c>
      <c r="L1458" s="473" t="s">
        <v>2474</v>
      </c>
      <c r="M1458" s="473" t="s">
        <v>1835</v>
      </c>
      <c r="N1458" s="473" t="s">
        <v>3758</v>
      </c>
      <c r="O1458" s="474" t="s">
        <v>2089</v>
      </c>
    </row>
    <row r="1459" spans="1:15" s="475" customFormat="1" ht="12" hidden="1">
      <c r="A1459" s="465">
        <v>10131000056981</v>
      </c>
      <c r="B1459" s="476" t="s">
        <v>2089</v>
      </c>
      <c r="C1459" s="476" t="s">
        <v>3791</v>
      </c>
      <c r="D1459" s="467" t="s">
        <v>1045</v>
      </c>
      <c r="E1459" s="472" t="s">
        <v>2715</v>
      </c>
      <c r="F1459" s="477">
        <v>0</v>
      </c>
      <c r="G1459" s="469" t="s">
        <v>2472</v>
      </c>
      <c r="H1459" s="470">
        <v>1E-8</v>
      </c>
      <c r="I1459" s="471">
        <v>1.3280192891666669E-8</v>
      </c>
      <c r="J1459" s="485" t="s">
        <v>421</v>
      </c>
      <c r="K1459" s="472" t="s">
        <v>633</v>
      </c>
      <c r="L1459" s="473" t="s">
        <v>2474</v>
      </c>
      <c r="M1459" s="473" t="s">
        <v>1835</v>
      </c>
      <c r="N1459" s="473" t="s">
        <v>3758</v>
      </c>
      <c r="O1459" s="474" t="s">
        <v>2089</v>
      </c>
    </row>
    <row r="1460" spans="1:15" s="475" customFormat="1" ht="12" hidden="1">
      <c r="A1460" s="465">
        <v>10131000038087</v>
      </c>
      <c r="B1460" s="476" t="s">
        <v>2089</v>
      </c>
      <c r="C1460" s="476" t="s">
        <v>3792</v>
      </c>
      <c r="D1460" s="467" t="s">
        <v>1045</v>
      </c>
      <c r="E1460" s="472" t="s">
        <v>2874</v>
      </c>
      <c r="F1460" s="477">
        <v>0</v>
      </c>
      <c r="G1460" s="469" t="s">
        <v>2472</v>
      </c>
      <c r="H1460" s="470">
        <v>1E-8</v>
      </c>
      <c r="I1460" s="471">
        <v>1.0827050375000001E-8</v>
      </c>
      <c r="J1460" s="485" t="s">
        <v>421</v>
      </c>
      <c r="K1460" s="472" t="s">
        <v>637</v>
      </c>
      <c r="L1460" s="473" t="s">
        <v>2474</v>
      </c>
      <c r="M1460" s="473" t="s">
        <v>1835</v>
      </c>
      <c r="N1460" s="473" t="s">
        <v>3758</v>
      </c>
      <c r="O1460" s="474" t="s">
        <v>2089</v>
      </c>
    </row>
    <row r="1461" spans="1:15" s="475" customFormat="1" ht="12" hidden="1">
      <c r="A1461" s="465">
        <v>10131000038057</v>
      </c>
      <c r="B1461" s="476" t="s">
        <v>2089</v>
      </c>
      <c r="C1461" s="476" t="s">
        <v>3793</v>
      </c>
      <c r="D1461" s="467" t="s">
        <v>1045</v>
      </c>
      <c r="E1461" s="472" t="s">
        <v>2836</v>
      </c>
      <c r="F1461" s="477">
        <v>0</v>
      </c>
      <c r="G1461" s="469" t="s">
        <v>2472</v>
      </c>
      <c r="H1461" s="470">
        <v>1E-8</v>
      </c>
      <c r="I1461" s="471">
        <v>5.6639833333333335E-12</v>
      </c>
      <c r="J1461" s="485" t="s">
        <v>421</v>
      </c>
      <c r="K1461" s="472" t="s">
        <v>639</v>
      </c>
      <c r="L1461" s="473" t="s">
        <v>2474</v>
      </c>
      <c r="M1461" s="473" t="s">
        <v>1835</v>
      </c>
      <c r="N1461" s="473" t="s">
        <v>3758</v>
      </c>
      <c r="O1461" s="474" t="s">
        <v>2089</v>
      </c>
    </row>
    <row r="1462" spans="1:15" s="475" customFormat="1" ht="12" hidden="1">
      <c r="A1462" s="465">
        <v>10131000038058</v>
      </c>
      <c r="B1462" s="476" t="s">
        <v>2089</v>
      </c>
      <c r="C1462" s="476" t="s">
        <v>3794</v>
      </c>
      <c r="D1462" s="467" t="s">
        <v>1045</v>
      </c>
      <c r="E1462" s="472" t="s">
        <v>2838</v>
      </c>
      <c r="F1462" s="477">
        <v>0</v>
      </c>
      <c r="G1462" s="469" t="s">
        <v>2472</v>
      </c>
      <c r="H1462" s="470">
        <v>1E-8</v>
      </c>
      <c r="I1462" s="471">
        <v>5.7635861916666665E-9</v>
      </c>
      <c r="J1462" s="485" t="s">
        <v>421</v>
      </c>
      <c r="K1462" s="472" t="s">
        <v>641</v>
      </c>
      <c r="L1462" s="473" t="s">
        <v>2474</v>
      </c>
      <c r="M1462" s="473" t="s">
        <v>1835</v>
      </c>
      <c r="N1462" s="473" t="s">
        <v>3758</v>
      </c>
      <c r="O1462" s="474" t="s">
        <v>2089</v>
      </c>
    </row>
    <row r="1463" spans="1:15" s="475" customFormat="1" ht="12" hidden="1">
      <c r="A1463" s="465">
        <v>10131000038060</v>
      </c>
      <c r="B1463" s="476" t="s">
        <v>2089</v>
      </c>
      <c r="C1463" s="476" t="s">
        <v>3795</v>
      </c>
      <c r="D1463" s="467" t="s">
        <v>1045</v>
      </c>
      <c r="E1463" s="472" t="s">
        <v>2840</v>
      </c>
      <c r="F1463" s="477">
        <v>0</v>
      </c>
      <c r="G1463" s="469" t="s">
        <v>2472</v>
      </c>
      <c r="H1463" s="470">
        <v>1E-8</v>
      </c>
      <c r="I1463" s="471">
        <v>4.8453969750000001E-9</v>
      </c>
      <c r="J1463" s="485" t="s">
        <v>421</v>
      </c>
      <c r="K1463" s="472" t="s">
        <v>643</v>
      </c>
      <c r="L1463" s="473" t="s">
        <v>2474</v>
      </c>
      <c r="M1463" s="473" t="s">
        <v>1835</v>
      </c>
      <c r="N1463" s="473" t="s">
        <v>3758</v>
      </c>
      <c r="O1463" s="474" t="s">
        <v>2089</v>
      </c>
    </row>
    <row r="1464" spans="1:15" s="475" customFormat="1" ht="12" hidden="1">
      <c r="A1464" s="465">
        <v>10131000038062</v>
      </c>
      <c r="B1464" s="476" t="s">
        <v>2089</v>
      </c>
      <c r="C1464" s="476" t="s">
        <v>3796</v>
      </c>
      <c r="D1464" s="467" t="s">
        <v>1045</v>
      </c>
      <c r="E1464" s="472" t="s">
        <v>2842</v>
      </c>
      <c r="F1464" s="477">
        <v>0</v>
      </c>
      <c r="G1464" s="469" t="s">
        <v>2472</v>
      </c>
      <c r="H1464" s="470">
        <v>1E-8</v>
      </c>
      <c r="I1464" s="471">
        <v>3.579516666666666E-12</v>
      </c>
      <c r="J1464" s="485" t="s">
        <v>421</v>
      </c>
      <c r="K1464" s="472" t="s">
        <v>647</v>
      </c>
      <c r="L1464" s="473" t="s">
        <v>2474</v>
      </c>
      <c r="M1464" s="473" t="s">
        <v>1835</v>
      </c>
      <c r="N1464" s="473" t="s">
        <v>3758</v>
      </c>
      <c r="O1464" s="474" t="s">
        <v>2089</v>
      </c>
    </row>
    <row r="1465" spans="1:15" s="475" customFormat="1" ht="12" hidden="1">
      <c r="A1465" s="465">
        <v>10131000038063</v>
      </c>
      <c r="B1465" s="476" t="s">
        <v>2089</v>
      </c>
      <c r="C1465" s="476" t="s">
        <v>3797</v>
      </c>
      <c r="D1465" s="467" t="s">
        <v>1045</v>
      </c>
      <c r="E1465" s="472" t="s">
        <v>2856</v>
      </c>
      <c r="F1465" s="477">
        <v>0</v>
      </c>
      <c r="G1465" s="469" t="s">
        <v>2472</v>
      </c>
      <c r="H1465" s="470">
        <v>1E-8</v>
      </c>
      <c r="I1465" s="471">
        <v>1.1849980000000001E-9</v>
      </c>
      <c r="J1465" s="485" t="s">
        <v>421</v>
      </c>
      <c r="K1465" s="472" t="s">
        <v>649</v>
      </c>
      <c r="L1465" s="473" t="s">
        <v>2474</v>
      </c>
      <c r="M1465" s="473" t="s">
        <v>1835</v>
      </c>
      <c r="N1465" s="473" t="s">
        <v>3758</v>
      </c>
      <c r="O1465" s="474" t="s">
        <v>2089</v>
      </c>
    </row>
    <row r="1466" spans="1:15" s="475" customFormat="1" ht="12" hidden="1">
      <c r="A1466" s="465">
        <v>10131000038061</v>
      </c>
      <c r="B1466" s="476" t="s">
        <v>2089</v>
      </c>
      <c r="C1466" s="476" t="s">
        <v>3798</v>
      </c>
      <c r="D1466" s="467" t="s">
        <v>1045</v>
      </c>
      <c r="E1466" s="472" t="s">
        <v>2712</v>
      </c>
      <c r="F1466" s="477">
        <v>0</v>
      </c>
      <c r="G1466" s="469" t="s">
        <v>2472</v>
      </c>
      <c r="H1466" s="470">
        <v>1E-8</v>
      </c>
      <c r="I1466" s="471">
        <v>2.7225701000000009E-9</v>
      </c>
      <c r="J1466" s="485" t="s">
        <v>421</v>
      </c>
      <c r="K1466" s="472" t="s">
        <v>2713</v>
      </c>
      <c r="L1466" s="473" t="s">
        <v>2474</v>
      </c>
      <c r="M1466" s="473" t="s">
        <v>1835</v>
      </c>
      <c r="N1466" s="473" t="s">
        <v>3758</v>
      </c>
      <c r="O1466" s="474" t="s">
        <v>2089</v>
      </c>
    </row>
    <row r="1467" spans="1:15" s="475" customFormat="1" ht="12" hidden="1">
      <c r="A1467" s="465">
        <v>10131000038066</v>
      </c>
      <c r="B1467" s="476" t="s">
        <v>2089</v>
      </c>
      <c r="C1467" s="476" t="s">
        <v>3799</v>
      </c>
      <c r="D1467" s="467" t="s">
        <v>1045</v>
      </c>
      <c r="E1467" s="472" t="s">
        <v>2541</v>
      </c>
      <c r="F1467" s="477">
        <v>0</v>
      </c>
      <c r="G1467" s="469" t="s">
        <v>2472</v>
      </c>
      <c r="H1467" s="470">
        <v>1E-8</v>
      </c>
      <c r="I1467" s="471">
        <v>1.5324781650000001E-8</v>
      </c>
      <c r="J1467" s="485" t="s">
        <v>421</v>
      </c>
      <c r="K1467" s="472" t="s">
        <v>651</v>
      </c>
      <c r="L1467" s="473" t="s">
        <v>2474</v>
      </c>
      <c r="M1467" s="473" t="s">
        <v>1835</v>
      </c>
      <c r="N1467" s="473" t="s">
        <v>3758</v>
      </c>
      <c r="O1467" s="474" t="s">
        <v>2089</v>
      </c>
    </row>
    <row r="1468" spans="1:15" s="475" customFormat="1" ht="12" hidden="1">
      <c r="A1468" s="465">
        <v>10131000038069</v>
      </c>
      <c r="B1468" s="476" t="s">
        <v>2089</v>
      </c>
      <c r="C1468" s="476" t="s">
        <v>3799</v>
      </c>
      <c r="D1468" s="467" t="s">
        <v>1045</v>
      </c>
      <c r="E1468" s="472" t="s">
        <v>2541</v>
      </c>
      <c r="F1468" s="477">
        <v>0</v>
      </c>
      <c r="G1468" s="469" t="s">
        <v>2472</v>
      </c>
      <c r="H1468" s="470">
        <v>1E-8</v>
      </c>
      <c r="I1468" s="471">
        <v>1.5324781650000001E-8</v>
      </c>
      <c r="J1468" s="485" t="s">
        <v>421</v>
      </c>
      <c r="K1468" s="472" t="s">
        <v>651</v>
      </c>
      <c r="L1468" s="473" t="s">
        <v>2474</v>
      </c>
      <c r="M1468" s="473" t="s">
        <v>1835</v>
      </c>
      <c r="N1468" s="473" t="s">
        <v>3758</v>
      </c>
      <c r="O1468" s="474" t="s">
        <v>2089</v>
      </c>
    </row>
    <row r="1469" spans="1:15" s="475" customFormat="1" ht="12" hidden="1">
      <c r="A1469" s="465">
        <v>10131000039853</v>
      </c>
      <c r="B1469" s="476" t="s">
        <v>2089</v>
      </c>
      <c r="C1469" s="476" t="s">
        <v>3799</v>
      </c>
      <c r="D1469" s="467" t="s">
        <v>1045</v>
      </c>
      <c r="E1469" s="472" t="s">
        <v>2491</v>
      </c>
      <c r="F1469" s="477">
        <v>0</v>
      </c>
      <c r="G1469" s="469" t="s">
        <v>2472</v>
      </c>
      <c r="H1469" s="470">
        <v>1E-8</v>
      </c>
      <c r="I1469" s="471">
        <v>1E-8</v>
      </c>
      <c r="J1469" s="485" t="s">
        <v>421</v>
      </c>
      <c r="K1469" s="472" t="s">
        <v>651</v>
      </c>
      <c r="L1469" s="473" t="s">
        <v>2474</v>
      </c>
      <c r="M1469" s="473" t="s">
        <v>1835</v>
      </c>
      <c r="N1469" s="473" t="s">
        <v>3758</v>
      </c>
      <c r="O1469" s="474" t="s">
        <v>2089</v>
      </c>
    </row>
    <row r="1470" spans="1:15" s="475" customFormat="1" ht="12" hidden="1">
      <c r="A1470" s="465">
        <v>10131000056428</v>
      </c>
      <c r="B1470" s="466" t="s">
        <v>2089</v>
      </c>
      <c r="C1470" s="466" t="s">
        <v>2089</v>
      </c>
      <c r="D1470" s="467" t="s">
        <v>1045</v>
      </c>
      <c r="E1470" s="468" t="s">
        <v>2491</v>
      </c>
      <c r="F1470" s="477">
        <v>0</v>
      </c>
      <c r="G1470" s="469" t="s">
        <v>2472</v>
      </c>
      <c r="H1470" s="470">
        <v>0</v>
      </c>
      <c r="I1470" s="471">
        <v>0</v>
      </c>
      <c r="J1470" s="472" t="s">
        <v>423</v>
      </c>
      <c r="K1470" s="472" t="s">
        <v>534</v>
      </c>
      <c r="L1470" s="473" t="s">
        <v>2474</v>
      </c>
      <c r="M1470" s="473" t="s">
        <v>1835</v>
      </c>
      <c r="N1470" s="473" t="s">
        <v>3758</v>
      </c>
      <c r="O1470" s="474" t="s">
        <v>2089</v>
      </c>
    </row>
    <row r="1471" spans="1:15" s="475" customFormat="1" ht="12" hidden="1">
      <c r="A1471" s="465">
        <v>10131000038064</v>
      </c>
      <c r="B1471" s="476" t="s">
        <v>2089</v>
      </c>
      <c r="C1471" s="476" t="s">
        <v>3800</v>
      </c>
      <c r="D1471" s="467" t="s">
        <v>1045</v>
      </c>
      <c r="E1471" s="472" t="s">
        <v>2845</v>
      </c>
      <c r="F1471" s="477">
        <v>0</v>
      </c>
      <c r="G1471" s="469" t="s">
        <v>2472</v>
      </c>
      <c r="H1471" s="470">
        <v>1E-8</v>
      </c>
      <c r="I1471" s="471">
        <v>1.6875750000000003E-12</v>
      </c>
      <c r="J1471" s="485" t="s">
        <v>421</v>
      </c>
      <c r="K1471" s="472" t="s">
        <v>653</v>
      </c>
      <c r="L1471" s="473" t="s">
        <v>2474</v>
      </c>
      <c r="M1471" s="473" t="s">
        <v>1835</v>
      </c>
      <c r="N1471" s="473" t="s">
        <v>3758</v>
      </c>
      <c r="O1471" s="474" t="s">
        <v>2089</v>
      </c>
    </row>
    <row r="1472" spans="1:15" s="475" customFormat="1" ht="12" hidden="1">
      <c r="A1472" s="465">
        <v>10131000038092</v>
      </c>
      <c r="B1472" s="476" t="s">
        <v>2089</v>
      </c>
      <c r="C1472" s="476" t="s">
        <v>3801</v>
      </c>
      <c r="D1472" s="467" t="s">
        <v>1045</v>
      </c>
      <c r="E1472" s="472" t="s">
        <v>2715</v>
      </c>
      <c r="F1472" s="477" t="s">
        <v>2472</v>
      </c>
      <c r="G1472" s="469" t="s">
        <v>2472</v>
      </c>
      <c r="H1472" s="470">
        <v>1E-8</v>
      </c>
      <c r="I1472" s="471">
        <v>1.3280192891666669E-8</v>
      </c>
      <c r="J1472" s="485" t="s">
        <v>421</v>
      </c>
      <c r="K1472" s="472" t="s">
        <v>2779</v>
      </c>
      <c r="L1472" s="473" t="s">
        <v>2474</v>
      </c>
      <c r="M1472" s="473" t="s">
        <v>1835</v>
      </c>
      <c r="N1472" s="473" t="s">
        <v>3758</v>
      </c>
      <c r="O1472" s="474" t="s">
        <v>2089</v>
      </c>
    </row>
    <row r="1473" spans="1:15" s="475" customFormat="1" ht="12" hidden="1">
      <c r="A1473" s="465">
        <v>1000099141</v>
      </c>
      <c r="B1473" s="466" t="s">
        <v>2089</v>
      </c>
      <c r="C1473" s="466" t="s">
        <v>3758</v>
      </c>
      <c r="D1473" s="467" t="s">
        <v>1045</v>
      </c>
      <c r="E1473" s="468" t="s">
        <v>2471</v>
      </c>
      <c r="F1473" s="477" t="s">
        <v>2472</v>
      </c>
      <c r="G1473" s="469" t="s">
        <v>2472</v>
      </c>
      <c r="H1473" s="470">
        <v>0</v>
      </c>
      <c r="I1473" s="471">
        <v>0</v>
      </c>
      <c r="J1473" s="472" t="s">
        <v>422</v>
      </c>
      <c r="K1473" s="472" t="s">
        <v>2473</v>
      </c>
      <c r="L1473" s="473" t="s">
        <v>2474</v>
      </c>
      <c r="M1473" s="473" t="s">
        <v>1835</v>
      </c>
      <c r="N1473" s="473" t="s">
        <v>3758</v>
      </c>
      <c r="O1473" s="474" t="s">
        <v>2089</v>
      </c>
    </row>
    <row r="1474" spans="1:15" s="475" customFormat="1" ht="12" hidden="1">
      <c r="A1474" s="465">
        <v>1000099178</v>
      </c>
      <c r="B1474" s="466" t="s">
        <v>2089</v>
      </c>
      <c r="C1474" s="466" t="s">
        <v>3802</v>
      </c>
      <c r="D1474" s="467" t="s">
        <v>1045</v>
      </c>
      <c r="E1474" s="468" t="s">
        <v>2471</v>
      </c>
      <c r="F1474" s="477" t="s">
        <v>2472</v>
      </c>
      <c r="G1474" s="469" t="s">
        <v>2472</v>
      </c>
      <c r="H1474" s="470">
        <v>0</v>
      </c>
      <c r="I1474" s="471">
        <v>0</v>
      </c>
      <c r="J1474" s="472" t="s">
        <v>422</v>
      </c>
      <c r="K1474" s="472" t="s">
        <v>2473</v>
      </c>
      <c r="L1474" s="473" t="s">
        <v>2474</v>
      </c>
      <c r="M1474" s="473" t="s">
        <v>1835</v>
      </c>
      <c r="N1474" s="473" t="s">
        <v>3758</v>
      </c>
      <c r="O1474" s="474" t="s">
        <v>2089</v>
      </c>
    </row>
    <row r="1475" spans="1:15" s="475" customFormat="1" ht="12" hidden="1">
      <c r="A1475" s="465">
        <v>10131000058322</v>
      </c>
      <c r="B1475" s="476" t="s">
        <v>2089</v>
      </c>
      <c r="C1475" s="476" t="s">
        <v>3783</v>
      </c>
      <c r="D1475" s="467" t="s">
        <v>1045</v>
      </c>
      <c r="E1475" s="472" t="s">
        <v>2519</v>
      </c>
      <c r="F1475" s="477" t="s">
        <v>2472</v>
      </c>
      <c r="G1475" s="469" t="s">
        <v>2472</v>
      </c>
      <c r="H1475" s="470">
        <v>1E-8</v>
      </c>
      <c r="I1475" s="471">
        <v>3.0846695000000001E-9</v>
      </c>
      <c r="J1475" s="485" t="s">
        <v>421</v>
      </c>
      <c r="K1475" s="472" t="s">
        <v>621</v>
      </c>
      <c r="L1475" s="473" t="s">
        <v>2474</v>
      </c>
      <c r="M1475" s="473" t="s">
        <v>1835</v>
      </c>
      <c r="N1475" s="473" t="s">
        <v>3758</v>
      </c>
      <c r="O1475" s="474" t="s">
        <v>2089</v>
      </c>
    </row>
    <row r="1476" spans="1:15" s="475" customFormat="1" ht="12" hidden="1">
      <c r="A1476" s="465">
        <v>10131000058323</v>
      </c>
      <c r="B1476" s="476" t="s">
        <v>2089</v>
      </c>
      <c r="C1476" s="476" t="s">
        <v>3783</v>
      </c>
      <c r="D1476" s="467" t="s">
        <v>1045</v>
      </c>
      <c r="E1476" s="472" t="s">
        <v>2519</v>
      </c>
      <c r="F1476" s="477" t="s">
        <v>2472</v>
      </c>
      <c r="G1476" s="469" t="s">
        <v>2472</v>
      </c>
      <c r="H1476" s="470">
        <v>1E-8</v>
      </c>
      <c r="I1476" s="471">
        <v>3.0846695000000001E-9</v>
      </c>
      <c r="J1476" s="485" t="s">
        <v>421</v>
      </c>
      <c r="K1476" s="472" t="s">
        <v>621</v>
      </c>
      <c r="L1476" s="473" t="s">
        <v>2474</v>
      </c>
      <c r="M1476" s="473" t="s">
        <v>1835</v>
      </c>
      <c r="N1476" s="473" t="s">
        <v>3758</v>
      </c>
      <c r="O1476" s="474" t="s">
        <v>2089</v>
      </c>
    </row>
    <row r="1477" spans="1:15" s="475" customFormat="1" ht="12" hidden="1">
      <c r="A1477" s="465">
        <v>10131000058324</v>
      </c>
      <c r="B1477" s="476" t="s">
        <v>2089</v>
      </c>
      <c r="C1477" s="476" t="s">
        <v>3783</v>
      </c>
      <c r="D1477" s="467" t="s">
        <v>1045</v>
      </c>
      <c r="E1477" s="472" t="s">
        <v>2519</v>
      </c>
      <c r="F1477" s="477" t="s">
        <v>2472</v>
      </c>
      <c r="G1477" s="469" t="s">
        <v>2472</v>
      </c>
      <c r="H1477" s="470">
        <v>1E-8</v>
      </c>
      <c r="I1477" s="471">
        <v>3.0846695000000001E-9</v>
      </c>
      <c r="J1477" s="485" t="s">
        <v>421</v>
      </c>
      <c r="K1477" s="472" t="s">
        <v>621</v>
      </c>
      <c r="L1477" s="473" t="s">
        <v>2474</v>
      </c>
      <c r="M1477" s="473" t="s">
        <v>1835</v>
      </c>
      <c r="N1477" s="473" t="s">
        <v>3758</v>
      </c>
      <c r="O1477" s="474" t="s">
        <v>2089</v>
      </c>
    </row>
    <row r="1478" spans="1:15" s="475" customFormat="1" ht="12" hidden="1">
      <c r="A1478" s="465">
        <v>10131000036063</v>
      </c>
      <c r="B1478" s="476" t="s">
        <v>3803</v>
      </c>
      <c r="C1478" s="476" t="s">
        <v>3804</v>
      </c>
      <c r="D1478" s="467" t="s">
        <v>982</v>
      </c>
      <c r="E1478" s="472" t="s">
        <v>2541</v>
      </c>
      <c r="F1478" s="477">
        <v>0</v>
      </c>
      <c r="G1478" s="469" t="s">
        <v>2472</v>
      </c>
      <c r="H1478" s="470">
        <v>1E-8</v>
      </c>
      <c r="I1478" s="471">
        <v>1.5324781650000001E-8</v>
      </c>
      <c r="J1478" s="485" t="s">
        <v>421</v>
      </c>
      <c r="K1478" s="472" t="s">
        <v>651</v>
      </c>
      <c r="L1478" s="473" t="s">
        <v>204</v>
      </c>
      <c r="M1478" s="473" t="s">
        <v>204</v>
      </c>
      <c r="N1478" s="476" t="s">
        <v>3803</v>
      </c>
      <c r="O1478" s="486" t="s">
        <v>3803</v>
      </c>
    </row>
    <row r="1479" spans="1:15" s="475" customFormat="1" ht="12" hidden="1">
      <c r="A1479" s="465">
        <v>10131000021796</v>
      </c>
      <c r="B1479" s="466" t="s">
        <v>3805</v>
      </c>
      <c r="C1479" s="476" t="s">
        <v>3806</v>
      </c>
      <c r="D1479" s="467" t="s">
        <v>571</v>
      </c>
      <c r="E1479" s="472" t="s">
        <v>2491</v>
      </c>
      <c r="F1479" s="477">
        <v>6.91</v>
      </c>
      <c r="G1479" s="469" t="s">
        <v>2472</v>
      </c>
      <c r="H1479" s="487">
        <v>18.36</v>
      </c>
      <c r="I1479" s="471">
        <v>18.36</v>
      </c>
      <c r="J1479" s="488" t="s">
        <v>2492</v>
      </c>
      <c r="K1479" s="472" t="s">
        <v>670</v>
      </c>
      <c r="L1479" s="473" t="s">
        <v>570</v>
      </c>
      <c r="M1479" s="473" t="s">
        <v>2735</v>
      </c>
      <c r="N1479" s="473" t="s">
        <v>3805</v>
      </c>
      <c r="O1479" s="474" t="s">
        <v>3805</v>
      </c>
    </row>
    <row r="1480" spans="1:15" s="475" customFormat="1" ht="12" hidden="1">
      <c r="A1480" s="465">
        <v>10131000021795</v>
      </c>
      <c r="B1480" s="466" t="s">
        <v>3805</v>
      </c>
      <c r="C1480" s="476" t="s">
        <v>3807</v>
      </c>
      <c r="D1480" s="467" t="s">
        <v>571</v>
      </c>
      <c r="E1480" s="472" t="s">
        <v>2491</v>
      </c>
      <c r="F1480" s="477">
        <v>7.16</v>
      </c>
      <c r="G1480" s="469" t="s">
        <v>2472</v>
      </c>
      <c r="H1480" s="487">
        <v>23.02</v>
      </c>
      <c r="I1480" s="471">
        <v>23.02</v>
      </c>
      <c r="J1480" s="488" t="s">
        <v>2492</v>
      </c>
      <c r="K1480" s="472" t="s">
        <v>668</v>
      </c>
      <c r="L1480" s="473" t="s">
        <v>570</v>
      </c>
      <c r="M1480" s="473" t="s">
        <v>2735</v>
      </c>
      <c r="N1480" s="473" t="s">
        <v>3805</v>
      </c>
      <c r="O1480" s="474" t="s">
        <v>3805</v>
      </c>
    </row>
    <row r="1481" spans="1:15" s="475" customFormat="1" ht="12" hidden="1">
      <c r="A1481" s="465">
        <v>10131000021788</v>
      </c>
      <c r="B1481" s="466" t="s">
        <v>3805</v>
      </c>
      <c r="C1481" s="476" t="s">
        <v>3808</v>
      </c>
      <c r="D1481" s="467" t="s">
        <v>571</v>
      </c>
      <c r="E1481" s="472" t="s">
        <v>2491</v>
      </c>
      <c r="F1481" s="477">
        <v>7.38</v>
      </c>
      <c r="G1481" s="469" t="s">
        <v>2472</v>
      </c>
      <c r="H1481" s="487">
        <v>63.49</v>
      </c>
      <c r="I1481" s="471">
        <v>63.49</v>
      </c>
      <c r="J1481" s="488" t="s">
        <v>2492</v>
      </c>
      <c r="K1481" s="472" t="s">
        <v>656</v>
      </c>
      <c r="L1481" s="473" t="s">
        <v>570</v>
      </c>
      <c r="M1481" s="473" t="s">
        <v>2735</v>
      </c>
      <c r="N1481" s="473" t="s">
        <v>3805</v>
      </c>
      <c r="O1481" s="474" t="s">
        <v>3805</v>
      </c>
    </row>
    <row r="1482" spans="1:15" s="475" customFormat="1" ht="12" hidden="1">
      <c r="A1482" s="465">
        <v>10131000021790</v>
      </c>
      <c r="B1482" s="466" t="s">
        <v>3805</v>
      </c>
      <c r="C1482" s="476" t="s">
        <v>3809</v>
      </c>
      <c r="D1482" s="467" t="s">
        <v>571</v>
      </c>
      <c r="E1482" s="472" t="s">
        <v>2491</v>
      </c>
      <c r="F1482" s="477">
        <v>7.78</v>
      </c>
      <c r="G1482" s="469" t="s">
        <v>2472</v>
      </c>
      <c r="H1482" s="487">
        <v>28.51</v>
      </c>
      <c r="I1482" s="471">
        <v>28.51</v>
      </c>
      <c r="J1482" s="488" t="s">
        <v>2492</v>
      </c>
      <c r="K1482" s="472" t="s">
        <v>660</v>
      </c>
      <c r="L1482" s="473" t="s">
        <v>570</v>
      </c>
      <c r="M1482" s="473" t="s">
        <v>2735</v>
      </c>
      <c r="N1482" s="473" t="s">
        <v>3805</v>
      </c>
      <c r="O1482" s="474" t="s">
        <v>3805</v>
      </c>
    </row>
    <row r="1483" spans="1:15" s="475" customFormat="1" ht="12" hidden="1">
      <c r="A1483" s="465">
        <v>10131000021789</v>
      </c>
      <c r="B1483" s="466" t="s">
        <v>3805</v>
      </c>
      <c r="C1483" s="476" t="s">
        <v>3810</v>
      </c>
      <c r="D1483" s="467" t="s">
        <v>571</v>
      </c>
      <c r="E1483" s="472" t="s">
        <v>2491</v>
      </c>
      <c r="F1483" s="477">
        <v>8.5299999999999994</v>
      </c>
      <c r="G1483" s="469" t="s">
        <v>2472</v>
      </c>
      <c r="H1483" s="487">
        <v>30.39</v>
      </c>
      <c r="I1483" s="471">
        <v>30.39</v>
      </c>
      <c r="J1483" s="488" t="s">
        <v>2492</v>
      </c>
      <c r="K1483" s="472" t="s">
        <v>658</v>
      </c>
      <c r="L1483" s="473" t="s">
        <v>570</v>
      </c>
      <c r="M1483" s="473" t="s">
        <v>2735</v>
      </c>
      <c r="N1483" s="473" t="s">
        <v>3805</v>
      </c>
      <c r="O1483" s="474" t="s">
        <v>3805</v>
      </c>
    </row>
    <row r="1484" spans="1:15" s="475" customFormat="1" ht="12" hidden="1">
      <c r="A1484" s="465">
        <v>10131000021797</v>
      </c>
      <c r="B1484" s="466" t="s">
        <v>3805</v>
      </c>
      <c r="C1484" s="476" t="s">
        <v>3811</v>
      </c>
      <c r="D1484" s="467" t="s">
        <v>571</v>
      </c>
      <c r="E1484" s="472" t="s">
        <v>2491</v>
      </c>
      <c r="F1484" s="477">
        <v>8.82</v>
      </c>
      <c r="G1484" s="469" t="s">
        <v>2472</v>
      </c>
      <c r="H1484" s="487">
        <v>31.82</v>
      </c>
      <c r="I1484" s="471">
        <v>31.82</v>
      </c>
      <c r="J1484" s="488" t="s">
        <v>2492</v>
      </c>
      <c r="K1484" s="472" t="s">
        <v>672</v>
      </c>
      <c r="L1484" s="473" t="s">
        <v>570</v>
      </c>
      <c r="M1484" s="473" t="s">
        <v>2735</v>
      </c>
      <c r="N1484" s="473" t="s">
        <v>3805</v>
      </c>
      <c r="O1484" s="474" t="s">
        <v>3805</v>
      </c>
    </row>
    <row r="1485" spans="1:15" s="475" customFormat="1" ht="12" hidden="1">
      <c r="A1485" s="465">
        <v>10131000036263</v>
      </c>
      <c r="B1485" s="466" t="s">
        <v>3805</v>
      </c>
      <c r="C1485" s="466" t="s">
        <v>3805</v>
      </c>
      <c r="D1485" s="467" t="s">
        <v>571</v>
      </c>
      <c r="E1485" s="468" t="s">
        <v>2491</v>
      </c>
      <c r="F1485" s="477">
        <v>9</v>
      </c>
      <c r="G1485" s="469" t="s">
        <v>2472</v>
      </c>
      <c r="H1485" s="470">
        <v>50</v>
      </c>
      <c r="I1485" s="471">
        <v>50</v>
      </c>
      <c r="J1485" s="472" t="s">
        <v>423</v>
      </c>
      <c r="K1485" s="472" t="s">
        <v>534</v>
      </c>
      <c r="L1485" s="473" t="s">
        <v>570</v>
      </c>
      <c r="M1485" s="473" t="s">
        <v>2735</v>
      </c>
      <c r="N1485" s="473" t="s">
        <v>3805</v>
      </c>
      <c r="O1485" s="474" t="s">
        <v>3805</v>
      </c>
    </row>
    <row r="1486" spans="1:15" s="475" customFormat="1" ht="12" hidden="1">
      <c r="A1486" s="465">
        <v>10131000021793</v>
      </c>
      <c r="B1486" s="466" t="s">
        <v>3805</v>
      </c>
      <c r="C1486" s="476" t="s">
        <v>3812</v>
      </c>
      <c r="D1486" s="467" t="s">
        <v>571</v>
      </c>
      <c r="E1486" s="472" t="s">
        <v>2491</v>
      </c>
      <c r="F1486" s="477">
        <v>9.08</v>
      </c>
      <c r="G1486" s="469" t="s">
        <v>2472</v>
      </c>
      <c r="H1486" s="487">
        <v>40.380000000000003</v>
      </c>
      <c r="I1486" s="471">
        <v>40.380000000000003</v>
      </c>
      <c r="J1486" s="488" t="s">
        <v>2492</v>
      </c>
      <c r="K1486" s="472" t="s">
        <v>662</v>
      </c>
      <c r="L1486" s="473" t="s">
        <v>570</v>
      </c>
      <c r="M1486" s="473" t="s">
        <v>2735</v>
      </c>
      <c r="N1486" s="473" t="s">
        <v>3805</v>
      </c>
      <c r="O1486" s="474" t="s">
        <v>3805</v>
      </c>
    </row>
    <row r="1487" spans="1:15" s="475" customFormat="1" ht="12" hidden="1">
      <c r="A1487" s="465">
        <v>10131000036261</v>
      </c>
      <c r="B1487" s="489" t="s">
        <v>3805</v>
      </c>
      <c r="C1487" s="489" t="s">
        <v>3813</v>
      </c>
      <c r="D1487" s="467" t="s">
        <v>571</v>
      </c>
      <c r="E1487" s="478" t="s">
        <v>2514</v>
      </c>
      <c r="F1487" s="477">
        <v>9.1631531903999992</v>
      </c>
      <c r="G1487" s="469" t="s">
        <v>2472</v>
      </c>
      <c r="H1487" s="481">
        <v>12527</v>
      </c>
      <c r="I1487" s="482">
        <v>127.88</v>
      </c>
      <c r="J1487" s="483" t="s">
        <v>2515</v>
      </c>
      <c r="K1487" s="483" t="s">
        <v>2515</v>
      </c>
      <c r="L1487" s="473" t="s">
        <v>570</v>
      </c>
      <c r="M1487" s="473" t="s">
        <v>2735</v>
      </c>
      <c r="N1487" s="473" t="s">
        <v>3805</v>
      </c>
      <c r="O1487" s="474" t="s">
        <v>3805</v>
      </c>
    </row>
    <row r="1488" spans="1:15" s="475" customFormat="1" ht="12" hidden="1">
      <c r="A1488" s="465">
        <v>10131000052481</v>
      </c>
      <c r="B1488" s="489" t="s">
        <v>3805</v>
      </c>
      <c r="C1488" s="489" t="s">
        <v>3814</v>
      </c>
      <c r="D1488" s="467" t="s">
        <v>571</v>
      </c>
      <c r="E1488" s="478" t="s">
        <v>2514</v>
      </c>
      <c r="F1488" s="477">
        <v>10.412674079999999</v>
      </c>
      <c r="G1488" s="469" t="s">
        <v>2472</v>
      </c>
      <c r="H1488" s="481">
        <v>12527</v>
      </c>
      <c r="I1488" s="482">
        <v>127.88</v>
      </c>
      <c r="J1488" s="483" t="s">
        <v>2515</v>
      </c>
      <c r="K1488" s="483" t="s">
        <v>2515</v>
      </c>
      <c r="L1488" s="473" t="s">
        <v>570</v>
      </c>
      <c r="M1488" s="473" t="s">
        <v>2735</v>
      </c>
      <c r="N1488" s="473" t="s">
        <v>3805</v>
      </c>
      <c r="O1488" s="474" t="s">
        <v>3805</v>
      </c>
    </row>
    <row r="1489" spans="1:15" s="475" customFormat="1" ht="12" hidden="1">
      <c r="A1489" s="465">
        <v>10131000036179</v>
      </c>
      <c r="B1489" s="466" t="s">
        <v>3805</v>
      </c>
      <c r="C1489" s="466" t="s">
        <v>3815</v>
      </c>
      <c r="D1489" s="467" t="s">
        <v>571</v>
      </c>
      <c r="E1489" s="472" t="s">
        <v>2541</v>
      </c>
      <c r="F1489" s="477">
        <v>11.641872000000001</v>
      </c>
      <c r="G1489" s="469" t="s">
        <v>2472</v>
      </c>
      <c r="H1489" s="470">
        <v>46.97</v>
      </c>
      <c r="I1489" s="471">
        <v>71.980499410049987</v>
      </c>
      <c r="J1489" s="485" t="s">
        <v>421</v>
      </c>
      <c r="K1489" s="472" t="s">
        <v>651</v>
      </c>
      <c r="L1489" s="473" t="s">
        <v>570</v>
      </c>
      <c r="M1489" s="473" t="s">
        <v>2735</v>
      </c>
      <c r="N1489" s="473" t="s">
        <v>3805</v>
      </c>
      <c r="O1489" s="474" t="s">
        <v>3805</v>
      </c>
    </row>
    <row r="1490" spans="1:15" s="475" customFormat="1" ht="12" hidden="1">
      <c r="A1490" s="465">
        <v>10131000036182</v>
      </c>
      <c r="B1490" s="466" t="s">
        <v>3805</v>
      </c>
      <c r="C1490" s="466" t="s">
        <v>3815</v>
      </c>
      <c r="D1490" s="467" t="s">
        <v>571</v>
      </c>
      <c r="E1490" s="472" t="s">
        <v>2541</v>
      </c>
      <c r="F1490" s="477">
        <v>11.641872000000001</v>
      </c>
      <c r="G1490" s="469" t="s">
        <v>2472</v>
      </c>
      <c r="H1490" s="470">
        <v>46.97</v>
      </c>
      <c r="I1490" s="471">
        <v>71.980499410049987</v>
      </c>
      <c r="J1490" s="485" t="s">
        <v>421</v>
      </c>
      <c r="K1490" s="472" t="s">
        <v>651</v>
      </c>
      <c r="L1490" s="473" t="s">
        <v>570</v>
      </c>
      <c r="M1490" s="473" t="s">
        <v>2735</v>
      </c>
      <c r="N1490" s="473" t="s">
        <v>3805</v>
      </c>
      <c r="O1490" s="474" t="s">
        <v>3805</v>
      </c>
    </row>
    <row r="1491" spans="1:15" s="475" customFormat="1" ht="12" hidden="1">
      <c r="A1491" s="465">
        <v>10131000051993</v>
      </c>
      <c r="B1491" s="466" t="s">
        <v>3805</v>
      </c>
      <c r="C1491" s="466" t="s">
        <v>3815</v>
      </c>
      <c r="D1491" s="467" t="s">
        <v>571</v>
      </c>
      <c r="E1491" s="472" t="s">
        <v>2491</v>
      </c>
      <c r="F1491" s="477">
        <v>11.69</v>
      </c>
      <c r="G1491" s="469" t="s">
        <v>2472</v>
      </c>
      <c r="H1491" s="470">
        <v>71.98</v>
      </c>
      <c r="I1491" s="471">
        <v>71.98</v>
      </c>
      <c r="J1491" s="485" t="s">
        <v>421</v>
      </c>
      <c r="K1491" s="472" t="s">
        <v>651</v>
      </c>
      <c r="L1491" s="473" t="s">
        <v>570</v>
      </c>
      <c r="M1491" s="473" t="s">
        <v>2735</v>
      </c>
      <c r="N1491" s="473" t="s">
        <v>3805</v>
      </c>
      <c r="O1491" s="474" t="s">
        <v>3805</v>
      </c>
    </row>
    <row r="1492" spans="1:15" s="475" customFormat="1" ht="12" hidden="1">
      <c r="A1492" s="465">
        <v>10131000036102</v>
      </c>
      <c r="B1492" s="466" t="s">
        <v>3805</v>
      </c>
      <c r="C1492" s="476" t="s">
        <v>3816</v>
      </c>
      <c r="D1492" s="467" t="s">
        <v>571</v>
      </c>
      <c r="E1492" s="472" t="s">
        <v>2829</v>
      </c>
      <c r="F1492" s="477">
        <v>113.51171599040001</v>
      </c>
      <c r="G1492" s="469" t="s">
        <v>2472</v>
      </c>
      <c r="H1492" s="470">
        <v>841.37</v>
      </c>
      <c r="I1492" s="471">
        <v>245.60474089070831</v>
      </c>
      <c r="J1492" s="485" t="s">
        <v>421</v>
      </c>
      <c r="K1492" s="472" t="s">
        <v>623</v>
      </c>
      <c r="L1492" s="473" t="s">
        <v>570</v>
      </c>
      <c r="M1492" s="473" t="s">
        <v>2735</v>
      </c>
      <c r="N1492" s="473" t="s">
        <v>3805</v>
      </c>
      <c r="O1492" s="474" t="s">
        <v>3805</v>
      </c>
    </row>
    <row r="1493" spans="1:15" s="475" customFormat="1" ht="12" hidden="1">
      <c r="A1493" s="465">
        <v>10131000036151</v>
      </c>
      <c r="B1493" s="466" t="s">
        <v>3805</v>
      </c>
      <c r="C1493" s="476" t="s">
        <v>3817</v>
      </c>
      <c r="D1493" s="467" t="s">
        <v>571</v>
      </c>
      <c r="E1493" s="472" t="s">
        <v>2706</v>
      </c>
      <c r="F1493" s="477" t="s">
        <v>2472</v>
      </c>
      <c r="G1493" s="469" t="s">
        <v>2472</v>
      </c>
      <c r="H1493" s="470">
        <v>1E-8</v>
      </c>
      <c r="I1493" s="471">
        <v>4.3820658333333323E-11</v>
      </c>
      <c r="J1493" s="485" t="s">
        <v>421</v>
      </c>
      <c r="K1493" s="472" t="s">
        <v>595</v>
      </c>
      <c r="L1493" s="473" t="s">
        <v>570</v>
      </c>
      <c r="M1493" s="473" t="s">
        <v>2735</v>
      </c>
      <c r="N1493" s="473" t="s">
        <v>3805</v>
      </c>
      <c r="O1493" s="474" t="s">
        <v>3805</v>
      </c>
    </row>
    <row r="1494" spans="1:15" s="475" customFormat="1" ht="12" hidden="1">
      <c r="A1494" s="465">
        <v>10131000021792</v>
      </c>
      <c r="B1494" s="466" t="s">
        <v>3805</v>
      </c>
      <c r="C1494" s="476" t="s">
        <v>3818</v>
      </c>
      <c r="D1494" s="467" t="s">
        <v>571</v>
      </c>
      <c r="E1494" s="472" t="s">
        <v>2491</v>
      </c>
      <c r="F1494" s="477" t="s">
        <v>2472</v>
      </c>
      <c r="G1494" s="469" t="s">
        <v>2472</v>
      </c>
      <c r="H1494" s="487">
        <v>31.73</v>
      </c>
      <c r="I1494" s="471">
        <v>31.73</v>
      </c>
      <c r="J1494" s="488" t="s">
        <v>2492</v>
      </c>
      <c r="K1494" s="472" t="s">
        <v>664</v>
      </c>
      <c r="L1494" s="473" t="s">
        <v>570</v>
      </c>
      <c r="M1494" s="473" t="s">
        <v>2735</v>
      </c>
      <c r="N1494" s="473" t="s">
        <v>3805</v>
      </c>
      <c r="O1494" s="474" t="s">
        <v>3805</v>
      </c>
    </row>
    <row r="1495" spans="1:15" s="475" customFormat="1" ht="12" hidden="1">
      <c r="A1495" s="465">
        <v>10131000021794</v>
      </c>
      <c r="B1495" s="466" t="s">
        <v>3805</v>
      </c>
      <c r="C1495" s="476" t="s">
        <v>3819</v>
      </c>
      <c r="D1495" s="467" t="s">
        <v>571</v>
      </c>
      <c r="E1495" s="472" t="s">
        <v>2491</v>
      </c>
      <c r="F1495" s="477" t="s">
        <v>2472</v>
      </c>
      <c r="G1495" s="469" t="s">
        <v>2472</v>
      </c>
      <c r="H1495" s="487">
        <v>79.83</v>
      </c>
      <c r="I1495" s="471">
        <v>79.83</v>
      </c>
      <c r="J1495" s="488" t="s">
        <v>2492</v>
      </c>
      <c r="K1495" s="472" t="s">
        <v>666</v>
      </c>
      <c r="L1495" s="473" t="s">
        <v>570</v>
      </c>
      <c r="M1495" s="473" t="s">
        <v>2735</v>
      </c>
      <c r="N1495" s="473" t="s">
        <v>3805</v>
      </c>
      <c r="O1495" s="474" t="s">
        <v>3805</v>
      </c>
    </row>
    <row r="1496" spans="1:15" s="475" customFormat="1" ht="12" hidden="1">
      <c r="A1496" s="465">
        <v>1000099062</v>
      </c>
      <c r="B1496" s="466" t="s">
        <v>3805</v>
      </c>
      <c r="C1496" s="466" t="s">
        <v>802</v>
      </c>
      <c r="D1496" s="467" t="s">
        <v>571</v>
      </c>
      <c r="E1496" s="468" t="s">
        <v>2471</v>
      </c>
      <c r="F1496" s="477" t="s">
        <v>2472</v>
      </c>
      <c r="G1496" s="469" t="s">
        <v>2472</v>
      </c>
      <c r="H1496" s="470">
        <v>353.5</v>
      </c>
      <c r="I1496" s="471">
        <v>27.297297297297298</v>
      </c>
      <c r="J1496" s="472" t="s">
        <v>422</v>
      </c>
      <c r="K1496" s="472" t="s">
        <v>2473</v>
      </c>
      <c r="L1496" s="473" t="s">
        <v>570</v>
      </c>
      <c r="M1496" s="473" t="s">
        <v>2735</v>
      </c>
      <c r="N1496" s="473" t="s">
        <v>3805</v>
      </c>
      <c r="O1496" s="474" t="s">
        <v>3805</v>
      </c>
    </row>
    <row r="1497" spans="1:15" s="475" customFormat="1" ht="12" hidden="1">
      <c r="A1497" s="465">
        <v>10131000058093</v>
      </c>
      <c r="B1497" s="466" t="s">
        <v>3805</v>
      </c>
      <c r="C1497" s="476" t="s">
        <v>3820</v>
      </c>
      <c r="D1497" s="467" t="s">
        <v>571</v>
      </c>
      <c r="E1497" s="472" t="s">
        <v>2519</v>
      </c>
      <c r="F1497" s="477" t="s">
        <v>2472</v>
      </c>
      <c r="G1497" s="469" t="s">
        <v>2472</v>
      </c>
      <c r="H1497" s="470">
        <v>426.75</v>
      </c>
      <c r="I1497" s="471">
        <v>131.63827091250002</v>
      </c>
      <c r="J1497" s="485" t="s">
        <v>421</v>
      </c>
      <c r="K1497" s="472" t="s">
        <v>621</v>
      </c>
      <c r="L1497" s="473" t="s">
        <v>570</v>
      </c>
      <c r="M1497" s="473" t="s">
        <v>2735</v>
      </c>
      <c r="N1497" s="473" t="s">
        <v>3805</v>
      </c>
      <c r="O1497" s="474" t="s">
        <v>3805</v>
      </c>
    </row>
    <row r="1498" spans="1:15" s="475" customFormat="1" ht="12" hidden="1">
      <c r="A1498" s="465">
        <v>10131000058326</v>
      </c>
      <c r="B1498" s="466" t="s">
        <v>3805</v>
      </c>
      <c r="C1498" s="476" t="s">
        <v>3820</v>
      </c>
      <c r="D1498" s="467" t="s">
        <v>571</v>
      </c>
      <c r="E1498" s="472" t="s">
        <v>2519</v>
      </c>
      <c r="F1498" s="477" t="s">
        <v>2472</v>
      </c>
      <c r="G1498" s="469" t="s">
        <v>2472</v>
      </c>
      <c r="H1498" s="470">
        <v>165.57</v>
      </c>
      <c r="I1498" s="471">
        <v>51.072872911499999</v>
      </c>
      <c r="J1498" s="485" t="s">
        <v>421</v>
      </c>
      <c r="K1498" s="472" t="s">
        <v>621</v>
      </c>
      <c r="L1498" s="473" t="s">
        <v>570</v>
      </c>
      <c r="M1498" s="473" t="s">
        <v>2735</v>
      </c>
      <c r="N1498" s="473" t="s">
        <v>3805</v>
      </c>
      <c r="O1498" s="474" t="s">
        <v>3805</v>
      </c>
    </row>
    <row r="1499" spans="1:15" s="475" customFormat="1" ht="12" hidden="1">
      <c r="A1499" s="465">
        <v>10131000021799</v>
      </c>
      <c r="B1499" s="466" t="s">
        <v>3805</v>
      </c>
      <c r="C1499" s="476" t="s">
        <v>3821</v>
      </c>
      <c r="D1499" s="467" t="s">
        <v>571</v>
      </c>
      <c r="E1499" s="472" t="s">
        <v>2491</v>
      </c>
      <c r="F1499" s="477" t="s">
        <v>2472</v>
      </c>
      <c r="G1499" s="469" t="s">
        <v>2472</v>
      </c>
      <c r="H1499" s="487">
        <v>46.32</v>
      </c>
      <c r="I1499" s="471">
        <v>46.32</v>
      </c>
      <c r="J1499" s="488" t="s">
        <v>2492</v>
      </c>
      <c r="K1499" s="472" t="s">
        <v>674</v>
      </c>
      <c r="L1499" s="473" t="s">
        <v>570</v>
      </c>
      <c r="M1499" s="473" t="s">
        <v>2735</v>
      </c>
      <c r="N1499" s="473" t="s">
        <v>3805</v>
      </c>
      <c r="O1499" s="474" t="s">
        <v>3805</v>
      </c>
    </row>
    <row r="1500" spans="1:15" s="475" customFormat="1" ht="12" hidden="1">
      <c r="A1500" s="465">
        <v>10131000021798</v>
      </c>
      <c r="B1500" s="466" t="s">
        <v>3805</v>
      </c>
      <c r="C1500" s="476" t="s">
        <v>3822</v>
      </c>
      <c r="D1500" s="467" t="s">
        <v>571</v>
      </c>
      <c r="E1500" s="472" t="s">
        <v>2491</v>
      </c>
      <c r="F1500" s="477" t="s">
        <v>2472</v>
      </c>
      <c r="G1500" s="469" t="s">
        <v>2472</v>
      </c>
      <c r="H1500" s="487">
        <v>45.53</v>
      </c>
      <c r="I1500" s="471">
        <v>45.53</v>
      </c>
      <c r="J1500" s="488" t="s">
        <v>2492</v>
      </c>
      <c r="K1500" s="472" t="s">
        <v>676</v>
      </c>
      <c r="L1500" s="473" t="s">
        <v>570</v>
      </c>
      <c r="M1500" s="473" t="s">
        <v>2735</v>
      </c>
      <c r="N1500" s="473" t="s">
        <v>3805</v>
      </c>
      <c r="O1500" s="474" t="s">
        <v>3805</v>
      </c>
    </row>
    <row r="1501" spans="1:15" s="475" customFormat="1" ht="12" hidden="1">
      <c r="A1501" s="465">
        <v>10131000057335</v>
      </c>
      <c r="B1501" s="466" t="s">
        <v>3805</v>
      </c>
      <c r="C1501" s="476" t="s">
        <v>3823</v>
      </c>
      <c r="D1501" s="467" t="s">
        <v>571</v>
      </c>
      <c r="E1501" s="472" t="s">
        <v>2491</v>
      </c>
      <c r="F1501" s="477" t="s">
        <v>2472</v>
      </c>
      <c r="G1501" s="469" t="s">
        <v>2472</v>
      </c>
      <c r="H1501" s="495">
        <v>46.96</v>
      </c>
      <c r="I1501" s="471">
        <v>46.96</v>
      </c>
      <c r="J1501" s="488" t="s">
        <v>2492</v>
      </c>
      <c r="K1501" s="472" t="s">
        <v>678</v>
      </c>
      <c r="L1501" s="473" t="s">
        <v>570</v>
      </c>
      <c r="M1501" s="473" t="s">
        <v>2735</v>
      </c>
      <c r="N1501" s="473" t="s">
        <v>3805</v>
      </c>
      <c r="O1501" s="474" t="s">
        <v>3805</v>
      </c>
    </row>
    <row r="1502" spans="1:15" s="475" customFormat="1" ht="12" hidden="1">
      <c r="A1502" s="465">
        <v>10131000030401</v>
      </c>
      <c r="B1502" s="466" t="s">
        <v>3824</v>
      </c>
      <c r="C1502" s="466" t="s">
        <v>3824</v>
      </c>
      <c r="D1502" s="467" t="s">
        <v>3003</v>
      </c>
      <c r="E1502" s="468" t="s">
        <v>2491</v>
      </c>
      <c r="F1502" s="477">
        <v>18.468</v>
      </c>
      <c r="G1502" s="469" t="s">
        <v>2472</v>
      </c>
      <c r="H1502" s="470">
        <v>18.47</v>
      </c>
      <c r="I1502" s="471">
        <v>18.47</v>
      </c>
      <c r="J1502" s="472" t="s">
        <v>423</v>
      </c>
      <c r="K1502" s="472" t="s">
        <v>534</v>
      </c>
      <c r="L1502" s="473" t="s">
        <v>570</v>
      </c>
      <c r="M1502" s="473" t="s">
        <v>2732</v>
      </c>
      <c r="N1502" s="473" t="s">
        <v>3824</v>
      </c>
      <c r="O1502" s="474" t="s">
        <v>3824</v>
      </c>
    </row>
    <row r="1503" spans="1:15" s="475" customFormat="1" ht="12" hidden="1">
      <c r="A1503" s="465">
        <v>1000099132</v>
      </c>
      <c r="B1503" s="466" t="s">
        <v>3825</v>
      </c>
      <c r="C1503" s="466" t="s">
        <v>3825</v>
      </c>
      <c r="D1503" s="467" t="s">
        <v>1045</v>
      </c>
      <c r="E1503" s="468" t="s">
        <v>2471</v>
      </c>
      <c r="F1503" s="477" t="s">
        <v>2472</v>
      </c>
      <c r="G1503" s="469" t="s">
        <v>2472</v>
      </c>
      <c r="H1503" s="470">
        <v>0</v>
      </c>
      <c r="I1503" s="471">
        <v>0</v>
      </c>
      <c r="J1503" s="472" t="s">
        <v>422</v>
      </c>
      <c r="K1503" s="472" t="s">
        <v>2473</v>
      </c>
      <c r="L1503" s="473" t="s">
        <v>2474</v>
      </c>
      <c r="M1503" s="473" t="s">
        <v>1835</v>
      </c>
      <c r="N1503" s="473" t="s">
        <v>204</v>
      </c>
      <c r="O1503" s="474" t="s">
        <v>3825</v>
      </c>
    </row>
    <row r="1504" spans="1:15" s="475" customFormat="1" ht="12" hidden="1">
      <c r="A1504" s="465">
        <v>1000099169</v>
      </c>
      <c r="B1504" s="466" t="s">
        <v>3825</v>
      </c>
      <c r="C1504" s="466" t="s">
        <v>3826</v>
      </c>
      <c r="D1504" s="467" t="s">
        <v>1045</v>
      </c>
      <c r="E1504" s="468" t="s">
        <v>2471</v>
      </c>
      <c r="F1504" s="477" t="s">
        <v>2472</v>
      </c>
      <c r="G1504" s="469" t="s">
        <v>2472</v>
      </c>
      <c r="H1504" s="470">
        <v>0</v>
      </c>
      <c r="I1504" s="471">
        <v>0</v>
      </c>
      <c r="J1504" s="472" t="s">
        <v>422</v>
      </c>
      <c r="K1504" s="472" t="s">
        <v>2473</v>
      </c>
      <c r="L1504" s="473" t="s">
        <v>2474</v>
      </c>
      <c r="M1504" s="473" t="s">
        <v>1835</v>
      </c>
      <c r="N1504" s="473" t="s">
        <v>204</v>
      </c>
      <c r="O1504" s="474" t="s">
        <v>3825</v>
      </c>
    </row>
    <row r="1505" spans="1:15" s="475" customFormat="1" ht="12" hidden="1">
      <c r="A1505" s="465">
        <v>10131000021240</v>
      </c>
      <c r="B1505" s="476" t="s">
        <v>2556</v>
      </c>
      <c r="C1505" s="476" t="s">
        <v>2556</v>
      </c>
      <c r="D1505" s="467" t="s">
        <v>1045</v>
      </c>
      <c r="E1505" s="472" t="s">
        <v>2491</v>
      </c>
      <c r="F1505" s="477">
        <v>0</v>
      </c>
      <c r="G1505" s="469" t="s">
        <v>2472</v>
      </c>
      <c r="H1505" s="470">
        <v>1E-8</v>
      </c>
      <c r="I1505" s="471">
        <v>0</v>
      </c>
      <c r="J1505" s="472" t="s">
        <v>2492</v>
      </c>
      <c r="K1505" s="472" t="s">
        <v>2495</v>
      </c>
      <c r="L1505" s="479" t="s">
        <v>204</v>
      </c>
      <c r="M1505" s="479" t="s">
        <v>204</v>
      </c>
      <c r="N1505" s="479" t="s">
        <v>2556</v>
      </c>
      <c r="O1505" s="480" t="s">
        <v>2556</v>
      </c>
    </row>
    <row r="1506" spans="1:15" s="475" customFormat="1" ht="12" hidden="1">
      <c r="A1506" s="465">
        <v>10131000021241</v>
      </c>
      <c r="B1506" s="476" t="s">
        <v>2556</v>
      </c>
      <c r="C1506" s="476" t="s">
        <v>2556</v>
      </c>
      <c r="D1506" s="467" t="s">
        <v>1045</v>
      </c>
      <c r="E1506" s="472" t="s">
        <v>2491</v>
      </c>
      <c r="F1506" s="477">
        <v>0</v>
      </c>
      <c r="G1506" s="469" t="s">
        <v>2472</v>
      </c>
      <c r="H1506" s="470">
        <v>1E-8</v>
      </c>
      <c r="I1506" s="471">
        <v>0</v>
      </c>
      <c r="J1506" s="472" t="s">
        <v>2492</v>
      </c>
      <c r="K1506" s="478" t="s">
        <v>666</v>
      </c>
      <c r="L1506" s="479" t="s">
        <v>204</v>
      </c>
      <c r="M1506" s="479" t="s">
        <v>204</v>
      </c>
      <c r="N1506" s="479" t="s">
        <v>2556</v>
      </c>
      <c r="O1506" s="480" t="s">
        <v>2556</v>
      </c>
    </row>
    <row r="1507" spans="1:15" s="475" customFormat="1" ht="12" hidden="1">
      <c r="A1507" s="465">
        <v>10131000029985</v>
      </c>
      <c r="B1507" s="476" t="s">
        <v>2556</v>
      </c>
      <c r="C1507" s="476" t="s">
        <v>3827</v>
      </c>
      <c r="D1507" s="467" t="s">
        <v>1045</v>
      </c>
      <c r="E1507" s="472" t="s">
        <v>2491</v>
      </c>
      <c r="F1507" s="477">
        <v>0</v>
      </c>
      <c r="G1507" s="469" t="s">
        <v>2472</v>
      </c>
      <c r="H1507" s="470">
        <v>1E-8</v>
      </c>
      <c r="I1507" s="471">
        <v>0</v>
      </c>
      <c r="J1507" s="472" t="s">
        <v>2492</v>
      </c>
      <c r="K1507" s="478" t="s">
        <v>2522</v>
      </c>
      <c r="L1507" s="479" t="s">
        <v>204</v>
      </c>
      <c r="M1507" s="479" t="s">
        <v>204</v>
      </c>
      <c r="N1507" s="479" t="s">
        <v>2556</v>
      </c>
      <c r="O1507" s="480" t="s">
        <v>2556</v>
      </c>
    </row>
    <row r="1508" spans="1:15" s="475" customFormat="1" ht="12" hidden="1">
      <c r="A1508" s="465">
        <v>1000099054</v>
      </c>
      <c r="B1508" s="466" t="s">
        <v>3828</v>
      </c>
      <c r="C1508" s="466" t="s">
        <v>3828</v>
      </c>
      <c r="D1508" s="467" t="s">
        <v>571</v>
      </c>
      <c r="E1508" s="468" t="s">
        <v>2471</v>
      </c>
      <c r="F1508" s="477" t="s">
        <v>2472</v>
      </c>
      <c r="G1508" s="469" t="s">
        <v>2472</v>
      </c>
      <c r="H1508" s="470">
        <v>335.46</v>
      </c>
      <c r="I1508" s="471">
        <v>25.904247104247105</v>
      </c>
      <c r="J1508" s="472" t="s">
        <v>422</v>
      </c>
      <c r="K1508" s="472" t="s">
        <v>2473</v>
      </c>
      <c r="L1508" s="473" t="s">
        <v>570</v>
      </c>
      <c r="M1508" s="473" t="s">
        <v>2732</v>
      </c>
      <c r="N1508" s="473" t="s">
        <v>2643</v>
      </c>
      <c r="O1508" s="490" t="s">
        <v>3828</v>
      </c>
    </row>
    <row r="1509" spans="1:15" s="475" customFormat="1" ht="12" hidden="1">
      <c r="A1509" s="465">
        <v>10131000056415</v>
      </c>
      <c r="B1509" s="466" t="s">
        <v>1970</v>
      </c>
      <c r="C1509" s="466" t="s">
        <v>1970</v>
      </c>
      <c r="D1509" s="467" t="s">
        <v>1972</v>
      </c>
      <c r="E1509" s="468" t="s">
        <v>2491</v>
      </c>
      <c r="F1509" s="477">
        <v>33.5</v>
      </c>
      <c r="G1509" s="469" t="s">
        <v>2472</v>
      </c>
      <c r="H1509" s="470">
        <v>34.18</v>
      </c>
      <c r="I1509" s="471">
        <v>34.18</v>
      </c>
      <c r="J1509" s="472" t="s">
        <v>423</v>
      </c>
      <c r="K1509" s="472" t="s">
        <v>534</v>
      </c>
      <c r="L1509" s="473" t="s">
        <v>2474</v>
      </c>
      <c r="M1509" s="473" t="s">
        <v>1835</v>
      </c>
      <c r="N1509" s="473" t="s">
        <v>1858</v>
      </c>
      <c r="O1509" s="474" t="s">
        <v>1970</v>
      </c>
    </row>
    <row r="1510" spans="1:15" s="475" customFormat="1" ht="12" hidden="1">
      <c r="A1510" s="465">
        <v>10131000057868</v>
      </c>
      <c r="B1510" s="466" t="s">
        <v>1970</v>
      </c>
      <c r="C1510" s="466" t="s">
        <v>3829</v>
      </c>
      <c r="D1510" s="467" t="s">
        <v>1972</v>
      </c>
      <c r="E1510" s="468" t="s">
        <v>2619</v>
      </c>
      <c r="F1510" s="477">
        <v>43.176178605000004</v>
      </c>
      <c r="G1510" s="469" t="s">
        <v>2472</v>
      </c>
      <c r="H1510" s="470">
        <v>34.18</v>
      </c>
      <c r="I1510" s="471">
        <v>34.18</v>
      </c>
      <c r="J1510" s="472" t="s">
        <v>423</v>
      </c>
      <c r="K1510" s="472" t="s">
        <v>2620</v>
      </c>
      <c r="L1510" s="473" t="s">
        <v>2474</v>
      </c>
      <c r="M1510" s="473" t="s">
        <v>1835</v>
      </c>
      <c r="N1510" s="473" t="s">
        <v>1858</v>
      </c>
      <c r="O1510" s="474" t="s">
        <v>1970</v>
      </c>
    </row>
    <row r="1511" spans="1:15" s="475" customFormat="1" ht="12" hidden="1">
      <c r="A1511" s="465">
        <v>10131000056411</v>
      </c>
      <c r="B1511" s="466" t="s">
        <v>3830</v>
      </c>
      <c r="C1511" s="466" t="s">
        <v>3830</v>
      </c>
      <c r="D1511" s="467" t="s">
        <v>1972</v>
      </c>
      <c r="E1511" s="468" t="s">
        <v>2491</v>
      </c>
      <c r="F1511" s="477">
        <v>33.5</v>
      </c>
      <c r="G1511" s="469" t="s">
        <v>2472</v>
      </c>
      <c r="H1511" s="470">
        <v>34.18</v>
      </c>
      <c r="I1511" s="471">
        <v>34.18</v>
      </c>
      <c r="J1511" s="472" t="s">
        <v>423</v>
      </c>
      <c r="K1511" s="472" t="s">
        <v>534</v>
      </c>
      <c r="L1511" s="473" t="s">
        <v>2474</v>
      </c>
      <c r="M1511" s="473" t="s">
        <v>1835</v>
      </c>
      <c r="N1511" s="473" t="s">
        <v>1858</v>
      </c>
      <c r="O1511" s="474" t="s">
        <v>3830</v>
      </c>
    </row>
    <row r="1512" spans="1:15" s="475" customFormat="1" ht="12" hidden="1">
      <c r="A1512" s="465">
        <v>10131000057865</v>
      </c>
      <c r="B1512" s="466" t="s">
        <v>3830</v>
      </c>
      <c r="C1512" s="466" t="s">
        <v>3831</v>
      </c>
      <c r="D1512" s="467" t="s">
        <v>1862</v>
      </c>
      <c r="E1512" s="468" t="s">
        <v>2619</v>
      </c>
      <c r="F1512" s="477" t="s">
        <v>2472</v>
      </c>
      <c r="G1512" s="469" t="s">
        <v>2472</v>
      </c>
      <c r="H1512" s="470">
        <v>34.18</v>
      </c>
      <c r="I1512" s="471">
        <v>34.18</v>
      </c>
      <c r="J1512" s="472" t="s">
        <v>423</v>
      </c>
      <c r="K1512" s="472" t="s">
        <v>2620</v>
      </c>
      <c r="L1512" s="473" t="s">
        <v>2474</v>
      </c>
      <c r="M1512" s="473" t="s">
        <v>1835</v>
      </c>
      <c r="N1512" s="473" t="s">
        <v>1858</v>
      </c>
      <c r="O1512" s="474" t="s">
        <v>3830</v>
      </c>
    </row>
    <row r="1513" spans="1:15" s="475" customFormat="1" ht="12" hidden="1">
      <c r="A1513" s="465">
        <v>1000099146</v>
      </c>
      <c r="B1513" s="466" t="s">
        <v>3830</v>
      </c>
      <c r="C1513" s="466" t="s">
        <v>3832</v>
      </c>
      <c r="D1513" s="467" t="s">
        <v>2685</v>
      </c>
      <c r="E1513" s="468" t="s">
        <v>2471</v>
      </c>
      <c r="F1513" s="477" t="s">
        <v>2472</v>
      </c>
      <c r="G1513" s="469" t="s">
        <v>2472</v>
      </c>
      <c r="H1513" s="470">
        <v>552.37308000000007</v>
      </c>
      <c r="I1513" s="471">
        <v>42.654291891891901</v>
      </c>
      <c r="J1513" s="472" t="s">
        <v>422</v>
      </c>
      <c r="K1513" s="472" t="s">
        <v>2473</v>
      </c>
      <c r="L1513" s="473" t="s">
        <v>2474</v>
      </c>
      <c r="M1513" s="473" t="s">
        <v>1835</v>
      </c>
      <c r="N1513" s="473" t="s">
        <v>1858</v>
      </c>
      <c r="O1513" s="474" t="s">
        <v>3830</v>
      </c>
    </row>
    <row r="1514" spans="1:15" s="475" customFormat="1" ht="12" hidden="1">
      <c r="A1514" s="465">
        <v>1000099183</v>
      </c>
      <c r="B1514" s="466" t="s">
        <v>3830</v>
      </c>
      <c r="C1514" s="466" t="s">
        <v>3833</v>
      </c>
      <c r="D1514" s="467" t="s">
        <v>2685</v>
      </c>
      <c r="E1514" s="468" t="s">
        <v>2471</v>
      </c>
      <c r="F1514" s="477" t="s">
        <v>2472</v>
      </c>
      <c r="G1514" s="469" t="s">
        <v>2472</v>
      </c>
      <c r="H1514" s="470">
        <v>579.99173400000006</v>
      </c>
      <c r="I1514" s="471">
        <v>44.787006486486497</v>
      </c>
      <c r="J1514" s="472" t="s">
        <v>422</v>
      </c>
      <c r="K1514" s="472" t="s">
        <v>2473</v>
      </c>
      <c r="L1514" s="473" t="s">
        <v>2474</v>
      </c>
      <c r="M1514" s="473" t="s">
        <v>1835</v>
      </c>
      <c r="N1514" s="473" t="s">
        <v>1858</v>
      </c>
      <c r="O1514" s="474" t="s">
        <v>3830</v>
      </c>
    </row>
    <row r="1515" spans="1:15" s="475" customFormat="1" ht="12" hidden="1">
      <c r="A1515" s="465">
        <v>10131000058854</v>
      </c>
      <c r="B1515" s="484" t="s">
        <v>3834</v>
      </c>
      <c r="C1515" s="484" t="s">
        <v>3834</v>
      </c>
      <c r="D1515" s="467" t="s">
        <v>2922</v>
      </c>
      <c r="E1515" s="468" t="s">
        <v>2491</v>
      </c>
      <c r="F1515" s="477" t="s">
        <v>2472</v>
      </c>
      <c r="G1515" s="469" t="s">
        <v>2472</v>
      </c>
      <c r="H1515" s="470">
        <v>40</v>
      </c>
      <c r="I1515" s="471">
        <v>40</v>
      </c>
      <c r="J1515" s="472" t="s">
        <v>423</v>
      </c>
      <c r="K1515" s="472" t="s">
        <v>534</v>
      </c>
      <c r="L1515" s="473" t="s">
        <v>2474</v>
      </c>
      <c r="M1515" s="473" t="s">
        <v>1835</v>
      </c>
      <c r="N1515" s="484" t="s">
        <v>3834</v>
      </c>
      <c r="O1515" s="491" t="s">
        <v>3834</v>
      </c>
    </row>
    <row r="1516" spans="1:15" s="475" customFormat="1" ht="12" hidden="1">
      <c r="A1516" s="465">
        <v>10131000051826</v>
      </c>
      <c r="B1516" s="466" t="s">
        <v>3238</v>
      </c>
      <c r="C1516" s="476" t="s">
        <v>3835</v>
      </c>
      <c r="D1516" s="467" t="s">
        <v>2021</v>
      </c>
      <c r="E1516" s="472" t="s">
        <v>2491</v>
      </c>
      <c r="F1516" s="477">
        <v>4.41</v>
      </c>
      <c r="G1516" s="469" t="s">
        <v>2472</v>
      </c>
      <c r="H1516" s="487">
        <v>4.2699999999999996</v>
      </c>
      <c r="I1516" s="471">
        <v>4.2699999999999996</v>
      </c>
      <c r="J1516" s="488" t="s">
        <v>2492</v>
      </c>
      <c r="K1516" s="472" t="s">
        <v>674</v>
      </c>
      <c r="L1516" s="473" t="s">
        <v>2474</v>
      </c>
      <c r="M1516" s="473" t="s">
        <v>1835</v>
      </c>
      <c r="N1516" s="473" t="s">
        <v>3238</v>
      </c>
      <c r="O1516" s="474" t="s">
        <v>3238</v>
      </c>
    </row>
    <row r="1517" spans="1:15" s="475" customFormat="1" ht="12" hidden="1">
      <c r="A1517" s="465">
        <v>10131000051823</v>
      </c>
      <c r="B1517" s="466" t="s">
        <v>3238</v>
      </c>
      <c r="C1517" s="476" t="s">
        <v>3836</v>
      </c>
      <c r="D1517" s="467" t="s">
        <v>2021</v>
      </c>
      <c r="E1517" s="472" t="s">
        <v>2491</v>
      </c>
      <c r="F1517" s="477">
        <v>4.96</v>
      </c>
      <c r="G1517" s="469" t="s">
        <v>2472</v>
      </c>
      <c r="H1517" s="487">
        <v>4.16</v>
      </c>
      <c r="I1517" s="471">
        <v>4.16</v>
      </c>
      <c r="J1517" s="488" t="s">
        <v>2492</v>
      </c>
      <c r="K1517" s="472" t="s">
        <v>670</v>
      </c>
      <c r="L1517" s="473" t="s">
        <v>2474</v>
      </c>
      <c r="M1517" s="473" t="s">
        <v>1835</v>
      </c>
      <c r="N1517" s="473" t="s">
        <v>3238</v>
      </c>
      <c r="O1517" s="474" t="s">
        <v>3238</v>
      </c>
    </row>
    <row r="1518" spans="1:15" s="475" customFormat="1" ht="12" hidden="1">
      <c r="A1518" s="465">
        <v>10131000051819</v>
      </c>
      <c r="B1518" s="466" t="s">
        <v>3238</v>
      </c>
      <c r="C1518" s="476" t="s">
        <v>3837</v>
      </c>
      <c r="D1518" s="467" t="s">
        <v>2021</v>
      </c>
      <c r="E1518" s="472" t="s">
        <v>2491</v>
      </c>
      <c r="F1518" s="477">
        <v>5.5</v>
      </c>
      <c r="G1518" s="469" t="s">
        <v>2472</v>
      </c>
      <c r="H1518" s="487">
        <v>12.74</v>
      </c>
      <c r="I1518" s="471">
        <v>12.74</v>
      </c>
      <c r="J1518" s="488" t="s">
        <v>2492</v>
      </c>
      <c r="K1518" s="472" t="s">
        <v>660</v>
      </c>
      <c r="L1518" s="473" t="s">
        <v>2474</v>
      </c>
      <c r="M1518" s="473" t="s">
        <v>1835</v>
      </c>
      <c r="N1518" s="473" t="s">
        <v>3238</v>
      </c>
      <c r="O1518" s="474" t="s">
        <v>3238</v>
      </c>
    </row>
    <row r="1519" spans="1:15" s="475" customFormat="1" ht="12" hidden="1">
      <c r="A1519" s="465">
        <v>10131000051820</v>
      </c>
      <c r="B1519" s="466" t="s">
        <v>3238</v>
      </c>
      <c r="C1519" s="476" t="s">
        <v>3838</v>
      </c>
      <c r="D1519" s="467" t="s">
        <v>2021</v>
      </c>
      <c r="E1519" s="472" t="s">
        <v>2491</v>
      </c>
      <c r="F1519" s="477">
        <v>9.5299999999999994</v>
      </c>
      <c r="G1519" s="469" t="s">
        <v>2472</v>
      </c>
      <c r="H1519" s="487">
        <v>16.38</v>
      </c>
      <c r="I1519" s="471">
        <v>16.38</v>
      </c>
      <c r="J1519" s="488" t="s">
        <v>2492</v>
      </c>
      <c r="K1519" s="472" t="s">
        <v>664</v>
      </c>
      <c r="L1519" s="473" t="s">
        <v>2474</v>
      </c>
      <c r="M1519" s="473" t="s">
        <v>1835</v>
      </c>
      <c r="N1519" s="473" t="s">
        <v>3238</v>
      </c>
      <c r="O1519" s="474" t="s">
        <v>3238</v>
      </c>
    </row>
    <row r="1520" spans="1:15" s="475" customFormat="1" ht="12" hidden="1">
      <c r="A1520" s="465">
        <v>10131000051824</v>
      </c>
      <c r="B1520" s="466" t="s">
        <v>3238</v>
      </c>
      <c r="C1520" s="476" t="s">
        <v>3839</v>
      </c>
      <c r="D1520" s="467" t="s">
        <v>2021</v>
      </c>
      <c r="E1520" s="472" t="s">
        <v>2491</v>
      </c>
      <c r="F1520" s="477">
        <v>10.98</v>
      </c>
      <c r="G1520" s="469" t="s">
        <v>2472</v>
      </c>
      <c r="H1520" s="487">
        <v>8.7100000000000009</v>
      </c>
      <c r="I1520" s="471">
        <v>8.7100000000000009</v>
      </c>
      <c r="J1520" s="488" t="s">
        <v>2492</v>
      </c>
      <c r="K1520" s="472" t="s">
        <v>672</v>
      </c>
      <c r="L1520" s="473" t="s">
        <v>2474</v>
      </c>
      <c r="M1520" s="473" t="s">
        <v>1835</v>
      </c>
      <c r="N1520" s="473" t="s">
        <v>3238</v>
      </c>
      <c r="O1520" s="474" t="s">
        <v>3238</v>
      </c>
    </row>
    <row r="1521" spans="1:15" s="475" customFormat="1" ht="12" hidden="1">
      <c r="A1521" s="465">
        <v>10131000051825</v>
      </c>
      <c r="B1521" s="466" t="s">
        <v>3238</v>
      </c>
      <c r="C1521" s="476" t="s">
        <v>3840</v>
      </c>
      <c r="D1521" s="467" t="s">
        <v>2021</v>
      </c>
      <c r="E1521" s="472" t="s">
        <v>2491</v>
      </c>
      <c r="F1521" s="477">
        <v>12.41</v>
      </c>
      <c r="G1521" s="469" t="s">
        <v>2472</v>
      </c>
      <c r="H1521" s="487">
        <v>9.91</v>
      </c>
      <c r="I1521" s="471">
        <v>9.91</v>
      </c>
      <c r="J1521" s="488" t="s">
        <v>2492</v>
      </c>
      <c r="K1521" s="472" t="s">
        <v>676</v>
      </c>
      <c r="L1521" s="473" t="s">
        <v>2474</v>
      </c>
      <c r="M1521" s="473" t="s">
        <v>1835</v>
      </c>
      <c r="N1521" s="473" t="s">
        <v>3238</v>
      </c>
      <c r="O1521" s="474" t="s">
        <v>3238</v>
      </c>
    </row>
    <row r="1522" spans="1:15" s="475" customFormat="1" ht="12" hidden="1">
      <c r="A1522" s="465">
        <v>10131000051821</v>
      </c>
      <c r="B1522" s="466" t="s">
        <v>3238</v>
      </c>
      <c r="C1522" s="476" t="s">
        <v>3841</v>
      </c>
      <c r="D1522" s="467" t="s">
        <v>2021</v>
      </c>
      <c r="E1522" s="472" t="s">
        <v>2491</v>
      </c>
      <c r="F1522" s="477">
        <v>12.74</v>
      </c>
      <c r="G1522" s="469" t="s">
        <v>2472</v>
      </c>
      <c r="H1522" s="487">
        <v>7.85</v>
      </c>
      <c r="I1522" s="471">
        <v>7.85</v>
      </c>
      <c r="J1522" s="488" t="s">
        <v>2492</v>
      </c>
      <c r="K1522" s="472" t="s">
        <v>662</v>
      </c>
      <c r="L1522" s="473" t="s">
        <v>2474</v>
      </c>
      <c r="M1522" s="473" t="s">
        <v>1835</v>
      </c>
      <c r="N1522" s="473" t="s">
        <v>3238</v>
      </c>
      <c r="O1522" s="474" t="s">
        <v>3238</v>
      </c>
    </row>
    <row r="1523" spans="1:15" s="475" customFormat="1" ht="12" hidden="1">
      <c r="A1523" s="465">
        <v>10131000057338</v>
      </c>
      <c r="B1523" s="466" t="s">
        <v>3238</v>
      </c>
      <c r="C1523" s="476" t="s">
        <v>3842</v>
      </c>
      <c r="D1523" s="467" t="s">
        <v>2021</v>
      </c>
      <c r="E1523" s="472" t="s">
        <v>2491</v>
      </c>
      <c r="F1523" s="477">
        <v>13.04</v>
      </c>
      <c r="G1523" s="469" t="s">
        <v>2472</v>
      </c>
      <c r="H1523" s="487">
        <v>13.04</v>
      </c>
      <c r="I1523" s="471">
        <v>13.04</v>
      </c>
      <c r="J1523" s="488" t="s">
        <v>2492</v>
      </c>
      <c r="K1523" s="472" t="s">
        <v>678</v>
      </c>
      <c r="L1523" s="473" t="s">
        <v>2474</v>
      </c>
      <c r="M1523" s="473" t="s">
        <v>1835</v>
      </c>
      <c r="N1523" s="473" t="s">
        <v>3238</v>
      </c>
      <c r="O1523" s="474" t="s">
        <v>3238</v>
      </c>
    </row>
    <row r="1524" spans="1:15" s="475" customFormat="1" ht="12" hidden="1">
      <c r="A1524" s="465">
        <v>10131000037946</v>
      </c>
      <c r="B1524" s="476" t="s">
        <v>3238</v>
      </c>
      <c r="C1524" s="476" t="s">
        <v>3843</v>
      </c>
      <c r="D1524" s="467" t="s">
        <v>2021</v>
      </c>
      <c r="E1524" s="472" t="s">
        <v>2829</v>
      </c>
      <c r="F1524" s="477">
        <v>13.327286492799999</v>
      </c>
      <c r="G1524" s="469" t="s">
        <v>2472</v>
      </c>
      <c r="H1524" s="470">
        <v>472.84</v>
      </c>
      <c r="I1524" s="471">
        <v>138.02696279016664</v>
      </c>
      <c r="J1524" s="485" t="s">
        <v>421</v>
      </c>
      <c r="K1524" s="472" t="s">
        <v>623</v>
      </c>
      <c r="L1524" s="473" t="s">
        <v>2474</v>
      </c>
      <c r="M1524" s="473" t="s">
        <v>1835</v>
      </c>
      <c r="N1524" s="473" t="s">
        <v>3238</v>
      </c>
      <c r="O1524" s="474" t="s">
        <v>3238</v>
      </c>
    </row>
    <row r="1525" spans="1:15" s="475" customFormat="1" ht="12" hidden="1">
      <c r="A1525" s="465">
        <v>10131000051822</v>
      </c>
      <c r="B1525" s="466" t="s">
        <v>3238</v>
      </c>
      <c r="C1525" s="476" t="s">
        <v>3844</v>
      </c>
      <c r="D1525" s="467" t="s">
        <v>2021</v>
      </c>
      <c r="E1525" s="472" t="s">
        <v>2491</v>
      </c>
      <c r="F1525" s="477">
        <v>14.39</v>
      </c>
      <c r="G1525" s="469" t="s">
        <v>2472</v>
      </c>
      <c r="H1525" s="487">
        <v>14.5</v>
      </c>
      <c r="I1525" s="471">
        <v>14.5</v>
      </c>
      <c r="J1525" s="488" t="s">
        <v>2492</v>
      </c>
      <c r="K1525" s="472" t="s">
        <v>668</v>
      </c>
      <c r="L1525" s="473" t="s">
        <v>2474</v>
      </c>
      <c r="M1525" s="473" t="s">
        <v>1835</v>
      </c>
      <c r="N1525" s="473" t="s">
        <v>3238</v>
      </c>
      <c r="O1525" s="474" t="s">
        <v>3238</v>
      </c>
    </row>
    <row r="1526" spans="1:15" s="475" customFormat="1" ht="12" hidden="1">
      <c r="A1526" s="465">
        <v>10131000056423</v>
      </c>
      <c r="B1526" s="466" t="s">
        <v>3238</v>
      </c>
      <c r="C1526" s="466" t="s">
        <v>3238</v>
      </c>
      <c r="D1526" s="467" t="s">
        <v>2021</v>
      </c>
      <c r="E1526" s="468" t="s">
        <v>2491</v>
      </c>
      <c r="F1526" s="477">
        <v>15</v>
      </c>
      <c r="G1526" s="469" t="s">
        <v>2472</v>
      </c>
      <c r="H1526" s="470">
        <v>14.88</v>
      </c>
      <c r="I1526" s="471">
        <v>14.88</v>
      </c>
      <c r="J1526" s="472" t="s">
        <v>423</v>
      </c>
      <c r="K1526" s="472" t="s">
        <v>534</v>
      </c>
      <c r="L1526" s="473" t="s">
        <v>2474</v>
      </c>
      <c r="M1526" s="473" t="s">
        <v>1835</v>
      </c>
      <c r="N1526" s="473" t="s">
        <v>3238</v>
      </c>
      <c r="O1526" s="474" t="s">
        <v>3238</v>
      </c>
    </row>
    <row r="1527" spans="1:15" s="475" customFormat="1" ht="12" hidden="1">
      <c r="A1527" s="465">
        <v>10131000037925</v>
      </c>
      <c r="B1527" s="476" t="s">
        <v>3238</v>
      </c>
      <c r="C1527" s="476" t="s">
        <v>3845</v>
      </c>
      <c r="D1527" s="467" t="s">
        <v>2021</v>
      </c>
      <c r="E1527" s="472" t="s">
        <v>2847</v>
      </c>
      <c r="F1527" s="477">
        <v>20.110947585600002</v>
      </c>
      <c r="G1527" s="469" t="s">
        <v>2472</v>
      </c>
      <c r="H1527" s="470">
        <v>57.87</v>
      </c>
      <c r="I1527" s="471">
        <v>39.225195619950007</v>
      </c>
      <c r="J1527" s="485" t="s">
        <v>421</v>
      </c>
      <c r="K1527" s="472" t="s">
        <v>581</v>
      </c>
      <c r="L1527" s="473" t="s">
        <v>2474</v>
      </c>
      <c r="M1527" s="473" t="s">
        <v>1835</v>
      </c>
      <c r="N1527" s="473" t="s">
        <v>3238</v>
      </c>
      <c r="O1527" s="474" t="s">
        <v>3238</v>
      </c>
    </row>
    <row r="1528" spans="1:15" s="475" customFormat="1" ht="12" hidden="1">
      <c r="A1528" s="465">
        <v>10131000056978</v>
      </c>
      <c r="B1528" s="476" t="s">
        <v>3238</v>
      </c>
      <c r="C1528" s="476" t="s">
        <v>3846</v>
      </c>
      <c r="D1528" s="467" t="s">
        <v>2021</v>
      </c>
      <c r="E1528" s="472" t="s">
        <v>2715</v>
      </c>
      <c r="F1528" s="477">
        <v>20.287744</v>
      </c>
      <c r="G1528" s="469" t="s">
        <v>2472</v>
      </c>
      <c r="H1528" s="470">
        <v>23.75</v>
      </c>
      <c r="I1528" s="471">
        <v>31.54045811770834</v>
      </c>
      <c r="J1528" s="485" t="s">
        <v>421</v>
      </c>
      <c r="K1528" s="472" t="s">
        <v>633</v>
      </c>
      <c r="L1528" s="473" t="s">
        <v>2474</v>
      </c>
      <c r="M1528" s="473" t="s">
        <v>1835</v>
      </c>
      <c r="N1528" s="473" t="s">
        <v>3238</v>
      </c>
      <c r="O1528" s="474" t="s">
        <v>3238</v>
      </c>
    </row>
    <row r="1529" spans="1:15" s="475" customFormat="1" ht="12" hidden="1">
      <c r="A1529" s="465">
        <v>10131000051818</v>
      </c>
      <c r="B1529" s="466" t="s">
        <v>3238</v>
      </c>
      <c r="C1529" s="476" t="s">
        <v>3847</v>
      </c>
      <c r="D1529" s="467" t="s">
        <v>2021</v>
      </c>
      <c r="E1529" s="472" t="s">
        <v>2491</v>
      </c>
      <c r="F1529" s="477">
        <v>20.68</v>
      </c>
      <c r="G1529" s="469" t="s">
        <v>2472</v>
      </c>
      <c r="H1529" s="487">
        <v>38.590000000000003</v>
      </c>
      <c r="I1529" s="471">
        <v>38.590000000000003</v>
      </c>
      <c r="J1529" s="488" t="s">
        <v>2492</v>
      </c>
      <c r="K1529" s="472" t="s">
        <v>658</v>
      </c>
      <c r="L1529" s="473" t="s">
        <v>2474</v>
      </c>
      <c r="M1529" s="473" t="s">
        <v>1835</v>
      </c>
      <c r="N1529" s="473" t="s">
        <v>3238</v>
      </c>
      <c r="O1529" s="474" t="s">
        <v>3238</v>
      </c>
    </row>
    <row r="1530" spans="1:15" s="475" customFormat="1" ht="12" hidden="1">
      <c r="A1530" s="465">
        <v>10131000052004</v>
      </c>
      <c r="B1530" s="466" t="s">
        <v>3238</v>
      </c>
      <c r="C1530" s="476" t="s">
        <v>3848</v>
      </c>
      <c r="D1530" s="467" t="s">
        <v>2021</v>
      </c>
      <c r="E1530" s="472" t="s">
        <v>2491</v>
      </c>
      <c r="F1530" s="477">
        <v>21.36</v>
      </c>
      <c r="G1530" s="469" t="s">
        <v>2472</v>
      </c>
      <c r="H1530" s="487">
        <v>20.41</v>
      </c>
      <c r="I1530" s="471">
        <v>20.41</v>
      </c>
      <c r="J1530" s="488" t="s">
        <v>2492</v>
      </c>
      <c r="K1530" s="472" t="s">
        <v>666</v>
      </c>
      <c r="L1530" s="473" t="s">
        <v>2474</v>
      </c>
      <c r="M1530" s="473" t="s">
        <v>1835</v>
      </c>
      <c r="N1530" s="473" t="s">
        <v>3238</v>
      </c>
      <c r="O1530" s="474" t="s">
        <v>3238</v>
      </c>
    </row>
    <row r="1531" spans="1:15" s="475" customFormat="1" ht="12" hidden="1">
      <c r="A1531" s="465">
        <v>10131000037988</v>
      </c>
      <c r="B1531" s="476" t="s">
        <v>3238</v>
      </c>
      <c r="C1531" s="476" t="s">
        <v>3846</v>
      </c>
      <c r="D1531" s="467" t="s">
        <v>2021</v>
      </c>
      <c r="E1531" s="472" t="s">
        <v>2715</v>
      </c>
      <c r="F1531" s="477">
        <v>26.679952000000004</v>
      </c>
      <c r="G1531" s="469" t="s">
        <v>2472</v>
      </c>
      <c r="H1531" s="470">
        <v>18.5</v>
      </c>
      <c r="I1531" s="471">
        <v>24.568356849583338</v>
      </c>
      <c r="J1531" s="485" t="s">
        <v>421</v>
      </c>
      <c r="K1531" s="472" t="s">
        <v>633</v>
      </c>
      <c r="L1531" s="473" t="s">
        <v>2474</v>
      </c>
      <c r="M1531" s="473" t="s">
        <v>1835</v>
      </c>
      <c r="N1531" s="473" t="s">
        <v>3238</v>
      </c>
      <c r="O1531" s="474" t="s">
        <v>3238</v>
      </c>
    </row>
    <row r="1532" spans="1:15" s="475" customFormat="1" ht="12" hidden="1">
      <c r="A1532" s="465">
        <v>10131000037969</v>
      </c>
      <c r="B1532" s="476" t="s">
        <v>3238</v>
      </c>
      <c r="C1532" s="476" t="s">
        <v>3849</v>
      </c>
      <c r="D1532" s="467" t="s">
        <v>2021</v>
      </c>
      <c r="E1532" s="472" t="s">
        <v>2715</v>
      </c>
      <c r="F1532" s="477">
        <v>27.673424000000004</v>
      </c>
      <c r="G1532" s="469" t="s">
        <v>2472</v>
      </c>
      <c r="H1532" s="470">
        <v>40.18</v>
      </c>
      <c r="I1532" s="471">
        <v>53.359815038716675</v>
      </c>
      <c r="J1532" s="485" t="s">
        <v>421</v>
      </c>
      <c r="K1532" s="472" t="s">
        <v>597</v>
      </c>
      <c r="L1532" s="473" t="s">
        <v>2474</v>
      </c>
      <c r="M1532" s="473" t="s">
        <v>1835</v>
      </c>
      <c r="N1532" s="473" t="s">
        <v>3238</v>
      </c>
      <c r="O1532" s="474" t="s">
        <v>3238</v>
      </c>
    </row>
    <row r="1533" spans="1:15" s="475" customFormat="1" ht="12" hidden="1">
      <c r="A1533" s="465">
        <v>10131000037942</v>
      </c>
      <c r="B1533" s="476" t="s">
        <v>3238</v>
      </c>
      <c r="C1533" s="476" t="s">
        <v>3850</v>
      </c>
      <c r="D1533" s="467" t="s">
        <v>2021</v>
      </c>
      <c r="E1533" s="472" t="s">
        <v>2823</v>
      </c>
      <c r="F1533" s="477">
        <v>29.388335833399999</v>
      </c>
      <c r="G1533" s="469" t="s">
        <v>2472</v>
      </c>
      <c r="H1533" s="470">
        <v>8377.4599999999991</v>
      </c>
      <c r="I1533" s="471">
        <v>76.554618742116674</v>
      </c>
      <c r="J1533" s="485" t="s">
        <v>421</v>
      </c>
      <c r="K1533" s="472" t="s">
        <v>619</v>
      </c>
      <c r="L1533" s="473" t="s">
        <v>2474</v>
      </c>
      <c r="M1533" s="473" t="s">
        <v>1835</v>
      </c>
      <c r="N1533" s="473" t="s">
        <v>3238</v>
      </c>
      <c r="O1533" s="474" t="s">
        <v>3238</v>
      </c>
    </row>
    <row r="1534" spans="1:15" s="475" customFormat="1" ht="12" hidden="1">
      <c r="A1534" s="465">
        <v>10131000051817</v>
      </c>
      <c r="B1534" s="466" t="s">
        <v>3238</v>
      </c>
      <c r="C1534" s="476" t="s">
        <v>3851</v>
      </c>
      <c r="D1534" s="467" t="s">
        <v>2021</v>
      </c>
      <c r="E1534" s="472" t="s">
        <v>2491</v>
      </c>
      <c r="F1534" s="477">
        <v>32.28</v>
      </c>
      <c r="G1534" s="469" t="s">
        <v>2472</v>
      </c>
      <c r="H1534" s="487">
        <v>22.82</v>
      </c>
      <c r="I1534" s="471">
        <v>22.82</v>
      </c>
      <c r="J1534" s="488" t="s">
        <v>2492</v>
      </c>
      <c r="K1534" s="472" t="s">
        <v>656</v>
      </c>
      <c r="L1534" s="473" t="s">
        <v>2474</v>
      </c>
      <c r="M1534" s="473" t="s">
        <v>1835</v>
      </c>
      <c r="N1534" s="473" t="s">
        <v>3238</v>
      </c>
      <c r="O1534" s="474" t="s">
        <v>3238</v>
      </c>
    </row>
    <row r="1535" spans="1:15" s="475" customFormat="1" ht="12" hidden="1">
      <c r="A1535" s="465">
        <v>10131000037933</v>
      </c>
      <c r="B1535" s="476" t="s">
        <v>3238</v>
      </c>
      <c r="C1535" s="476" t="s">
        <v>3852</v>
      </c>
      <c r="D1535" s="467" t="s">
        <v>2021</v>
      </c>
      <c r="E1535" s="472" t="s">
        <v>2706</v>
      </c>
      <c r="F1535" s="477">
        <v>37.693474279199997</v>
      </c>
      <c r="G1535" s="469" t="s">
        <v>2472</v>
      </c>
      <c r="H1535" s="470">
        <v>14728.76</v>
      </c>
      <c r="I1535" s="471">
        <v>64.542395963366644</v>
      </c>
      <c r="J1535" s="485" t="s">
        <v>421</v>
      </c>
      <c r="K1535" s="472" t="s">
        <v>595</v>
      </c>
      <c r="L1535" s="473" t="s">
        <v>2474</v>
      </c>
      <c r="M1535" s="473" t="s">
        <v>1835</v>
      </c>
      <c r="N1535" s="473" t="s">
        <v>3238</v>
      </c>
      <c r="O1535" s="474" t="s">
        <v>3238</v>
      </c>
    </row>
    <row r="1536" spans="1:15" s="475" customFormat="1" ht="12" hidden="1">
      <c r="A1536" s="465">
        <v>10131000037947</v>
      </c>
      <c r="B1536" s="476" t="s">
        <v>3238</v>
      </c>
      <c r="C1536" s="476" t="s">
        <v>3853</v>
      </c>
      <c r="D1536" s="467" t="s">
        <v>2021</v>
      </c>
      <c r="E1536" s="472" t="s">
        <v>2718</v>
      </c>
      <c r="F1536" s="477">
        <v>39.663232151600006</v>
      </c>
      <c r="G1536" s="469" t="s">
        <v>2472</v>
      </c>
      <c r="H1536" s="470">
        <v>2034.1</v>
      </c>
      <c r="I1536" s="471">
        <v>59.285673494916672</v>
      </c>
      <c r="J1536" s="485" t="s">
        <v>421</v>
      </c>
      <c r="K1536" s="472" t="s">
        <v>625</v>
      </c>
      <c r="L1536" s="473" t="s">
        <v>2474</v>
      </c>
      <c r="M1536" s="473" t="s">
        <v>1835</v>
      </c>
      <c r="N1536" s="473" t="s">
        <v>3238</v>
      </c>
      <c r="O1536" s="474" t="s">
        <v>3238</v>
      </c>
    </row>
    <row r="1537" spans="1:15" s="475" customFormat="1" ht="12" hidden="1">
      <c r="A1537" s="465">
        <v>10131000039839</v>
      </c>
      <c r="B1537" s="489" t="s">
        <v>3238</v>
      </c>
      <c r="C1537" s="489" t="s">
        <v>3854</v>
      </c>
      <c r="D1537" s="467" t="s">
        <v>2021</v>
      </c>
      <c r="E1537" s="478" t="s">
        <v>2514</v>
      </c>
      <c r="F1537" s="477">
        <v>44.361264719999994</v>
      </c>
      <c r="G1537" s="469" t="s">
        <v>2472</v>
      </c>
      <c r="H1537" s="481">
        <v>5491</v>
      </c>
      <c r="I1537" s="482">
        <v>56.05</v>
      </c>
      <c r="J1537" s="483" t="s">
        <v>2515</v>
      </c>
      <c r="K1537" s="483" t="s">
        <v>2515</v>
      </c>
      <c r="L1537" s="473" t="s">
        <v>2474</v>
      </c>
      <c r="M1537" s="473" t="s">
        <v>1835</v>
      </c>
      <c r="N1537" s="473" t="s">
        <v>3238</v>
      </c>
      <c r="O1537" s="474" t="s">
        <v>3238</v>
      </c>
    </row>
    <row r="1538" spans="1:15" s="475" customFormat="1" ht="12" hidden="1">
      <c r="A1538" s="465">
        <v>10131000051762</v>
      </c>
      <c r="B1538" s="489" t="s">
        <v>3238</v>
      </c>
      <c r="C1538" s="489" t="s">
        <v>3855</v>
      </c>
      <c r="D1538" s="467" t="s">
        <v>2021</v>
      </c>
      <c r="E1538" s="478" t="s">
        <v>2514</v>
      </c>
      <c r="F1538" s="477">
        <v>44.361264719999994</v>
      </c>
      <c r="G1538" s="469" t="s">
        <v>2472</v>
      </c>
      <c r="H1538" s="481">
        <v>5491</v>
      </c>
      <c r="I1538" s="482">
        <v>56.05</v>
      </c>
      <c r="J1538" s="483" t="s">
        <v>2515</v>
      </c>
      <c r="K1538" s="483" t="s">
        <v>2515</v>
      </c>
      <c r="L1538" s="473" t="s">
        <v>2474</v>
      </c>
      <c r="M1538" s="473" t="s">
        <v>1835</v>
      </c>
      <c r="N1538" s="473" t="s">
        <v>3238</v>
      </c>
      <c r="O1538" s="474" t="s">
        <v>3238</v>
      </c>
    </row>
    <row r="1539" spans="1:15" s="475" customFormat="1" ht="12" hidden="1">
      <c r="A1539" s="465">
        <v>10131000037958</v>
      </c>
      <c r="B1539" s="476" t="s">
        <v>3238</v>
      </c>
      <c r="C1539" s="476" t="s">
        <v>3856</v>
      </c>
      <c r="D1539" s="467" t="s">
        <v>2021</v>
      </c>
      <c r="E1539" s="472" t="s">
        <v>2541</v>
      </c>
      <c r="F1539" s="477">
        <v>45.275675999999997</v>
      </c>
      <c r="G1539" s="469" t="s">
        <v>2472</v>
      </c>
      <c r="H1539" s="470">
        <v>34.270000000000003</v>
      </c>
      <c r="I1539" s="471">
        <v>52.518026714550004</v>
      </c>
      <c r="J1539" s="485" t="s">
        <v>421</v>
      </c>
      <c r="K1539" s="472" t="s">
        <v>651</v>
      </c>
      <c r="L1539" s="473" t="s">
        <v>2474</v>
      </c>
      <c r="M1539" s="473" t="s">
        <v>1835</v>
      </c>
      <c r="N1539" s="473" t="s">
        <v>3238</v>
      </c>
      <c r="O1539" s="474" t="s">
        <v>3238</v>
      </c>
    </row>
    <row r="1540" spans="1:15" s="475" customFormat="1" ht="12" hidden="1">
      <c r="A1540" s="465">
        <v>10131000037961</v>
      </c>
      <c r="B1540" s="476" t="s">
        <v>3238</v>
      </c>
      <c r="C1540" s="476" t="s">
        <v>3856</v>
      </c>
      <c r="D1540" s="467" t="s">
        <v>2021</v>
      </c>
      <c r="E1540" s="472" t="s">
        <v>2541</v>
      </c>
      <c r="F1540" s="477">
        <v>45.275675999999997</v>
      </c>
      <c r="G1540" s="469" t="s">
        <v>2472</v>
      </c>
      <c r="H1540" s="470">
        <v>34.270000000000003</v>
      </c>
      <c r="I1540" s="471">
        <v>52.518026714550004</v>
      </c>
      <c r="J1540" s="485" t="s">
        <v>421</v>
      </c>
      <c r="K1540" s="472" t="s">
        <v>651</v>
      </c>
      <c r="L1540" s="473" t="s">
        <v>2474</v>
      </c>
      <c r="M1540" s="473" t="s">
        <v>1835</v>
      </c>
      <c r="N1540" s="473" t="s">
        <v>3238</v>
      </c>
      <c r="O1540" s="474" t="s">
        <v>3238</v>
      </c>
    </row>
    <row r="1541" spans="1:15" s="475" customFormat="1" ht="12" hidden="1">
      <c r="A1541" s="465">
        <v>10131000037924</v>
      </c>
      <c r="B1541" s="476" t="s">
        <v>3238</v>
      </c>
      <c r="C1541" s="476" t="s">
        <v>3857</v>
      </c>
      <c r="D1541" s="467" t="s">
        <v>2021</v>
      </c>
      <c r="E1541" s="472" t="s">
        <v>2491</v>
      </c>
      <c r="F1541" s="477">
        <v>45.44</v>
      </c>
      <c r="G1541" s="469" t="s">
        <v>2472</v>
      </c>
      <c r="H1541" s="470">
        <v>63.73</v>
      </c>
      <c r="I1541" s="471">
        <v>63.73</v>
      </c>
      <c r="J1541" s="485" t="s">
        <v>421</v>
      </c>
      <c r="K1541" s="472" t="s">
        <v>577</v>
      </c>
      <c r="L1541" s="473" t="s">
        <v>2474</v>
      </c>
      <c r="M1541" s="473" t="s">
        <v>1835</v>
      </c>
      <c r="N1541" s="473" t="s">
        <v>3238</v>
      </c>
      <c r="O1541" s="474" t="s">
        <v>3238</v>
      </c>
    </row>
    <row r="1542" spans="1:15" s="475" customFormat="1" ht="12" hidden="1">
      <c r="A1542" s="465">
        <v>10131000039835</v>
      </c>
      <c r="B1542" s="476" t="s">
        <v>3238</v>
      </c>
      <c r="C1542" s="476" t="s">
        <v>3856</v>
      </c>
      <c r="D1542" s="467" t="s">
        <v>2021</v>
      </c>
      <c r="E1542" s="472" t="s">
        <v>2491</v>
      </c>
      <c r="F1542" s="477">
        <v>45.49</v>
      </c>
      <c r="G1542" s="469" t="s">
        <v>2472</v>
      </c>
      <c r="H1542" s="470">
        <v>52.51</v>
      </c>
      <c r="I1542" s="471">
        <v>52.51</v>
      </c>
      <c r="J1542" s="485" t="s">
        <v>421</v>
      </c>
      <c r="K1542" s="472" t="s">
        <v>651</v>
      </c>
      <c r="L1542" s="473" t="s">
        <v>2474</v>
      </c>
      <c r="M1542" s="473" t="s">
        <v>1835</v>
      </c>
      <c r="N1542" s="473" t="s">
        <v>3238</v>
      </c>
      <c r="O1542" s="474" t="s">
        <v>3238</v>
      </c>
    </row>
    <row r="1543" spans="1:15" s="475" customFormat="1" ht="12" hidden="1">
      <c r="A1543" s="465">
        <v>10131000037976</v>
      </c>
      <c r="B1543" s="476" t="s">
        <v>3238</v>
      </c>
      <c r="C1543" s="476" t="s">
        <v>3846</v>
      </c>
      <c r="D1543" s="467" t="s">
        <v>2021</v>
      </c>
      <c r="E1543" s="472" t="s">
        <v>2715</v>
      </c>
      <c r="F1543" s="477">
        <v>48.863136000000011</v>
      </c>
      <c r="G1543" s="469" t="s">
        <v>2472</v>
      </c>
      <c r="H1543" s="470">
        <v>49.49</v>
      </c>
      <c r="I1543" s="471">
        <v>65.723674620858347</v>
      </c>
      <c r="J1543" s="485" t="s">
        <v>421</v>
      </c>
      <c r="K1543" s="472" t="s">
        <v>633</v>
      </c>
      <c r="L1543" s="473" t="s">
        <v>2474</v>
      </c>
      <c r="M1543" s="473" t="s">
        <v>1835</v>
      </c>
      <c r="N1543" s="473" t="s">
        <v>3238</v>
      </c>
      <c r="O1543" s="474" t="s">
        <v>3238</v>
      </c>
    </row>
    <row r="1544" spans="1:15" s="475" customFormat="1" ht="12" hidden="1">
      <c r="A1544" s="465">
        <v>10131000037931</v>
      </c>
      <c r="B1544" s="476" t="s">
        <v>3238</v>
      </c>
      <c r="C1544" s="476" t="s">
        <v>3858</v>
      </c>
      <c r="D1544" s="467" t="s">
        <v>2021</v>
      </c>
      <c r="E1544" s="472" t="s">
        <v>2704</v>
      </c>
      <c r="F1544" s="477">
        <v>54.724529154400003</v>
      </c>
      <c r="G1544" s="469" t="s">
        <v>2472</v>
      </c>
      <c r="H1544" s="470">
        <v>415.95</v>
      </c>
      <c r="I1544" s="471">
        <v>52.049779851499991</v>
      </c>
      <c r="J1544" s="485" t="s">
        <v>421</v>
      </c>
      <c r="K1544" s="472" t="s">
        <v>589</v>
      </c>
      <c r="L1544" s="473" t="s">
        <v>2474</v>
      </c>
      <c r="M1544" s="473" t="s">
        <v>1835</v>
      </c>
      <c r="N1544" s="473" t="s">
        <v>3238</v>
      </c>
      <c r="O1544" s="474" t="s">
        <v>3238</v>
      </c>
    </row>
    <row r="1545" spans="1:15" s="475" customFormat="1" ht="12" hidden="1">
      <c r="A1545" s="465">
        <v>10131000037930</v>
      </c>
      <c r="B1545" s="476" t="s">
        <v>3238</v>
      </c>
      <c r="C1545" s="476" t="s">
        <v>3859</v>
      </c>
      <c r="D1545" s="467" t="s">
        <v>2021</v>
      </c>
      <c r="E1545" s="472" t="s">
        <v>2801</v>
      </c>
      <c r="F1545" s="477">
        <v>55.781176866900005</v>
      </c>
      <c r="G1545" s="469" t="s">
        <v>2472</v>
      </c>
      <c r="H1545" s="470">
        <v>1277.02</v>
      </c>
      <c r="I1545" s="471">
        <v>65.483774359966645</v>
      </c>
      <c r="J1545" s="485" t="s">
        <v>421</v>
      </c>
      <c r="K1545" s="472" t="s">
        <v>587</v>
      </c>
      <c r="L1545" s="473" t="s">
        <v>2474</v>
      </c>
      <c r="M1545" s="473" t="s">
        <v>1835</v>
      </c>
      <c r="N1545" s="473" t="s">
        <v>3238</v>
      </c>
      <c r="O1545" s="474" t="s">
        <v>3238</v>
      </c>
    </row>
    <row r="1546" spans="1:15" s="475" customFormat="1" ht="12" hidden="1">
      <c r="A1546" s="465">
        <v>10131000037967</v>
      </c>
      <c r="B1546" s="476" t="s">
        <v>3238</v>
      </c>
      <c r="C1546" s="476" t="s">
        <v>3860</v>
      </c>
      <c r="D1546" s="467" t="s">
        <v>2021</v>
      </c>
      <c r="E1546" s="472" t="s">
        <v>2715</v>
      </c>
      <c r="F1546" s="477">
        <v>55.869728000000009</v>
      </c>
      <c r="G1546" s="469" t="s">
        <v>2472</v>
      </c>
      <c r="H1546" s="470">
        <v>48.69</v>
      </c>
      <c r="I1546" s="471">
        <v>64.661259189525012</v>
      </c>
      <c r="J1546" s="485" t="s">
        <v>421</v>
      </c>
      <c r="K1546" s="472" t="s">
        <v>593</v>
      </c>
      <c r="L1546" s="473" t="s">
        <v>2474</v>
      </c>
      <c r="M1546" s="473" t="s">
        <v>1835</v>
      </c>
      <c r="N1546" s="473" t="s">
        <v>3238</v>
      </c>
      <c r="O1546" s="474" t="s">
        <v>3238</v>
      </c>
    </row>
    <row r="1547" spans="1:15" s="475" customFormat="1" ht="12" hidden="1">
      <c r="A1547" s="465">
        <v>10131000037944</v>
      </c>
      <c r="B1547" s="476" t="s">
        <v>3238</v>
      </c>
      <c r="C1547" s="476" t="s">
        <v>3861</v>
      </c>
      <c r="D1547" s="467" t="s">
        <v>2021</v>
      </c>
      <c r="E1547" s="472" t="s">
        <v>2519</v>
      </c>
      <c r="F1547" s="477">
        <v>56.716370228700001</v>
      </c>
      <c r="G1547" s="469" t="s">
        <v>2472</v>
      </c>
      <c r="H1547" s="470">
        <v>238.69</v>
      </c>
      <c r="I1547" s="471">
        <v>73.627976295500005</v>
      </c>
      <c r="J1547" s="485" t="s">
        <v>421</v>
      </c>
      <c r="K1547" s="472" t="s">
        <v>621</v>
      </c>
      <c r="L1547" s="473" t="s">
        <v>2474</v>
      </c>
      <c r="M1547" s="473" t="s">
        <v>1835</v>
      </c>
      <c r="N1547" s="473" t="s">
        <v>3238</v>
      </c>
      <c r="O1547" s="474" t="s">
        <v>3238</v>
      </c>
    </row>
    <row r="1548" spans="1:15" s="475" customFormat="1" ht="12" hidden="1">
      <c r="A1548" s="465">
        <v>10131000037954</v>
      </c>
      <c r="B1548" s="476" t="s">
        <v>3238</v>
      </c>
      <c r="C1548" s="476" t="s">
        <v>3862</v>
      </c>
      <c r="D1548" s="467" t="s">
        <v>2021</v>
      </c>
      <c r="E1548" s="472" t="s">
        <v>2712</v>
      </c>
      <c r="F1548" s="477">
        <v>61.638987064000005</v>
      </c>
      <c r="G1548" s="469" t="s">
        <v>2472</v>
      </c>
      <c r="H1548" s="470">
        <v>308.99</v>
      </c>
      <c r="I1548" s="471">
        <v>84.124693519900021</v>
      </c>
      <c r="J1548" s="485" t="s">
        <v>421</v>
      </c>
      <c r="K1548" s="472" t="s">
        <v>2713</v>
      </c>
      <c r="L1548" s="473" t="s">
        <v>2474</v>
      </c>
      <c r="M1548" s="473" t="s">
        <v>1835</v>
      </c>
      <c r="N1548" s="473" t="s">
        <v>3238</v>
      </c>
      <c r="O1548" s="474" t="s">
        <v>3238</v>
      </c>
    </row>
    <row r="1549" spans="1:15" s="475" customFormat="1" ht="12" hidden="1">
      <c r="A1549" s="465">
        <v>10131000037953</v>
      </c>
      <c r="B1549" s="476" t="s">
        <v>3238</v>
      </c>
      <c r="C1549" s="476" t="s">
        <v>3863</v>
      </c>
      <c r="D1549" s="467" t="s">
        <v>2021</v>
      </c>
      <c r="E1549" s="472" t="s">
        <v>2840</v>
      </c>
      <c r="F1549" s="477">
        <v>64.370090784400006</v>
      </c>
      <c r="G1549" s="469" t="s">
        <v>2472</v>
      </c>
      <c r="H1549" s="470">
        <v>1002.12</v>
      </c>
      <c r="I1549" s="471">
        <v>485.56692165869998</v>
      </c>
      <c r="J1549" s="485" t="s">
        <v>421</v>
      </c>
      <c r="K1549" s="472" t="s">
        <v>643</v>
      </c>
      <c r="L1549" s="473" t="s">
        <v>2474</v>
      </c>
      <c r="M1549" s="473" t="s">
        <v>1835</v>
      </c>
      <c r="N1549" s="473" t="s">
        <v>3238</v>
      </c>
      <c r="O1549" s="474" t="s">
        <v>3238</v>
      </c>
    </row>
    <row r="1550" spans="1:15" s="475" customFormat="1" ht="12" hidden="1">
      <c r="A1550" s="465">
        <v>10131000037937</v>
      </c>
      <c r="B1550" s="476" t="s">
        <v>3238</v>
      </c>
      <c r="C1550" s="476" t="s">
        <v>3864</v>
      </c>
      <c r="D1550" s="467" t="s">
        <v>2021</v>
      </c>
      <c r="E1550" s="472" t="s">
        <v>2813</v>
      </c>
      <c r="F1550" s="477">
        <v>66.969271458799994</v>
      </c>
      <c r="G1550" s="469" t="s">
        <v>2472</v>
      </c>
      <c r="H1550" s="470">
        <v>13828.31</v>
      </c>
      <c r="I1550" s="471">
        <v>86.163669524783344</v>
      </c>
      <c r="J1550" s="485" t="s">
        <v>421</v>
      </c>
      <c r="K1550" s="472" t="s">
        <v>605</v>
      </c>
      <c r="L1550" s="473" t="s">
        <v>2474</v>
      </c>
      <c r="M1550" s="473" t="s">
        <v>1835</v>
      </c>
      <c r="N1550" s="473" t="s">
        <v>3238</v>
      </c>
      <c r="O1550" s="474" t="s">
        <v>3238</v>
      </c>
    </row>
    <row r="1551" spans="1:15" s="475" customFormat="1" ht="12" hidden="1">
      <c r="A1551" s="465">
        <v>10131000037932</v>
      </c>
      <c r="B1551" s="476" t="s">
        <v>3238</v>
      </c>
      <c r="C1551" s="476" t="s">
        <v>3865</v>
      </c>
      <c r="D1551" s="467" t="s">
        <v>2021</v>
      </c>
      <c r="E1551" s="472" t="s">
        <v>2795</v>
      </c>
      <c r="F1551" s="477">
        <v>69.780975136599992</v>
      </c>
      <c r="G1551" s="469" t="s">
        <v>2472</v>
      </c>
      <c r="H1551" s="470">
        <v>45713.79</v>
      </c>
      <c r="I1551" s="471">
        <v>92.562501026399985</v>
      </c>
      <c r="J1551" s="485" t="s">
        <v>421</v>
      </c>
      <c r="K1551" s="472" t="s">
        <v>724</v>
      </c>
      <c r="L1551" s="473" t="s">
        <v>2474</v>
      </c>
      <c r="M1551" s="473" t="s">
        <v>1835</v>
      </c>
      <c r="N1551" s="473" t="s">
        <v>3238</v>
      </c>
      <c r="O1551" s="474" t="s">
        <v>3238</v>
      </c>
    </row>
    <row r="1552" spans="1:15" s="475" customFormat="1" ht="12" hidden="1">
      <c r="A1552" s="465">
        <v>10131000037938</v>
      </c>
      <c r="B1552" s="476" t="s">
        <v>3238</v>
      </c>
      <c r="C1552" s="476" t="s">
        <v>3866</v>
      </c>
      <c r="D1552" s="467" t="s">
        <v>2021</v>
      </c>
      <c r="E1552" s="472" t="s">
        <v>2815</v>
      </c>
      <c r="F1552" s="477">
        <v>70.560685259899998</v>
      </c>
      <c r="G1552" s="469" t="s">
        <v>2472</v>
      </c>
      <c r="H1552" s="470">
        <v>6686.1</v>
      </c>
      <c r="I1552" s="471">
        <v>71.078173998750003</v>
      </c>
      <c r="J1552" s="485" t="s">
        <v>421</v>
      </c>
      <c r="K1552" s="472" t="s">
        <v>607</v>
      </c>
      <c r="L1552" s="473" t="s">
        <v>2474</v>
      </c>
      <c r="M1552" s="473" t="s">
        <v>1835</v>
      </c>
      <c r="N1552" s="473" t="s">
        <v>3238</v>
      </c>
      <c r="O1552" s="474" t="s">
        <v>3238</v>
      </c>
    </row>
    <row r="1553" spans="1:15" s="475" customFormat="1" ht="12" hidden="1">
      <c r="A1553" s="465">
        <v>10131000037922</v>
      </c>
      <c r="B1553" s="476" t="s">
        <v>3238</v>
      </c>
      <c r="C1553" s="476" t="s">
        <v>3867</v>
      </c>
      <c r="D1553" s="467" t="s">
        <v>2021</v>
      </c>
      <c r="E1553" s="472" t="s">
        <v>2792</v>
      </c>
      <c r="F1553" s="477">
        <v>71.939371897400008</v>
      </c>
      <c r="G1553" s="469" t="s">
        <v>2472</v>
      </c>
      <c r="H1553" s="470">
        <v>12370.63</v>
      </c>
      <c r="I1553" s="471">
        <v>153.11908100689999</v>
      </c>
      <c r="J1553" s="485" t="s">
        <v>421</v>
      </c>
      <c r="K1553" s="472" t="s">
        <v>575</v>
      </c>
      <c r="L1553" s="473" t="s">
        <v>2474</v>
      </c>
      <c r="M1553" s="473" t="s">
        <v>1835</v>
      </c>
      <c r="N1553" s="473" t="s">
        <v>3238</v>
      </c>
      <c r="O1553" s="474" t="s">
        <v>3238</v>
      </c>
    </row>
    <row r="1554" spans="1:15" s="475" customFormat="1" ht="12" hidden="1">
      <c r="A1554" s="465">
        <v>10131000037926</v>
      </c>
      <c r="B1554" s="476" t="s">
        <v>3238</v>
      </c>
      <c r="C1554" s="476" t="s">
        <v>3868</v>
      </c>
      <c r="D1554" s="467" t="s">
        <v>2021</v>
      </c>
      <c r="E1554" s="472" t="s">
        <v>2795</v>
      </c>
      <c r="F1554" s="477">
        <v>79.533685873600007</v>
      </c>
      <c r="G1554" s="469" t="s">
        <v>2472</v>
      </c>
      <c r="H1554" s="470">
        <v>64552.85</v>
      </c>
      <c r="I1554" s="471">
        <v>130.70833208933331</v>
      </c>
      <c r="J1554" s="485" t="s">
        <v>421</v>
      </c>
      <c r="K1554" s="472" t="s">
        <v>583</v>
      </c>
      <c r="L1554" s="473" t="s">
        <v>2474</v>
      </c>
      <c r="M1554" s="473" t="s">
        <v>1835</v>
      </c>
      <c r="N1554" s="473" t="s">
        <v>3238</v>
      </c>
      <c r="O1554" s="474" t="s">
        <v>3238</v>
      </c>
    </row>
    <row r="1555" spans="1:15" s="475" customFormat="1" ht="12" hidden="1">
      <c r="A1555" s="465">
        <v>10131000037935</v>
      </c>
      <c r="B1555" s="476" t="s">
        <v>3238</v>
      </c>
      <c r="C1555" s="476" t="s">
        <v>3869</v>
      </c>
      <c r="D1555" s="467" t="s">
        <v>2021</v>
      </c>
      <c r="E1555" s="472" t="s">
        <v>2808</v>
      </c>
      <c r="F1555" s="477">
        <v>85.587088476000019</v>
      </c>
      <c r="G1555" s="469" t="s">
        <v>2472</v>
      </c>
      <c r="H1555" s="470">
        <v>312.79000000000002</v>
      </c>
      <c r="I1555" s="471">
        <v>87.415160902325013</v>
      </c>
      <c r="J1555" s="485" t="s">
        <v>421</v>
      </c>
      <c r="K1555" s="472" t="s">
        <v>599</v>
      </c>
      <c r="L1555" s="473" t="s">
        <v>2474</v>
      </c>
      <c r="M1555" s="473" t="s">
        <v>1835</v>
      </c>
      <c r="N1555" s="473" t="s">
        <v>3238</v>
      </c>
      <c r="O1555" s="474" t="s">
        <v>3238</v>
      </c>
    </row>
    <row r="1556" spans="1:15" s="475" customFormat="1" ht="12" hidden="1">
      <c r="A1556" s="465">
        <v>10131000037972</v>
      </c>
      <c r="B1556" s="476" t="s">
        <v>3238</v>
      </c>
      <c r="C1556" s="476" t="s">
        <v>3870</v>
      </c>
      <c r="D1556" s="467" t="s">
        <v>2021</v>
      </c>
      <c r="E1556" s="472" t="s">
        <v>2715</v>
      </c>
      <c r="F1556" s="477">
        <v>89.726208000000014</v>
      </c>
      <c r="G1556" s="469" t="s">
        <v>2472</v>
      </c>
      <c r="H1556" s="470">
        <v>82.64</v>
      </c>
      <c r="I1556" s="471">
        <v>109.74751405673335</v>
      </c>
      <c r="J1556" s="485" t="s">
        <v>421</v>
      </c>
      <c r="K1556" s="472" t="s">
        <v>611</v>
      </c>
      <c r="L1556" s="473" t="s">
        <v>2474</v>
      </c>
      <c r="M1556" s="473" t="s">
        <v>1835</v>
      </c>
      <c r="N1556" s="473" t="s">
        <v>3238</v>
      </c>
      <c r="O1556" s="474" t="s">
        <v>3238</v>
      </c>
    </row>
    <row r="1557" spans="1:15" s="475" customFormat="1" ht="12" hidden="1">
      <c r="A1557" s="465">
        <v>10131000037956</v>
      </c>
      <c r="B1557" s="476" t="s">
        <v>3238</v>
      </c>
      <c r="C1557" s="476" t="s">
        <v>3871</v>
      </c>
      <c r="D1557" s="467" t="s">
        <v>2021</v>
      </c>
      <c r="E1557" s="472" t="s">
        <v>2856</v>
      </c>
      <c r="F1557" s="477">
        <v>105.1676922696</v>
      </c>
      <c r="G1557" s="469" t="s">
        <v>2472</v>
      </c>
      <c r="H1557" s="470">
        <v>1123.1600000000001</v>
      </c>
      <c r="I1557" s="471">
        <v>133.094235368</v>
      </c>
      <c r="J1557" s="485" t="s">
        <v>421</v>
      </c>
      <c r="K1557" s="472" t="s">
        <v>649</v>
      </c>
      <c r="L1557" s="473" t="s">
        <v>2474</v>
      </c>
      <c r="M1557" s="473" t="s">
        <v>1835</v>
      </c>
      <c r="N1557" s="473" t="s">
        <v>3238</v>
      </c>
      <c r="O1557" s="474" t="s">
        <v>3238</v>
      </c>
    </row>
    <row r="1558" spans="1:15" s="475" customFormat="1" ht="12" hidden="1">
      <c r="A1558" s="465">
        <v>10131000037951</v>
      </c>
      <c r="B1558" s="476" t="s">
        <v>3238</v>
      </c>
      <c r="C1558" s="476" t="s">
        <v>3872</v>
      </c>
      <c r="D1558" s="467" t="s">
        <v>2021</v>
      </c>
      <c r="E1558" s="472" t="s">
        <v>2833</v>
      </c>
      <c r="F1558" s="477">
        <v>106.51686662200001</v>
      </c>
      <c r="G1558" s="469" t="s">
        <v>2472</v>
      </c>
      <c r="H1558" s="470">
        <v>1026.5899999999999</v>
      </c>
      <c r="I1558" s="471">
        <v>99.232690002141666</v>
      </c>
      <c r="J1558" s="485" t="s">
        <v>421</v>
      </c>
      <c r="K1558" s="472" t="s">
        <v>631</v>
      </c>
      <c r="L1558" s="473" t="s">
        <v>2474</v>
      </c>
      <c r="M1558" s="473" t="s">
        <v>1835</v>
      </c>
      <c r="N1558" s="473" t="s">
        <v>3238</v>
      </c>
      <c r="O1558" s="474" t="s">
        <v>3238</v>
      </c>
    </row>
    <row r="1559" spans="1:15" s="475" customFormat="1" ht="12" hidden="1">
      <c r="A1559" s="465">
        <v>10131000037971</v>
      </c>
      <c r="B1559" s="476" t="s">
        <v>3238</v>
      </c>
      <c r="C1559" s="476" t="s">
        <v>3873</v>
      </c>
      <c r="D1559" s="467" t="s">
        <v>2021</v>
      </c>
      <c r="E1559" s="472" t="s">
        <v>2715</v>
      </c>
      <c r="F1559" s="477">
        <v>113.20352000000001</v>
      </c>
      <c r="G1559" s="469" t="s">
        <v>2472</v>
      </c>
      <c r="H1559" s="470">
        <v>86.97</v>
      </c>
      <c r="I1559" s="471">
        <v>115.49783757882501</v>
      </c>
      <c r="J1559" s="485" t="s">
        <v>421</v>
      </c>
      <c r="K1559" s="472" t="s">
        <v>601</v>
      </c>
      <c r="L1559" s="473" t="s">
        <v>2474</v>
      </c>
      <c r="M1559" s="473" t="s">
        <v>1835</v>
      </c>
      <c r="N1559" s="473" t="s">
        <v>3238</v>
      </c>
      <c r="O1559" s="474" t="s">
        <v>3238</v>
      </c>
    </row>
    <row r="1560" spans="1:15" s="475" customFormat="1" ht="12" hidden="1">
      <c r="A1560" s="465">
        <v>10131000037941</v>
      </c>
      <c r="B1560" s="476" t="s">
        <v>3238</v>
      </c>
      <c r="C1560" s="476" t="s">
        <v>3874</v>
      </c>
      <c r="D1560" s="467" t="s">
        <v>2021</v>
      </c>
      <c r="E1560" s="472" t="s">
        <v>2821</v>
      </c>
      <c r="F1560" s="477">
        <v>117.06207374249999</v>
      </c>
      <c r="G1560" s="469" t="s">
        <v>2472</v>
      </c>
      <c r="H1560" s="470">
        <v>26502.69</v>
      </c>
      <c r="I1560" s="471">
        <v>159.61876699944997</v>
      </c>
      <c r="J1560" s="485" t="s">
        <v>421</v>
      </c>
      <c r="K1560" s="472" t="s">
        <v>617</v>
      </c>
      <c r="L1560" s="473" t="s">
        <v>2474</v>
      </c>
      <c r="M1560" s="473" t="s">
        <v>1835</v>
      </c>
      <c r="N1560" s="473" t="s">
        <v>3238</v>
      </c>
      <c r="O1560" s="474" t="s">
        <v>3238</v>
      </c>
    </row>
    <row r="1561" spans="1:15" s="475" customFormat="1" ht="12" hidden="1">
      <c r="A1561" s="465">
        <v>10131000037952</v>
      </c>
      <c r="B1561" s="476" t="s">
        <v>3238</v>
      </c>
      <c r="C1561" s="476" t="s">
        <v>3875</v>
      </c>
      <c r="D1561" s="467" t="s">
        <v>2021</v>
      </c>
      <c r="E1561" s="472" t="s">
        <v>2836</v>
      </c>
      <c r="F1561" s="477">
        <v>130.42734442189999</v>
      </c>
      <c r="G1561" s="469" t="s">
        <v>2472</v>
      </c>
      <c r="H1561" s="470">
        <v>368875.65</v>
      </c>
      <c r="I1561" s="471">
        <v>208.93055336725001</v>
      </c>
      <c r="J1561" s="485" t="s">
        <v>421</v>
      </c>
      <c r="K1561" s="472" t="s">
        <v>639</v>
      </c>
      <c r="L1561" s="473" t="s">
        <v>2474</v>
      </c>
      <c r="M1561" s="473" t="s">
        <v>1835</v>
      </c>
      <c r="N1561" s="473" t="s">
        <v>3238</v>
      </c>
      <c r="O1561" s="474" t="s">
        <v>3238</v>
      </c>
    </row>
    <row r="1562" spans="1:15" s="475" customFormat="1" ht="12" hidden="1">
      <c r="A1562" s="465">
        <v>10131000037936</v>
      </c>
      <c r="B1562" s="476" t="s">
        <v>3238</v>
      </c>
      <c r="C1562" s="476" t="s">
        <v>3876</v>
      </c>
      <c r="D1562" s="467" t="s">
        <v>2021</v>
      </c>
      <c r="E1562" s="472" t="s">
        <v>2811</v>
      </c>
      <c r="F1562" s="477">
        <v>131.91819505719999</v>
      </c>
      <c r="G1562" s="469" t="s">
        <v>2472</v>
      </c>
      <c r="H1562" s="470">
        <v>182.27</v>
      </c>
      <c r="I1562" s="471">
        <v>257.08039573480005</v>
      </c>
      <c r="J1562" s="485" t="s">
        <v>421</v>
      </c>
      <c r="K1562" s="472" t="s">
        <v>603</v>
      </c>
      <c r="L1562" s="473" t="s">
        <v>2474</v>
      </c>
      <c r="M1562" s="473" t="s">
        <v>1835</v>
      </c>
      <c r="N1562" s="473" t="s">
        <v>3238</v>
      </c>
      <c r="O1562" s="474" t="s">
        <v>3238</v>
      </c>
    </row>
    <row r="1563" spans="1:15" s="475" customFormat="1" ht="12" hidden="1">
      <c r="A1563" s="465">
        <v>10131000037979</v>
      </c>
      <c r="B1563" s="476" t="s">
        <v>3238</v>
      </c>
      <c r="C1563" s="476" t="s">
        <v>3877</v>
      </c>
      <c r="D1563" s="467" t="s">
        <v>2021</v>
      </c>
      <c r="E1563" s="472" t="s">
        <v>2874</v>
      </c>
      <c r="F1563" s="477">
        <v>137.77861335329999</v>
      </c>
      <c r="G1563" s="469" t="s">
        <v>2472</v>
      </c>
      <c r="H1563" s="470">
        <v>175.28</v>
      </c>
      <c r="I1563" s="471">
        <v>189.77653897300002</v>
      </c>
      <c r="J1563" s="485" t="s">
        <v>421</v>
      </c>
      <c r="K1563" s="472" t="s">
        <v>637</v>
      </c>
      <c r="L1563" s="473" t="s">
        <v>2474</v>
      </c>
      <c r="M1563" s="473" t="s">
        <v>1835</v>
      </c>
      <c r="N1563" s="473" t="s">
        <v>3238</v>
      </c>
      <c r="O1563" s="474" t="s">
        <v>3238</v>
      </c>
    </row>
    <row r="1564" spans="1:15" s="475" customFormat="1" ht="12" hidden="1">
      <c r="A1564" s="465">
        <v>10131000037965</v>
      </c>
      <c r="B1564" s="476" t="s">
        <v>3238</v>
      </c>
      <c r="C1564" s="476" t="s">
        <v>3878</v>
      </c>
      <c r="D1564" s="467" t="s">
        <v>2021</v>
      </c>
      <c r="E1564" s="472" t="s">
        <v>2715</v>
      </c>
      <c r="F1564" s="477">
        <v>176.41971200000003</v>
      </c>
      <c r="G1564" s="469" t="s">
        <v>2472</v>
      </c>
      <c r="H1564" s="470">
        <v>166.4</v>
      </c>
      <c r="I1564" s="471">
        <v>220.98240971733338</v>
      </c>
      <c r="J1564" s="485" t="s">
        <v>421</v>
      </c>
      <c r="K1564" s="472" t="s">
        <v>591</v>
      </c>
      <c r="L1564" s="473" t="s">
        <v>2474</v>
      </c>
      <c r="M1564" s="473" t="s">
        <v>1835</v>
      </c>
      <c r="N1564" s="473" t="s">
        <v>3238</v>
      </c>
      <c r="O1564" s="474" t="s">
        <v>3238</v>
      </c>
    </row>
    <row r="1565" spans="1:15" s="475" customFormat="1" ht="12" hidden="1">
      <c r="A1565" s="465">
        <v>10131000037940</v>
      </c>
      <c r="B1565" s="476" t="s">
        <v>3238</v>
      </c>
      <c r="C1565" s="476" t="s">
        <v>3879</v>
      </c>
      <c r="D1565" s="467" t="s">
        <v>2021</v>
      </c>
      <c r="E1565" s="472" t="s">
        <v>2852</v>
      </c>
      <c r="F1565" s="477">
        <v>246.88199678810003</v>
      </c>
      <c r="G1565" s="469" t="s">
        <v>2472</v>
      </c>
      <c r="H1565" s="470">
        <v>2025.16</v>
      </c>
      <c r="I1565" s="471">
        <v>231.87510567353334</v>
      </c>
      <c r="J1565" s="485" t="s">
        <v>421</v>
      </c>
      <c r="K1565" s="472" t="s">
        <v>613</v>
      </c>
      <c r="L1565" s="473" t="s">
        <v>2474</v>
      </c>
      <c r="M1565" s="473" t="s">
        <v>1835</v>
      </c>
      <c r="N1565" s="473" t="s">
        <v>3238</v>
      </c>
      <c r="O1565" s="474" t="s">
        <v>3238</v>
      </c>
    </row>
    <row r="1566" spans="1:15" s="475" customFormat="1" ht="12" hidden="1">
      <c r="A1566" s="465">
        <v>10131000037929</v>
      </c>
      <c r="B1566" s="476" t="s">
        <v>3238</v>
      </c>
      <c r="C1566" s="476" t="s">
        <v>3880</v>
      </c>
      <c r="D1566" s="467" t="s">
        <v>2021</v>
      </c>
      <c r="E1566" s="472" t="s">
        <v>2795</v>
      </c>
      <c r="F1566" s="477">
        <v>403.43920669710002</v>
      </c>
      <c r="G1566" s="469" t="s">
        <v>2472</v>
      </c>
      <c r="H1566" s="470">
        <v>221894.36</v>
      </c>
      <c r="I1566" s="471">
        <v>449.29761731093322</v>
      </c>
      <c r="J1566" s="485" t="s">
        <v>421</v>
      </c>
      <c r="K1566" s="472" t="s">
        <v>719</v>
      </c>
      <c r="L1566" s="473" t="s">
        <v>2474</v>
      </c>
      <c r="M1566" s="473" t="s">
        <v>1835</v>
      </c>
      <c r="N1566" s="473" t="s">
        <v>3238</v>
      </c>
      <c r="O1566" s="474" t="s">
        <v>3238</v>
      </c>
    </row>
    <row r="1567" spans="1:15" s="475" customFormat="1" ht="12" hidden="1">
      <c r="A1567" s="465">
        <v>10131000037975</v>
      </c>
      <c r="B1567" s="476" t="s">
        <v>3238</v>
      </c>
      <c r="C1567" s="476" t="s">
        <v>3881</v>
      </c>
      <c r="D1567" s="467" t="s">
        <v>2021</v>
      </c>
      <c r="E1567" s="472" t="s">
        <v>2715</v>
      </c>
      <c r="F1567" s="477">
        <v>432.81392000000005</v>
      </c>
      <c r="G1567" s="469" t="s">
        <v>2472</v>
      </c>
      <c r="H1567" s="470">
        <v>457.89</v>
      </c>
      <c r="I1567" s="471">
        <v>608.08675231652512</v>
      </c>
      <c r="J1567" s="485" t="s">
        <v>421</v>
      </c>
      <c r="K1567" s="472" t="s">
        <v>743</v>
      </c>
      <c r="L1567" s="473" t="s">
        <v>2474</v>
      </c>
      <c r="M1567" s="473" t="s">
        <v>1835</v>
      </c>
      <c r="N1567" s="473" t="s">
        <v>3238</v>
      </c>
      <c r="O1567" s="474" t="s">
        <v>3238</v>
      </c>
    </row>
    <row r="1568" spans="1:15" s="475" customFormat="1" ht="12" hidden="1">
      <c r="A1568" s="465">
        <v>10131000037980</v>
      </c>
      <c r="B1568" s="476" t="s">
        <v>3238</v>
      </c>
      <c r="C1568" s="476" t="s">
        <v>3882</v>
      </c>
      <c r="D1568" s="467" t="s">
        <v>2021</v>
      </c>
      <c r="E1568" s="472" t="s">
        <v>2817</v>
      </c>
      <c r="F1568" s="477">
        <v>474.8373490038</v>
      </c>
      <c r="G1568" s="469" t="s">
        <v>2472</v>
      </c>
      <c r="H1568" s="470">
        <v>52.02</v>
      </c>
      <c r="I1568" s="471">
        <v>182.0566820997</v>
      </c>
      <c r="J1568" s="485" t="s">
        <v>421</v>
      </c>
      <c r="K1568" s="472" t="s">
        <v>609</v>
      </c>
      <c r="L1568" s="473" t="s">
        <v>2474</v>
      </c>
      <c r="M1568" s="473" t="s">
        <v>1835</v>
      </c>
      <c r="N1568" s="473" t="s">
        <v>3238</v>
      </c>
      <c r="O1568" s="474" t="s">
        <v>3238</v>
      </c>
    </row>
    <row r="1569" spans="1:15" s="475" customFormat="1" ht="12" hidden="1">
      <c r="A1569" s="465">
        <v>10131000037950</v>
      </c>
      <c r="B1569" s="476" t="s">
        <v>3238</v>
      </c>
      <c r="C1569" s="476" t="s">
        <v>3883</v>
      </c>
      <c r="D1569" s="467" t="s">
        <v>2021</v>
      </c>
      <c r="E1569" s="472" t="s">
        <v>2715</v>
      </c>
      <c r="F1569" s="477">
        <v>494.98435200000006</v>
      </c>
      <c r="G1569" s="469" t="s">
        <v>2472</v>
      </c>
      <c r="H1569" s="470">
        <v>31.09</v>
      </c>
      <c r="I1569" s="471">
        <v>41.288119700191672</v>
      </c>
      <c r="J1569" s="485" t="s">
        <v>421</v>
      </c>
      <c r="K1569" s="472" t="s">
        <v>629</v>
      </c>
      <c r="L1569" s="473" t="s">
        <v>2474</v>
      </c>
      <c r="M1569" s="473" t="s">
        <v>1835</v>
      </c>
      <c r="N1569" s="473" t="s">
        <v>3238</v>
      </c>
      <c r="O1569" s="474" t="s">
        <v>3238</v>
      </c>
    </row>
    <row r="1570" spans="1:15" s="475" customFormat="1" ht="12" hidden="1">
      <c r="A1570" s="465">
        <v>10131000037981</v>
      </c>
      <c r="B1570" s="476" t="s">
        <v>3238</v>
      </c>
      <c r="C1570" s="476" t="s">
        <v>3884</v>
      </c>
      <c r="D1570" s="467" t="s">
        <v>2021</v>
      </c>
      <c r="E1570" s="472" t="s">
        <v>2491</v>
      </c>
      <c r="F1570" s="477">
        <v>548</v>
      </c>
      <c r="G1570" s="469" t="s">
        <v>2472</v>
      </c>
      <c r="H1570" s="470">
        <v>1E-8</v>
      </c>
      <c r="I1570" s="471">
        <v>1E-8</v>
      </c>
      <c r="J1570" s="485" t="s">
        <v>421</v>
      </c>
      <c r="K1570" s="472" t="s">
        <v>745</v>
      </c>
      <c r="L1570" s="473" t="s">
        <v>2474</v>
      </c>
      <c r="M1570" s="473" t="s">
        <v>1835</v>
      </c>
      <c r="N1570" s="473" t="s">
        <v>3238</v>
      </c>
      <c r="O1570" s="474" t="s">
        <v>3238</v>
      </c>
    </row>
    <row r="1571" spans="1:15" s="475" customFormat="1" ht="12" hidden="1">
      <c r="A1571" s="465">
        <v>10131000037928</v>
      </c>
      <c r="B1571" s="476" t="s">
        <v>3238</v>
      </c>
      <c r="C1571" s="476" t="s">
        <v>3885</v>
      </c>
      <c r="D1571" s="467" t="s">
        <v>2021</v>
      </c>
      <c r="E1571" s="472" t="s">
        <v>2491</v>
      </c>
      <c r="F1571" s="477">
        <v>623.25</v>
      </c>
      <c r="G1571" s="469" t="s">
        <v>2472</v>
      </c>
      <c r="H1571" s="470">
        <v>86.56</v>
      </c>
      <c r="I1571" s="471">
        <v>86.56</v>
      </c>
      <c r="J1571" s="485" t="s">
        <v>421</v>
      </c>
      <c r="K1571" s="472" t="s">
        <v>585</v>
      </c>
      <c r="L1571" s="473" t="s">
        <v>2474</v>
      </c>
      <c r="M1571" s="473" t="s">
        <v>1835</v>
      </c>
      <c r="N1571" s="473" t="s">
        <v>3238</v>
      </c>
      <c r="O1571" s="474" t="s">
        <v>3238</v>
      </c>
    </row>
    <row r="1572" spans="1:15" s="475" customFormat="1" ht="12" hidden="1">
      <c r="A1572" s="465">
        <v>10131000037955</v>
      </c>
      <c r="B1572" s="476" t="s">
        <v>3238</v>
      </c>
      <c r="C1572" s="476" t="s">
        <v>3886</v>
      </c>
      <c r="D1572" s="467" t="s">
        <v>2021</v>
      </c>
      <c r="E1572" s="472" t="s">
        <v>2842</v>
      </c>
      <c r="F1572" s="477">
        <v>671.35548693840008</v>
      </c>
      <c r="G1572" s="469" t="s">
        <v>2472</v>
      </c>
      <c r="H1572" s="470">
        <v>4315759.5760000004</v>
      </c>
      <c r="I1572" s="471">
        <v>1544.8333331618264</v>
      </c>
      <c r="J1572" s="485" t="s">
        <v>421</v>
      </c>
      <c r="K1572" s="472" t="s">
        <v>647</v>
      </c>
      <c r="L1572" s="473" t="s">
        <v>2474</v>
      </c>
      <c r="M1572" s="473" t="s">
        <v>1835</v>
      </c>
      <c r="N1572" s="473" t="s">
        <v>3238</v>
      </c>
      <c r="O1572" s="474" t="s">
        <v>3238</v>
      </c>
    </row>
    <row r="1573" spans="1:15" s="475" customFormat="1" ht="12" hidden="1">
      <c r="A1573" s="465">
        <v>10131000057871</v>
      </c>
      <c r="B1573" s="466" t="s">
        <v>3238</v>
      </c>
      <c r="C1573" s="466" t="s">
        <v>3887</v>
      </c>
      <c r="D1573" s="467" t="s">
        <v>2021</v>
      </c>
      <c r="E1573" s="468" t="s">
        <v>2619</v>
      </c>
      <c r="F1573" s="477" t="s">
        <v>2472</v>
      </c>
      <c r="G1573" s="469" t="s">
        <v>2472</v>
      </c>
      <c r="H1573" s="470">
        <v>14.88</v>
      </c>
      <c r="I1573" s="471">
        <v>14.88</v>
      </c>
      <c r="J1573" s="472" t="s">
        <v>423</v>
      </c>
      <c r="K1573" s="472" t="s">
        <v>2620</v>
      </c>
      <c r="L1573" s="473" t="s">
        <v>2474</v>
      </c>
      <c r="M1573" s="473" t="s">
        <v>1835</v>
      </c>
      <c r="N1573" s="473" t="s">
        <v>3238</v>
      </c>
      <c r="O1573" s="474" t="s">
        <v>3238</v>
      </c>
    </row>
    <row r="1574" spans="1:15" s="475" customFormat="1" ht="12" hidden="1">
      <c r="A1574" s="465">
        <v>10131000037984</v>
      </c>
      <c r="B1574" s="476" t="s">
        <v>3238</v>
      </c>
      <c r="C1574" s="476" t="s">
        <v>3888</v>
      </c>
      <c r="D1574" s="467" t="s">
        <v>2021</v>
      </c>
      <c r="E1574" s="472" t="s">
        <v>2715</v>
      </c>
      <c r="F1574" s="477" t="s">
        <v>2472</v>
      </c>
      <c r="G1574" s="469" t="s">
        <v>2472</v>
      </c>
      <c r="H1574" s="470">
        <v>1E-8</v>
      </c>
      <c r="I1574" s="471">
        <v>1.3280192891666669E-8</v>
      </c>
      <c r="J1574" s="485" t="s">
        <v>421</v>
      </c>
      <c r="K1574" s="472" t="s">
        <v>2779</v>
      </c>
      <c r="L1574" s="473" t="s">
        <v>2474</v>
      </c>
      <c r="M1574" s="473" t="s">
        <v>1835</v>
      </c>
      <c r="N1574" s="473" t="s">
        <v>3238</v>
      </c>
      <c r="O1574" s="474" t="s">
        <v>3238</v>
      </c>
    </row>
    <row r="1575" spans="1:15" s="475" customFormat="1" ht="12" hidden="1">
      <c r="A1575" s="465">
        <v>10131000037973</v>
      </c>
      <c r="B1575" s="476" t="s">
        <v>3238</v>
      </c>
      <c r="C1575" s="476" t="s">
        <v>3889</v>
      </c>
      <c r="D1575" s="467" t="s">
        <v>2021</v>
      </c>
      <c r="E1575" s="472" t="s">
        <v>2715</v>
      </c>
      <c r="F1575" s="477" t="s">
        <v>2472</v>
      </c>
      <c r="G1575" s="469" t="s">
        <v>2472</v>
      </c>
      <c r="H1575" s="470">
        <v>1E-8</v>
      </c>
      <c r="I1575" s="471">
        <v>1.3280192891666669E-8</v>
      </c>
      <c r="J1575" s="485" t="s">
        <v>421</v>
      </c>
      <c r="K1575" s="472" t="s">
        <v>615</v>
      </c>
      <c r="L1575" s="473" t="s">
        <v>2474</v>
      </c>
      <c r="M1575" s="473" t="s">
        <v>1835</v>
      </c>
      <c r="N1575" s="473" t="s">
        <v>3238</v>
      </c>
      <c r="O1575" s="474" t="s">
        <v>3238</v>
      </c>
    </row>
    <row r="1576" spans="1:15" s="475" customFormat="1" ht="12" hidden="1">
      <c r="A1576" s="465">
        <v>10131000058321</v>
      </c>
      <c r="B1576" s="476" t="s">
        <v>3238</v>
      </c>
      <c r="C1576" s="476" t="s">
        <v>3861</v>
      </c>
      <c r="D1576" s="467" t="s">
        <v>2021</v>
      </c>
      <c r="E1576" s="472" t="s">
        <v>2519</v>
      </c>
      <c r="F1576" s="477" t="s">
        <v>2472</v>
      </c>
      <c r="G1576" s="469" t="s">
        <v>2472</v>
      </c>
      <c r="H1576" s="470">
        <v>37.81</v>
      </c>
      <c r="I1576" s="471">
        <v>11.663135379500002</v>
      </c>
      <c r="J1576" s="485" t="s">
        <v>421</v>
      </c>
      <c r="K1576" s="472" t="s">
        <v>621</v>
      </c>
      <c r="L1576" s="473" t="s">
        <v>2474</v>
      </c>
      <c r="M1576" s="473" t="s">
        <v>1835</v>
      </c>
      <c r="N1576" s="473" t="s">
        <v>3238</v>
      </c>
      <c r="O1576" s="474" t="s">
        <v>3238</v>
      </c>
    </row>
    <row r="1577" spans="1:15" s="475" customFormat="1" ht="12" hidden="1">
      <c r="A1577" s="465">
        <v>10131000051796</v>
      </c>
      <c r="B1577" s="476" t="s">
        <v>3890</v>
      </c>
      <c r="C1577" s="476" t="s">
        <v>3890</v>
      </c>
      <c r="D1577" s="467" t="s">
        <v>2021</v>
      </c>
      <c r="E1577" s="472" t="s">
        <v>2491</v>
      </c>
      <c r="F1577" s="477">
        <v>2.57</v>
      </c>
      <c r="G1577" s="469" t="s">
        <v>2472</v>
      </c>
      <c r="H1577" s="487">
        <v>10.82</v>
      </c>
      <c r="I1577" s="471">
        <v>10.82</v>
      </c>
      <c r="J1577" s="488" t="s">
        <v>2492</v>
      </c>
      <c r="K1577" s="472" t="s">
        <v>2522</v>
      </c>
      <c r="L1577" s="473" t="s">
        <v>2474</v>
      </c>
      <c r="M1577" s="473" t="s">
        <v>1835</v>
      </c>
      <c r="N1577" s="473" t="s">
        <v>3238</v>
      </c>
      <c r="O1577" s="474" t="s">
        <v>3238</v>
      </c>
    </row>
    <row r="1578" spans="1:15" s="475" customFormat="1" ht="12" hidden="1">
      <c r="A1578" s="465">
        <v>10131000029598</v>
      </c>
      <c r="B1578" s="489" t="s">
        <v>3891</v>
      </c>
      <c r="C1578" s="476" t="s">
        <v>3892</v>
      </c>
      <c r="D1578" s="467" t="s">
        <v>2552</v>
      </c>
      <c r="E1578" s="472" t="s">
        <v>2491</v>
      </c>
      <c r="F1578" s="477">
        <v>0.6</v>
      </c>
      <c r="G1578" s="469" t="s">
        <v>2472</v>
      </c>
      <c r="H1578" s="487">
        <v>0.86</v>
      </c>
      <c r="I1578" s="471">
        <v>0.86</v>
      </c>
      <c r="J1578" s="488" t="s">
        <v>2492</v>
      </c>
      <c r="K1578" s="472" t="s">
        <v>2522</v>
      </c>
      <c r="L1578" s="473" t="s">
        <v>2474</v>
      </c>
      <c r="M1578" s="473" t="s">
        <v>1835</v>
      </c>
      <c r="N1578" s="473" t="s">
        <v>3238</v>
      </c>
      <c r="O1578" s="474" t="s">
        <v>3891</v>
      </c>
    </row>
    <row r="1579" spans="1:15" s="475" customFormat="1" ht="12" hidden="1">
      <c r="A1579" s="465">
        <v>10131000034168</v>
      </c>
      <c r="B1579" s="489" t="s">
        <v>3891</v>
      </c>
      <c r="C1579" s="489" t="s">
        <v>3893</v>
      </c>
      <c r="D1579" s="467" t="s">
        <v>2552</v>
      </c>
      <c r="E1579" s="478" t="s">
        <v>2514</v>
      </c>
      <c r="F1579" s="477">
        <v>0.70577064</v>
      </c>
      <c r="G1579" s="469" t="s">
        <v>2472</v>
      </c>
      <c r="H1579" s="481">
        <v>76</v>
      </c>
      <c r="I1579" s="482">
        <v>0.78</v>
      </c>
      <c r="J1579" s="483" t="s">
        <v>2515</v>
      </c>
      <c r="K1579" s="483" t="s">
        <v>2515</v>
      </c>
      <c r="L1579" s="473" t="s">
        <v>2474</v>
      </c>
      <c r="M1579" s="473" t="s">
        <v>1835</v>
      </c>
      <c r="N1579" s="473" t="s">
        <v>3238</v>
      </c>
      <c r="O1579" s="474" t="s">
        <v>3891</v>
      </c>
    </row>
    <row r="1580" spans="1:15" s="475" customFormat="1" ht="12" hidden="1">
      <c r="A1580" s="465">
        <v>10131000052444</v>
      </c>
      <c r="B1580" s="489" t="s">
        <v>3891</v>
      </c>
      <c r="C1580" s="489" t="s">
        <v>3894</v>
      </c>
      <c r="D1580" s="467" t="s">
        <v>2552</v>
      </c>
      <c r="E1580" s="478" t="s">
        <v>2514</v>
      </c>
      <c r="F1580" s="477" t="s">
        <v>2472</v>
      </c>
      <c r="G1580" s="469" t="s">
        <v>2472</v>
      </c>
      <c r="H1580" s="481">
        <v>76</v>
      </c>
      <c r="I1580" s="482">
        <v>0.78</v>
      </c>
      <c r="J1580" s="483" t="s">
        <v>2515</v>
      </c>
      <c r="K1580" s="483" t="s">
        <v>2515</v>
      </c>
      <c r="L1580" s="473" t="s">
        <v>2474</v>
      </c>
      <c r="M1580" s="473" t="s">
        <v>1835</v>
      </c>
      <c r="N1580" s="473" t="s">
        <v>3238</v>
      </c>
      <c r="O1580" s="474" t="s">
        <v>3891</v>
      </c>
    </row>
    <row r="1581" spans="1:15" s="475" customFormat="1" ht="12" hidden="1">
      <c r="A1581" s="465">
        <v>10131000051797</v>
      </c>
      <c r="B1581" s="489" t="s">
        <v>3895</v>
      </c>
      <c r="C1581" s="476" t="s">
        <v>3896</v>
      </c>
      <c r="D1581" s="467" t="s">
        <v>2021</v>
      </c>
      <c r="E1581" s="472" t="s">
        <v>2491</v>
      </c>
      <c r="F1581" s="477">
        <v>1.34</v>
      </c>
      <c r="G1581" s="469" t="s">
        <v>2472</v>
      </c>
      <c r="H1581" s="487">
        <v>5.13</v>
      </c>
      <c r="I1581" s="471">
        <v>5.13</v>
      </c>
      <c r="J1581" s="488" t="s">
        <v>2492</v>
      </c>
      <c r="K1581" s="472" t="s">
        <v>2522</v>
      </c>
      <c r="L1581" s="473" t="s">
        <v>2474</v>
      </c>
      <c r="M1581" s="473" t="s">
        <v>1835</v>
      </c>
      <c r="N1581" s="473" t="s">
        <v>3238</v>
      </c>
      <c r="O1581" s="474" t="s">
        <v>3895</v>
      </c>
    </row>
    <row r="1582" spans="1:15" s="475" customFormat="1" ht="12" hidden="1">
      <c r="A1582" s="465">
        <v>10131000056110</v>
      </c>
      <c r="B1582" s="476" t="s">
        <v>3897</v>
      </c>
      <c r="C1582" s="476" t="s">
        <v>3898</v>
      </c>
      <c r="D1582" s="467" t="s">
        <v>1045</v>
      </c>
      <c r="E1582" s="472" t="s">
        <v>2491</v>
      </c>
      <c r="F1582" s="477">
        <v>0</v>
      </c>
      <c r="G1582" s="469" t="s">
        <v>2472</v>
      </c>
      <c r="H1582" s="470">
        <v>1E-8</v>
      </c>
      <c r="I1582" s="471">
        <v>1E-8</v>
      </c>
      <c r="J1582" s="485" t="s">
        <v>421</v>
      </c>
      <c r="K1582" s="472" t="s">
        <v>651</v>
      </c>
      <c r="L1582" s="473" t="s">
        <v>2474</v>
      </c>
      <c r="M1582" s="473" t="s">
        <v>1835</v>
      </c>
      <c r="N1582" s="473" t="s">
        <v>820</v>
      </c>
      <c r="O1582" s="474" t="s">
        <v>826</v>
      </c>
    </row>
    <row r="1583" spans="1:15" s="475" customFormat="1" ht="12" hidden="1">
      <c r="A1583" s="465">
        <v>10131000038163</v>
      </c>
      <c r="B1583" s="476" t="s">
        <v>3899</v>
      </c>
      <c r="C1583" s="476" t="s">
        <v>3900</v>
      </c>
      <c r="D1583" s="467" t="s">
        <v>2083</v>
      </c>
      <c r="E1583" s="472" t="s">
        <v>2715</v>
      </c>
      <c r="F1583" s="477">
        <v>0.90196799999999999</v>
      </c>
      <c r="G1583" s="469" t="s">
        <v>2472</v>
      </c>
      <c r="H1583" s="470">
        <v>1E-8</v>
      </c>
      <c r="I1583" s="471">
        <v>1.3280192891666669E-8</v>
      </c>
      <c r="J1583" s="485" t="s">
        <v>421</v>
      </c>
      <c r="K1583" s="472" t="s">
        <v>633</v>
      </c>
      <c r="L1583" s="473" t="s">
        <v>2474</v>
      </c>
      <c r="M1583" s="473" t="s">
        <v>1835</v>
      </c>
      <c r="N1583" s="473" t="s">
        <v>3899</v>
      </c>
      <c r="O1583" s="474" t="s">
        <v>3899</v>
      </c>
    </row>
    <row r="1584" spans="1:15" s="475" customFormat="1" ht="12" hidden="1">
      <c r="A1584" s="465">
        <v>10131000038160</v>
      </c>
      <c r="B1584" s="476" t="s">
        <v>3899</v>
      </c>
      <c r="C1584" s="476" t="s">
        <v>3901</v>
      </c>
      <c r="D1584" s="467" t="s">
        <v>2083</v>
      </c>
      <c r="E1584" s="472" t="s">
        <v>2715</v>
      </c>
      <c r="F1584" s="477">
        <v>1.5947840000000002</v>
      </c>
      <c r="G1584" s="469" t="s">
        <v>2472</v>
      </c>
      <c r="H1584" s="470">
        <v>1E-8</v>
      </c>
      <c r="I1584" s="471">
        <v>1.3280192891666669E-8</v>
      </c>
      <c r="J1584" s="485" t="s">
        <v>421</v>
      </c>
      <c r="K1584" s="472" t="s">
        <v>611</v>
      </c>
      <c r="L1584" s="473" t="s">
        <v>2474</v>
      </c>
      <c r="M1584" s="473" t="s">
        <v>1835</v>
      </c>
      <c r="N1584" s="473" t="s">
        <v>3899</v>
      </c>
      <c r="O1584" s="474" t="s">
        <v>3899</v>
      </c>
    </row>
    <row r="1585" spans="1:15" s="475" customFormat="1" ht="12" hidden="1">
      <c r="A1585" s="465">
        <v>10131000037905</v>
      </c>
      <c r="B1585" s="466" t="s">
        <v>3899</v>
      </c>
      <c r="C1585" s="466" t="s">
        <v>3902</v>
      </c>
      <c r="D1585" s="467" t="s">
        <v>3903</v>
      </c>
      <c r="E1585" s="468" t="s">
        <v>2619</v>
      </c>
      <c r="F1585" s="477">
        <v>2.97766749</v>
      </c>
      <c r="G1585" s="469" t="s">
        <v>2472</v>
      </c>
      <c r="H1585" s="470">
        <v>2.88</v>
      </c>
      <c r="I1585" s="471">
        <v>2.88</v>
      </c>
      <c r="J1585" s="472" t="s">
        <v>423</v>
      </c>
      <c r="K1585" s="472" t="s">
        <v>2620</v>
      </c>
      <c r="L1585" s="473" t="s">
        <v>2474</v>
      </c>
      <c r="M1585" s="473" t="s">
        <v>1835</v>
      </c>
      <c r="N1585" s="473" t="s">
        <v>3899</v>
      </c>
      <c r="O1585" s="474" t="s">
        <v>3899</v>
      </c>
    </row>
    <row r="1586" spans="1:15" s="475" customFormat="1" ht="12" hidden="1">
      <c r="A1586" s="465">
        <v>10131000057872</v>
      </c>
      <c r="B1586" s="466" t="s">
        <v>3899</v>
      </c>
      <c r="C1586" s="466" t="s">
        <v>3902</v>
      </c>
      <c r="D1586" s="467" t="s">
        <v>3903</v>
      </c>
      <c r="E1586" s="468" t="s">
        <v>2619</v>
      </c>
      <c r="F1586" s="477">
        <v>2.97766749</v>
      </c>
      <c r="G1586" s="469" t="s">
        <v>2472</v>
      </c>
      <c r="H1586" s="470">
        <v>2.88</v>
      </c>
      <c r="I1586" s="471">
        <v>2.88</v>
      </c>
      <c r="J1586" s="472" t="s">
        <v>423</v>
      </c>
      <c r="K1586" s="472" t="s">
        <v>2620</v>
      </c>
      <c r="L1586" s="473" t="s">
        <v>2474</v>
      </c>
      <c r="M1586" s="473" t="s">
        <v>1835</v>
      </c>
      <c r="N1586" s="473" t="s">
        <v>3899</v>
      </c>
      <c r="O1586" s="474" t="s">
        <v>3899</v>
      </c>
    </row>
    <row r="1587" spans="1:15" s="475" customFormat="1" ht="12" hidden="1">
      <c r="A1587" s="465">
        <v>10131000037904</v>
      </c>
      <c r="B1587" s="466" t="s">
        <v>3899</v>
      </c>
      <c r="C1587" s="466" t="s">
        <v>3902</v>
      </c>
      <c r="D1587" s="467" t="s">
        <v>3903</v>
      </c>
      <c r="E1587" s="468" t="s">
        <v>2491</v>
      </c>
      <c r="F1587" s="477">
        <v>3</v>
      </c>
      <c r="G1587" s="469" t="s">
        <v>2472</v>
      </c>
      <c r="H1587" s="470">
        <v>2.88</v>
      </c>
      <c r="I1587" s="471">
        <v>2.88</v>
      </c>
      <c r="J1587" s="472" t="s">
        <v>423</v>
      </c>
      <c r="K1587" s="472" t="s">
        <v>2620</v>
      </c>
      <c r="L1587" s="473" t="s">
        <v>2474</v>
      </c>
      <c r="M1587" s="473" t="s">
        <v>1835</v>
      </c>
      <c r="N1587" s="473" t="s">
        <v>3899</v>
      </c>
      <c r="O1587" s="474" t="s">
        <v>3899</v>
      </c>
    </row>
    <row r="1588" spans="1:15" s="475" customFormat="1" ht="12" hidden="1">
      <c r="A1588" s="465">
        <v>10131000056425</v>
      </c>
      <c r="B1588" s="466" t="s">
        <v>3899</v>
      </c>
      <c r="C1588" s="466" t="s">
        <v>3899</v>
      </c>
      <c r="D1588" s="467" t="s">
        <v>3903</v>
      </c>
      <c r="E1588" s="468" t="s">
        <v>2491</v>
      </c>
      <c r="F1588" s="477">
        <v>3</v>
      </c>
      <c r="G1588" s="469" t="s">
        <v>2472</v>
      </c>
      <c r="H1588" s="470">
        <v>2.88</v>
      </c>
      <c r="I1588" s="471">
        <v>2.88</v>
      </c>
      <c r="J1588" s="472" t="s">
        <v>423</v>
      </c>
      <c r="K1588" s="472" t="s">
        <v>534</v>
      </c>
      <c r="L1588" s="473" t="s">
        <v>2474</v>
      </c>
      <c r="M1588" s="473" t="s">
        <v>1835</v>
      </c>
      <c r="N1588" s="473" t="s">
        <v>3899</v>
      </c>
      <c r="O1588" s="474" t="s">
        <v>3899</v>
      </c>
    </row>
    <row r="1589" spans="1:15" s="475" customFormat="1" ht="12" hidden="1">
      <c r="A1589" s="465">
        <v>10131000038158</v>
      </c>
      <c r="B1589" s="476" t="s">
        <v>3899</v>
      </c>
      <c r="C1589" s="476" t="s">
        <v>3904</v>
      </c>
      <c r="D1589" s="467" t="s">
        <v>2083</v>
      </c>
      <c r="E1589" s="472" t="s">
        <v>2715</v>
      </c>
      <c r="F1589" s="477">
        <v>10.810544</v>
      </c>
      <c r="G1589" s="469" t="s">
        <v>2472</v>
      </c>
      <c r="H1589" s="470">
        <v>1E-8</v>
      </c>
      <c r="I1589" s="471">
        <v>1.3280192891666669E-8</v>
      </c>
      <c r="J1589" s="485" t="s">
        <v>421</v>
      </c>
      <c r="K1589" s="472" t="s">
        <v>597</v>
      </c>
      <c r="L1589" s="473" t="s">
        <v>2474</v>
      </c>
      <c r="M1589" s="473" t="s">
        <v>1835</v>
      </c>
      <c r="N1589" s="473" t="s">
        <v>3899</v>
      </c>
      <c r="O1589" s="474" t="s">
        <v>3899</v>
      </c>
    </row>
    <row r="1590" spans="1:15" s="475" customFormat="1" ht="12" hidden="1">
      <c r="A1590" s="465">
        <v>10131000038166</v>
      </c>
      <c r="B1590" s="476" t="s">
        <v>3899</v>
      </c>
      <c r="C1590" s="476" t="s">
        <v>3905</v>
      </c>
      <c r="D1590" s="467" t="s">
        <v>2083</v>
      </c>
      <c r="E1590" s="472" t="s">
        <v>2874</v>
      </c>
      <c r="F1590" s="477">
        <v>79.216513887999994</v>
      </c>
      <c r="G1590" s="469" t="s">
        <v>2472</v>
      </c>
      <c r="H1590" s="470">
        <v>1E-8</v>
      </c>
      <c r="I1590" s="471">
        <v>1.0827050375000001E-8</v>
      </c>
      <c r="J1590" s="485" t="s">
        <v>421</v>
      </c>
      <c r="K1590" s="472" t="s">
        <v>637</v>
      </c>
      <c r="L1590" s="473" t="s">
        <v>2474</v>
      </c>
      <c r="M1590" s="473" t="s">
        <v>1835</v>
      </c>
      <c r="N1590" s="473" t="s">
        <v>3899</v>
      </c>
      <c r="O1590" s="474" t="s">
        <v>3899</v>
      </c>
    </row>
    <row r="1591" spans="1:15" s="475" customFormat="1" ht="12" hidden="1">
      <c r="A1591" s="465">
        <v>10131000057724</v>
      </c>
      <c r="B1591" s="466" t="s">
        <v>1530</v>
      </c>
      <c r="C1591" s="466" t="s">
        <v>1530</v>
      </c>
      <c r="D1591" s="467" t="s">
        <v>3906</v>
      </c>
      <c r="E1591" s="468" t="s">
        <v>2491</v>
      </c>
      <c r="F1591" s="477">
        <v>6</v>
      </c>
      <c r="G1591" s="469" t="s">
        <v>2472</v>
      </c>
      <c r="H1591" s="470">
        <v>6</v>
      </c>
      <c r="I1591" s="471">
        <v>6</v>
      </c>
      <c r="J1591" s="472" t="s">
        <v>423</v>
      </c>
      <c r="K1591" s="472" t="s">
        <v>534</v>
      </c>
      <c r="L1591" s="473" t="s">
        <v>2474</v>
      </c>
      <c r="M1591" s="473" t="s">
        <v>1491</v>
      </c>
      <c r="N1591" s="473" t="s">
        <v>1530</v>
      </c>
      <c r="O1591" s="474" t="s">
        <v>1530</v>
      </c>
    </row>
    <row r="1592" spans="1:15" s="475" customFormat="1" ht="12" hidden="1">
      <c r="A1592" s="465">
        <v>1000099140</v>
      </c>
      <c r="B1592" s="466" t="s">
        <v>3907</v>
      </c>
      <c r="C1592" s="466" t="s">
        <v>3907</v>
      </c>
      <c r="D1592" s="467" t="s">
        <v>982</v>
      </c>
      <c r="E1592" s="468" t="s">
        <v>2471</v>
      </c>
      <c r="F1592" s="477" t="s">
        <v>2472</v>
      </c>
      <c r="G1592" s="469" t="s">
        <v>2472</v>
      </c>
      <c r="H1592" s="470">
        <v>60</v>
      </c>
      <c r="I1592" s="471">
        <v>4.6332046332046337</v>
      </c>
      <c r="J1592" s="472" t="s">
        <v>422</v>
      </c>
      <c r="K1592" s="472" t="s">
        <v>2473</v>
      </c>
      <c r="L1592" s="473" t="s">
        <v>1608</v>
      </c>
      <c r="M1592" s="473" t="s">
        <v>204</v>
      </c>
      <c r="N1592" s="473" t="s">
        <v>204</v>
      </c>
      <c r="O1592" s="490" t="s">
        <v>3907</v>
      </c>
    </row>
    <row r="1593" spans="1:15" s="475" customFormat="1" ht="12" hidden="1">
      <c r="A1593" s="465">
        <v>1000099177</v>
      </c>
      <c r="B1593" s="466" t="s">
        <v>3907</v>
      </c>
      <c r="C1593" s="466" t="s">
        <v>3908</v>
      </c>
      <c r="D1593" s="467" t="s">
        <v>982</v>
      </c>
      <c r="E1593" s="468" t="s">
        <v>2471</v>
      </c>
      <c r="F1593" s="477" t="s">
        <v>2472</v>
      </c>
      <c r="G1593" s="469" t="s">
        <v>2472</v>
      </c>
      <c r="H1593" s="470">
        <v>66</v>
      </c>
      <c r="I1593" s="471">
        <v>5.096525096525097</v>
      </c>
      <c r="J1593" s="472" t="s">
        <v>422</v>
      </c>
      <c r="K1593" s="472" t="s">
        <v>2473</v>
      </c>
      <c r="L1593" s="473" t="s">
        <v>1608</v>
      </c>
      <c r="M1593" s="473" t="s">
        <v>204</v>
      </c>
      <c r="N1593" s="473" t="s">
        <v>204</v>
      </c>
      <c r="O1593" s="490" t="s">
        <v>3907</v>
      </c>
    </row>
    <row r="1594" spans="1:15" s="475" customFormat="1" ht="12" hidden="1">
      <c r="A1594" s="465" t="s">
        <v>425</v>
      </c>
      <c r="B1594" s="466" t="s">
        <v>711</v>
      </c>
      <c r="C1594" s="476" t="s">
        <v>3909</v>
      </c>
      <c r="D1594" s="467" t="s">
        <v>571</v>
      </c>
      <c r="E1594" s="472" t="s">
        <v>2491</v>
      </c>
      <c r="F1594" s="477" t="s">
        <v>2472</v>
      </c>
      <c r="G1594" s="469">
        <v>189.32</v>
      </c>
      <c r="H1594" s="487" t="s">
        <v>3910</v>
      </c>
      <c r="I1594" s="471" t="s">
        <v>3910</v>
      </c>
      <c r="J1594" s="488" t="s">
        <v>2492</v>
      </c>
      <c r="K1594" s="472" t="s">
        <v>2522</v>
      </c>
      <c r="L1594" s="473" t="s">
        <v>570</v>
      </c>
      <c r="M1594" s="473" t="s">
        <v>571</v>
      </c>
      <c r="N1594" s="473" t="s">
        <v>711</v>
      </c>
      <c r="O1594" s="474" t="s">
        <v>711</v>
      </c>
    </row>
    <row r="1595" spans="1:15" ht="12" hidden="1">
      <c r="A1595" s="465">
        <v>10131000058866</v>
      </c>
      <c r="B1595" s="476" t="s">
        <v>573</v>
      </c>
      <c r="C1595" s="476" t="s">
        <v>3911</v>
      </c>
      <c r="D1595" s="467" t="s">
        <v>571</v>
      </c>
      <c r="E1595" s="472" t="s">
        <v>2491</v>
      </c>
      <c r="F1595" s="477" t="s">
        <v>2472</v>
      </c>
      <c r="G1595" s="469">
        <v>200.39</v>
      </c>
      <c r="H1595" s="487" t="s">
        <v>3912</v>
      </c>
      <c r="I1595" s="471" t="s">
        <v>3912</v>
      </c>
      <c r="J1595" s="488" t="s">
        <v>2492</v>
      </c>
      <c r="K1595" s="472" t="s">
        <v>2522</v>
      </c>
      <c r="L1595" s="473" t="s">
        <v>570</v>
      </c>
      <c r="M1595" s="473" t="s">
        <v>571</v>
      </c>
      <c r="N1595" s="473" t="s">
        <v>573</v>
      </c>
      <c r="O1595" s="474" t="s">
        <v>573</v>
      </c>
    </row>
    <row r="1596" spans="1:15" ht="12" hidden="1">
      <c r="A1596" s="465" t="s">
        <v>425</v>
      </c>
      <c r="B1596" s="466" t="s">
        <v>3805</v>
      </c>
      <c r="C1596" s="476" t="s">
        <v>3913</v>
      </c>
      <c r="D1596" s="467" t="s">
        <v>571</v>
      </c>
      <c r="E1596" s="472" t="s">
        <v>2491</v>
      </c>
      <c r="F1596" s="477" t="s">
        <v>2472</v>
      </c>
      <c r="G1596" s="469" t="s">
        <v>2472</v>
      </c>
      <c r="H1596" s="495">
        <f>161.65-28.5</f>
        <v>133.15</v>
      </c>
      <c r="I1596" s="471">
        <f>161.65-28.5</f>
        <v>133.15</v>
      </c>
      <c r="J1596" s="488" t="s">
        <v>2492</v>
      </c>
      <c r="K1596" s="472" t="s">
        <v>2522</v>
      </c>
      <c r="L1596" s="473" t="s">
        <v>570</v>
      </c>
      <c r="M1596" s="473" t="s">
        <v>2735</v>
      </c>
      <c r="N1596" s="473" t="s">
        <v>3805</v>
      </c>
      <c r="O1596" s="474" t="s">
        <v>3805</v>
      </c>
    </row>
    <row r="1597" spans="1:15" ht="12" hidden="1">
      <c r="A1597" s="465" t="s">
        <v>425</v>
      </c>
      <c r="B1597" s="466" t="s">
        <v>1905</v>
      </c>
      <c r="C1597" s="476" t="s">
        <v>3914</v>
      </c>
      <c r="D1597" s="467" t="s">
        <v>1862</v>
      </c>
      <c r="E1597" s="472" t="s">
        <v>2491</v>
      </c>
      <c r="F1597" s="477" t="s">
        <v>2472</v>
      </c>
      <c r="G1597" s="469">
        <v>25.54</v>
      </c>
      <c r="H1597" s="487">
        <v>29.16</v>
      </c>
      <c r="I1597" s="471">
        <v>29.16</v>
      </c>
      <c r="J1597" s="488" t="s">
        <v>2492</v>
      </c>
      <c r="K1597" s="472" t="s">
        <v>2522</v>
      </c>
      <c r="L1597" s="473" t="s">
        <v>2474</v>
      </c>
      <c r="M1597" s="473" t="s">
        <v>1835</v>
      </c>
      <c r="N1597" s="473" t="s">
        <v>1858</v>
      </c>
      <c r="O1597" s="474" t="s">
        <v>1905</v>
      </c>
    </row>
    <row r="1598" spans="1:15" ht="12" hidden="1">
      <c r="A1598" s="499" t="s">
        <v>425</v>
      </c>
      <c r="B1598" s="500" t="s">
        <v>3587</v>
      </c>
      <c r="C1598" s="501" t="s">
        <v>3915</v>
      </c>
      <c r="D1598" s="502" t="s">
        <v>1862</v>
      </c>
      <c r="E1598" s="503" t="s">
        <v>2491</v>
      </c>
      <c r="F1598" s="504" t="s">
        <v>2472</v>
      </c>
      <c r="G1598" s="505">
        <v>111.29</v>
      </c>
      <c r="H1598" s="505" t="s">
        <v>3916</v>
      </c>
      <c r="I1598" s="505">
        <v>101.33</v>
      </c>
      <c r="J1598" s="506" t="s">
        <v>2492</v>
      </c>
      <c r="K1598" s="503" t="s">
        <v>2522</v>
      </c>
      <c r="L1598" s="507" t="s">
        <v>2474</v>
      </c>
      <c r="M1598" s="507" t="s">
        <v>1835</v>
      </c>
      <c r="N1598" s="507" t="s">
        <v>1858</v>
      </c>
      <c r="O1598" s="508" t="s">
        <v>3587</v>
      </c>
    </row>
  </sheetData>
  <pageMargins left="0.45" right="0.18" top="0.47" bottom="0.47" header="0.3" footer="0.3"/>
  <pageSetup paperSize="0" scale="33" fitToHeight="0" orientation="landscape" horizontalDpi="300" verticalDpi="300" r:id="rId1"/>
  <headerFooter>
    <oddFooter>&amp;C&amp;"Arial,Regular"&amp;8Page &amp;P of &amp;N</oddFooter>
  </headerFooter>
  <drawing r:id="rId2"/>
  <legacyDrawing r:id="rId3"/>
  <controls>
    <mc:AlternateContent xmlns:mc="http://schemas.openxmlformats.org/markup-compatibility/2006">
      <mc:Choice Requires="x14">
        <control shapeId="29736" r:id="rId4" name="cmdAllBoMChgdValues">
          <controlPr defaultSize="0" autoLine="0" autoPict="0" r:id="rId5">
            <anchor>
              <from>
                <xdr:col>2</xdr:col>
                <xdr:colOff>2009775</xdr:colOff>
                <xdr:row>0</xdr:row>
                <xdr:rowOff>95250</xdr:rowOff>
              </from>
              <to>
                <xdr:col>2</xdr:col>
                <xdr:colOff>3295650</xdr:colOff>
                <xdr:row>0</xdr:row>
                <xdr:rowOff>371475</xdr:rowOff>
              </to>
            </anchor>
          </controlPr>
        </control>
      </mc:Choice>
      <mc:Fallback>
        <control shapeId="29736" r:id="rId4" name="cmdAllBoMChgdValues"/>
      </mc:Fallback>
    </mc:AlternateContent>
    <mc:AlternateContent xmlns:mc="http://schemas.openxmlformats.org/markup-compatibility/2006">
      <mc:Choice Requires="x14">
        <control shapeId="29735" r:id="rId6" name="cmdNAMSupport">
          <controlPr defaultSize="0" autoLine="0" r:id="rId7">
            <anchor>
              <from>
                <xdr:col>2</xdr:col>
                <xdr:colOff>733425</xdr:colOff>
                <xdr:row>0</xdr:row>
                <xdr:rowOff>95250</xdr:rowOff>
              </from>
              <to>
                <xdr:col>2</xdr:col>
                <xdr:colOff>1943100</xdr:colOff>
                <xdr:row>0</xdr:row>
                <xdr:rowOff>371475</xdr:rowOff>
              </to>
            </anchor>
          </controlPr>
        </control>
      </mc:Choice>
      <mc:Fallback>
        <control shapeId="29735" r:id="rId6" name="cmdNAMSupport"/>
      </mc:Fallback>
    </mc:AlternateContent>
    <mc:AlternateContent xmlns:mc="http://schemas.openxmlformats.org/markup-compatibility/2006">
      <mc:Choice Requires="x14">
        <control shapeId="29703" r:id="rId8" name="cmdNAMNetwork">
          <controlPr defaultSize="0" autoLine="0" r:id="rId9">
            <anchor>
              <from>
                <xdr:col>1</xdr:col>
                <xdr:colOff>3686175</xdr:colOff>
                <xdr:row>0</xdr:row>
                <xdr:rowOff>95250</xdr:rowOff>
              </from>
              <to>
                <xdr:col>2</xdr:col>
                <xdr:colOff>657225</xdr:colOff>
                <xdr:row>0</xdr:row>
                <xdr:rowOff>371475</xdr:rowOff>
              </to>
            </anchor>
          </controlPr>
        </control>
      </mc:Choice>
      <mc:Fallback>
        <control shapeId="29703" r:id="rId8" name="cmdNAMNetwork"/>
      </mc:Fallback>
    </mc:AlternateContent>
    <mc:AlternateContent xmlns:mc="http://schemas.openxmlformats.org/markup-compatibility/2006">
      <mc:Choice Requires="x14">
        <control shapeId="29701" r:id="rId10" name="cmdNAMDC">
          <controlPr defaultSize="0" autoLine="0" r:id="rId11">
            <anchor>
              <from>
                <xdr:col>1</xdr:col>
                <xdr:colOff>2419350</xdr:colOff>
                <xdr:row>0</xdr:row>
                <xdr:rowOff>95250</xdr:rowOff>
              </from>
              <to>
                <xdr:col>1</xdr:col>
                <xdr:colOff>3629025</xdr:colOff>
                <xdr:row>0</xdr:row>
                <xdr:rowOff>371475</xdr:rowOff>
              </to>
            </anchor>
          </controlPr>
        </control>
      </mc:Choice>
      <mc:Fallback>
        <control shapeId="29701" r:id="rId10" name="cmdNAMDC"/>
      </mc:Fallback>
    </mc:AlternateContent>
    <mc:AlternateContent xmlns:mc="http://schemas.openxmlformats.org/markup-compatibility/2006">
      <mc:Choice Requires="x14">
        <control shapeId="29700" r:id="rId12" name="cmdNAMVM">
          <controlPr defaultSize="0" autoLine="0" r:id="rId13">
            <anchor>
              <from>
                <xdr:col>1</xdr:col>
                <xdr:colOff>1152525</xdr:colOff>
                <xdr:row>0</xdr:row>
                <xdr:rowOff>95250</xdr:rowOff>
              </from>
              <to>
                <xdr:col>1</xdr:col>
                <xdr:colOff>2362200</xdr:colOff>
                <xdr:row>0</xdr:row>
                <xdr:rowOff>371475</xdr:rowOff>
              </to>
            </anchor>
          </controlPr>
        </control>
      </mc:Choice>
      <mc:Fallback>
        <control shapeId="29700" r:id="rId12" name="cmdNAMVM"/>
      </mc:Fallback>
    </mc:AlternateContent>
    <mc:AlternateContent xmlns:mc="http://schemas.openxmlformats.org/markup-compatibility/2006">
      <mc:Choice Requires="x14">
        <control shapeId="29699" r:id="rId14" name="cmdClearFilters">
          <controlPr defaultSize="0" autoLine="0" r:id="rId15">
            <anchor>
              <from>
                <xdr:col>0</xdr:col>
                <xdr:colOff>552450</xdr:colOff>
                <xdr:row>0</xdr:row>
                <xdr:rowOff>95250</xdr:rowOff>
              </from>
              <to>
                <xdr:col>0</xdr:col>
                <xdr:colOff>1609725</xdr:colOff>
                <xdr:row>0</xdr:row>
                <xdr:rowOff>371475</xdr:rowOff>
              </to>
            </anchor>
          </controlPr>
        </control>
      </mc:Choice>
      <mc:Fallback>
        <control shapeId="29699" r:id="rId14" name="cmdClearFilters"/>
      </mc:Fallback>
    </mc:AlternateContent>
    <mc:AlternateContent xmlns:mc="http://schemas.openxmlformats.org/markup-compatibility/2006">
      <mc:Choice Requires="x14">
        <control shapeId="29698" r:id="rId16" name="cmdNAMStorage">
          <controlPr defaultSize="0" autoLine="0" r:id="rId17">
            <anchor>
              <from>
                <xdr:col>0</xdr:col>
                <xdr:colOff>1714500</xdr:colOff>
                <xdr:row>0</xdr:row>
                <xdr:rowOff>95250</xdr:rowOff>
              </from>
              <to>
                <xdr:col>1</xdr:col>
                <xdr:colOff>1085850</xdr:colOff>
                <xdr:row>0</xdr:row>
                <xdr:rowOff>371475</xdr:rowOff>
              </to>
            </anchor>
          </controlPr>
        </control>
      </mc:Choice>
      <mc:Fallback>
        <control shapeId="29698" r:id="rId16" name="cmdNAMStorage"/>
      </mc:Fallback>
    </mc:AlternateContent>
  </controls>
  <tableParts count="1">
    <tablePart r:id="rId18"/>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J9"/>
  <sheetViews>
    <sheetView workbookViewId="0">
      <selection activeCell="L13" sqref="L13"/>
    </sheetView>
  </sheetViews>
  <sheetFormatPr defaultRowHeight="15"/>
  <cols>
    <col min="1" max="1" width="2.28515625" customWidth="1"/>
    <col min="3" max="4" width="22.5703125" customWidth="1"/>
    <col min="5" max="5" width="46.28515625" customWidth="1"/>
    <col min="7" max="7" width="11.7109375" bestFit="1" customWidth="1"/>
    <col min="9" max="9" width="11.7109375" bestFit="1" customWidth="1"/>
  </cols>
  <sheetData>
    <row r="1" spans="1:10" ht="20.25">
      <c r="B1" s="641" t="s">
        <v>145</v>
      </c>
      <c r="C1" s="641"/>
      <c r="D1" s="641"/>
      <c r="E1" s="641"/>
      <c r="F1" s="641"/>
      <c r="G1" s="641"/>
      <c r="H1" s="641"/>
      <c r="I1" s="641"/>
      <c r="J1" s="641"/>
    </row>
    <row r="2" spans="1:10" ht="15.75" thickBot="1"/>
    <row r="3" spans="1:10" ht="15.75" thickBot="1">
      <c r="F3" s="639" t="s">
        <v>84</v>
      </c>
      <c r="G3" s="640"/>
      <c r="H3" s="639" t="s">
        <v>85</v>
      </c>
      <c r="I3" s="640"/>
      <c r="J3" s="21"/>
    </row>
    <row r="4" spans="1:10" ht="39">
      <c r="A4" s="29"/>
      <c r="B4" s="22" t="s">
        <v>86</v>
      </c>
      <c r="C4" s="23" t="s">
        <v>87</v>
      </c>
      <c r="D4" s="23" t="s">
        <v>88</v>
      </c>
      <c r="E4" s="23" t="s">
        <v>3</v>
      </c>
      <c r="F4" s="24">
        <v>2011</v>
      </c>
      <c r="G4" s="24">
        <v>2012</v>
      </c>
      <c r="H4" s="24">
        <v>2011</v>
      </c>
      <c r="I4" s="24">
        <v>2012</v>
      </c>
      <c r="J4" s="25" t="s">
        <v>89</v>
      </c>
    </row>
    <row r="5" spans="1:10" s="20" customFormat="1" ht="102">
      <c r="B5" s="28"/>
      <c r="C5" s="102" t="s">
        <v>146</v>
      </c>
      <c r="D5" s="27" t="s">
        <v>147</v>
      </c>
      <c r="E5" s="103" t="s">
        <v>148</v>
      </c>
      <c r="F5" s="104" t="s">
        <v>36</v>
      </c>
      <c r="G5" s="27">
        <f>I5/12</f>
        <v>921.625</v>
      </c>
      <c r="H5" s="104" t="s">
        <v>36</v>
      </c>
      <c r="I5" s="27">
        <v>11059.5</v>
      </c>
      <c r="J5" s="104" t="s">
        <v>36</v>
      </c>
    </row>
    <row r="6" spans="1:10" s="20" customFormat="1">
      <c r="B6" s="28"/>
      <c r="C6" s="102" t="s">
        <v>149</v>
      </c>
      <c r="D6" s="27" t="s">
        <v>147</v>
      </c>
      <c r="E6" s="103" t="s">
        <v>150</v>
      </c>
      <c r="F6" s="104" t="s">
        <v>36</v>
      </c>
      <c r="G6" s="27">
        <f>I6/12</f>
        <v>202</v>
      </c>
      <c r="H6" s="104" t="s">
        <v>36</v>
      </c>
      <c r="I6" s="27">
        <v>2424</v>
      </c>
      <c r="J6" s="104" t="s">
        <v>36</v>
      </c>
    </row>
    <row r="7" spans="1:10" ht="76.5">
      <c r="B7" s="192"/>
      <c r="C7" s="193" t="s">
        <v>359</v>
      </c>
      <c r="D7" s="191" t="s">
        <v>147</v>
      </c>
      <c r="E7" s="194" t="s">
        <v>360</v>
      </c>
      <c r="F7" s="195" t="s">
        <v>36</v>
      </c>
      <c r="G7" s="191">
        <f>I7/12</f>
        <v>7145.416666666667</v>
      </c>
      <c r="H7" s="195" t="s">
        <v>36</v>
      </c>
      <c r="I7" s="191">
        <v>85745</v>
      </c>
      <c r="J7" s="195" t="s">
        <v>36</v>
      </c>
    </row>
    <row r="8" spans="1:10">
      <c r="B8" s="192"/>
      <c r="C8" s="193" t="s">
        <v>359</v>
      </c>
      <c r="D8" s="191" t="s">
        <v>147</v>
      </c>
      <c r="E8" s="194" t="s">
        <v>372</v>
      </c>
      <c r="F8" s="195" t="s">
        <v>36</v>
      </c>
      <c r="G8" s="191">
        <f>I8/12</f>
        <v>266.08333333333331</v>
      </c>
      <c r="H8" s="195" t="s">
        <v>36</v>
      </c>
      <c r="I8" s="191">
        <v>3193</v>
      </c>
      <c r="J8" s="195" t="s">
        <v>36</v>
      </c>
    </row>
    <row r="9" spans="1:10">
      <c r="C9" s="29"/>
    </row>
  </sheetData>
  <mergeCells count="3">
    <mergeCell ref="F3:G3"/>
    <mergeCell ref="H3:I3"/>
    <mergeCell ref="B1:J1"/>
  </mergeCells>
  <pageMargins left="0.7" right="0.7" top="0.75" bottom="0.75" header="0.3" footer="0.3"/>
  <pageSetup orientation="portrait" horizontalDpi="300" verticalDpi="0"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CB2"/>
  <sheetViews>
    <sheetView workbookViewId="0">
      <selection activeCell="A2" sqref="A2"/>
    </sheetView>
  </sheetViews>
  <sheetFormatPr defaultRowHeight="15"/>
  <cols>
    <col min="1" max="1" width="6.7109375" bestFit="1" customWidth="1"/>
    <col min="2" max="2" width="5.5703125" bestFit="1" customWidth="1"/>
    <col min="3" max="3" width="8.7109375" bestFit="1" customWidth="1"/>
    <col min="4" max="4" width="6.28515625" bestFit="1" customWidth="1"/>
    <col min="5" max="5" width="5.85546875" bestFit="1" customWidth="1"/>
    <col min="6" max="6" width="8.140625" bestFit="1" customWidth="1"/>
    <col min="7" max="7" width="10.7109375" customWidth="1"/>
    <col min="8" max="8" width="5.85546875" bestFit="1" customWidth="1"/>
    <col min="9" max="9" width="13.140625" bestFit="1" customWidth="1"/>
    <col min="10" max="10" width="7.7109375" bestFit="1" customWidth="1"/>
    <col min="11" max="11" width="4.85546875" bestFit="1" customWidth="1"/>
    <col min="12" max="12" width="7.7109375" bestFit="1" customWidth="1"/>
    <col min="13" max="13" width="22.85546875" customWidth="1"/>
    <col min="14" max="14" width="12.5703125" bestFit="1" customWidth="1"/>
    <col min="15" max="15" width="8.5703125" bestFit="1" customWidth="1"/>
    <col min="16" max="16" width="8.140625" bestFit="1" customWidth="1"/>
    <col min="17" max="17" width="11" bestFit="1" customWidth="1"/>
    <col min="18" max="18" width="11.5703125" customWidth="1"/>
    <col min="19" max="19" width="7.85546875" bestFit="1" customWidth="1"/>
    <col min="20" max="20" width="9.5703125" customWidth="1"/>
    <col min="21" max="21" width="7.28515625" bestFit="1" customWidth="1"/>
    <col min="22" max="22" width="8.5703125" bestFit="1" customWidth="1"/>
    <col min="23" max="23" width="8" bestFit="1" customWidth="1"/>
    <col min="24" max="24" width="8.7109375" bestFit="1" customWidth="1"/>
    <col min="25" max="27" width="8" bestFit="1" customWidth="1"/>
    <col min="28" max="28" width="5.85546875" bestFit="1" customWidth="1"/>
    <col min="29" max="29" width="10.28515625" customWidth="1"/>
    <col min="30" max="30" width="8.28515625" customWidth="1"/>
    <col min="31" max="31" width="7.85546875" bestFit="1" customWidth="1"/>
    <col min="32" max="32" width="8.5703125" bestFit="1" customWidth="1"/>
    <col min="33" max="33" width="8.42578125" customWidth="1"/>
    <col min="34" max="35" width="7.85546875" bestFit="1" customWidth="1"/>
    <col min="36" max="36" width="7.85546875" customWidth="1"/>
    <col min="37" max="37" width="10.140625" customWidth="1"/>
    <col min="38" max="48" width="12.42578125" customWidth="1"/>
    <col min="49" max="49" width="11.85546875" customWidth="1"/>
    <col min="50" max="50" width="13" customWidth="1"/>
    <col min="51" max="51" width="24.7109375" customWidth="1"/>
    <col min="52" max="80" width="3.140625" bestFit="1" customWidth="1"/>
  </cols>
  <sheetData>
    <row r="1" spans="1:80" ht="108" customHeight="1" thickBot="1">
      <c r="A1" s="238" t="s">
        <v>130</v>
      </c>
      <c r="B1" s="238" t="s">
        <v>418</v>
      </c>
      <c r="C1" s="238" t="s">
        <v>419</v>
      </c>
      <c r="D1" s="238" t="s">
        <v>22</v>
      </c>
      <c r="E1" s="239" t="s">
        <v>74</v>
      </c>
      <c r="F1" s="238" t="s">
        <v>1</v>
      </c>
      <c r="G1" s="238" t="s">
        <v>2</v>
      </c>
      <c r="H1" s="238" t="s">
        <v>42</v>
      </c>
      <c r="I1" s="238" t="s">
        <v>43</v>
      </c>
      <c r="J1" s="238" t="s">
        <v>33</v>
      </c>
      <c r="K1" s="238" t="s">
        <v>390</v>
      </c>
      <c r="L1" s="238" t="s">
        <v>75</v>
      </c>
      <c r="M1" s="240" t="s">
        <v>3</v>
      </c>
      <c r="N1" s="240" t="s">
        <v>357</v>
      </c>
      <c r="O1" s="238" t="s">
        <v>4</v>
      </c>
      <c r="P1" s="238" t="s">
        <v>136</v>
      </c>
      <c r="Q1" s="238" t="s">
        <v>5</v>
      </c>
      <c r="R1" s="238" t="s">
        <v>6</v>
      </c>
      <c r="S1" s="240" t="s">
        <v>352</v>
      </c>
      <c r="T1" s="240" t="s">
        <v>351</v>
      </c>
      <c r="U1" s="240" t="s">
        <v>7</v>
      </c>
      <c r="V1" s="240" t="s">
        <v>8</v>
      </c>
      <c r="W1" s="238" t="s">
        <v>9</v>
      </c>
      <c r="X1" s="241" t="s">
        <v>10</v>
      </c>
      <c r="Y1" s="241" t="s">
        <v>11</v>
      </c>
      <c r="Z1" s="239" t="s">
        <v>12</v>
      </c>
      <c r="AA1" s="242" t="s">
        <v>73</v>
      </c>
      <c r="AB1" s="238" t="s">
        <v>13</v>
      </c>
      <c r="AC1" s="238" t="s">
        <v>14</v>
      </c>
      <c r="AD1" s="238" t="s">
        <v>15</v>
      </c>
      <c r="AE1" s="238" t="s">
        <v>16</v>
      </c>
      <c r="AF1" s="238" t="s">
        <v>17</v>
      </c>
      <c r="AG1" s="238" t="s">
        <v>18</v>
      </c>
      <c r="AH1" s="238" t="s">
        <v>406</v>
      </c>
      <c r="AI1" s="240" t="s">
        <v>76</v>
      </c>
      <c r="AJ1" s="240" t="s">
        <v>217</v>
      </c>
      <c r="AK1" s="240" t="s">
        <v>173</v>
      </c>
      <c r="AL1" s="240" t="s">
        <v>174</v>
      </c>
      <c r="AM1" s="240" t="s">
        <v>172</v>
      </c>
      <c r="AN1" s="238" t="s">
        <v>77</v>
      </c>
      <c r="AO1" s="238" t="s">
        <v>366</v>
      </c>
      <c r="AP1" s="238" t="s">
        <v>21</v>
      </c>
      <c r="AQ1" s="238" t="s">
        <v>218</v>
      </c>
      <c r="AR1" s="238" t="s">
        <v>219</v>
      </c>
      <c r="AS1" s="238" t="s">
        <v>362</v>
      </c>
      <c r="AT1" s="238" t="s">
        <v>363</v>
      </c>
      <c r="AU1" s="238" t="s">
        <v>364</v>
      </c>
      <c r="AV1" s="238" t="s">
        <v>365</v>
      </c>
      <c r="AW1" s="238" t="s">
        <v>19</v>
      </c>
      <c r="AX1" s="238" t="s">
        <v>20</v>
      </c>
      <c r="AY1" s="238" t="s">
        <v>152</v>
      </c>
      <c r="AZ1" s="243" t="s">
        <v>53</v>
      </c>
      <c r="BA1" s="243" t="s">
        <v>380</v>
      </c>
      <c r="BB1" s="243" t="s">
        <v>143</v>
      </c>
      <c r="BC1" s="243" t="s">
        <v>142</v>
      </c>
      <c r="BD1" s="243" t="s">
        <v>51</v>
      </c>
      <c r="BE1" s="243" t="s">
        <v>141</v>
      </c>
      <c r="BF1" s="243" t="s">
        <v>404</v>
      </c>
      <c r="BG1" s="243" t="s">
        <v>405</v>
      </c>
      <c r="BH1" s="243" t="s">
        <v>83</v>
      </c>
      <c r="BI1" s="243" t="s">
        <v>80</v>
      </c>
      <c r="BJ1" s="243" t="s">
        <v>48</v>
      </c>
      <c r="BK1" s="243" t="s">
        <v>82</v>
      </c>
      <c r="BL1" s="243" t="s">
        <v>81</v>
      </c>
      <c r="BM1" s="243" t="s">
        <v>52</v>
      </c>
      <c r="BN1" s="243" t="s">
        <v>228</v>
      </c>
      <c r="BO1" s="243" t="s">
        <v>239</v>
      </c>
      <c r="BP1" s="243" t="s">
        <v>195</v>
      </c>
      <c r="BQ1" s="243" t="s">
        <v>361</v>
      </c>
      <c r="BR1" s="243" t="s">
        <v>71</v>
      </c>
      <c r="BS1" s="243" t="s">
        <v>402</v>
      </c>
      <c r="BT1" s="243" t="s">
        <v>72</v>
      </c>
      <c r="BU1" s="243" t="s">
        <v>50</v>
      </c>
      <c r="BV1" s="243" t="s">
        <v>49</v>
      </c>
      <c r="BW1" s="243" t="s">
        <v>70</v>
      </c>
      <c r="BX1" s="243" t="s">
        <v>46</v>
      </c>
      <c r="BY1" s="243" t="s">
        <v>44</v>
      </c>
      <c r="BZ1" s="243" t="s">
        <v>45</v>
      </c>
      <c r="CA1" s="243" t="s">
        <v>47</v>
      </c>
      <c r="CB1" s="243" t="s">
        <v>69</v>
      </c>
    </row>
    <row r="2" spans="1:80" ht="15.75" thickTop="1"/>
  </sheetData>
  <conditionalFormatting sqref="I3:I1048281">
    <cfRule type="containsText" dxfId="319" priority="1" stopIfTrue="1" operator="containsText" text="MQ">
      <formula>NOT(ISERROR(SEARCH("MQ",I3)))</formula>
    </cfRule>
  </conditionalFormatting>
  <pageMargins left="0.7" right="0.7" top="0.75" bottom="0.75" header="0.3" footer="0.3"/>
  <pageSetup orientation="portrait" horizontalDpi="300" verticalDpi="0"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AK136"/>
  <sheetViews>
    <sheetView workbookViewId="0">
      <selection activeCell="C2" sqref="C2:F16"/>
    </sheetView>
  </sheetViews>
  <sheetFormatPr defaultRowHeight="15"/>
  <cols>
    <col min="1" max="1" width="14.5703125" customWidth="1"/>
    <col min="2" max="2" width="2.7109375" customWidth="1"/>
    <col min="3" max="3" width="9.7109375" bestFit="1" customWidth="1"/>
    <col min="4" max="4" width="9.28515625" style="262" bestFit="1" customWidth="1"/>
    <col min="5" max="5" width="15" style="262" customWidth="1"/>
    <col min="6" max="6" width="10.42578125" style="262" customWidth="1"/>
    <col min="7" max="7" width="2.140625" customWidth="1"/>
    <col min="9" max="9" width="1.7109375" customWidth="1"/>
    <col min="10" max="10" width="23.85546875" bestFit="1" customWidth="1"/>
    <col min="11" max="11" width="2.140625" customWidth="1"/>
    <col min="12" max="12" width="7.140625" bestFit="1" customWidth="1"/>
    <col min="13" max="13" width="3" customWidth="1"/>
    <col min="14" max="14" width="24.85546875" customWidth="1"/>
    <col min="15" max="15" width="2.5703125" customWidth="1"/>
    <col min="16" max="16" width="34.28515625" bestFit="1" customWidth="1"/>
    <col min="17" max="17" width="2.7109375" customWidth="1"/>
    <col min="18" max="18" width="14.5703125" bestFit="1" customWidth="1"/>
    <col min="19" max="19" width="2.42578125" customWidth="1"/>
    <col min="20" max="20" width="9.28515625" customWidth="1"/>
    <col min="21" max="21" width="10.140625" customWidth="1"/>
    <col min="23" max="23" width="8.85546875" customWidth="1"/>
    <col min="25" max="25" width="8.28515625" bestFit="1" customWidth="1"/>
    <col min="26" max="26" width="9" customWidth="1"/>
    <col min="27" max="27" width="30.5703125" hidden="1" customWidth="1"/>
    <col min="28" max="29" width="16.5703125" style="14" hidden="1" customWidth="1"/>
    <col min="30" max="30" width="15.7109375" style="14" hidden="1" customWidth="1"/>
    <col min="31" max="31" width="12.28515625" style="14" hidden="1" customWidth="1"/>
    <col min="32" max="32" width="3.28515625" hidden="1" customWidth="1"/>
    <col min="33" max="33" width="22.42578125" hidden="1" customWidth="1"/>
    <col min="34" max="34" width="11.42578125" hidden="1" customWidth="1"/>
    <col min="35" max="35" width="3.28515625" hidden="1" customWidth="1"/>
    <col min="36" max="36" width="19.28515625" hidden="1" customWidth="1"/>
    <col min="37" max="37" width="15.7109375" hidden="1" customWidth="1"/>
    <col min="38" max="39" width="9.140625" customWidth="1"/>
  </cols>
  <sheetData>
    <row r="1" spans="1:37" ht="28.5">
      <c r="A1" s="109" t="s">
        <v>207</v>
      </c>
      <c r="C1" s="267" t="s">
        <v>210</v>
      </c>
      <c r="D1" s="267" t="s">
        <v>2098</v>
      </c>
      <c r="E1" s="265" t="s">
        <v>2112</v>
      </c>
      <c r="F1" s="267" t="s">
        <v>2111</v>
      </c>
      <c r="H1" s="139" t="s">
        <v>229</v>
      </c>
      <c r="J1" s="139" t="s">
        <v>230</v>
      </c>
      <c r="L1" s="228" t="s">
        <v>418</v>
      </c>
      <c r="N1" s="228" t="s">
        <v>357</v>
      </c>
      <c r="P1" s="228" t="s">
        <v>535</v>
      </c>
      <c r="R1" t="s">
        <v>509</v>
      </c>
      <c r="T1" t="s">
        <v>530</v>
      </c>
      <c r="U1" t="s">
        <v>418</v>
      </c>
      <c r="V1" t="s">
        <v>419</v>
      </c>
      <c r="X1" s="138" t="s">
        <v>215</v>
      </c>
      <c r="AA1" t="s">
        <v>352</v>
      </c>
      <c r="AB1" t="s">
        <v>351</v>
      </c>
      <c r="AC1" s="14" t="s">
        <v>12</v>
      </c>
      <c r="AD1" t="s">
        <v>241</v>
      </c>
      <c r="AE1" t="s">
        <v>2110</v>
      </c>
      <c r="AF1" s="185"/>
      <c r="AG1" s="371" t="s">
        <v>348</v>
      </c>
      <c r="AH1" s="372" t="s">
        <v>349</v>
      </c>
      <c r="AI1" s="373"/>
      <c r="AJ1" s="374" t="s">
        <v>351</v>
      </c>
      <c r="AK1" s="374" t="s">
        <v>349</v>
      </c>
    </row>
    <row r="2" spans="1:37">
      <c r="A2" s="130" t="s">
        <v>95</v>
      </c>
      <c r="C2" s="131" t="s">
        <v>3992</v>
      </c>
      <c r="D2" s="14">
        <v>12704716</v>
      </c>
      <c r="E2" s="14" t="s">
        <v>79</v>
      </c>
      <c r="F2" s="262" t="b">
        <v>0</v>
      </c>
      <c r="H2" s="139" t="s">
        <v>35</v>
      </c>
      <c r="J2" s="262" t="s">
        <v>2339</v>
      </c>
      <c r="L2" s="228" t="s">
        <v>420</v>
      </c>
      <c r="N2" s="228" t="s">
        <v>53</v>
      </c>
      <c r="P2" s="262" t="s">
        <v>462</v>
      </c>
      <c r="R2" t="s">
        <v>507</v>
      </c>
      <c r="T2" t="s">
        <v>531</v>
      </c>
      <c r="U2" t="s">
        <v>423</v>
      </c>
      <c r="V2" t="s">
        <v>534</v>
      </c>
      <c r="X2" s="136" t="s">
        <v>216</v>
      </c>
      <c r="Y2" s="142">
        <v>33.700000000000003</v>
      </c>
      <c r="AA2" s="262" t="s">
        <v>2172</v>
      </c>
      <c r="AB2" s="262" t="s">
        <v>2132</v>
      </c>
      <c r="AC2" s="262"/>
      <c r="AD2" s="262" t="s">
        <v>242</v>
      </c>
      <c r="AE2"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2" s="375" t="s">
        <v>2155</v>
      </c>
      <c r="AH2" s="376">
        <f>Network_Market_Data_2014</f>
        <v>71</v>
      </c>
      <c r="AI2" s="377"/>
      <c r="AJ2" s="378" t="s">
        <v>296</v>
      </c>
      <c r="AK2" s="379">
        <f>IBM_pSeries_Tier1_2014</f>
        <v>609</v>
      </c>
    </row>
    <row r="3" spans="1:37">
      <c r="A3" s="130" t="s">
        <v>144</v>
      </c>
      <c r="C3" s="262" t="s">
        <v>4005</v>
      </c>
      <c r="D3" s="14">
        <v>11856073</v>
      </c>
      <c r="E3" s="14" t="s">
        <v>79</v>
      </c>
      <c r="F3" s="262" t="b">
        <v>0</v>
      </c>
      <c r="H3" s="139" t="s">
        <v>32</v>
      </c>
      <c r="J3" s="262" t="s">
        <v>24</v>
      </c>
      <c r="L3" s="228" t="s">
        <v>421</v>
      </c>
      <c r="N3" s="262" t="s">
        <v>2214</v>
      </c>
      <c r="P3" s="262" t="s">
        <v>4067</v>
      </c>
      <c r="R3" t="s">
        <v>12</v>
      </c>
      <c r="T3" t="s">
        <v>532</v>
      </c>
      <c r="U3" t="s">
        <v>423</v>
      </c>
      <c r="V3" t="s">
        <v>534</v>
      </c>
      <c r="AA3" s="262" t="s">
        <v>2430</v>
      </c>
      <c r="AB3" s="262" t="s">
        <v>2133</v>
      </c>
      <c r="AC3" s="262"/>
      <c r="AD3" s="262" t="s">
        <v>242</v>
      </c>
      <c r="AE3"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3" s="375" t="s">
        <v>350</v>
      </c>
      <c r="AH3" s="376">
        <f>Network_Server_2014</f>
        <v>71</v>
      </c>
      <c r="AI3" s="377"/>
      <c r="AJ3" s="378" t="s">
        <v>299</v>
      </c>
      <c r="AK3" s="379">
        <f>IBM_pSeries_Tier2_2014</f>
        <v>829</v>
      </c>
    </row>
    <row r="4" spans="1:37">
      <c r="A4" s="130" t="s">
        <v>116</v>
      </c>
      <c r="C4" s="262" t="s">
        <v>79</v>
      </c>
      <c r="D4" s="14">
        <v>12379352</v>
      </c>
      <c r="E4" s="14" t="s">
        <v>79</v>
      </c>
      <c r="F4" s="262" t="b">
        <v>1</v>
      </c>
      <c r="H4" s="139" t="s">
        <v>34</v>
      </c>
      <c r="J4" s="262" t="s">
        <v>2405</v>
      </c>
      <c r="L4" s="228" t="s">
        <v>422</v>
      </c>
      <c r="N4" s="228" t="s">
        <v>380</v>
      </c>
      <c r="P4" s="262" t="s">
        <v>55</v>
      </c>
      <c r="R4" t="s">
        <v>92</v>
      </c>
      <c r="T4" t="s">
        <v>533</v>
      </c>
      <c r="U4" t="s">
        <v>423</v>
      </c>
      <c r="V4" t="s">
        <v>534</v>
      </c>
      <c r="AA4" s="262" t="s">
        <v>2173</v>
      </c>
      <c r="AB4" s="262" t="s">
        <v>2133</v>
      </c>
      <c r="AC4" s="262"/>
      <c r="AD4" s="262" t="s">
        <v>242</v>
      </c>
      <c r="AE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4" s="375" t="s">
        <v>2154</v>
      </c>
      <c r="AH4" s="376">
        <f>Network_STI_2014</f>
        <v>71</v>
      </c>
      <c r="AI4" s="377"/>
      <c r="AJ4" s="378" t="s">
        <v>301</v>
      </c>
      <c r="AK4" s="379">
        <f>IBM_pSeries_Tier3_2014</f>
        <v>875</v>
      </c>
    </row>
    <row r="5" spans="1:37">
      <c r="A5" s="130" t="s">
        <v>208</v>
      </c>
      <c r="C5" s="262" t="s">
        <v>3932</v>
      </c>
      <c r="D5" s="14">
        <v>16639135</v>
      </c>
      <c r="E5" s="14" t="s">
        <v>79</v>
      </c>
      <c r="F5" s="262" t="b">
        <v>0</v>
      </c>
      <c r="J5" s="262" t="s">
        <v>2338</v>
      </c>
      <c r="L5" s="228" t="s">
        <v>423</v>
      </c>
      <c r="N5" s="228" t="s">
        <v>143</v>
      </c>
      <c r="P5" s="262" t="s">
        <v>463</v>
      </c>
      <c r="AA5" s="262" t="s">
        <v>2409</v>
      </c>
      <c r="AB5" s="262" t="s">
        <v>2133</v>
      </c>
      <c r="AC5" s="262"/>
      <c r="AD5" s="262" t="s">
        <v>242</v>
      </c>
      <c r="AE5"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5" s="377"/>
      <c r="AH5" s="377"/>
      <c r="AI5" s="377"/>
      <c r="AJ5" s="378" t="s">
        <v>2135</v>
      </c>
      <c r="AK5" s="379">
        <f>Sun_Solaris_Tier1_2014</f>
        <v>278</v>
      </c>
    </row>
    <row r="6" spans="1:37">
      <c r="C6" s="262" t="s">
        <v>211</v>
      </c>
      <c r="D6" s="14">
        <v>14277081</v>
      </c>
      <c r="E6" s="14" t="s">
        <v>211</v>
      </c>
      <c r="F6" s="262" t="b">
        <v>1</v>
      </c>
      <c r="J6" s="262" t="s">
        <v>2186</v>
      </c>
      <c r="N6" s="228" t="s">
        <v>142</v>
      </c>
      <c r="P6" s="262" t="s">
        <v>430</v>
      </c>
      <c r="AA6" s="262" t="s">
        <v>2174</v>
      </c>
      <c r="AB6" s="262" t="s">
        <v>2134</v>
      </c>
      <c r="AC6" s="262"/>
      <c r="AD6" s="262" t="s">
        <v>242</v>
      </c>
      <c r="AE6"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6" s="377"/>
      <c r="AH6" s="377"/>
      <c r="AI6" s="377"/>
      <c r="AJ6" s="378" t="s">
        <v>2136</v>
      </c>
      <c r="AK6" s="379">
        <f>Sun_Solaris_Tier2_2014</f>
        <v>351</v>
      </c>
    </row>
    <row r="7" spans="1:37">
      <c r="C7" s="262" t="s">
        <v>26</v>
      </c>
      <c r="D7" s="14">
        <v>14336204</v>
      </c>
      <c r="E7" s="14" t="s">
        <v>26</v>
      </c>
      <c r="F7" s="262" t="b">
        <v>1</v>
      </c>
      <c r="J7" s="262" t="s">
        <v>2337</v>
      </c>
      <c r="N7" s="228" t="s">
        <v>51</v>
      </c>
      <c r="P7" s="262" t="s">
        <v>429</v>
      </c>
      <c r="AA7" s="262" t="s">
        <v>2175</v>
      </c>
      <c r="AB7" s="262" t="s">
        <v>2134</v>
      </c>
      <c r="AC7" s="262"/>
      <c r="AD7" s="262" t="s">
        <v>244</v>
      </c>
      <c r="AE7"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7" s="377"/>
      <c r="AH7" s="377"/>
      <c r="AI7" s="377"/>
      <c r="AJ7" s="378" t="s">
        <v>2137</v>
      </c>
      <c r="AK7" s="379">
        <f>Sun_Solaris_Tier3_2014</f>
        <v>935</v>
      </c>
    </row>
    <row r="8" spans="1:37">
      <c r="C8" s="262" t="s">
        <v>171</v>
      </c>
      <c r="D8" s="14">
        <v>15849925</v>
      </c>
      <c r="E8" s="14" t="s">
        <v>171</v>
      </c>
      <c r="F8" s="262" t="b">
        <v>1</v>
      </c>
      <c r="J8" s="262" t="s">
        <v>2341</v>
      </c>
      <c r="N8" s="228" t="s">
        <v>141</v>
      </c>
      <c r="P8" s="262" t="s">
        <v>30</v>
      </c>
      <c r="AA8" t="s">
        <v>243</v>
      </c>
      <c r="AB8" t="s">
        <v>2133</v>
      </c>
      <c r="AC8" s="262"/>
      <c r="AD8" t="s">
        <v>244</v>
      </c>
      <c r="AE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8" s="377"/>
      <c r="AH8" s="377"/>
      <c r="AI8" s="377"/>
      <c r="AJ8" s="378" t="s">
        <v>2134</v>
      </c>
      <c r="AK8" s="379">
        <f>x86_Tier1_2014</f>
        <v>172</v>
      </c>
    </row>
    <row r="9" spans="1:37">
      <c r="C9" s="131" t="s">
        <v>466</v>
      </c>
      <c r="D9" s="14">
        <v>15261367</v>
      </c>
      <c r="E9" s="14" t="s">
        <v>466</v>
      </c>
      <c r="F9" s="262" t="b">
        <v>1</v>
      </c>
      <c r="J9" s="262" t="s">
        <v>2342</v>
      </c>
      <c r="N9" s="228" t="s">
        <v>467</v>
      </c>
      <c r="P9" s="262" t="s">
        <v>426</v>
      </c>
      <c r="AA9" t="s">
        <v>245</v>
      </c>
      <c r="AB9" t="s">
        <v>2134</v>
      </c>
      <c r="AC9" s="262"/>
      <c r="AD9" t="s">
        <v>244</v>
      </c>
      <c r="AE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9" s="377"/>
      <c r="AH9" s="377"/>
      <c r="AI9" s="377"/>
      <c r="AJ9" s="378" t="s">
        <v>2132</v>
      </c>
      <c r="AK9" s="379">
        <f>x86_Tier2_2014</f>
        <v>214</v>
      </c>
    </row>
    <row r="10" spans="1:37">
      <c r="C10" s="262" t="s">
        <v>212</v>
      </c>
      <c r="D10" s="14">
        <v>12040422</v>
      </c>
      <c r="E10" s="14" t="s">
        <v>212</v>
      </c>
      <c r="F10" s="262" t="b">
        <v>1</v>
      </c>
      <c r="J10" s="262" t="s">
        <v>144</v>
      </c>
      <c r="N10" s="228" t="s">
        <v>404</v>
      </c>
      <c r="P10" s="262" t="s">
        <v>2301</v>
      </c>
      <c r="AA10" t="s">
        <v>246</v>
      </c>
      <c r="AB10" t="s">
        <v>2134</v>
      </c>
      <c r="AC10" s="262"/>
      <c r="AD10" t="s">
        <v>244</v>
      </c>
      <c r="AE1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c r="AG10" s="377"/>
      <c r="AH10" s="377"/>
      <c r="AI10" s="377"/>
      <c r="AJ10" s="378" t="s">
        <v>2133</v>
      </c>
      <c r="AK10" s="379">
        <f>x86_Tier3_2014</f>
        <v>304</v>
      </c>
    </row>
    <row r="11" spans="1:37">
      <c r="C11" s="262" t="s">
        <v>4139</v>
      </c>
      <c r="D11" s="14">
        <v>15119337</v>
      </c>
      <c r="E11" s="14" t="s">
        <v>212</v>
      </c>
      <c r="F11" s="262" t="b">
        <v>0</v>
      </c>
      <c r="J11" s="262" t="s">
        <v>2340</v>
      </c>
      <c r="N11" s="228" t="s">
        <v>405</v>
      </c>
      <c r="P11" s="262" t="s">
        <v>29</v>
      </c>
      <c r="AA11" t="s">
        <v>247</v>
      </c>
      <c r="AB11" t="s">
        <v>2132</v>
      </c>
      <c r="AC11" s="262"/>
      <c r="AD11" t="s">
        <v>244</v>
      </c>
      <c r="AE1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2" spans="1:37">
      <c r="C12" s="262" t="s">
        <v>213</v>
      </c>
      <c r="D12" s="14">
        <v>11851260</v>
      </c>
      <c r="E12" s="14" t="s">
        <v>213</v>
      </c>
      <c r="F12" s="262" t="b">
        <v>1</v>
      </c>
      <c r="J12" s="262" t="s">
        <v>2343</v>
      </c>
      <c r="N12" s="262" t="s">
        <v>539</v>
      </c>
      <c r="P12" s="262" t="s">
        <v>2297</v>
      </c>
      <c r="AA12" t="s">
        <v>248</v>
      </c>
      <c r="AB12" t="s">
        <v>2132</v>
      </c>
      <c r="AC12" s="262"/>
      <c r="AD12" t="s">
        <v>244</v>
      </c>
      <c r="AE1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3" spans="1:37">
      <c r="C13" s="262" t="s">
        <v>4089</v>
      </c>
      <c r="D13" s="14">
        <v>14336721</v>
      </c>
      <c r="E13" s="14" t="s">
        <v>213</v>
      </c>
      <c r="F13" s="262" t="b">
        <v>0</v>
      </c>
      <c r="J13" s="262" t="s">
        <v>2159</v>
      </c>
      <c r="N13" s="228" t="s">
        <v>83</v>
      </c>
      <c r="P13" s="228" t="s">
        <v>54</v>
      </c>
      <c r="AA13" t="s">
        <v>249</v>
      </c>
      <c r="AB13" t="s">
        <v>2134</v>
      </c>
      <c r="AC13" s="262"/>
      <c r="AD13" t="s">
        <v>244</v>
      </c>
      <c r="AE1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4" spans="1:37">
      <c r="C14" s="228" t="s">
        <v>25</v>
      </c>
      <c r="D14" s="14">
        <v>9821149</v>
      </c>
      <c r="E14" s="14" t="s">
        <v>25</v>
      </c>
      <c r="F14" s="262" t="b">
        <v>1</v>
      </c>
      <c r="J14" s="262" t="s">
        <v>2394</v>
      </c>
      <c r="N14" s="228" t="s">
        <v>80</v>
      </c>
      <c r="P14" s="228" t="s">
        <v>54</v>
      </c>
      <c r="AA14" t="s">
        <v>250</v>
      </c>
      <c r="AB14" t="s">
        <v>2134</v>
      </c>
      <c r="AC14" s="262"/>
      <c r="AD14" t="s">
        <v>242</v>
      </c>
      <c r="AE1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5" spans="1:37">
      <c r="C15" s="139" t="s">
        <v>209</v>
      </c>
      <c r="D15" s="14">
        <v>9943748</v>
      </c>
      <c r="E15" s="14" t="s">
        <v>23</v>
      </c>
      <c r="F15" s="262" t="b">
        <v>0</v>
      </c>
      <c r="J15" s="262" t="s">
        <v>2393</v>
      </c>
      <c r="N15" s="262" t="s">
        <v>544</v>
      </c>
      <c r="P15" s="228" t="s">
        <v>2300</v>
      </c>
      <c r="AA15" t="s">
        <v>251</v>
      </c>
      <c r="AB15" t="s">
        <v>2132</v>
      </c>
      <c r="AC15" s="262"/>
      <c r="AD15" t="s">
        <v>242</v>
      </c>
      <c r="AE1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6" spans="1:37">
      <c r="C16" s="262" t="s">
        <v>23</v>
      </c>
      <c r="D16" s="14">
        <v>9943748</v>
      </c>
      <c r="E16" s="14" t="s">
        <v>23</v>
      </c>
      <c r="F16" s="262" t="b">
        <v>1</v>
      </c>
      <c r="J16" s="262" t="s">
        <v>2396</v>
      </c>
      <c r="N16" s="228" t="s">
        <v>547</v>
      </c>
      <c r="P16" s="228" t="s">
        <v>481</v>
      </c>
      <c r="AA16" s="262" t="s">
        <v>2432</v>
      </c>
      <c r="AB16" s="262" t="s">
        <v>2132</v>
      </c>
      <c r="AC16" s="262"/>
      <c r="AD16" s="262" t="s">
        <v>242</v>
      </c>
      <c r="AE16"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7" spans="3:31">
      <c r="J17" s="262" t="s">
        <v>2395</v>
      </c>
      <c r="N17" s="228" t="s">
        <v>82</v>
      </c>
      <c r="P17" t="s">
        <v>481</v>
      </c>
      <c r="AA17" t="s">
        <v>252</v>
      </c>
      <c r="AB17" t="s">
        <v>2132</v>
      </c>
      <c r="AC17" s="262"/>
      <c r="AD17" t="s">
        <v>242</v>
      </c>
      <c r="AE1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8" spans="3:31">
      <c r="J18" s="262" t="s">
        <v>3933</v>
      </c>
      <c r="N18" s="228" t="s">
        <v>81</v>
      </c>
      <c r="P18" t="s">
        <v>2303</v>
      </c>
      <c r="AA18" t="s">
        <v>253</v>
      </c>
      <c r="AB18" t="s">
        <v>2132</v>
      </c>
      <c r="AC18" s="262"/>
      <c r="AD18" t="s">
        <v>242</v>
      </c>
      <c r="AE1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9" spans="3:31">
      <c r="C19" t="s">
        <v>2107</v>
      </c>
      <c r="E19" s="262" t="s">
        <v>2439</v>
      </c>
      <c r="N19" s="262" t="s">
        <v>546</v>
      </c>
      <c r="P19" t="s">
        <v>231</v>
      </c>
      <c r="AA19" s="262" t="s">
        <v>2410</v>
      </c>
      <c r="AB19" s="262" t="s">
        <v>2132</v>
      </c>
      <c r="AC19" s="262"/>
      <c r="AD19" s="262" t="s">
        <v>242</v>
      </c>
      <c r="AE19"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0" spans="3:31">
      <c r="C20" t="s">
        <v>79</v>
      </c>
      <c r="E20" s="262" t="s">
        <v>2443</v>
      </c>
      <c r="N20" s="270" t="s">
        <v>2327</v>
      </c>
      <c r="P20" t="s">
        <v>231</v>
      </c>
      <c r="AA20" t="s">
        <v>254</v>
      </c>
      <c r="AB20" t="s">
        <v>2132</v>
      </c>
      <c r="AC20" s="262"/>
      <c r="AD20" t="s">
        <v>242</v>
      </c>
      <c r="AE2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1" spans="3:31">
      <c r="C21" t="s">
        <v>211</v>
      </c>
      <c r="E21" s="262" t="s">
        <v>2440</v>
      </c>
      <c r="N21" s="270" t="s">
        <v>2328</v>
      </c>
      <c r="P21" t="s">
        <v>31</v>
      </c>
      <c r="AA21" t="s">
        <v>255</v>
      </c>
      <c r="AB21" t="s">
        <v>2132</v>
      </c>
      <c r="AC21" s="262"/>
      <c r="AD21" t="s">
        <v>244</v>
      </c>
      <c r="AE2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2" spans="3:31">
      <c r="C22" t="s">
        <v>26</v>
      </c>
      <c r="E22" s="262" t="s">
        <v>2444</v>
      </c>
      <c r="N22" s="228" t="s">
        <v>52</v>
      </c>
      <c r="P22" t="s">
        <v>28</v>
      </c>
      <c r="AA22" t="s">
        <v>256</v>
      </c>
      <c r="AB22" t="s">
        <v>2132</v>
      </c>
      <c r="AC22" s="262"/>
      <c r="AD22" t="s">
        <v>244</v>
      </c>
      <c r="AE2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3" spans="3:31">
      <c r="C23" t="s">
        <v>171</v>
      </c>
      <c r="E23" s="262" t="s">
        <v>2442</v>
      </c>
      <c r="N23" s="262" t="s">
        <v>2346</v>
      </c>
      <c r="P23" t="s">
        <v>206</v>
      </c>
      <c r="AA23" t="s">
        <v>257</v>
      </c>
      <c r="AB23" t="s">
        <v>2132</v>
      </c>
      <c r="AC23" s="262"/>
      <c r="AD23" t="s">
        <v>244</v>
      </c>
      <c r="AE2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4" spans="3:31">
      <c r="C24" t="s">
        <v>466</v>
      </c>
      <c r="E24" s="262" t="s">
        <v>2441</v>
      </c>
      <c r="N24" s="228" t="s">
        <v>2344</v>
      </c>
      <c r="P24" t="s">
        <v>206</v>
      </c>
      <c r="AA24" s="262" t="s">
        <v>2411</v>
      </c>
      <c r="AB24" s="262" t="s">
        <v>2132</v>
      </c>
      <c r="AC24" s="262"/>
      <c r="AD24" s="262" t="s">
        <v>244</v>
      </c>
      <c r="AE2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5" spans="3:31">
      <c r="C25" t="s">
        <v>212</v>
      </c>
      <c r="N25" s="262" t="s">
        <v>2347</v>
      </c>
      <c r="P25" t="s">
        <v>2298</v>
      </c>
      <c r="AA25" t="s">
        <v>258</v>
      </c>
      <c r="AB25" t="s">
        <v>2132</v>
      </c>
      <c r="AC25" s="262"/>
      <c r="AD25" t="s">
        <v>244</v>
      </c>
      <c r="AE2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6" spans="3:31">
      <c r="C26" t="s">
        <v>25</v>
      </c>
      <c r="N26" s="228" t="s">
        <v>2345</v>
      </c>
      <c r="P26" t="s">
        <v>2299</v>
      </c>
      <c r="AA26" t="s">
        <v>259</v>
      </c>
      <c r="AB26" t="s">
        <v>2134</v>
      </c>
      <c r="AC26" s="262"/>
      <c r="AD26" t="s">
        <v>242</v>
      </c>
      <c r="AE2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7" spans="3:31">
      <c r="C27" t="s">
        <v>213</v>
      </c>
      <c r="N27" s="270" t="s">
        <v>2251</v>
      </c>
      <c r="P27" t="s">
        <v>2295</v>
      </c>
      <c r="AA27" t="s">
        <v>260</v>
      </c>
      <c r="AB27" t="s">
        <v>2132</v>
      </c>
      <c r="AC27" s="262"/>
      <c r="AD27" t="s">
        <v>244</v>
      </c>
      <c r="AE2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8" spans="3:31">
      <c r="C28" t="s">
        <v>23</v>
      </c>
      <c r="N28" s="270" t="s">
        <v>2252</v>
      </c>
      <c r="P28" t="s">
        <v>2296</v>
      </c>
      <c r="AA28" t="s">
        <v>261</v>
      </c>
      <c r="AB28" t="s">
        <v>2134</v>
      </c>
      <c r="AC28" s="262"/>
      <c r="AD28" t="s">
        <v>244</v>
      </c>
      <c r="AE2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29" spans="3:31">
      <c r="N29" s="270" t="s">
        <v>2260</v>
      </c>
      <c r="P29" t="s">
        <v>465</v>
      </c>
      <c r="AA29" t="s">
        <v>262</v>
      </c>
      <c r="AB29" t="s">
        <v>2134</v>
      </c>
      <c r="AC29" s="262"/>
      <c r="AD29" t="s">
        <v>244</v>
      </c>
      <c r="AE2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0" spans="3:31">
      <c r="N30" s="270" t="s">
        <v>2261</v>
      </c>
      <c r="P30" t="s">
        <v>465</v>
      </c>
      <c r="AA30" t="s">
        <v>263</v>
      </c>
      <c r="AB30" t="s">
        <v>2132</v>
      </c>
      <c r="AC30" s="262"/>
      <c r="AD30" t="s">
        <v>244</v>
      </c>
      <c r="AE3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1" spans="3:31">
      <c r="N31" s="270" t="s">
        <v>2244</v>
      </c>
      <c r="P31" t="s">
        <v>464</v>
      </c>
      <c r="AA31" t="s">
        <v>264</v>
      </c>
      <c r="AB31" t="s">
        <v>2132</v>
      </c>
      <c r="AC31" s="262"/>
      <c r="AD31" t="s">
        <v>244</v>
      </c>
      <c r="AE3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2" spans="3:31">
      <c r="N32" s="270" t="s">
        <v>2245</v>
      </c>
      <c r="P32" t="s">
        <v>464</v>
      </c>
      <c r="AA32" t="s">
        <v>265</v>
      </c>
      <c r="AB32" t="s">
        <v>2132</v>
      </c>
      <c r="AC32" s="262"/>
      <c r="AD32" t="s">
        <v>244</v>
      </c>
      <c r="AE3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3" spans="14:31">
      <c r="N33" s="270" t="s">
        <v>2258</v>
      </c>
      <c r="P33" t="s">
        <v>427</v>
      </c>
      <c r="AA33" t="s">
        <v>266</v>
      </c>
      <c r="AB33" t="s">
        <v>2132</v>
      </c>
      <c r="AC33" s="262"/>
      <c r="AD33" t="s">
        <v>242</v>
      </c>
      <c r="AE3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4" spans="14:31">
      <c r="N34" s="270" t="s">
        <v>2259</v>
      </c>
      <c r="P34" t="s">
        <v>427</v>
      </c>
      <c r="AA34" t="s">
        <v>267</v>
      </c>
      <c r="AB34" t="s">
        <v>2134</v>
      </c>
      <c r="AC34" s="262"/>
      <c r="AD34" t="s">
        <v>244</v>
      </c>
      <c r="AE3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5" spans="14:31">
      <c r="N35" s="270" t="s">
        <v>2246</v>
      </c>
      <c r="P35" t="s">
        <v>2302</v>
      </c>
      <c r="AA35" t="s">
        <v>268</v>
      </c>
      <c r="AB35" t="s">
        <v>2132</v>
      </c>
      <c r="AC35" s="262"/>
      <c r="AD35" t="s">
        <v>244</v>
      </c>
      <c r="AE3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6" spans="14:31">
      <c r="N36" s="270" t="s">
        <v>2247</v>
      </c>
      <c r="P36" t="s">
        <v>2159</v>
      </c>
      <c r="AA36" t="s">
        <v>269</v>
      </c>
      <c r="AB36" t="s">
        <v>2134</v>
      </c>
      <c r="AC36" s="262"/>
      <c r="AD36" t="s">
        <v>242</v>
      </c>
      <c r="AE3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7" spans="14:31">
      <c r="N37" s="228" t="s">
        <v>2248</v>
      </c>
      <c r="P37" t="s">
        <v>428</v>
      </c>
      <c r="AA37" t="s">
        <v>270</v>
      </c>
      <c r="AB37" t="s">
        <v>2134</v>
      </c>
      <c r="AC37" s="262"/>
      <c r="AD37" t="s">
        <v>242</v>
      </c>
      <c r="AE3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8" spans="14:31">
      <c r="N38" s="228" t="s">
        <v>2249</v>
      </c>
      <c r="P38" t="s">
        <v>428</v>
      </c>
      <c r="AA38" t="s">
        <v>271</v>
      </c>
      <c r="AB38" t="s">
        <v>2132</v>
      </c>
      <c r="AC38" s="262"/>
      <c r="AD38" t="s">
        <v>242</v>
      </c>
      <c r="AE3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39" spans="14:31">
      <c r="N39" s="228" t="s">
        <v>2237</v>
      </c>
      <c r="AA39" t="s">
        <v>272</v>
      </c>
      <c r="AB39" t="s">
        <v>2134</v>
      </c>
      <c r="AC39" s="262"/>
      <c r="AD39" t="s">
        <v>242</v>
      </c>
      <c r="AE3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0" spans="14:31">
      <c r="N40" s="228" t="s">
        <v>2238</v>
      </c>
      <c r="AA40" t="s">
        <v>273</v>
      </c>
      <c r="AB40" t="s">
        <v>2132</v>
      </c>
      <c r="AC40" s="262"/>
      <c r="AD40" t="s">
        <v>244</v>
      </c>
      <c r="AE4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1" spans="14:31">
      <c r="N41" s="228" t="s">
        <v>483</v>
      </c>
      <c r="AA41" t="s">
        <v>274</v>
      </c>
      <c r="AB41" t="s">
        <v>2132</v>
      </c>
      <c r="AC41" s="262"/>
      <c r="AD41" t="s">
        <v>244</v>
      </c>
      <c r="AE4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2" spans="14:31">
      <c r="N42" s="228" t="s">
        <v>2254</v>
      </c>
      <c r="AA42" t="s">
        <v>275</v>
      </c>
      <c r="AB42" t="s">
        <v>2132</v>
      </c>
      <c r="AC42" s="262"/>
      <c r="AD42" t="s">
        <v>242</v>
      </c>
      <c r="AE4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3" spans="14:31">
      <c r="N43" s="228" t="s">
        <v>2255</v>
      </c>
      <c r="AA43" t="s">
        <v>276</v>
      </c>
      <c r="AB43" t="s">
        <v>2132</v>
      </c>
      <c r="AC43" s="262"/>
      <c r="AD43" t="s">
        <v>242</v>
      </c>
      <c r="AE4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4" spans="14:31">
      <c r="N44" s="228" t="s">
        <v>72</v>
      </c>
      <c r="AA44" t="s">
        <v>277</v>
      </c>
      <c r="AB44" t="s">
        <v>2132</v>
      </c>
      <c r="AC44" s="262"/>
      <c r="AD44" t="s">
        <v>244</v>
      </c>
      <c r="AE4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5" spans="14:31">
      <c r="N45" s="228" t="s">
        <v>50</v>
      </c>
      <c r="AA45" t="s">
        <v>278</v>
      </c>
      <c r="AB45" t="s">
        <v>2132</v>
      </c>
      <c r="AC45" s="262"/>
      <c r="AD45" t="s">
        <v>244</v>
      </c>
      <c r="AE4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6" spans="14:31">
      <c r="N46" s="228" t="s">
        <v>49</v>
      </c>
      <c r="AA46" t="s">
        <v>2146</v>
      </c>
      <c r="AB46" t="s">
        <v>2132</v>
      </c>
      <c r="AC46" s="262"/>
      <c r="AD46" t="s">
        <v>242</v>
      </c>
      <c r="AE4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7" spans="14:31">
      <c r="N47" s="228" t="s">
        <v>490</v>
      </c>
      <c r="AA47" t="s">
        <v>2142</v>
      </c>
      <c r="AB47" t="s">
        <v>2132</v>
      </c>
      <c r="AC47" s="262"/>
      <c r="AD47" t="s">
        <v>242</v>
      </c>
      <c r="AE4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8" spans="14:31">
      <c r="N48" s="228" t="s">
        <v>70</v>
      </c>
      <c r="AA48" t="s">
        <v>279</v>
      </c>
      <c r="AB48" t="s">
        <v>2132</v>
      </c>
      <c r="AC48" s="262"/>
      <c r="AD48" t="s">
        <v>242</v>
      </c>
      <c r="AE4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49" spans="14:31">
      <c r="N49" s="228" t="s">
        <v>46</v>
      </c>
      <c r="AA49" s="262" t="s">
        <v>2435</v>
      </c>
      <c r="AB49" s="262" t="s">
        <v>2134</v>
      </c>
      <c r="AC49" s="262"/>
      <c r="AD49" s="262" t="s">
        <v>244</v>
      </c>
      <c r="AE49"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0" spans="14:31">
      <c r="N50" s="228" t="s">
        <v>44</v>
      </c>
      <c r="AA50" t="s">
        <v>280</v>
      </c>
      <c r="AB50" t="s">
        <v>2134</v>
      </c>
      <c r="AC50" s="262"/>
      <c r="AD50" t="s">
        <v>244</v>
      </c>
      <c r="AE5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1" spans="14:31">
      <c r="N51" s="228" t="s">
        <v>45</v>
      </c>
      <c r="AA51" t="s">
        <v>281</v>
      </c>
      <c r="AB51" t="s">
        <v>2134</v>
      </c>
      <c r="AC51" s="262"/>
      <c r="AD51" t="s">
        <v>244</v>
      </c>
      <c r="AE5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2" spans="14:31">
      <c r="N52" s="228" t="s">
        <v>47</v>
      </c>
      <c r="AA52" s="262" t="s">
        <v>2412</v>
      </c>
      <c r="AB52" s="262" t="s">
        <v>2134</v>
      </c>
      <c r="AC52" s="262"/>
      <c r="AD52" s="262" t="s">
        <v>244</v>
      </c>
      <c r="AE52"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3" spans="14:31">
      <c r="N53" s="228" t="s">
        <v>69</v>
      </c>
      <c r="AA53" t="s">
        <v>282</v>
      </c>
      <c r="AB53" t="s">
        <v>2132</v>
      </c>
      <c r="AC53" s="262"/>
      <c r="AD53" t="s">
        <v>242</v>
      </c>
      <c r="AE5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4" spans="14:31">
      <c r="AA54" s="262" t="s">
        <v>2433</v>
      </c>
      <c r="AB54" s="262" t="s">
        <v>2133</v>
      </c>
      <c r="AC54" s="262"/>
      <c r="AD54" s="262" t="s">
        <v>242</v>
      </c>
      <c r="AE5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5" spans="14:31">
      <c r="AA55" t="s">
        <v>2143</v>
      </c>
      <c r="AB55" t="s">
        <v>2133</v>
      </c>
      <c r="AC55" s="262"/>
      <c r="AD55" t="s">
        <v>242</v>
      </c>
      <c r="AE5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6" spans="14:31">
      <c r="AA56" s="262" t="s">
        <v>2413</v>
      </c>
      <c r="AB56" s="262" t="s">
        <v>2133</v>
      </c>
      <c r="AC56" s="262"/>
      <c r="AD56" s="262" t="s">
        <v>242</v>
      </c>
      <c r="AE56"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7" spans="14:31">
      <c r="AA57" t="s">
        <v>2144</v>
      </c>
      <c r="AB57" t="s">
        <v>2134</v>
      </c>
      <c r="AC57" s="262"/>
      <c r="AD57" t="s">
        <v>242</v>
      </c>
      <c r="AE5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8" spans="14:31">
      <c r="AA58" t="s">
        <v>2145</v>
      </c>
      <c r="AB58" t="s">
        <v>2134</v>
      </c>
      <c r="AC58" s="262"/>
      <c r="AD58" t="s">
        <v>244</v>
      </c>
      <c r="AE5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59" spans="14:31">
      <c r="AA59" t="s">
        <v>283</v>
      </c>
      <c r="AB59" t="s">
        <v>2134</v>
      </c>
      <c r="AC59" s="262"/>
      <c r="AD59" t="s">
        <v>242</v>
      </c>
      <c r="AE5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0" spans="14:31">
      <c r="AA60" s="262" t="s">
        <v>2408</v>
      </c>
      <c r="AB60" s="262" t="s">
        <v>2134</v>
      </c>
      <c r="AC60" s="262"/>
      <c r="AD60" s="262" t="s">
        <v>242</v>
      </c>
      <c r="AE60" s="26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1" spans="14:31">
      <c r="AA61" s="262" t="s">
        <v>2414</v>
      </c>
      <c r="AB61" s="262" t="s">
        <v>2134</v>
      </c>
      <c r="AC61" s="262"/>
      <c r="AD61" s="262" t="s">
        <v>242</v>
      </c>
      <c r="AE61"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2" spans="14:31">
      <c r="AA62" s="262" t="s">
        <v>2434</v>
      </c>
      <c r="AB62" s="262" t="s">
        <v>2132</v>
      </c>
      <c r="AC62" s="262"/>
      <c r="AD62" s="262" t="s">
        <v>244</v>
      </c>
      <c r="AE62"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3" spans="14:31">
      <c r="AA63" t="s">
        <v>284</v>
      </c>
      <c r="AB63" t="s">
        <v>2132</v>
      </c>
      <c r="AC63" s="262"/>
      <c r="AD63" t="s">
        <v>244</v>
      </c>
      <c r="AE6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4" spans="14:31">
      <c r="AA64" s="262" t="s">
        <v>2415</v>
      </c>
      <c r="AB64" s="262" t="s">
        <v>2132</v>
      </c>
      <c r="AC64" s="262"/>
      <c r="AD64" s="262" t="s">
        <v>244</v>
      </c>
      <c r="AE6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65" spans="27:31">
      <c r="AA65" t="s">
        <v>285</v>
      </c>
      <c r="AB65" t="s">
        <v>2135</v>
      </c>
      <c r="AC65" s="262"/>
      <c r="AD65" t="s">
        <v>244</v>
      </c>
      <c r="AE6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66" spans="27:31">
      <c r="AA66" t="s">
        <v>286</v>
      </c>
      <c r="AB66" t="s">
        <v>2136</v>
      </c>
      <c r="AC66" s="262"/>
      <c r="AD66" t="s">
        <v>244</v>
      </c>
      <c r="AE6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67" spans="27:31">
      <c r="AA67" t="s">
        <v>287</v>
      </c>
      <c r="AB67" t="s">
        <v>2135</v>
      </c>
      <c r="AC67" s="262"/>
      <c r="AD67" t="s">
        <v>244</v>
      </c>
      <c r="AE6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68" spans="27:31">
      <c r="AA68" t="s">
        <v>288</v>
      </c>
      <c r="AB68" t="s">
        <v>2136</v>
      </c>
      <c r="AC68" s="262"/>
      <c r="AD68" t="s">
        <v>244</v>
      </c>
      <c r="AE6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69" spans="27:31">
      <c r="AA69" t="s">
        <v>289</v>
      </c>
      <c r="AB69" t="s">
        <v>2136</v>
      </c>
      <c r="AC69" s="262"/>
      <c r="AD69" t="s">
        <v>244</v>
      </c>
      <c r="AE6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0" spans="27:31">
      <c r="AA70" t="s">
        <v>290</v>
      </c>
      <c r="AB70" t="s">
        <v>2136</v>
      </c>
      <c r="AC70" s="262"/>
      <c r="AD70" t="s">
        <v>244</v>
      </c>
      <c r="AE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1" spans="27:31">
      <c r="AA71" t="s">
        <v>291</v>
      </c>
      <c r="AB71" t="s">
        <v>2136</v>
      </c>
      <c r="AC71" s="262"/>
      <c r="AD71" t="s">
        <v>244</v>
      </c>
      <c r="AE7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2" spans="27:31">
      <c r="AA72" t="s">
        <v>292</v>
      </c>
      <c r="AB72" t="s">
        <v>2136</v>
      </c>
      <c r="AC72" s="262"/>
      <c r="AD72" t="s">
        <v>244</v>
      </c>
      <c r="AE7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3" spans="27:31">
      <c r="AA73" t="s">
        <v>293</v>
      </c>
      <c r="AB73" t="s">
        <v>2135</v>
      </c>
      <c r="AC73" s="262"/>
      <c r="AD73" t="s">
        <v>244</v>
      </c>
      <c r="AE7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4" spans="27:31">
      <c r="AA74" t="s">
        <v>294</v>
      </c>
      <c r="AB74" t="s">
        <v>2137</v>
      </c>
      <c r="AC74" s="262"/>
      <c r="AD74" t="s">
        <v>244</v>
      </c>
      <c r="AE7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75" spans="27:31">
      <c r="AA75" s="262" t="s">
        <v>2157</v>
      </c>
      <c r="AB75" s="262" t="s">
        <v>358</v>
      </c>
      <c r="AC75" s="262"/>
      <c r="AD75" s="262" t="s">
        <v>36</v>
      </c>
      <c r="AE75"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Appliance</v>
      </c>
    </row>
    <row r="76" spans="27:31">
      <c r="AA76" t="s">
        <v>295</v>
      </c>
      <c r="AB76" t="s">
        <v>296</v>
      </c>
      <c r="AC76" s="262"/>
      <c r="AD76" t="s">
        <v>244</v>
      </c>
      <c r="AE7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77" spans="27:31">
      <c r="AA77" t="s">
        <v>297</v>
      </c>
      <c r="AB77" t="s">
        <v>296</v>
      </c>
      <c r="AC77" s="262"/>
      <c r="AD77" t="s">
        <v>244</v>
      </c>
      <c r="AE7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78" spans="27:31">
      <c r="AA78" t="s">
        <v>298</v>
      </c>
      <c r="AB78" t="s">
        <v>299</v>
      </c>
      <c r="AC78" s="262"/>
      <c r="AD78" t="s">
        <v>244</v>
      </c>
      <c r="AE7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79" spans="27:31">
      <c r="AA79" t="s">
        <v>300</v>
      </c>
      <c r="AB79" t="s">
        <v>299</v>
      </c>
      <c r="AC79" s="262"/>
      <c r="AD79" t="s">
        <v>242</v>
      </c>
      <c r="AE7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0" spans="27:31">
      <c r="AA80" t="s">
        <v>302</v>
      </c>
      <c r="AB80" t="s">
        <v>299</v>
      </c>
      <c r="AC80" s="262"/>
      <c r="AD80" t="s">
        <v>244</v>
      </c>
      <c r="AE8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1" spans="27:31">
      <c r="AA81" t="s">
        <v>2138</v>
      </c>
      <c r="AB81" t="s">
        <v>301</v>
      </c>
      <c r="AC81" s="262"/>
      <c r="AD81" t="s">
        <v>242</v>
      </c>
      <c r="AE8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2" spans="27:31">
      <c r="AA82" t="s">
        <v>2139</v>
      </c>
      <c r="AB82" t="s">
        <v>301</v>
      </c>
      <c r="AC82" s="262"/>
      <c r="AD82" t="s">
        <v>242</v>
      </c>
      <c r="AE8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3" spans="27:31">
      <c r="AA83" t="s">
        <v>303</v>
      </c>
      <c r="AB83" t="s">
        <v>296</v>
      </c>
      <c r="AC83" s="262"/>
      <c r="AD83" t="s">
        <v>242</v>
      </c>
      <c r="AE8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4" spans="27:31">
      <c r="AA84" t="s">
        <v>304</v>
      </c>
      <c r="AB84" t="s">
        <v>296</v>
      </c>
      <c r="AC84" s="262"/>
      <c r="AD84" t="s">
        <v>242</v>
      </c>
      <c r="AE8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5" spans="27:31">
      <c r="AA85" t="s">
        <v>305</v>
      </c>
      <c r="AB85" t="s">
        <v>296</v>
      </c>
      <c r="AC85" s="262"/>
      <c r="AD85" t="s">
        <v>242</v>
      </c>
      <c r="AE8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6" spans="27:31">
      <c r="AA86" t="s">
        <v>306</v>
      </c>
      <c r="AB86" t="s">
        <v>299</v>
      </c>
      <c r="AC86" s="262"/>
      <c r="AD86" t="s">
        <v>242</v>
      </c>
      <c r="AE8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7" spans="27:31">
      <c r="AA87" t="s">
        <v>307</v>
      </c>
      <c r="AB87" t="s">
        <v>301</v>
      </c>
      <c r="AC87" s="262"/>
      <c r="AD87" t="s">
        <v>242</v>
      </c>
      <c r="AE8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88" spans="27:31">
      <c r="AA88" t="s">
        <v>308</v>
      </c>
      <c r="AB88" t="s">
        <v>2136</v>
      </c>
      <c r="AC88" s="262"/>
      <c r="AD88" t="s">
        <v>244</v>
      </c>
      <c r="AE8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89" spans="27:31">
      <c r="AA89" t="s">
        <v>309</v>
      </c>
      <c r="AB89" t="s">
        <v>2136</v>
      </c>
      <c r="AC89" s="262"/>
      <c r="AD89" t="s">
        <v>244</v>
      </c>
      <c r="AE8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90" spans="27:31">
      <c r="AA90" t="s">
        <v>310</v>
      </c>
      <c r="AB90" t="s">
        <v>2137</v>
      </c>
      <c r="AC90" s="262"/>
      <c r="AD90" t="s">
        <v>244</v>
      </c>
      <c r="AE9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91" spans="27:31">
      <c r="AA91" t="s">
        <v>311</v>
      </c>
      <c r="AB91" t="s">
        <v>2137</v>
      </c>
      <c r="AC91" s="262"/>
      <c r="AD91" t="s">
        <v>244</v>
      </c>
      <c r="AE9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92" spans="27:31">
      <c r="AA92" t="s">
        <v>312</v>
      </c>
      <c r="AB92" t="s">
        <v>301</v>
      </c>
      <c r="AC92" s="262"/>
      <c r="AD92" t="s">
        <v>244</v>
      </c>
      <c r="AE9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93" spans="27:31">
      <c r="AA93" t="s">
        <v>313</v>
      </c>
      <c r="AB93" t="s">
        <v>296</v>
      </c>
      <c r="AC93" s="262"/>
      <c r="AD93" t="s">
        <v>242</v>
      </c>
      <c r="AE9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94" spans="27:31">
      <c r="AA94" t="s">
        <v>314</v>
      </c>
      <c r="AB94" t="s">
        <v>299</v>
      </c>
      <c r="AC94" s="262"/>
      <c r="AD94" t="s">
        <v>242</v>
      </c>
      <c r="AE9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pSeries</v>
      </c>
    </row>
    <row r="95" spans="27:31">
      <c r="AA95" t="s">
        <v>315</v>
      </c>
      <c r="AB95" t="s">
        <v>2132</v>
      </c>
      <c r="AC95" s="262"/>
      <c r="AD95" t="s">
        <v>242</v>
      </c>
      <c r="AE9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96" spans="27:31">
      <c r="AA96" s="262" t="s">
        <v>2416</v>
      </c>
      <c r="AB96" s="262" t="s">
        <v>2132</v>
      </c>
      <c r="AC96" s="262"/>
      <c r="AD96" s="262" t="s">
        <v>242</v>
      </c>
      <c r="AE96"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97" spans="27:31">
      <c r="AA97" t="s">
        <v>316</v>
      </c>
      <c r="AB97" t="s">
        <v>2132</v>
      </c>
      <c r="AC97" s="262"/>
      <c r="AD97" t="s">
        <v>242</v>
      </c>
      <c r="AE9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98" spans="27:31">
      <c r="AA98" t="s">
        <v>317</v>
      </c>
      <c r="AB98" t="s">
        <v>2133</v>
      </c>
      <c r="AC98" s="262"/>
      <c r="AD98" t="s">
        <v>244</v>
      </c>
      <c r="AE9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99" spans="27:31">
      <c r="AA99" t="s">
        <v>318</v>
      </c>
      <c r="AB99" t="s">
        <v>2132</v>
      </c>
      <c r="AC99" s="262"/>
      <c r="AD99" t="s">
        <v>244</v>
      </c>
      <c r="AE9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00" spans="27:31">
      <c r="AA100" t="s">
        <v>319</v>
      </c>
      <c r="AB100" t="s">
        <v>2132</v>
      </c>
      <c r="AC100" s="262"/>
      <c r="AD100" t="s">
        <v>244</v>
      </c>
      <c r="AE10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x86</v>
      </c>
    </row>
    <row r="101" spans="27:31">
      <c r="AA101" s="262" t="s">
        <v>2149</v>
      </c>
      <c r="AB101" s="262" t="s">
        <v>2148</v>
      </c>
      <c r="AC101" s="262"/>
      <c r="AD101" s="262"/>
      <c r="AE101" s="26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SafeNet</v>
      </c>
    </row>
    <row r="102" spans="27:31">
      <c r="AA102" t="s">
        <v>320</v>
      </c>
      <c r="AB102" t="s">
        <v>2137</v>
      </c>
      <c r="AC102" s="262"/>
      <c r="AD102" t="s">
        <v>244</v>
      </c>
      <c r="AE10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3" spans="27:31">
      <c r="AA103" t="s">
        <v>321</v>
      </c>
      <c r="AB103" t="s">
        <v>2137</v>
      </c>
      <c r="AC103" s="262"/>
      <c r="AD103" t="s">
        <v>244</v>
      </c>
      <c r="AE10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4" spans="27:31">
      <c r="AA104" t="s">
        <v>322</v>
      </c>
      <c r="AB104" t="s">
        <v>2137</v>
      </c>
      <c r="AC104" s="262"/>
      <c r="AD104" t="s">
        <v>244</v>
      </c>
      <c r="AE10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5" spans="27:31">
      <c r="AA105" t="s">
        <v>323</v>
      </c>
      <c r="AB105" t="s">
        <v>2137</v>
      </c>
      <c r="AC105" s="262" t="s">
        <v>2239</v>
      </c>
      <c r="AD105" t="s">
        <v>244</v>
      </c>
      <c r="AE10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6" spans="27:31">
      <c r="AA106" t="s">
        <v>324</v>
      </c>
      <c r="AB106" t="s">
        <v>2137</v>
      </c>
      <c r="AC106" s="262"/>
      <c r="AD106" t="s">
        <v>244</v>
      </c>
      <c r="AE10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7" spans="27:31">
      <c r="AA107" t="s">
        <v>325</v>
      </c>
      <c r="AB107" t="s">
        <v>2135</v>
      </c>
      <c r="AC107" s="262"/>
      <c r="AD107" t="s">
        <v>244</v>
      </c>
      <c r="AE10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8" spans="27:31">
      <c r="AA108" t="s">
        <v>326</v>
      </c>
      <c r="AB108" t="s">
        <v>2135</v>
      </c>
      <c r="AC108" s="262"/>
      <c r="AD108" t="s">
        <v>244</v>
      </c>
      <c r="AE10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09" spans="27:31">
      <c r="AA109" t="s">
        <v>327</v>
      </c>
      <c r="AB109" t="s">
        <v>2135</v>
      </c>
      <c r="AC109" s="262"/>
      <c r="AD109" t="s">
        <v>244</v>
      </c>
      <c r="AE10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0" spans="27:31">
      <c r="AA110" t="s">
        <v>328</v>
      </c>
      <c r="AB110" t="s">
        <v>2137</v>
      </c>
      <c r="AC110" s="262" t="s">
        <v>2239</v>
      </c>
      <c r="AD110" t="s">
        <v>244</v>
      </c>
      <c r="AE11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1" spans="27:31">
      <c r="AA111" t="s">
        <v>329</v>
      </c>
      <c r="AB111" t="s">
        <v>2137</v>
      </c>
      <c r="AC111" s="262"/>
      <c r="AD111" t="s">
        <v>244</v>
      </c>
      <c r="AE11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2" spans="27:31">
      <c r="AA112" t="s">
        <v>330</v>
      </c>
      <c r="AB112" t="s">
        <v>2137</v>
      </c>
      <c r="AC112" s="262"/>
      <c r="AD112" t="s">
        <v>244</v>
      </c>
      <c r="AE11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3" spans="27:31">
      <c r="AA113" t="s">
        <v>331</v>
      </c>
      <c r="AB113" t="s">
        <v>2137</v>
      </c>
      <c r="AC113" s="262"/>
      <c r="AD113" t="s">
        <v>242</v>
      </c>
      <c r="AE11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4" spans="27:31">
      <c r="AA114" t="s">
        <v>332</v>
      </c>
      <c r="AB114" t="s">
        <v>2137</v>
      </c>
      <c r="AC114" s="262"/>
      <c r="AD114" t="s">
        <v>242</v>
      </c>
      <c r="AE11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5" spans="27:31">
      <c r="AA115" t="s">
        <v>333</v>
      </c>
      <c r="AB115" t="s">
        <v>2137</v>
      </c>
      <c r="AC115" s="262"/>
      <c r="AD115" t="s">
        <v>242</v>
      </c>
      <c r="AE11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6" spans="27:31">
      <c r="AA116" t="s">
        <v>334</v>
      </c>
      <c r="AB116" t="s">
        <v>2135</v>
      </c>
      <c r="AC116" s="262"/>
      <c r="AD116" t="s">
        <v>244</v>
      </c>
      <c r="AE11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7" spans="27:31">
      <c r="AA117" t="s">
        <v>335</v>
      </c>
      <c r="AB117" t="s">
        <v>2135</v>
      </c>
      <c r="AC117" s="262"/>
      <c r="AD117" t="s">
        <v>244</v>
      </c>
      <c r="AE11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8" spans="27:31">
      <c r="AA118" t="s">
        <v>336</v>
      </c>
      <c r="AB118" t="s">
        <v>2136</v>
      </c>
      <c r="AC118" s="262"/>
      <c r="AD118" t="s">
        <v>242</v>
      </c>
      <c r="AE11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19" spans="27:31">
      <c r="AA119" t="s">
        <v>337</v>
      </c>
      <c r="AB119" t="s">
        <v>2135</v>
      </c>
      <c r="AC119" s="262"/>
      <c r="AD119" t="s">
        <v>244</v>
      </c>
      <c r="AE11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0" spans="27:31">
      <c r="AA120" t="s">
        <v>338</v>
      </c>
      <c r="AB120" t="s">
        <v>2135</v>
      </c>
      <c r="AC120" s="262"/>
      <c r="AD120" t="s">
        <v>242</v>
      </c>
      <c r="AE12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1" spans="27:31">
      <c r="AA121" t="s">
        <v>339</v>
      </c>
      <c r="AB121" t="s">
        <v>2135</v>
      </c>
      <c r="AC121" s="262"/>
      <c r="AD121" t="s">
        <v>242</v>
      </c>
      <c r="AE121"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2" spans="27:31">
      <c r="AA122" t="s">
        <v>340</v>
      </c>
      <c r="AB122" t="s">
        <v>2136</v>
      </c>
      <c r="AC122" s="262"/>
      <c r="AD122" t="s">
        <v>244</v>
      </c>
      <c r="AE12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3" spans="27:31">
      <c r="AA123" t="s">
        <v>341</v>
      </c>
      <c r="AB123" t="s">
        <v>2137</v>
      </c>
      <c r="AC123" s="262"/>
      <c r="AD123" t="s">
        <v>244</v>
      </c>
      <c r="AE123"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4" spans="27:31">
      <c r="AA124" t="s">
        <v>342</v>
      </c>
      <c r="AB124" t="s">
        <v>2137</v>
      </c>
      <c r="AC124" s="262"/>
      <c r="AD124" t="s">
        <v>244</v>
      </c>
      <c r="AE124"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5" spans="27:31">
      <c r="AA125" t="s">
        <v>343</v>
      </c>
      <c r="AB125" t="s">
        <v>2136</v>
      </c>
      <c r="AC125" s="262"/>
      <c r="AD125" t="s">
        <v>244</v>
      </c>
      <c r="AE125"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6" spans="27:31">
      <c r="AA126" t="s">
        <v>344</v>
      </c>
      <c r="AB126" t="s">
        <v>2136</v>
      </c>
      <c r="AC126" s="262"/>
      <c r="AD126" t="s">
        <v>244</v>
      </c>
      <c r="AE126"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7" spans="27:31">
      <c r="AA127" t="s">
        <v>345</v>
      </c>
      <c r="AB127" t="s">
        <v>2135</v>
      </c>
      <c r="AC127" s="262"/>
      <c r="AD127" t="s">
        <v>244</v>
      </c>
      <c r="AE127"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8" spans="27:31">
      <c r="AA128" t="s">
        <v>346</v>
      </c>
      <c r="AB128" t="s">
        <v>2137</v>
      </c>
      <c r="AC128" s="262"/>
      <c r="AD128" t="s">
        <v>242</v>
      </c>
      <c r="AE128"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29" spans="27:31">
      <c r="AA129" t="s">
        <v>347</v>
      </c>
      <c r="AB129" t="s">
        <v>2137</v>
      </c>
      <c r="AC129" s="262"/>
      <c r="AD129" t="s">
        <v>242</v>
      </c>
      <c r="AE129"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Sun</v>
      </c>
    </row>
    <row r="130" spans="27:31">
      <c r="AA130" s="262" t="s">
        <v>2399</v>
      </c>
      <c r="AB130" s="262" t="s">
        <v>208</v>
      </c>
      <c r="AC130" s="262"/>
      <c r="AD130" s="262" t="s">
        <v>36</v>
      </c>
      <c r="AE130"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1" spans="27:31">
      <c r="AA131" s="262" t="s">
        <v>2400</v>
      </c>
      <c r="AB131" s="262" t="s">
        <v>208</v>
      </c>
      <c r="AC131" s="262"/>
      <c r="AD131" s="262" t="s">
        <v>36</v>
      </c>
      <c r="AE131"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2" spans="27:31">
      <c r="AA132" s="262" t="s">
        <v>2407</v>
      </c>
      <c r="AB132" s="262" t="s">
        <v>208</v>
      </c>
      <c r="AC132" s="262"/>
      <c r="AD132" s="262" t="s">
        <v>36</v>
      </c>
      <c r="AE132"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3" spans="27:31">
      <c r="AA133" s="262" t="s">
        <v>2401</v>
      </c>
      <c r="AB133" s="262" t="s">
        <v>208</v>
      </c>
      <c r="AC133" s="262"/>
      <c r="AD133" s="262" t="s">
        <v>36</v>
      </c>
      <c r="AE133"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4" spans="27:31">
      <c r="AA134" s="262" t="s">
        <v>2402</v>
      </c>
      <c r="AB134" s="262" t="s">
        <v>208</v>
      </c>
      <c r="AC134" s="262"/>
      <c r="AD134" s="262" t="s">
        <v>36</v>
      </c>
      <c r="AE134" s="270"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VMware</v>
      </c>
    </row>
    <row r="135" spans="27:31">
      <c r="AA135" s="262" t="s">
        <v>2140</v>
      </c>
      <c r="AB135" s="262" t="s">
        <v>358</v>
      </c>
      <c r="AC135" s="262"/>
      <c r="AD135" s="262" t="s">
        <v>36</v>
      </c>
      <c r="AE135" s="26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Appliance</v>
      </c>
    </row>
    <row r="136" spans="27:31">
      <c r="AA136" s="262" t="s">
        <v>2141</v>
      </c>
      <c r="AB136" s="262" t="s">
        <v>2141</v>
      </c>
      <c r="AC136" s="262"/>
      <c r="AD136" s="262" t="s">
        <v>36</v>
      </c>
      <c r="AE136" s="262" t="str">
        <f>IF(ISNUMBER(SEARCH("P-Series",ServerModelsTier[Server Tier])),"pSeries",IF(ISNUMBER(SEARCH("Solaris",ServerModelsTier[Server Tier])),"Sun",IF(ISNUMBER(SEARCH("x86",ServerModelsTier[Server Tier])),"x86",IF(ISNUMBER(SEARCH("VMware",ServerModelsTier[Server Tier])),"VMware",IF(ISNUMBER(SEARCH("zLinux",ServerModelsTier[Server Tier])),"zLinux",IF(ISNUMBER(SEARCH("SafeNet",ServerModelsTier[Server Tier])),"SafeNet",IF(ISNUMBER(SEARCH("XI52",ServerModelsTier[Server Tier])),"Appliance","Unknown")))))))</f>
        <v>zLinux</v>
      </c>
    </row>
  </sheetData>
  <sortState ref="P2:P17">
    <sortCondition ref="P3"/>
  </sortState>
  <pageMargins left="0.7" right="0.7" top="0.75" bottom="0.75" header="0.3" footer="0.3"/>
  <pageSetup orientation="portrait" r:id="rId1"/>
  <legacyDrawing r:id="rId2"/>
  <tableParts count="14">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8"/>
  <sheetViews>
    <sheetView workbookViewId="0">
      <selection activeCell="B10" sqref="B10"/>
    </sheetView>
  </sheetViews>
  <sheetFormatPr defaultRowHeight="15"/>
  <cols>
    <col min="1" max="1" width="10.7109375" style="139" customWidth="1"/>
    <col min="2" max="2" width="59.42578125" style="139" bestFit="1" customWidth="1"/>
    <col min="3" max="16384" width="9.140625" style="139"/>
  </cols>
  <sheetData>
    <row r="1" spans="1:5">
      <c r="A1" s="139" t="s">
        <v>221</v>
      </c>
      <c r="B1" s="139" t="s">
        <v>3</v>
      </c>
    </row>
    <row r="3" spans="1:5">
      <c r="A3" s="140">
        <f>SUM(1+0.2+0.2+0.1+0.5)*1.1*1.1*1.1/0.7</f>
        <v>3.8028571428571443</v>
      </c>
      <c r="B3" s="139" t="s">
        <v>222</v>
      </c>
    </row>
    <row r="4" spans="1:5">
      <c r="A4" s="139">
        <f>A6*7</f>
        <v>235.90000000000003</v>
      </c>
      <c r="B4" s="139" t="s">
        <v>223</v>
      </c>
      <c r="E4" s="139">
        <f>33.7*7</f>
        <v>235.90000000000003</v>
      </c>
    </row>
    <row r="5" spans="1:5">
      <c r="A5" s="139">
        <v>0.75</v>
      </c>
      <c r="B5" s="139" t="s">
        <v>224</v>
      </c>
    </row>
    <row r="6" spans="1:5">
      <c r="A6" s="139">
        <v>33.700000000000003</v>
      </c>
      <c r="B6" s="139" t="s">
        <v>225</v>
      </c>
    </row>
    <row r="8" spans="1:5">
      <c r="A8" s="139">
        <v>67.400000000000006</v>
      </c>
      <c r="B8" s="139" t="s">
        <v>226</v>
      </c>
    </row>
  </sheetData>
  <pageMargins left="0.7" right="0.7" top="0.75" bottom="0.75" header="0.3" footer="0.3"/>
  <pageSetup paperSize="0" orientation="portrait" horizontalDpi="0" verticalDpi="0" copies="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L77"/>
  <sheetViews>
    <sheetView workbookViewId="0">
      <selection activeCell="A2" sqref="A2"/>
    </sheetView>
  </sheetViews>
  <sheetFormatPr defaultRowHeight="15"/>
  <cols>
    <col min="1" max="1" width="12.42578125" style="14" bestFit="1" customWidth="1"/>
    <col min="2" max="2" width="9.7109375" style="14" bestFit="1" customWidth="1"/>
    <col min="3" max="3" width="9.5703125" style="14" hidden="1" customWidth="1"/>
    <col min="4" max="4" width="15.42578125" style="14" hidden="1" customWidth="1"/>
    <col min="5" max="5" width="98.140625" customWidth="1"/>
    <col min="6" max="6" width="73.85546875" customWidth="1"/>
  </cols>
  <sheetData>
    <row r="1" spans="1:12">
      <c r="A1" s="198" t="s">
        <v>373</v>
      </c>
      <c r="B1" s="198" t="s">
        <v>374</v>
      </c>
      <c r="C1" s="198" t="s">
        <v>375</v>
      </c>
      <c r="D1" s="198" t="s">
        <v>376</v>
      </c>
      <c r="E1" s="197" t="s">
        <v>152</v>
      </c>
      <c r="F1" s="197" t="s">
        <v>2305</v>
      </c>
    </row>
    <row r="2" spans="1:12" s="204" customFormat="1" ht="30">
      <c r="A2" s="267" t="s">
        <v>3935</v>
      </c>
      <c r="B2" s="199">
        <v>41676</v>
      </c>
      <c r="C2" s="267"/>
      <c r="D2" s="267"/>
      <c r="E2" s="200" t="s">
        <v>3936</v>
      </c>
      <c r="F2" s="206"/>
      <c r="G2"/>
      <c r="H2"/>
      <c r="I2"/>
      <c r="J2"/>
      <c r="K2"/>
      <c r="L2"/>
    </row>
    <row r="3" spans="1:12" ht="45">
      <c r="A3" s="267" t="s">
        <v>3929</v>
      </c>
      <c r="B3" s="199">
        <v>41666</v>
      </c>
      <c r="C3" s="267"/>
      <c r="D3" s="267"/>
      <c r="E3" s="200" t="s">
        <v>3934</v>
      </c>
      <c r="F3" s="206" t="s">
        <v>3930</v>
      </c>
      <c r="J3" s="260"/>
    </row>
    <row r="4" spans="1:12">
      <c r="A4" s="267" t="s">
        <v>3927</v>
      </c>
      <c r="B4" s="199">
        <v>41604</v>
      </c>
      <c r="C4" s="267"/>
      <c r="D4" s="267"/>
      <c r="E4" s="200" t="s">
        <v>3928</v>
      </c>
      <c r="F4" s="206"/>
    </row>
    <row r="5" spans="1:12" ht="30">
      <c r="A5" s="267" t="s">
        <v>3924</v>
      </c>
      <c r="B5" s="199">
        <v>41600</v>
      </c>
      <c r="C5" s="267"/>
      <c r="D5" s="267"/>
      <c r="E5" s="200" t="s">
        <v>3925</v>
      </c>
      <c r="F5" s="206" t="s">
        <v>3926</v>
      </c>
    </row>
    <row r="6" spans="1:12" ht="30">
      <c r="A6" s="267" t="s">
        <v>2452</v>
      </c>
      <c r="B6" s="199">
        <v>41548</v>
      </c>
      <c r="C6" s="267"/>
      <c r="D6" s="267"/>
      <c r="E6" s="200" t="s">
        <v>2450</v>
      </c>
      <c r="F6" s="206"/>
    </row>
    <row r="7" spans="1:12" ht="30">
      <c r="A7" s="267" t="s">
        <v>2448</v>
      </c>
      <c r="B7" s="199">
        <v>41540</v>
      </c>
      <c r="C7" s="267"/>
      <c r="D7" s="267"/>
      <c r="E7" s="200" t="s">
        <v>2449</v>
      </c>
      <c r="F7" s="206"/>
    </row>
    <row r="8" spans="1:12" ht="105">
      <c r="A8" s="267" t="s">
        <v>2446</v>
      </c>
      <c r="B8" s="199">
        <v>41494</v>
      </c>
      <c r="C8" s="267"/>
      <c r="D8" s="267"/>
      <c r="E8" s="200" t="s">
        <v>2447</v>
      </c>
      <c r="F8" s="206"/>
    </row>
    <row r="9" spans="1:12" ht="30">
      <c r="A9" s="267" t="s">
        <v>2437</v>
      </c>
      <c r="B9" s="199">
        <v>41487</v>
      </c>
      <c r="C9" s="267"/>
      <c r="D9" s="267"/>
      <c r="E9" s="200" t="s">
        <v>2438</v>
      </c>
      <c r="F9" s="206"/>
    </row>
    <row r="10" spans="1:12" ht="45">
      <c r="A10" s="267" t="s">
        <v>2431</v>
      </c>
      <c r="B10" s="199">
        <v>41473</v>
      </c>
      <c r="C10" s="267"/>
      <c r="D10" s="267"/>
      <c r="E10" s="200" t="s">
        <v>2436</v>
      </c>
      <c r="F10" s="206"/>
    </row>
    <row r="11" spans="1:12" ht="30">
      <c r="A11" s="267" t="s">
        <v>2428</v>
      </c>
      <c r="B11" s="199">
        <v>41453</v>
      </c>
      <c r="C11" s="267"/>
      <c r="D11" s="267"/>
      <c r="E11" s="200" t="s">
        <v>2429</v>
      </c>
      <c r="F11" s="206"/>
    </row>
    <row r="12" spans="1:12">
      <c r="A12" s="267" t="s">
        <v>2425</v>
      </c>
      <c r="B12" s="199">
        <v>41450</v>
      </c>
      <c r="C12" s="267"/>
      <c r="D12" s="267"/>
      <c r="E12" s="200" t="s">
        <v>2426</v>
      </c>
      <c r="F12" s="206"/>
    </row>
    <row r="13" spans="1:12" ht="180">
      <c r="A13" s="267" t="s">
        <v>2417</v>
      </c>
      <c r="B13" s="199">
        <v>41445</v>
      </c>
      <c r="C13" s="267"/>
      <c r="D13" s="267"/>
      <c r="E13" s="200" t="s">
        <v>2427</v>
      </c>
      <c r="F13" s="206"/>
    </row>
    <row r="14" spans="1:12" ht="60">
      <c r="A14" s="267" t="s">
        <v>2406</v>
      </c>
      <c r="B14" s="199">
        <v>41432</v>
      </c>
      <c r="C14" s="267"/>
      <c r="D14" s="267"/>
      <c r="E14" s="200" t="s">
        <v>2423</v>
      </c>
      <c r="F14" s="206"/>
    </row>
    <row r="15" spans="1:12" ht="90">
      <c r="A15" s="267" t="s">
        <v>2397</v>
      </c>
      <c r="B15" s="199">
        <v>41422</v>
      </c>
      <c r="C15" s="267"/>
      <c r="D15" s="267"/>
      <c r="E15" s="200" t="s">
        <v>2398</v>
      </c>
      <c r="F15" s="206"/>
    </row>
    <row r="16" spans="1:12" ht="60">
      <c r="A16" s="267" t="s">
        <v>2390</v>
      </c>
      <c r="B16" s="199">
        <v>41402</v>
      </c>
      <c r="C16" s="267"/>
      <c r="D16" s="267"/>
      <c r="E16" s="200" t="s">
        <v>2392</v>
      </c>
      <c r="F16" s="206"/>
    </row>
    <row r="17" spans="1:6" ht="30">
      <c r="A17" s="267" t="s">
        <v>2372</v>
      </c>
      <c r="B17" s="199">
        <v>41394</v>
      </c>
      <c r="C17" s="267"/>
      <c r="D17" s="267"/>
      <c r="E17" s="200" t="s">
        <v>2389</v>
      </c>
      <c r="F17" s="206"/>
    </row>
    <row r="18" spans="1:6" ht="30">
      <c r="A18" s="267" t="s">
        <v>2370</v>
      </c>
      <c r="B18" s="199">
        <v>41382</v>
      </c>
      <c r="C18" s="267"/>
      <c r="D18" s="267"/>
      <c r="E18" s="200" t="s">
        <v>2371</v>
      </c>
      <c r="F18" s="206"/>
    </row>
    <row r="19" spans="1:6" ht="30">
      <c r="A19" s="267" t="s">
        <v>2368</v>
      </c>
      <c r="B19" s="199">
        <v>41380</v>
      </c>
      <c r="C19" s="267"/>
      <c r="D19" s="267"/>
      <c r="E19" s="200" t="s">
        <v>2369</v>
      </c>
      <c r="F19" s="206"/>
    </row>
    <row r="20" spans="1:6" ht="30">
      <c r="A20" s="267" t="s">
        <v>2366</v>
      </c>
      <c r="B20" s="199">
        <v>41379</v>
      </c>
      <c r="C20" s="267"/>
      <c r="D20" s="267"/>
      <c r="E20" s="200" t="s">
        <v>2367</v>
      </c>
      <c r="F20" s="206"/>
    </row>
    <row r="21" spans="1:6" ht="150">
      <c r="A21" s="267" t="s">
        <v>2336</v>
      </c>
      <c r="B21" s="199">
        <v>41375</v>
      </c>
      <c r="C21" s="267"/>
      <c r="D21" s="267"/>
      <c r="E21" s="200" t="s">
        <v>2365</v>
      </c>
      <c r="F21" s="206"/>
    </row>
    <row r="22" spans="1:6" ht="30">
      <c r="A22" s="267" t="s">
        <v>2334</v>
      </c>
      <c r="B22" s="199">
        <v>41354</v>
      </c>
      <c r="C22" s="267"/>
      <c r="D22" s="267"/>
      <c r="E22" s="200" t="s">
        <v>2335</v>
      </c>
      <c r="F22" s="206"/>
    </row>
    <row r="23" spans="1:6" ht="30">
      <c r="A23" s="267" t="s">
        <v>2323</v>
      </c>
      <c r="B23" s="199">
        <v>41347</v>
      </c>
      <c r="C23" s="267"/>
      <c r="D23" s="267"/>
      <c r="E23" s="200" t="s">
        <v>2324</v>
      </c>
      <c r="F23" s="206"/>
    </row>
    <row r="24" spans="1:6" ht="75">
      <c r="A24" s="267" t="s">
        <v>2321</v>
      </c>
      <c r="B24" s="199">
        <v>41339</v>
      </c>
      <c r="C24" s="267"/>
      <c r="D24" s="267"/>
      <c r="E24" s="200" t="s">
        <v>2322</v>
      </c>
      <c r="F24" s="206"/>
    </row>
    <row r="25" spans="1:6">
      <c r="A25" s="267" t="s">
        <v>2318</v>
      </c>
      <c r="B25" s="199">
        <v>41331</v>
      </c>
      <c r="C25" s="267"/>
      <c r="D25" s="267"/>
      <c r="E25" s="200" t="s">
        <v>2319</v>
      </c>
      <c r="F25" s="206"/>
    </row>
    <row r="26" spans="1:6">
      <c r="A26" s="267" t="s">
        <v>2316</v>
      </c>
      <c r="B26" s="199">
        <v>41330</v>
      </c>
      <c r="C26" s="267"/>
      <c r="D26" s="267"/>
      <c r="E26" s="200" t="s">
        <v>2317</v>
      </c>
      <c r="F26" s="206"/>
    </row>
    <row r="27" spans="1:6" ht="165">
      <c r="A27" s="267" t="s">
        <v>2313</v>
      </c>
      <c r="B27" s="199">
        <v>41329</v>
      </c>
      <c r="C27" s="267"/>
      <c r="D27" s="267"/>
      <c r="E27" s="200" t="s">
        <v>2315</v>
      </c>
      <c r="F27" s="206"/>
    </row>
    <row r="28" spans="1:6">
      <c r="A28" s="267" t="s">
        <v>2309</v>
      </c>
      <c r="B28" s="199">
        <v>41325</v>
      </c>
      <c r="C28" s="267"/>
      <c r="D28" s="267"/>
      <c r="E28" s="200" t="s">
        <v>2310</v>
      </c>
      <c r="F28" s="206"/>
    </row>
    <row r="29" spans="1:6" ht="180">
      <c r="A29" s="267" t="s">
        <v>2304</v>
      </c>
      <c r="B29" s="199">
        <v>41324</v>
      </c>
      <c r="C29" s="267"/>
      <c r="D29" s="267"/>
      <c r="E29" s="200" t="s">
        <v>2308</v>
      </c>
      <c r="F29" s="206" t="s">
        <v>2307</v>
      </c>
    </row>
    <row r="30" spans="1:6" ht="30">
      <c r="A30" s="267" t="s">
        <v>2235</v>
      </c>
      <c r="B30" s="199">
        <v>41323</v>
      </c>
      <c r="C30" s="267"/>
      <c r="D30" s="267"/>
      <c r="E30" s="200" t="s">
        <v>2236</v>
      </c>
      <c r="F30" s="206"/>
    </row>
    <row r="31" spans="1:6" ht="45">
      <c r="A31" s="267" t="s">
        <v>2233</v>
      </c>
      <c r="B31" s="199">
        <v>41320</v>
      </c>
      <c r="C31" s="267"/>
      <c r="D31" s="267"/>
      <c r="E31" s="200" t="s">
        <v>2234</v>
      </c>
      <c r="F31" s="206"/>
    </row>
    <row r="32" spans="1:6" ht="30">
      <c r="A32" s="267" t="s">
        <v>2231</v>
      </c>
      <c r="B32" s="199">
        <v>41316</v>
      </c>
      <c r="C32" s="267"/>
      <c r="D32" s="267"/>
      <c r="E32" s="200" t="s">
        <v>2232</v>
      </c>
      <c r="F32" s="206"/>
    </row>
    <row r="33" spans="1:6">
      <c r="A33" s="267" t="s">
        <v>2228</v>
      </c>
      <c r="B33" s="199">
        <v>41312</v>
      </c>
      <c r="C33" s="267"/>
      <c r="D33" s="267"/>
      <c r="E33" s="200" t="s">
        <v>2229</v>
      </c>
      <c r="F33" s="206"/>
    </row>
    <row r="34" spans="1:6" ht="30">
      <c r="A34" s="267" t="s">
        <v>2225</v>
      </c>
      <c r="B34" s="199">
        <v>41311</v>
      </c>
      <c r="C34" s="267"/>
      <c r="D34" s="267"/>
      <c r="E34" s="200" t="s">
        <v>2226</v>
      </c>
      <c r="F34" s="206"/>
    </row>
    <row r="35" spans="1:6" ht="122.25">
      <c r="A35" s="267" t="s">
        <v>2221</v>
      </c>
      <c r="B35" s="199">
        <v>41310</v>
      </c>
      <c r="C35" s="267"/>
      <c r="D35" s="267"/>
      <c r="E35" s="200" t="s">
        <v>2224</v>
      </c>
      <c r="F35" s="206" t="s">
        <v>2223</v>
      </c>
    </row>
    <row r="36" spans="1:6" ht="30">
      <c r="A36" s="267" t="s">
        <v>2218</v>
      </c>
      <c r="B36" s="199">
        <v>41308</v>
      </c>
      <c r="C36" s="267"/>
      <c r="D36" s="267"/>
      <c r="E36" s="200" t="s">
        <v>2219</v>
      </c>
      <c r="F36" s="206"/>
    </row>
    <row r="37" spans="1:6" ht="60">
      <c r="A37" s="267" t="s">
        <v>2210</v>
      </c>
      <c r="B37" s="199">
        <v>41306</v>
      </c>
      <c r="C37" s="267"/>
      <c r="D37" s="267"/>
      <c r="E37" s="200" t="s">
        <v>2217</v>
      </c>
      <c r="F37" s="206"/>
    </row>
    <row r="38" spans="1:6" ht="60">
      <c r="A38" s="267" t="s">
        <v>2208</v>
      </c>
      <c r="B38" s="199">
        <v>41305</v>
      </c>
      <c r="C38" s="267"/>
      <c r="D38" s="267"/>
      <c r="E38" s="200" t="s">
        <v>2209</v>
      </c>
      <c r="F38" s="206"/>
    </row>
    <row r="39" spans="1:6" ht="180">
      <c r="A39" s="267" t="s">
        <v>2205</v>
      </c>
      <c r="B39" s="199">
        <v>41304</v>
      </c>
      <c r="C39" s="267"/>
      <c r="D39" s="267"/>
      <c r="E39" s="200" t="s">
        <v>2207</v>
      </c>
      <c r="F39" s="206"/>
    </row>
    <row r="40" spans="1:6" ht="30">
      <c r="A40" s="267" t="s">
        <v>2204</v>
      </c>
      <c r="B40" s="199">
        <v>41303</v>
      </c>
      <c r="C40" s="267"/>
      <c r="D40" s="267"/>
      <c r="E40" s="200" t="s">
        <v>2206</v>
      </c>
      <c r="F40" s="206"/>
    </row>
    <row r="41" spans="1:6">
      <c r="A41" s="267" t="s">
        <v>2202</v>
      </c>
      <c r="B41" s="199">
        <v>41302</v>
      </c>
      <c r="C41" s="267"/>
      <c r="D41" s="267"/>
      <c r="E41" s="415" t="s">
        <v>2203</v>
      </c>
      <c r="F41" s="214"/>
    </row>
    <row r="42" spans="1:6" ht="30">
      <c r="A42" s="267" t="s">
        <v>2200</v>
      </c>
      <c r="B42" s="199">
        <v>41301</v>
      </c>
      <c r="C42" s="267"/>
      <c r="D42" s="267"/>
      <c r="E42" s="200" t="s">
        <v>2201</v>
      </c>
      <c r="F42" s="206"/>
    </row>
    <row r="43" spans="1:6" ht="135">
      <c r="A43" s="267" t="s">
        <v>2197</v>
      </c>
      <c r="B43" s="199">
        <v>41300</v>
      </c>
      <c r="C43" s="267"/>
      <c r="D43" s="267"/>
      <c r="E43" s="200" t="s">
        <v>2199</v>
      </c>
      <c r="F43" s="206"/>
    </row>
    <row r="44" spans="1:6" ht="150">
      <c r="A44" s="267" t="s">
        <v>2187</v>
      </c>
      <c r="B44" s="199">
        <v>41299</v>
      </c>
      <c r="C44" s="267"/>
      <c r="D44" s="267"/>
      <c r="E44" s="200" t="s">
        <v>2198</v>
      </c>
      <c r="F44" s="206"/>
    </row>
    <row r="45" spans="1:6" ht="150">
      <c r="A45" s="267" t="s">
        <v>2170</v>
      </c>
      <c r="B45" s="199">
        <v>41297</v>
      </c>
      <c r="C45" s="267"/>
      <c r="D45" s="267"/>
      <c r="E45" s="200" t="s">
        <v>2177</v>
      </c>
      <c r="F45" s="206"/>
    </row>
    <row r="46" spans="1:6" ht="60">
      <c r="A46" s="267" t="s">
        <v>2164</v>
      </c>
      <c r="B46" s="199">
        <v>41296</v>
      </c>
      <c r="C46" s="267"/>
      <c r="D46" s="267"/>
      <c r="E46" s="200" t="s">
        <v>2176</v>
      </c>
      <c r="F46" s="206"/>
    </row>
    <row r="47" spans="1:6" ht="105">
      <c r="A47" s="267" t="s">
        <v>2160</v>
      </c>
      <c r="B47" s="199">
        <v>41295</v>
      </c>
      <c r="C47" s="267"/>
      <c r="D47" s="267"/>
      <c r="E47" s="200" t="s">
        <v>2163</v>
      </c>
      <c r="F47" s="206"/>
    </row>
    <row r="48" spans="1:6" ht="60">
      <c r="A48" s="267" t="s">
        <v>2156</v>
      </c>
      <c r="B48" s="199">
        <v>41294</v>
      </c>
      <c r="C48" s="267"/>
      <c r="D48" s="267"/>
      <c r="E48" s="200" t="s">
        <v>2158</v>
      </c>
      <c r="F48" s="206"/>
    </row>
    <row r="49" spans="1:6" ht="90">
      <c r="A49" s="267" t="s">
        <v>2130</v>
      </c>
      <c r="B49" s="199">
        <v>41291</v>
      </c>
      <c r="C49" s="267"/>
      <c r="D49" s="267"/>
      <c r="E49" s="200" t="s">
        <v>2131</v>
      </c>
      <c r="F49" s="206"/>
    </row>
    <row r="50" spans="1:6" ht="30">
      <c r="A50" s="267" t="s">
        <v>2128</v>
      </c>
      <c r="B50" s="199">
        <v>41290</v>
      </c>
      <c r="C50" s="267"/>
      <c r="D50" s="267"/>
      <c r="E50" s="200" t="s">
        <v>2129</v>
      </c>
      <c r="F50" s="206"/>
    </row>
    <row r="51" spans="1:6" ht="60">
      <c r="A51" s="267" t="s">
        <v>2125</v>
      </c>
      <c r="B51" s="199">
        <v>41289</v>
      </c>
      <c r="C51" s="267"/>
      <c r="D51" s="267"/>
      <c r="E51" s="200" t="s">
        <v>2126</v>
      </c>
      <c r="F51" s="206"/>
    </row>
    <row r="52" spans="1:6">
      <c r="A52" s="267" t="s">
        <v>2121</v>
      </c>
      <c r="B52" s="199">
        <v>41288</v>
      </c>
      <c r="C52" s="267"/>
      <c r="D52" s="267"/>
      <c r="E52" s="200" t="s">
        <v>2122</v>
      </c>
      <c r="F52" s="206"/>
    </row>
    <row r="53" spans="1:6" ht="60">
      <c r="A53" s="267" t="s">
        <v>2119</v>
      </c>
      <c r="B53" s="199">
        <v>41287</v>
      </c>
      <c r="C53" s="267"/>
      <c r="D53" s="267"/>
      <c r="E53" s="200" t="s">
        <v>2120</v>
      </c>
      <c r="F53" s="206"/>
    </row>
    <row r="54" spans="1:6" ht="60">
      <c r="A54" s="267" t="s">
        <v>2118</v>
      </c>
      <c r="B54" s="199">
        <v>41286</v>
      </c>
      <c r="C54" s="267"/>
      <c r="D54" s="267"/>
      <c r="E54" s="200" t="s">
        <v>2123</v>
      </c>
      <c r="F54" s="206"/>
    </row>
    <row r="55" spans="1:6" ht="105">
      <c r="A55" s="267" t="s">
        <v>2114</v>
      </c>
      <c r="B55" s="199">
        <v>41285</v>
      </c>
      <c r="C55" s="267"/>
      <c r="D55" s="267"/>
      <c r="E55" s="200" t="s">
        <v>2117</v>
      </c>
      <c r="F55" s="206" t="s">
        <v>2124</v>
      </c>
    </row>
    <row r="56" spans="1:6" ht="75">
      <c r="A56" s="267" t="s">
        <v>2108</v>
      </c>
      <c r="B56" s="199">
        <v>41283</v>
      </c>
      <c r="C56" s="267"/>
      <c r="D56" s="267"/>
      <c r="E56" s="200" t="s">
        <v>2109</v>
      </c>
      <c r="F56" s="206"/>
    </row>
    <row r="57" spans="1:6" ht="30">
      <c r="A57" s="267" t="s">
        <v>2099</v>
      </c>
      <c r="B57" s="199">
        <v>41278</v>
      </c>
      <c r="C57" s="267"/>
      <c r="D57" s="267"/>
      <c r="E57" s="200" t="s">
        <v>2100</v>
      </c>
      <c r="F57" s="206"/>
    </row>
    <row r="58" spans="1:6" ht="120">
      <c r="A58" s="267" t="s">
        <v>2092</v>
      </c>
      <c r="B58" s="199">
        <v>41277</v>
      </c>
      <c r="C58" s="267"/>
      <c r="D58" s="267"/>
      <c r="E58" s="200" t="s">
        <v>2101</v>
      </c>
      <c r="F58" s="206"/>
    </row>
    <row r="59" spans="1:6" ht="105">
      <c r="A59" s="267" t="s">
        <v>563</v>
      </c>
      <c r="B59" s="199">
        <v>41276</v>
      </c>
      <c r="C59" s="267"/>
      <c r="D59" s="267"/>
      <c r="E59" s="200" t="s">
        <v>564</v>
      </c>
      <c r="F59" s="206"/>
    </row>
    <row r="60" spans="1:6" ht="30">
      <c r="A60" s="267">
        <v>2.5</v>
      </c>
      <c r="B60" s="199">
        <v>41274</v>
      </c>
      <c r="C60" s="267"/>
      <c r="D60" s="267"/>
      <c r="E60" s="200" t="s">
        <v>562</v>
      </c>
      <c r="F60" s="206"/>
    </row>
    <row r="61" spans="1:6" ht="60">
      <c r="A61" s="267" t="s">
        <v>536</v>
      </c>
      <c r="B61" s="199">
        <v>41262</v>
      </c>
      <c r="C61" s="267"/>
      <c r="D61" s="267"/>
      <c r="E61" s="200" t="s">
        <v>559</v>
      </c>
      <c r="F61" s="206"/>
    </row>
    <row r="62" spans="1:6" ht="30">
      <c r="A62" s="267" t="s">
        <v>557</v>
      </c>
      <c r="B62" s="199">
        <v>41262</v>
      </c>
      <c r="C62" s="267"/>
      <c r="D62" s="267"/>
      <c r="E62" s="200" t="s">
        <v>558</v>
      </c>
      <c r="F62" s="206"/>
    </row>
    <row r="63" spans="1:6">
      <c r="A63" s="267" t="s">
        <v>523</v>
      </c>
      <c r="B63" s="199">
        <v>41257</v>
      </c>
      <c r="C63" s="267"/>
      <c r="D63" s="267"/>
      <c r="E63" s="200" t="s">
        <v>527</v>
      </c>
      <c r="F63" s="206"/>
    </row>
    <row r="64" spans="1:6" ht="30">
      <c r="A64" s="267">
        <v>2.4</v>
      </c>
      <c r="B64" s="199"/>
      <c r="C64" s="267"/>
      <c r="D64" s="267"/>
      <c r="E64" s="200" t="s">
        <v>497</v>
      </c>
      <c r="F64" s="206"/>
    </row>
    <row r="65" spans="1:6" ht="30">
      <c r="A65" s="267">
        <v>2.2999999999999998</v>
      </c>
      <c r="B65" s="199">
        <v>41233</v>
      </c>
      <c r="C65" s="267" t="s">
        <v>377</v>
      </c>
      <c r="D65" s="267"/>
      <c r="E65" s="200" t="s">
        <v>496</v>
      </c>
      <c r="F65" s="206"/>
    </row>
    <row r="66" spans="1:6" ht="60">
      <c r="A66" s="232">
        <v>2.2000000000000002</v>
      </c>
      <c r="B66" s="199">
        <v>41220</v>
      </c>
      <c r="C66" s="231" t="s">
        <v>488</v>
      </c>
      <c r="D66" s="232"/>
      <c r="E66" s="200" t="s">
        <v>494</v>
      </c>
      <c r="F66" s="206"/>
    </row>
    <row r="67" spans="1:6" ht="120">
      <c r="A67" s="232">
        <v>2</v>
      </c>
      <c r="B67" s="199"/>
      <c r="C67" s="232" t="s">
        <v>386</v>
      </c>
      <c r="D67" s="232"/>
      <c r="E67" s="200" t="s">
        <v>480</v>
      </c>
      <c r="F67" s="206"/>
    </row>
    <row r="68" spans="1:6" ht="120">
      <c r="A68" s="232">
        <v>1.9</v>
      </c>
      <c r="B68" s="199"/>
      <c r="C68" s="232" t="s">
        <v>386</v>
      </c>
      <c r="D68" s="232"/>
      <c r="E68" s="200" t="s">
        <v>457</v>
      </c>
      <c r="F68" s="206"/>
    </row>
    <row r="69" spans="1:6" ht="105">
      <c r="A69" s="211">
        <v>1.8</v>
      </c>
      <c r="B69" s="199">
        <v>41128</v>
      </c>
      <c r="C69" s="211" t="s">
        <v>386</v>
      </c>
      <c r="D69" s="211" t="s">
        <v>384</v>
      </c>
      <c r="E69" s="200" t="s">
        <v>431</v>
      </c>
      <c r="F69" s="206"/>
    </row>
    <row r="70" spans="1:6" ht="135">
      <c r="A70" s="201">
        <v>1.7</v>
      </c>
      <c r="B70" s="202">
        <v>41121</v>
      </c>
      <c r="C70" s="201" t="s">
        <v>386</v>
      </c>
      <c r="D70" s="201" t="s">
        <v>384</v>
      </c>
      <c r="E70" s="213" t="s">
        <v>395</v>
      </c>
      <c r="F70" s="206"/>
    </row>
    <row r="71" spans="1:6" ht="105">
      <c r="A71" s="196">
        <v>1.6</v>
      </c>
      <c r="B71" s="203">
        <v>41113</v>
      </c>
      <c r="C71" s="196" t="s">
        <v>377</v>
      </c>
      <c r="D71" s="209" t="s">
        <v>387</v>
      </c>
      <c r="E71" s="200" t="s">
        <v>379</v>
      </c>
      <c r="F71" s="205" t="s">
        <v>378</v>
      </c>
    </row>
    <row r="72" spans="1:6" ht="75">
      <c r="A72" s="198">
        <v>1.5</v>
      </c>
      <c r="B72" s="199"/>
      <c r="C72" s="198"/>
      <c r="D72" s="198"/>
      <c r="E72" s="200" t="s">
        <v>371</v>
      </c>
      <c r="F72" s="206"/>
    </row>
    <row r="73" spans="1:6">
      <c r="A73" s="207">
        <v>1.4</v>
      </c>
      <c r="B73" s="199"/>
      <c r="C73" s="198"/>
      <c r="D73" s="198"/>
      <c r="E73" s="200" t="s">
        <v>356</v>
      </c>
      <c r="F73" s="206"/>
    </row>
    <row r="74" spans="1:6">
      <c r="A74" s="198">
        <v>1.3</v>
      </c>
      <c r="B74" s="199"/>
      <c r="C74" s="198"/>
      <c r="D74" s="198"/>
      <c r="E74" s="200" t="s">
        <v>355</v>
      </c>
      <c r="F74" s="206"/>
    </row>
    <row r="75" spans="1:6" ht="30">
      <c r="A75" s="207">
        <v>1.2</v>
      </c>
      <c r="B75" s="199"/>
      <c r="C75" s="198"/>
      <c r="D75" s="198"/>
      <c r="E75" s="200" t="s">
        <v>240</v>
      </c>
      <c r="F75" s="206"/>
    </row>
    <row r="76" spans="1:6">
      <c r="A76" s="198">
        <v>1.1000000000000001</v>
      </c>
      <c r="B76" s="199"/>
      <c r="C76" s="198"/>
      <c r="D76" s="198"/>
      <c r="E76" s="200" t="s">
        <v>237</v>
      </c>
      <c r="F76" s="206"/>
    </row>
    <row r="77" spans="1:6">
      <c r="A77" s="207">
        <v>1</v>
      </c>
      <c r="B77" s="199"/>
      <c r="C77" s="198"/>
      <c r="D77" s="198"/>
      <c r="E77" s="200" t="s">
        <v>385</v>
      </c>
      <c r="F77" s="206"/>
    </row>
  </sheetData>
  <pageMargins left="0.7" right="0.7" top="0.75" bottom="0.75" header="0.3" footer="0.3"/>
  <pageSetup scale="16"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D8"/>
  <sheetViews>
    <sheetView workbookViewId="0">
      <selection activeCell="B4" sqref="B4"/>
    </sheetView>
  </sheetViews>
  <sheetFormatPr defaultRowHeight="15"/>
  <cols>
    <col min="1" max="1" width="30" style="232" customWidth="1"/>
    <col min="2" max="2" width="97.28515625" style="244" customWidth="1"/>
    <col min="3" max="3" width="27.85546875" bestFit="1" customWidth="1"/>
    <col min="4" max="4" width="26.140625" customWidth="1"/>
  </cols>
  <sheetData>
    <row r="1" spans="1:4">
      <c r="A1" s="232" t="s">
        <v>3</v>
      </c>
      <c r="B1" s="244" t="s">
        <v>456</v>
      </c>
      <c r="C1" s="267" t="s">
        <v>2227</v>
      </c>
      <c r="D1" s="267" t="s">
        <v>459</v>
      </c>
    </row>
    <row r="2" spans="1:4" ht="30">
      <c r="A2" s="353" t="s">
        <v>2361</v>
      </c>
      <c r="B2" s="206" t="s">
        <v>2363</v>
      </c>
      <c r="C2" s="206"/>
      <c r="D2" s="267" t="s">
        <v>2336</v>
      </c>
    </row>
    <row r="3" spans="1:4" ht="75">
      <c r="A3" s="353" t="s">
        <v>2421</v>
      </c>
      <c r="B3" s="206" t="s">
        <v>2422</v>
      </c>
      <c r="C3" s="206"/>
      <c r="D3" s="267"/>
    </row>
    <row r="4" spans="1:4" ht="103.5" customHeight="1">
      <c r="A4" s="353" t="s">
        <v>2404</v>
      </c>
      <c r="B4" s="206"/>
      <c r="C4" s="206" t="s">
        <v>2420</v>
      </c>
      <c r="D4" s="199" t="s">
        <v>2417</v>
      </c>
    </row>
    <row r="5" spans="1:4" ht="88.5" customHeight="1">
      <c r="A5" s="353" t="s">
        <v>2093</v>
      </c>
      <c r="B5" s="206" t="s">
        <v>2166</v>
      </c>
      <c r="C5" s="206" t="s">
        <v>2364</v>
      </c>
      <c r="D5" s="267" t="s">
        <v>2092</v>
      </c>
    </row>
    <row r="6" spans="1:4">
      <c r="A6" s="353" t="s">
        <v>2094</v>
      </c>
      <c r="B6" s="206" t="s">
        <v>2095</v>
      </c>
      <c r="C6" s="206" t="s">
        <v>2364</v>
      </c>
      <c r="D6" s="267" t="s">
        <v>2092</v>
      </c>
    </row>
    <row r="7" spans="1:4" ht="60">
      <c r="A7" s="353" t="s">
        <v>2168</v>
      </c>
      <c r="B7" s="206" t="s">
        <v>2167</v>
      </c>
      <c r="C7" s="206"/>
      <c r="D7" s="267">
        <v>1.9</v>
      </c>
    </row>
    <row r="8" spans="1:4" ht="45">
      <c r="A8" s="353" t="s">
        <v>455</v>
      </c>
      <c r="B8" s="206" t="s">
        <v>2320</v>
      </c>
      <c r="C8" s="206"/>
      <c r="D8" s="267" t="s">
        <v>2362</v>
      </c>
    </row>
  </sheetData>
  <pageMargins left="0.7" right="0.7" top="0.75" bottom="0.75" header="0.3" footer="0.3"/>
  <pageSetup orientation="portrait" r:id="rId1"/>
  <drawing r:id="rId2"/>
  <tableParts count="1">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G26"/>
  <sheetViews>
    <sheetView workbookViewId="0">
      <selection activeCell="D20" sqref="D20"/>
    </sheetView>
  </sheetViews>
  <sheetFormatPr defaultRowHeight="15"/>
  <cols>
    <col min="1" max="1" width="10" style="211" customWidth="1"/>
    <col min="2" max="2" width="15.85546875" style="232" customWidth="1"/>
    <col min="3" max="3" width="14.7109375" style="211" customWidth="1"/>
    <col min="4" max="4" width="56.85546875" customWidth="1"/>
    <col min="5" max="5" width="53.7109375" customWidth="1"/>
    <col min="6" max="6" width="15.7109375" style="235" customWidth="1"/>
    <col min="7" max="7" width="17" bestFit="1" customWidth="1"/>
  </cols>
  <sheetData>
    <row r="1" spans="1:7" s="215" customFormat="1">
      <c r="A1" s="232" t="s">
        <v>397</v>
      </c>
      <c r="B1" s="232" t="s">
        <v>447</v>
      </c>
      <c r="C1" s="232" t="s">
        <v>396</v>
      </c>
      <c r="D1" s="232" t="s">
        <v>3</v>
      </c>
      <c r="E1" s="232" t="s">
        <v>398</v>
      </c>
      <c r="F1" s="232" t="s">
        <v>399</v>
      </c>
      <c r="G1" s="232" t="s">
        <v>459</v>
      </c>
    </row>
    <row r="2" spans="1:7" ht="30">
      <c r="A2" s="232">
        <v>1</v>
      </c>
      <c r="B2" s="232" t="s">
        <v>448</v>
      </c>
      <c r="C2" s="232" t="s">
        <v>242</v>
      </c>
      <c r="D2" s="214" t="s">
        <v>415</v>
      </c>
      <c r="E2" s="214"/>
      <c r="F2" s="232" t="s">
        <v>400</v>
      </c>
      <c r="G2" s="232"/>
    </row>
    <row r="3" spans="1:7" ht="30">
      <c r="A3" s="232">
        <v>2</v>
      </c>
      <c r="B3" s="232" t="s">
        <v>448</v>
      </c>
      <c r="C3" s="232" t="s">
        <v>242</v>
      </c>
      <c r="D3" s="214" t="s">
        <v>416</v>
      </c>
      <c r="E3" s="214"/>
      <c r="F3" s="232" t="s">
        <v>400</v>
      </c>
      <c r="G3" s="232"/>
    </row>
    <row r="4" spans="1:7" ht="30">
      <c r="A4" s="232">
        <v>3</v>
      </c>
      <c r="B4" s="232" t="s">
        <v>449</v>
      </c>
      <c r="C4" s="232" t="s">
        <v>242</v>
      </c>
      <c r="D4" s="214" t="s">
        <v>417</v>
      </c>
      <c r="E4" s="214" t="s">
        <v>412</v>
      </c>
      <c r="F4" s="232" t="s">
        <v>400</v>
      </c>
      <c r="G4" s="232"/>
    </row>
    <row r="5" spans="1:7" ht="30">
      <c r="A5" s="232">
        <v>4</v>
      </c>
      <c r="B5" s="232" t="s">
        <v>450</v>
      </c>
      <c r="C5" s="232" t="s">
        <v>242</v>
      </c>
      <c r="D5" s="214" t="s">
        <v>413</v>
      </c>
      <c r="E5" s="214" t="s">
        <v>414</v>
      </c>
      <c r="F5" s="232" t="s">
        <v>400</v>
      </c>
      <c r="G5" s="232"/>
    </row>
    <row r="6" spans="1:7">
      <c r="A6" s="232">
        <v>5</v>
      </c>
      <c r="B6" s="232" t="s">
        <v>449</v>
      </c>
      <c r="C6" s="232" t="s">
        <v>425</v>
      </c>
      <c r="D6" s="214" t="s">
        <v>424</v>
      </c>
      <c r="E6" s="214" t="s">
        <v>412</v>
      </c>
      <c r="F6" s="232" t="s">
        <v>400</v>
      </c>
      <c r="G6" s="232" t="s">
        <v>2102</v>
      </c>
    </row>
    <row r="7" spans="1:7">
      <c r="A7" s="232">
        <v>6</v>
      </c>
      <c r="B7" s="232" t="s">
        <v>451</v>
      </c>
      <c r="C7" s="232" t="s">
        <v>242</v>
      </c>
      <c r="D7" s="214" t="s">
        <v>433</v>
      </c>
      <c r="E7" s="214"/>
      <c r="F7" s="232" t="s">
        <v>400</v>
      </c>
      <c r="G7" s="232" t="s">
        <v>2092</v>
      </c>
    </row>
    <row r="8" spans="1:7">
      <c r="A8" s="232">
        <v>7</v>
      </c>
      <c r="B8" s="232" t="s">
        <v>453</v>
      </c>
      <c r="C8" s="232" t="s">
        <v>244</v>
      </c>
      <c r="D8" s="214" t="s">
        <v>434</v>
      </c>
      <c r="E8" s="214"/>
      <c r="F8" s="232" t="s">
        <v>400</v>
      </c>
      <c r="G8" s="232">
        <v>1.9</v>
      </c>
    </row>
    <row r="9" spans="1:7">
      <c r="A9" s="232">
        <v>8</v>
      </c>
      <c r="B9" s="232" t="s">
        <v>451</v>
      </c>
      <c r="C9" s="232"/>
      <c r="D9" s="214" t="s">
        <v>482</v>
      </c>
      <c r="E9" s="214"/>
      <c r="F9" s="232" t="s">
        <v>400</v>
      </c>
      <c r="G9" s="232"/>
    </row>
    <row r="10" spans="1:7">
      <c r="A10" s="232">
        <v>9</v>
      </c>
      <c r="B10" s="232" t="s">
        <v>451</v>
      </c>
      <c r="C10" s="232"/>
      <c r="D10" s="214" t="s">
        <v>435</v>
      </c>
      <c r="E10" s="214" t="s">
        <v>2103</v>
      </c>
      <c r="F10" s="232"/>
      <c r="G10" s="232"/>
    </row>
    <row r="11" spans="1:7">
      <c r="A11" s="232">
        <v>10</v>
      </c>
      <c r="B11" s="232" t="s">
        <v>453</v>
      </c>
      <c r="C11" s="232"/>
      <c r="D11" s="214" t="s">
        <v>436</v>
      </c>
      <c r="E11" s="214"/>
      <c r="F11" s="232" t="s">
        <v>400</v>
      </c>
      <c r="G11" s="232">
        <v>1.9</v>
      </c>
    </row>
    <row r="12" spans="1:7">
      <c r="A12" s="232">
        <v>11</v>
      </c>
      <c r="C12" s="232"/>
      <c r="D12" s="214" t="s">
        <v>437</v>
      </c>
      <c r="E12" s="214"/>
      <c r="F12" s="232"/>
      <c r="G12" s="232"/>
    </row>
    <row r="13" spans="1:7" ht="30">
      <c r="A13" s="232">
        <v>12</v>
      </c>
      <c r="B13" s="232" t="s">
        <v>453</v>
      </c>
      <c r="C13" s="232"/>
      <c r="D13" s="214" t="s">
        <v>2193</v>
      </c>
      <c r="E13" s="214" t="s">
        <v>440</v>
      </c>
      <c r="F13" s="232"/>
      <c r="G13" s="232"/>
    </row>
    <row r="14" spans="1:7">
      <c r="A14" s="232">
        <v>13</v>
      </c>
      <c r="B14" s="232" t="s">
        <v>452</v>
      </c>
      <c r="C14" s="232" t="s">
        <v>242</v>
      </c>
      <c r="D14" s="214" t="s">
        <v>454</v>
      </c>
      <c r="E14" s="214" t="s">
        <v>458</v>
      </c>
      <c r="F14" s="232" t="s">
        <v>400</v>
      </c>
      <c r="G14" s="232">
        <v>1.9</v>
      </c>
    </row>
    <row r="15" spans="1:7" ht="30">
      <c r="A15" s="232">
        <v>14</v>
      </c>
      <c r="C15" s="232" t="s">
        <v>484</v>
      </c>
      <c r="D15" s="214" t="s">
        <v>485</v>
      </c>
      <c r="E15" s="214" t="s">
        <v>486</v>
      </c>
      <c r="F15" s="292" t="s">
        <v>400</v>
      </c>
      <c r="G15" s="232">
        <v>2.2000000000000002</v>
      </c>
    </row>
    <row r="16" spans="1:7">
      <c r="A16" s="267">
        <v>15</v>
      </c>
      <c r="B16" s="267" t="s">
        <v>448</v>
      </c>
      <c r="C16" s="267" t="s">
        <v>484</v>
      </c>
      <c r="D16" s="214" t="s">
        <v>495</v>
      </c>
      <c r="E16" s="214"/>
      <c r="F16" s="292"/>
      <c r="G16" s="267"/>
    </row>
    <row r="17" spans="1:7">
      <c r="A17" s="267">
        <v>16</v>
      </c>
      <c r="B17" s="267"/>
      <c r="C17" s="267"/>
      <c r="D17" s="214" t="s">
        <v>2104</v>
      </c>
      <c r="E17" s="214"/>
      <c r="F17" s="273"/>
      <c r="G17" s="267"/>
    </row>
    <row r="18" spans="1:7">
      <c r="D18" s="214"/>
      <c r="E18" s="214"/>
    </row>
    <row r="19" spans="1:7">
      <c r="D19" s="214"/>
      <c r="E19" s="214"/>
    </row>
    <row r="20" spans="1:7">
      <c r="D20" s="214"/>
      <c r="E20" s="214"/>
    </row>
    <row r="21" spans="1:7">
      <c r="D21" s="214"/>
      <c r="E21" s="214"/>
    </row>
    <row r="22" spans="1:7">
      <c r="D22" s="214"/>
      <c r="E22" s="214"/>
    </row>
    <row r="23" spans="1:7">
      <c r="D23" s="214"/>
      <c r="E23" s="214"/>
    </row>
    <row r="24" spans="1:7">
      <c r="D24" s="214"/>
      <c r="E24" s="214"/>
    </row>
    <row r="25" spans="1:7">
      <c r="D25" s="214"/>
      <c r="E25" s="214"/>
    </row>
    <row r="26" spans="1:7">
      <c r="D26" s="185"/>
      <c r="E26" s="185"/>
    </row>
  </sheetData>
  <pageMargins left="0.7" right="0.7" top="0.75" bottom="0.75" header="0.3" footer="0.3"/>
  <pageSetup orientation="portrait" r:id="rId1"/>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ppSettings"/>
  <dimension ref="A1:B11"/>
  <sheetViews>
    <sheetView workbookViewId="0"/>
  </sheetViews>
  <sheetFormatPr defaultRowHeight="15"/>
  <cols>
    <col min="1" max="1" width="22.5703125" customWidth="1"/>
    <col min="2" max="2" width="34.7109375" bestFit="1" customWidth="1"/>
  </cols>
  <sheetData>
    <row r="1" spans="1:2" ht="33.75">
      <c r="A1" s="294" t="s">
        <v>505</v>
      </c>
    </row>
    <row r="3" spans="1:2">
      <c r="A3" t="s">
        <v>499</v>
      </c>
      <c r="B3" s="262" t="s">
        <v>3935</v>
      </c>
    </row>
    <row r="4" spans="1:2">
      <c r="A4" t="s">
        <v>498</v>
      </c>
      <c r="B4" t="b">
        <v>1</v>
      </c>
    </row>
    <row r="5" spans="1:2">
      <c r="A5" t="s">
        <v>503</v>
      </c>
      <c r="B5" t="b">
        <v>1</v>
      </c>
    </row>
    <row r="6" spans="1:2">
      <c r="A6" t="s">
        <v>500</v>
      </c>
    </row>
    <row r="7" spans="1:2">
      <c r="A7" s="2" t="s">
        <v>501</v>
      </c>
      <c r="B7">
        <v>160.5</v>
      </c>
    </row>
    <row r="8" spans="1:2">
      <c r="A8" s="2" t="s">
        <v>502</v>
      </c>
      <c r="B8">
        <v>558.75</v>
      </c>
    </row>
    <row r="9" spans="1:2">
      <c r="A9" t="s">
        <v>504</v>
      </c>
      <c r="B9" s="262"/>
    </row>
    <row r="10" spans="1:2">
      <c r="A10" t="s">
        <v>2115</v>
      </c>
      <c r="B10" s="262" t="s">
        <v>3931</v>
      </c>
    </row>
    <row r="11" spans="1:2">
      <c r="A11" t="s">
        <v>2116</v>
      </c>
      <c r="B11" s="363">
        <v>41666.79109953704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3D1C9D7CD2417428D0B9C0F0D758503" ma:contentTypeVersion="0" ma:contentTypeDescription="Create a new document." ma:contentTypeScope="" ma:versionID="a8b920548d3b85b78cffa706c16c99d3">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CD490586-38F9-4731-92EB-94DD33F61F2E}">
  <ds:schemaRefs>
    <ds:schemaRef ds:uri="http://schemas.microsoft.com/sharepoint/v3/contenttype/forms"/>
  </ds:schemaRefs>
</ds:datastoreItem>
</file>

<file path=customXml/itemProps2.xml><?xml version="1.0" encoding="utf-8"?>
<ds:datastoreItem xmlns:ds="http://schemas.openxmlformats.org/officeDocument/2006/customXml" ds:itemID="{D4BF7F08-3EE1-41C3-AB0D-593D5EB22C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3F64243E-535A-469C-A2D5-66FF7D925C35}">
  <ds:schemaRefs>
    <ds:schemaRef ds:uri="http://www.w3.org/XML/1998/namespace"/>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purl.org/dc/terms/"/>
    <ds:schemaRef ds:uri="http://schemas.microsoft.com/office/2006/documentManagement/typ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362</vt:i4>
      </vt:variant>
    </vt:vector>
  </HeadingPairs>
  <TitlesOfParts>
    <vt:vector size="380" baseType="lpstr">
      <vt:lpstr>Notes</vt:lpstr>
      <vt:lpstr>HostBuild</vt:lpstr>
      <vt:lpstr>Financials</vt:lpstr>
      <vt:lpstr>System Delivery Status</vt:lpstr>
      <vt:lpstr>Stats</vt:lpstr>
      <vt:lpstr>Server HW Summary</vt:lpstr>
      <vt:lpstr>SW Financials Summary</vt:lpstr>
      <vt:lpstr>SW Details</vt:lpstr>
      <vt:lpstr>SW_Unit_costs</vt:lpstr>
      <vt:lpstr>CTI Rate Card 2013 (Complete)</vt:lpstr>
      <vt:lpstr>CTI Rate Card 2014 (Complete)</vt:lpstr>
      <vt:lpstr>Other Products</vt:lpstr>
      <vt:lpstr>Parking Lot</vt:lpstr>
      <vt:lpstr>References</vt:lpstr>
      <vt:lpstr>Defined Values</vt:lpstr>
      <vt:lpstr>BoM Design Log</vt:lpstr>
      <vt:lpstr>BoM Standards Rules</vt:lpstr>
      <vt:lpstr>Future Enhancements</vt:lpstr>
      <vt:lpstr>SW_Unit_costs!AbInitio_p7_All</vt:lpstr>
      <vt:lpstr>SW_Unit_costs!AbInitio_p7_All_Maint</vt:lpstr>
      <vt:lpstr>BoMToolsAtStartup</vt:lpstr>
      <vt:lpstr>BTver</vt:lpstr>
      <vt:lpstr>CA_APM_All_Dev</vt:lpstr>
      <vt:lpstr>CA_APM_All_Dev_Maint</vt:lpstr>
      <vt:lpstr>CA_APM_All_NonDev</vt:lpstr>
      <vt:lpstr>CA_APM_All_NonDev_Maint</vt:lpstr>
      <vt:lpstr>Envs</vt:lpstr>
      <vt:lpstr>ExistingSrvrCells</vt:lpstr>
      <vt:lpstr>FinCAD_X86_All</vt:lpstr>
      <vt:lpstr>FinCAD_X86_All_Maint</vt:lpstr>
      <vt:lpstr>FinCAD_X86_Lic_Rule</vt:lpstr>
      <vt:lpstr>HBAppHeader</vt:lpstr>
      <vt:lpstr>HBCoreData</vt:lpstr>
      <vt:lpstr>HBDMZRequired</vt:lpstr>
      <vt:lpstr>HBEnv</vt:lpstr>
      <vt:lpstr>HBHSMRequired</vt:lpstr>
      <vt:lpstr>HBNetworkInfo</vt:lpstr>
      <vt:lpstr>HBSWLicenses</vt:lpstr>
      <vt:lpstr>HBUseExistingSrvrCfgSWLic</vt:lpstr>
      <vt:lpstr>IBM_BG_Web_Client_pSeries</vt:lpstr>
      <vt:lpstr>IBM_BG_Web_Client_pSeries_Maint</vt:lpstr>
      <vt:lpstr>IBM_Biz_Glossary_pSeries_NonProd</vt:lpstr>
      <vt:lpstr>IBM_Biz_Glossary_pSeries_NonProd_Maint</vt:lpstr>
      <vt:lpstr>IBM_Biz_Glossary_pSeries_Prod</vt:lpstr>
      <vt:lpstr>IBM_Biz_Glossary_pSeries_Prod_Maint</vt:lpstr>
      <vt:lpstr>IBM_Datastage_NonProd</vt:lpstr>
      <vt:lpstr>IBM_Datastage_NonProd_Lic_Rule</vt:lpstr>
      <vt:lpstr>IBM_Datastage_NonProd_Maint</vt:lpstr>
      <vt:lpstr>IBM_Datastage_Prod</vt:lpstr>
      <vt:lpstr>IBM_Datastage_Prod_Lic_Rule</vt:lpstr>
      <vt:lpstr>IBM_Datastage_Prod_Maint</vt:lpstr>
      <vt:lpstr>IBM_DIA_XI52</vt:lpstr>
      <vt:lpstr>IBM_DIA_XI52_Maint</vt:lpstr>
      <vt:lpstr>IBM_DS_Designer_x86</vt:lpstr>
      <vt:lpstr>IBM_DS_Designer_x86_Maint</vt:lpstr>
      <vt:lpstr>IBM_DS_IS_Dir_NonProd</vt:lpstr>
      <vt:lpstr>IBM_DS_IS_Dir_NonProd_Maint</vt:lpstr>
      <vt:lpstr>IBM_DS_IS_Dir_Prod</vt:lpstr>
      <vt:lpstr>IBM_DS_IS_Dir_Prod_Lic_Rule</vt:lpstr>
      <vt:lpstr>IBM_DS_IS_Dir_Prod_Maint</vt:lpstr>
      <vt:lpstr>IBM_HTTP_pSeries_NonProd</vt:lpstr>
      <vt:lpstr>IBM_HTTP_pSeries_NonProd_Lic_Rule</vt:lpstr>
      <vt:lpstr>IBM_HTTP_pSeries_NonProd_Maint</vt:lpstr>
      <vt:lpstr>IBM_HTTP_pSeries_Prod</vt:lpstr>
      <vt:lpstr>IBM_HTTP_pSeries_Prod_Lic_Rule</vt:lpstr>
      <vt:lpstr>IBM_HTTP_pSeries_Prod_Maint</vt:lpstr>
      <vt:lpstr>IBM_HTTP_x86_All</vt:lpstr>
      <vt:lpstr>IBM_HTTP_x86_All_Lic_Rule</vt:lpstr>
      <vt:lpstr>IBM_HTTP_x86_All_Maint</vt:lpstr>
      <vt:lpstr>SW_Unit_costs!IBM_NDM_NonProd</vt:lpstr>
      <vt:lpstr>IBM_NDM_NonProd_Lic_Rule</vt:lpstr>
      <vt:lpstr>SW_Unit_costs!IBM_NDM_NonProd_Maint</vt:lpstr>
      <vt:lpstr>SW_Unit_costs!IBM_NDM_Prod</vt:lpstr>
      <vt:lpstr>IBM_NDM_Prod_Lic_Rule</vt:lpstr>
      <vt:lpstr>SW_Unit_costs!IBM_NDM_Prod_Maint</vt:lpstr>
      <vt:lpstr>IBM_pSeries_Memory_per_GB_2014</vt:lpstr>
      <vt:lpstr>IBM_pSeries_Memory_per_GB_gt_16GB_2013</vt:lpstr>
      <vt:lpstr>IBM_pSeries_Memory_per_GB_gt_16GB_2014</vt:lpstr>
      <vt:lpstr>IBM_pSeries_Tier1_2013</vt:lpstr>
      <vt:lpstr>IBM_pSeries_Tier1_2014</vt:lpstr>
      <vt:lpstr>IBM_pSeries_Tier2_2013</vt:lpstr>
      <vt:lpstr>IBM_pSeries_Tier2_2014</vt:lpstr>
      <vt:lpstr>IBM_pSeries_Tier3_2013</vt:lpstr>
      <vt:lpstr>IBM_pSeries_Tier3_2014</vt:lpstr>
      <vt:lpstr>IBM_Tivoli_DS_pSeries_All</vt:lpstr>
      <vt:lpstr>IBM_Tivoli_DS_pSeries_All_Maint</vt:lpstr>
      <vt:lpstr>SW_Unit_costs!IBM_WAS_pSeries_All</vt:lpstr>
      <vt:lpstr>IBM_WAS_pSeries_All_Lic_Rule</vt:lpstr>
      <vt:lpstr>SW_Unit_costs!IBM_WAS_pSeries_All_Maint</vt:lpstr>
      <vt:lpstr>SW_Unit_costs!IBM_WAS_x86_All</vt:lpstr>
      <vt:lpstr>IBM_WAS_x86_All_Lic_Rule</vt:lpstr>
      <vt:lpstr>SW_Unit_costs!IBM_WAS_x86_All_Maint</vt:lpstr>
      <vt:lpstr>IBM_WBM_pSeries_All</vt:lpstr>
      <vt:lpstr>IBM_WBM_pSeries_All_Maint</vt:lpstr>
      <vt:lpstr>SW_Unit_costs!IBM_WMQ_x86_All</vt:lpstr>
      <vt:lpstr>IBM_WMQ_x86_All_Lic_Rule</vt:lpstr>
      <vt:lpstr>SW_Unit_costs!IBM_WMQ_x86_All_Maint</vt:lpstr>
      <vt:lpstr>SW_Unit_costs!IBM_WPS_pSeries_NonProd</vt:lpstr>
      <vt:lpstr>IBM_WPS_pSeries_NonProd_Lic_Rule</vt:lpstr>
      <vt:lpstr>SW_Unit_costs!IBM_WPS_pSeries_NonProd_Maint</vt:lpstr>
      <vt:lpstr>SW_Unit_costs!IBM_WPS_pSeries_Prod</vt:lpstr>
      <vt:lpstr>IBM_WPS_pSeries_Prod_Lic_Rule</vt:lpstr>
      <vt:lpstr>SW_Unit_costs!IBM_WPS_pSeries_Prod_Maint</vt:lpstr>
      <vt:lpstr>SW_Unit_costs!IBM_WPS_x86_All</vt:lpstr>
      <vt:lpstr>IBM_WPS_x86_All_Lic_Rule</vt:lpstr>
      <vt:lpstr>SW_Unit_costs!IBM_WPS_x86_All_Maint</vt:lpstr>
      <vt:lpstr>IBM_WS_Proc_Srvr_pSeries_All</vt:lpstr>
      <vt:lpstr>IBM_WS_Proc_Srvr_pSeries_All_Maint</vt:lpstr>
      <vt:lpstr>IBM_WS_VE_Cntrlr_pSeries_All</vt:lpstr>
      <vt:lpstr>IBM_WS_VE_Cntrlr_pSeries_All_Maint</vt:lpstr>
      <vt:lpstr>IBM_WS_VE_Node_pSeries_All</vt:lpstr>
      <vt:lpstr>IBM_WS_VE_Node_pSeries_All_Maint</vt:lpstr>
      <vt:lpstr>Import_Date</vt:lpstr>
      <vt:lpstr>Import_Source</vt:lpstr>
      <vt:lpstr>Kana_x86_All</vt:lpstr>
      <vt:lpstr>Kana_x86_All_Maint</vt:lpstr>
      <vt:lpstr>LicenseCntRange</vt:lpstr>
      <vt:lpstr>LUN</vt:lpstr>
      <vt:lpstr>Maint_Pricing_Schedule</vt:lpstr>
      <vt:lpstr>mrgHdrSummarySWAfterYr1</vt:lpstr>
      <vt:lpstr>mrgHdrSummarySWYr1</vt:lpstr>
      <vt:lpstr>mrgHdrSWCostByProdAfterYr1</vt:lpstr>
      <vt:lpstr>mrgHdrSWCostByProdYr1</vt:lpstr>
      <vt:lpstr>MS_SQL_EE_Ext_All</vt:lpstr>
      <vt:lpstr>MS_SQL_EE_Ext_All_Maint</vt:lpstr>
      <vt:lpstr>MS_SQL_EE_Int_All</vt:lpstr>
      <vt:lpstr>MS_SQL_EE_Int_All_Maint</vt:lpstr>
      <vt:lpstr>MS_SQL_SE_Ext_All</vt:lpstr>
      <vt:lpstr>MS_SQL_SE_Ext_All_Maint</vt:lpstr>
      <vt:lpstr>MS_SQL_SE_Int_All</vt:lpstr>
      <vt:lpstr>MS_SQL_SE_Int_All_Maint</vt:lpstr>
      <vt:lpstr>SW_Unit_costs!Nastel_x86_All</vt:lpstr>
      <vt:lpstr>SW_Unit_costs!Nastel_x86_All_Maint</vt:lpstr>
      <vt:lpstr>Network_Market_Data_2013</vt:lpstr>
      <vt:lpstr>Network_Market_Data_2014</vt:lpstr>
      <vt:lpstr>Network_Server_2013</vt:lpstr>
      <vt:lpstr>Network_Server_2014</vt:lpstr>
      <vt:lpstr>Network_STI_2013</vt:lpstr>
      <vt:lpstr>Network_STI_2014</vt:lpstr>
      <vt:lpstr>Oracle_ASO_pSeries_NonProd</vt:lpstr>
      <vt:lpstr>Oracle_ASO_pSeries_NonProd_Maint</vt:lpstr>
      <vt:lpstr>Oracle_ASO_pSeries_Prod</vt:lpstr>
      <vt:lpstr>Oracle_ASO_pSeries_Prod_Maint</vt:lpstr>
      <vt:lpstr>Oracle_ASO_x86_NonProd</vt:lpstr>
      <vt:lpstr>Oracle_ASO_x86_NonProd_Maint</vt:lpstr>
      <vt:lpstr>Oracle_ASO_x86_Prod</vt:lpstr>
      <vt:lpstr>Oracle_ASO_x86_Prod_Maint</vt:lpstr>
      <vt:lpstr>Oracle_Ext_pSeries_NonProd</vt:lpstr>
      <vt:lpstr>Oracle_Ext_pSeries_NonProd_Maint</vt:lpstr>
      <vt:lpstr>Oracle_Ext_pSeries_Prod</vt:lpstr>
      <vt:lpstr>Oracle_Ext_pSeries_Prod_Maint</vt:lpstr>
      <vt:lpstr>Oracle_Ext_x86_NonProd</vt:lpstr>
      <vt:lpstr>Oracle_Ext_x86_NonProd_Maint</vt:lpstr>
      <vt:lpstr>Oracle_Ext_x86_Prod</vt:lpstr>
      <vt:lpstr>Oracle_Ext_x86_Prod_Maint</vt:lpstr>
      <vt:lpstr>Oracle_GG_pSeries_NonProd</vt:lpstr>
      <vt:lpstr>Oracle_GG_pSeries_NonProd_Maint</vt:lpstr>
      <vt:lpstr>Oracle_GG_pSeries_Prod</vt:lpstr>
      <vt:lpstr>Oracle_GG_pSeries_Prod_Maint</vt:lpstr>
      <vt:lpstr>Oracle_GG_Veridata_pSeries_NonProd</vt:lpstr>
      <vt:lpstr>Oracle_GG_Veridata_pSeries_NonProd_Maint</vt:lpstr>
      <vt:lpstr>Oracle_GG_Veridata_pSeries_Prod</vt:lpstr>
      <vt:lpstr>Oracle_GG_Veridata_pSeries_Prod_Maint</vt:lpstr>
      <vt:lpstr>Oracle_GG_Veridata_x86_NonProd</vt:lpstr>
      <vt:lpstr>Oracle_GG_Veridata_x86_NonProd_Maint</vt:lpstr>
      <vt:lpstr>Oracle_GG_Veridata_x86_Prod</vt:lpstr>
      <vt:lpstr>Oracle_GG_Veridata_x86_Prod_Maint</vt:lpstr>
      <vt:lpstr>Oracle_GG_x86_NonProd</vt:lpstr>
      <vt:lpstr>Oracle_GG_x86_NonProd_Maint</vt:lpstr>
      <vt:lpstr>Oracle_GG_x86_Prod</vt:lpstr>
      <vt:lpstr>Oracle_GG_x86_Prod_Maint</vt:lpstr>
      <vt:lpstr>Oracle_Partitioning_pSeries_NonProd</vt:lpstr>
      <vt:lpstr>Oracle_Partitioning_pSeries_NonProd_Maint</vt:lpstr>
      <vt:lpstr>Oracle_Partitioning_pSeries_Prod</vt:lpstr>
      <vt:lpstr>Oracle_Partitioning_pSeries_Prod_Maint</vt:lpstr>
      <vt:lpstr>Oracle_Partitioning_x86_NonProd</vt:lpstr>
      <vt:lpstr>Oracle_Partitioning_x86_NonProd_Maint</vt:lpstr>
      <vt:lpstr>Oracle_Partitioning_x86_Prod</vt:lpstr>
      <vt:lpstr>Oracle_Partitioning_x86_Prod_Maint</vt:lpstr>
      <vt:lpstr>Oracle_RAC_pSeries_NonProd</vt:lpstr>
      <vt:lpstr>Oracle_RAC_pSeries_NonProd_Maint</vt:lpstr>
      <vt:lpstr>Oracle_RAC_pSeries_Prod</vt:lpstr>
      <vt:lpstr>Oracle_RAC_pSeries_Prod_Maint</vt:lpstr>
      <vt:lpstr>Oracle_RAC_x86_NonProd</vt:lpstr>
      <vt:lpstr>Oracle_RAC_x86_NonProd_Maint</vt:lpstr>
      <vt:lpstr>Oracle_RAC_x86_Prod</vt:lpstr>
      <vt:lpstr>Oracle_RAC_x86_Prod_Maint</vt:lpstr>
      <vt:lpstr>Oracle_Spatial_pSeries_NonProd</vt:lpstr>
      <vt:lpstr>Oracle_Spatial_pSeries_NonProd_Maint</vt:lpstr>
      <vt:lpstr>Oracle_Spatial_pSeries_Prod</vt:lpstr>
      <vt:lpstr>Oracle_Spatial_pSeries_Prod_Maint</vt:lpstr>
      <vt:lpstr>Oracle_Spatial_x86_NonProd</vt:lpstr>
      <vt:lpstr>Oracle_Spatial_x86_NonProd_Maint</vt:lpstr>
      <vt:lpstr>Oracle_Spatial_x86_Prod</vt:lpstr>
      <vt:lpstr>Oracle_Spatial_x86_Prod_Maint</vt:lpstr>
      <vt:lpstr>Oracle_StandAlone_All</vt:lpstr>
      <vt:lpstr>Oracle_StandAlone_All_Maint</vt:lpstr>
      <vt:lpstr>Oracle_WebLogic_pSeries_NonProd</vt:lpstr>
      <vt:lpstr>Oracle_WebLogic_pSeries_NonProd_Maint</vt:lpstr>
      <vt:lpstr>Oracle_WebLogic_pSeries_Prod</vt:lpstr>
      <vt:lpstr>Oracle_WebLogic_pSeries_Prod_Maint</vt:lpstr>
      <vt:lpstr>Oracle_WebLogic_x86_NonProd</vt:lpstr>
      <vt:lpstr>Oracle_WebLogic_x86_NonProd_Maint</vt:lpstr>
      <vt:lpstr>Oracle_WebLogic_x86_Prod</vt:lpstr>
      <vt:lpstr>Oracle_WebLogic_x86_Prod_Maint</vt:lpstr>
      <vt:lpstr>PB_Spectrum_All</vt:lpstr>
      <vt:lpstr>PB_Spectrum_All_Maint</vt:lpstr>
      <vt:lpstr>'CTI Rate Card 2014 (Complete)'!Print_Titles</vt:lpstr>
      <vt:lpstr>Product_Pricing_Schedule</vt:lpstr>
      <vt:lpstr>Products</vt:lpstr>
      <vt:lpstr>pSeriesRange01</vt:lpstr>
      <vt:lpstr>Safenet_PSE_PL600</vt:lpstr>
      <vt:lpstr>Safenet_PSE_PL600_Maint</vt:lpstr>
      <vt:lpstr>SAP_x86_All</vt:lpstr>
      <vt:lpstr>SAP_x86_All_Maint</vt:lpstr>
      <vt:lpstr>SAP_x86_NonProd</vt:lpstr>
      <vt:lpstr>SAP_x86_NonProd_Maint</vt:lpstr>
      <vt:lpstr>SAP_x86_Prod</vt:lpstr>
      <vt:lpstr>SAP_x86_Prod_Maint</vt:lpstr>
      <vt:lpstr>Storage_DC_Dist_Tape_2013</vt:lpstr>
      <vt:lpstr>Storage_DC_Dist_Tape_2014</vt:lpstr>
      <vt:lpstr>Storage_DC_MF_2013</vt:lpstr>
      <vt:lpstr>Storage_DC_MF_Tape_2013</vt:lpstr>
      <vt:lpstr>Storage_DC_NAS_2013</vt:lpstr>
      <vt:lpstr>Storage_DC_NAS_2014</vt:lpstr>
      <vt:lpstr>Storage_DC_NAS_Archival_2013</vt:lpstr>
      <vt:lpstr>Storage_DC_SAN_2013</vt:lpstr>
      <vt:lpstr>Storage_DC_SAN_2014</vt:lpstr>
      <vt:lpstr>Storage_DC_SAN_Archival_2013</vt:lpstr>
      <vt:lpstr>Storage_Net_HW_Replication_2013</vt:lpstr>
      <vt:lpstr>Storage_Net_HW_Replication_2014</vt:lpstr>
      <vt:lpstr>Sun_ESeries_Low_Mem_GT_8_2013</vt:lpstr>
      <vt:lpstr>Sun_ESeries_Low_Mem_GT_8_2014</vt:lpstr>
      <vt:lpstr>Sun_Solaris_Tier1_2013</vt:lpstr>
      <vt:lpstr>Sun_Solaris_Tier1_2014</vt:lpstr>
      <vt:lpstr>Sun_Solaris_Tier2_2013</vt:lpstr>
      <vt:lpstr>Sun_Solaris_Tier2_2014</vt:lpstr>
      <vt:lpstr>Sun_Solaris_Tier3_2013</vt:lpstr>
      <vt:lpstr>Sun_Solaris_Tier3_2014</vt:lpstr>
      <vt:lpstr>Sun_TSeries_High_Mem_GT_8_2013</vt:lpstr>
      <vt:lpstr>Sun_TSeries_High_Mem_GT_8_2014</vt:lpstr>
      <vt:lpstr>Support_Direct_Server_Solaris_per_OS_2013</vt:lpstr>
      <vt:lpstr>Support_Direct_Server_Solaris_per_OS_2014</vt:lpstr>
      <vt:lpstr>Support_Direct_Server_Sun_per_OS_2013</vt:lpstr>
      <vt:lpstr>Support_Direct_Server_Sun_per_OS_2014</vt:lpstr>
      <vt:lpstr>Support_Direct_Server_x86_Wintel_per_OS_2013</vt:lpstr>
      <vt:lpstr>Support_Direct_Server_x86_Wintel_per_OS_2014</vt:lpstr>
      <vt:lpstr>Support_Direct_VM_per_VM_2013</vt:lpstr>
      <vt:lpstr>Support_Direct_VM_per_VM_2014</vt:lpstr>
      <vt:lpstr>Support_VMware_per_CPU_2013</vt:lpstr>
      <vt:lpstr>Support_VMware_per_CPU_2014</vt:lpstr>
      <vt:lpstr>TIBCO_Adapter_SDK_Dev</vt:lpstr>
      <vt:lpstr>TIBCO_Adapter_SDK_Dev_Maint</vt:lpstr>
      <vt:lpstr>TIBCO_Adapter_SDK_Prod</vt:lpstr>
      <vt:lpstr>TIBCO_Adapter_SDK_Prod_Maint</vt:lpstr>
      <vt:lpstr>TIBCO_Adapter_SDK_StressUAT</vt:lpstr>
      <vt:lpstr>TIBCO_Adapter_SDK_StressUAT_Maint</vt:lpstr>
      <vt:lpstr>SW_Unit_costs!TIBCO_AMPolMgr_Dev</vt:lpstr>
      <vt:lpstr>SW_Unit_costs!TIBCO_AMPolMgr_Dev_Maint</vt:lpstr>
      <vt:lpstr>SW_Unit_costs!TIBCO_AMPolMgr_Prod</vt:lpstr>
      <vt:lpstr>SW_Unit_costs!TIBCO_AMPolMgr_Prod_Maint</vt:lpstr>
      <vt:lpstr>SW_Unit_costs!TIBCO_AMPolMgr_StressUAT</vt:lpstr>
      <vt:lpstr>SW_Unit_costs!TIBCO_AMPolMgr_StressUAT_Maint</vt:lpstr>
      <vt:lpstr>SW_Unit_costs!TIBCO_AMSvc_Dev</vt:lpstr>
      <vt:lpstr>SW_Unit_costs!TIBCO_AMSvc_Dev_Maint</vt:lpstr>
      <vt:lpstr>SW_Unit_costs!TIBCO_AMSvc_Prod</vt:lpstr>
      <vt:lpstr>SW_Unit_costs!TIBCO_AMSvc_Prod_Maint</vt:lpstr>
      <vt:lpstr>SW_Unit_costs!TIBCO_AMSvc_StressUAT</vt:lpstr>
      <vt:lpstr>SW_Unit_costs!TIBCO_AMSvc_StressUAT_Maint</vt:lpstr>
      <vt:lpstr>SW_Unit_costs!TIBCO_AMX_BPM_Dev</vt:lpstr>
      <vt:lpstr>SW_Unit_costs!TIBCO_AMX_BPM_Dev_Maint</vt:lpstr>
      <vt:lpstr>SW_Unit_costs!TIBCO_AMX_BPM_Prod</vt:lpstr>
      <vt:lpstr>SW_Unit_costs!TIBCO_AMX_BPM_Prod_Maint</vt:lpstr>
      <vt:lpstr>SW_Unit_costs!TIBCO_AMX_BPM_StressUAT</vt:lpstr>
      <vt:lpstr>SW_Unit_costs!TIBCO_AMX_BPM_StressUAT_Maint</vt:lpstr>
      <vt:lpstr>SW_Unit_costs!TIBCO_BizEvt_Dev</vt:lpstr>
      <vt:lpstr>SW_Unit_costs!TIBCO_BizEvt_Dev_Maint</vt:lpstr>
      <vt:lpstr>SW_Unit_costs!TIBCO_BizEvt_Prod</vt:lpstr>
      <vt:lpstr>SW_Unit_costs!TIBCO_BizEvt_Prod_Maint</vt:lpstr>
      <vt:lpstr>SW_Unit_costs!TIBCO_BizEvt_StressUAT</vt:lpstr>
      <vt:lpstr>SW_Unit_costs!TIBCO_BizEvt_StressUAT_Maint</vt:lpstr>
      <vt:lpstr>SW_Unit_costs!TIBCO_BW_Bundle_Dev</vt:lpstr>
      <vt:lpstr>SW_Unit_costs!TIBCO_BW_Bundle_Dev_Maint</vt:lpstr>
      <vt:lpstr>SW_Unit_costs!TIBCO_BW_Bundle_Prod</vt:lpstr>
      <vt:lpstr>SW_Unit_costs!TIBCO_BW_Bundle_Prod_Maint</vt:lpstr>
      <vt:lpstr>SW_Unit_costs!TIBCO_BW_Bundle_StressUAT</vt:lpstr>
      <vt:lpstr>SW_Unit_costs!TIBCO_BW_Bundle_StressUAT_Maint</vt:lpstr>
      <vt:lpstr>SW_Unit_costs!TIBCO_BW_SA_Dev</vt:lpstr>
      <vt:lpstr>SW_Unit_costs!TIBCO_BW_SA_Dev_Maint</vt:lpstr>
      <vt:lpstr>SW_Unit_costs!TIBCO_BW_SA_Prod</vt:lpstr>
      <vt:lpstr>SW_Unit_costs!TIBCO_BW_SA_Prod_Maint</vt:lpstr>
      <vt:lpstr>SW_Unit_costs!TIBCO_BW_SA_StressUAT</vt:lpstr>
      <vt:lpstr>SW_Unit_costs!TIBCO_BW_SA_StressUAT_Maint</vt:lpstr>
      <vt:lpstr>SW_Unit_costs!TIBCO_EMS_Dev</vt:lpstr>
      <vt:lpstr>SW_Unit_costs!TIBCO_EMS_Dev_Maint</vt:lpstr>
      <vt:lpstr>SW_Unit_costs!TIBCO_EMS_Prod</vt:lpstr>
      <vt:lpstr>SW_Unit_costs!TIBCO_EMS_Prod_Maint</vt:lpstr>
      <vt:lpstr>SW_Unit_costs!TIBCO_EMS_StressUAT</vt:lpstr>
      <vt:lpstr>SW_Unit_costs!TIBCO_EMS_StressUAT_Maint</vt:lpstr>
      <vt:lpstr>SW_Unit_costs!TIBCO_Hawk_Dev</vt:lpstr>
      <vt:lpstr>SW_Unit_costs!TIBCO_Hawk_Dev_Maint</vt:lpstr>
      <vt:lpstr>SW_Unit_costs!TIBCO_Hawk_Prod</vt:lpstr>
      <vt:lpstr>SW_Unit_costs!TIBCO_Hawk_Prod_Maint</vt:lpstr>
      <vt:lpstr>SW_Unit_costs!TIBCO_Hawk_StressUAT</vt:lpstr>
      <vt:lpstr>SW_Unit_costs!TIBCO_Hawk_StressUAT_Maint</vt:lpstr>
      <vt:lpstr>SW_Unit_costs!TIBCO_iProc_Dev</vt:lpstr>
      <vt:lpstr>SW_Unit_costs!TIBCO_iProc_Dev_Maint</vt:lpstr>
      <vt:lpstr>SW_Unit_costs!TIBCO_iProc_Prod</vt:lpstr>
      <vt:lpstr>SW_Unit_costs!TIBCO_iProc_Prod_Maint</vt:lpstr>
      <vt:lpstr>SW_Unit_costs!TIBCO_iProc_StressUAT</vt:lpstr>
      <vt:lpstr>SW_Unit_costs!TIBCO_iProc_StressUAT_Maint</vt:lpstr>
      <vt:lpstr>SW_Unit_costs!TIBCO_PerfMgr_Dev</vt:lpstr>
      <vt:lpstr>SW_Unit_costs!TIBCO_PerfMgr_Dev_Maint</vt:lpstr>
      <vt:lpstr>SW_Unit_costs!TIBCO_PerfMgr_Prod</vt:lpstr>
      <vt:lpstr>SW_Unit_costs!TIBCO_PerfMgr_Prod_Maint</vt:lpstr>
      <vt:lpstr>SW_Unit_costs!TIBCO_PerfMgr_StressUAT</vt:lpstr>
      <vt:lpstr>SW_Unit_costs!TIBCO_PerfMgr_StressUAT_Maint</vt:lpstr>
      <vt:lpstr>SW_Unit_costs!TIBCO_PolAgt_Dev</vt:lpstr>
      <vt:lpstr>SW_Unit_costs!TIBCO_PolAgt_Dev_Maint</vt:lpstr>
      <vt:lpstr>SW_Unit_costs!TIBCO_PolAgt_Prod</vt:lpstr>
      <vt:lpstr>SW_Unit_costs!TIBCO_PolAgt_Prod_Maint</vt:lpstr>
      <vt:lpstr>SW_Unit_costs!TIBCO_PolAgt_StressUAT</vt:lpstr>
      <vt:lpstr>SW_Unit_costs!TIBCO_PolAgt_StressUAT_Maint</vt:lpstr>
      <vt:lpstr>SW_Unit_costs!TIBCO_RTView_Dev</vt:lpstr>
      <vt:lpstr>SW_Unit_costs!TIBCO_RTView_Dev_Maint</vt:lpstr>
      <vt:lpstr>SW_Unit_costs!TIBCO_RTView_Prod</vt:lpstr>
      <vt:lpstr>SW_Unit_costs!TIBCO_RTView_Prod_Maint</vt:lpstr>
      <vt:lpstr>SW_Unit_costs!TIBCO_RTView_StressUAT</vt:lpstr>
      <vt:lpstr>SW_Unit_costs!TIBCO_RTView_StressUAT_Maint</vt:lpstr>
      <vt:lpstr>SW_Unit_costs!TIBCO_RTViewBWMon_Dev</vt:lpstr>
      <vt:lpstr>SW_Unit_costs!TIBCO_RTViewBWMon_Dev_Maint</vt:lpstr>
      <vt:lpstr>SW_Unit_costs!TIBCO_RTViewBWMon_Prod</vt:lpstr>
      <vt:lpstr>SW_Unit_costs!TIBCO_RTViewBWMon_Prod_Maint</vt:lpstr>
      <vt:lpstr>SW_Unit_costs!TIBCO_RTViewBWMon_StressUAT</vt:lpstr>
      <vt:lpstr>SW_Unit_costs!TIBCO_RTViewBWMon_StressUAT_Maint</vt:lpstr>
      <vt:lpstr>SW_Unit_costs!TIBCO_RTViewDev_Dev</vt:lpstr>
      <vt:lpstr>SW_Unit_costs!TIBCO_RTViewDev_Dev_Maint</vt:lpstr>
      <vt:lpstr>SW_Unit_costs!TIBCO_RTViewDev_Prod</vt:lpstr>
      <vt:lpstr>SW_Unit_costs!TIBCO_RTViewDev_Prod_Maint</vt:lpstr>
      <vt:lpstr>SW_Unit_costs!TIBCO_RTViewDev_StressUAT</vt:lpstr>
      <vt:lpstr>SW_Unit_costs!TIBCO_RTViewDev_StressUAT_Maint</vt:lpstr>
      <vt:lpstr>SW_Unit_costs!TIBCO_SvcBus_Dev</vt:lpstr>
      <vt:lpstr>SW_Unit_costs!TIBCO_SvcBus_Prod</vt:lpstr>
      <vt:lpstr>SW_Unit_costs!TIBCO_SvcBus_Prod_Maint</vt:lpstr>
      <vt:lpstr>SW_Unit_costs!TIBCO_SvcBus_StressUAT</vt:lpstr>
      <vt:lpstr>SW_Unit_costs!TIBCO_SvcBus_StressUAT_Maint</vt:lpstr>
      <vt:lpstr>ufBoMTools_Left</vt:lpstr>
      <vt:lpstr>ufBoMTools_Top</vt:lpstr>
      <vt:lpstr>ufBTMActive</vt:lpstr>
      <vt:lpstr>SW_Unit_costs!Veritas_Cluster_CFS_Prod</vt:lpstr>
      <vt:lpstr>SW_Unit_costs!Veritas_Cluster_CFS_Prod_Maint</vt:lpstr>
      <vt:lpstr>SW_Unit_costs!Veritas_Cluster_CFS_StressUAT</vt:lpstr>
      <vt:lpstr>SW_Unit_costs!Veritas_Cluster_CFS_StressUAT_Maint</vt:lpstr>
      <vt:lpstr>VM_Guest_Tier_1_2013</vt:lpstr>
      <vt:lpstr>VM_Guest_Tier_1_2014</vt:lpstr>
      <vt:lpstr>VM_Guest_Tier_2_2013</vt:lpstr>
      <vt:lpstr>VM_Guest_Tier_2_2014</vt:lpstr>
      <vt:lpstr>VM_Guest_Tier_3_2013</vt:lpstr>
      <vt:lpstr>VM_Guest_Tier_3_2014</vt:lpstr>
      <vt:lpstr>VM_Guest_Tier_4_2013</vt:lpstr>
      <vt:lpstr>VM_Guest_Tier_4_2014</vt:lpstr>
      <vt:lpstr>VM_SS_per_vCPU_Daily_2013</vt:lpstr>
      <vt:lpstr>VM_SS_per_vCPU_Daily_2014</vt:lpstr>
      <vt:lpstr>VM_SW_per_CPU_2013</vt:lpstr>
      <vt:lpstr>VM_SW_per_VM_2013</vt:lpstr>
      <vt:lpstr>VMware_Platform</vt:lpstr>
      <vt:lpstr>VMware_Types</vt:lpstr>
      <vt:lpstr>vRAM_per_vCPU_2013_Daily</vt:lpstr>
      <vt:lpstr>vRAM_per_vCPU_2013_Monthly</vt:lpstr>
      <vt:lpstr>vRAM_per_vCPU_2014_Daily</vt:lpstr>
      <vt:lpstr>vRAM_per_vCPU_2014_Monthly</vt:lpstr>
      <vt:lpstr>wbName</vt:lpstr>
      <vt:lpstr>x86_Memory_GT12Win_GT8Unix_2013</vt:lpstr>
      <vt:lpstr>x86_Memory_GT12Win_GT8Unix_2014</vt:lpstr>
      <vt:lpstr>x86_Tier1_2013</vt:lpstr>
      <vt:lpstr>x86_Tier1_2014</vt:lpstr>
      <vt:lpstr>x86_Tier2_2013</vt:lpstr>
      <vt:lpstr>x86_Tier2_2014</vt:lpstr>
      <vt:lpstr>x86_Tier3_2013</vt:lpstr>
      <vt:lpstr>x86_Tier3_2014</vt:lpstr>
    </vt:vector>
  </TitlesOfParts>
  <Manager>Antonio "AJ" Jarufe</Manager>
  <Company>Citi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GCT BoM Template v14.02.06</dc:title>
  <dc:subject>GIA BoM Template</dc:subject>
  <dc:creator>Scott Leitstein</dc:creator>
  <cp:keywords>GIA, BoM, Template</cp:keywords>
  <cp:lastModifiedBy>Ashok Kumar Reddy</cp:lastModifiedBy>
  <cp:lastPrinted>2013-07-18T14:08:44Z</cp:lastPrinted>
  <dcterms:created xsi:type="dcterms:W3CDTF">2011-12-05T17:12:36Z</dcterms:created>
  <dcterms:modified xsi:type="dcterms:W3CDTF">2014-03-12T07:48:00Z</dcterms:modified>
  <cp:category>BoM</cp:category>
  <cp:contentStatus>WIP</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oM_Version">
    <vt:r8>2.4</vt:r8>
  </property>
  <property fmtid="{D5CDD505-2E9C-101B-9397-08002B2CF9AE}" pid="3" name="ContentTypeId">
    <vt:lpwstr>0x01010053D1C9D7CD2417428D0B9C0F0D758503</vt:lpwstr>
  </property>
</Properties>
</file>

<file path=userCustomization/customUI.xml><?xml version="1.0" encoding="utf-8"?>
<mso:customUI xmlns:doc="http://schemas.microsoft.com/office/2006/01/customui/currentDocument" xmlns:mso="http://schemas.microsoft.com/office/2006/01/customui">
  <mso:ribbon>
    <mso:qat>
      <mso:documentControls>
        <mso:button idQ="doc:ThisWorkbook.DisplayBoMTools_1" visible="true" label="BoM Tools Menu" imageMso="VisualBasicReferences" onAction="ThisWorkbook.DisplayBoMTools"/>
      </mso:documentControls>
    </mso:qat>
  </mso:ribbon>
</mso:customUI>
</file>